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ThisWorkbook" defaultThemeVersion="124226"/>
  <bookViews>
    <workbookView xWindow="-9690" yWindow="675" windowWidth="20730" windowHeight="10215" tabRatio="812" firstSheet="11" activeTab="19"/>
  </bookViews>
  <sheets>
    <sheet name="BASELINE SUMMARY" sheetId="21" r:id="rId1"/>
    <sheet name="ALTERNATIVE SUMMARY" sheetId="24" r:id="rId2"/>
    <sheet name="Baseline Given" sheetId="2" r:id="rId3"/>
    <sheet name="Alternative 1" sheetId="3" r:id="rId4"/>
    <sheet name="Alternative 2" sheetId="4" r:id="rId5"/>
    <sheet name="Alternative 3" sheetId="5" r:id="rId6"/>
    <sheet name="Center of Gravity" sheetId="22" r:id="rId7"/>
    <sheet name="Baseline-tilt up (1 pt)" sheetId="17" r:id="rId8"/>
    <sheet name="Baseline-tilt up (2 pt)" sheetId="19" r:id="rId9"/>
    <sheet name="Baseline-tilt up (3 pt)" sheetId="20" r:id="rId10"/>
    <sheet name="Alternative 1-Tilt Up (3pt)" sheetId="25" r:id="rId11"/>
    <sheet name="Alternative 2-Tilt Up (3pt)" sheetId="27" r:id="rId12"/>
    <sheet name="Alternative 3-Tilt Up (3pt)" sheetId="26" r:id="rId13"/>
    <sheet name="Wind Loading" sheetId="10" state="hidden" r:id="rId14"/>
    <sheet name="Dynamic Loading" sheetId="11" state="hidden" r:id="rId15"/>
    <sheet name="Combined Stress" sheetId="12" r:id="rId16"/>
    <sheet name="Local Buckling" sheetId="13" r:id="rId17"/>
    <sheet name="Column Buckling" sheetId="29" r:id="rId18"/>
    <sheet name="Yielding Stress (1)" sheetId="30" r:id="rId19"/>
    <sheet name="Yielding Stress (2)" sheetId="31" r:id="rId20"/>
  </sheets>
  <externalReferences>
    <externalReference r:id="rId21"/>
    <externalReference r:id="rId22"/>
  </externalReferences>
  <definedNames>
    <definedName name="Z_73608749_DAD6_470A_871E_DA0A326E9E7B_.wvu.Cols" localSheetId="17" hidden="1">'Column Buckling'!#REF!,'Column Buckling'!$C:$C,'Column Buckling'!$E:$E</definedName>
    <definedName name="Z_73608749_DAD6_470A_871E_DA0A326E9E7B_.wvu.Cols" localSheetId="16" hidden="1">'Local Buckling'!$A:$J,'Local Buckling'!#REF!,'Local Buckling'!#REF!</definedName>
    <definedName name="Z_73608749_DAD6_470A_871E_DA0A326E9E7B_.wvu.Cols" localSheetId="13" hidden="1">'Wind Loading'!$F:$F,'Wind Loading'!$K:$K,'Wind Loading'!$P:$P,'Wind Loading'!$U:$U</definedName>
    <definedName name="Z_73608749_DAD6_470A_871E_DA0A326E9E7B_.wvu.Rows" localSheetId="17" hidden="1">'Column Buckling'!#REF!</definedName>
    <definedName name="Z_73608749_DAD6_470A_871E_DA0A326E9E7B_.wvu.Rows" localSheetId="16" hidden="1">'Local Buckling'!#REF!</definedName>
  </definedNames>
  <calcPr calcId="145621"/>
  <customWorkbookViews>
    <customWorkbookView name="Holly - Personal View" guid="{73608749-DAD6-470A-871E-DA0A326E9E7B}" mergeInterval="0" personalView="1" maximized="1" xWindow="-8" yWindow="-8" windowWidth="1382" windowHeight="744" tabRatio="755" activeSheetId="14"/>
  </customWorkbookViews>
</workbook>
</file>

<file path=xl/calcChain.xml><?xml version="1.0" encoding="utf-8"?>
<calcChain xmlns="http://schemas.openxmlformats.org/spreadsheetml/2006/main">
  <c r="B19" i="5" l="1"/>
  <c r="B19" i="4"/>
  <c r="B19" i="3"/>
  <c r="B20" i="2"/>
  <c r="U13" i="30" l="1"/>
  <c r="U12" i="30"/>
  <c r="U11" i="30"/>
  <c r="U10" i="30"/>
  <c r="U9" i="30"/>
  <c r="U8" i="30"/>
  <c r="U7" i="30"/>
  <c r="U6" i="30"/>
  <c r="U5" i="30"/>
  <c r="U4" i="30"/>
  <c r="N13" i="30"/>
  <c r="N12" i="30"/>
  <c r="N11" i="30"/>
  <c r="N10" i="30"/>
  <c r="N9" i="30"/>
  <c r="N8" i="30"/>
  <c r="N7" i="30"/>
  <c r="N6" i="30"/>
  <c r="N5" i="30"/>
  <c r="N4" i="30"/>
  <c r="G13" i="30"/>
  <c r="G12" i="30"/>
  <c r="G11" i="30"/>
  <c r="G10" i="30"/>
  <c r="G9" i="30"/>
  <c r="G8" i="30"/>
  <c r="G7" i="30"/>
  <c r="G6" i="30"/>
  <c r="G5" i="30"/>
  <c r="G4" i="30"/>
  <c r="B13" i="30"/>
  <c r="B12" i="30"/>
  <c r="B11" i="30"/>
  <c r="B10" i="30"/>
  <c r="B9" i="30"/>
  <c r="B8" i="30"/>
  <c r="B7" i="30"/>
  <c r="B6" i="30"/>
  <c r="B5" i="30"/>
  <c r="B4" i="30"/>
  <c r="B4" i="31"/>
  <c r="C4" i="31"/>
  <c r="D4" i="31"/>
  <c r="E4" i="31"/>
  <c r="F4" i="31"/>
  <c r="G4" i="31"/>
  <c r="H4" i="31"/>
  <c r="I4" i="31"/>
  <c r="J4" i="31"/>
  <c r="K4" i="31"/>
  <c r="B5" i="31"/>
  <c r="C5" i="31"/>
  <c r="D5" i="31"/>
  <c r="E5" i="31"/>
  <c r="F5" i="31"/>
  <c r="G5" i="31"/>
  <c r="H5" i="31"/>
  <c r="I5" i="31"/>
  <c r="J5" i="31"/>
  <c r="K5" i="31"/>
  <c r="B6" i="31"/>
  <c r="C6" i="31"/>
  <c r="D6" i="31"/>
  <c r="E6" i="31"/>
  <c r="F6" i="31"/>
  <c r="G6" i="31"/>
  <c r="H6" i="31"/>
  <c r="I6" i="31"/>
  <c r="J6" i="31"/>
  <c r="K6" i="31"/>
  <c r="B7" i="31"/>
  <c r="C7" i="31"/>
  <c r="D7" i="31"/>
  <c r="E7" i="31"/>
  <c r="F7" i="31"/>
  <c r="G7" i="31"/>
  <c r="H7" i="31"/>
  <c r="I7" i="31"/>
  <c r="J7" i="31"/>
  <c r="K7" i="31"/>
  <c r="B8" i="31"/>
  <c r="C8" i="31"/>
  <c r="D8" i="31"/>
  <c r="E8" i="31"/>
  <c r="F8" i="31"/>
  <c r="G8" i="31"/>
  <c r="H8" i="31"/>
  <c r="I8" i="31"/>
  <c r="J8" i="31"/>
  <c r="K8" i="31"/>
  <c r="B9" i="31"/>
  <c r="C9" i="31"/>
  <c r="D9" i="31"/>
  <c r="E9" i="31"/>
  <c r="F9" i="31"/>
  <c r="G9" i="31"/>
  <c r="H9" i="31"/>
  <c r="I9" i="31"/>
  <c r="J9" i="31"/>
  <c r="K9" i="31"/>
  <c r="B10" i="31"/>
  <c r="C10" i="31"/>
  <c r="D10" i="31"/>
  <c r="E10" i="31"/>
  <c r="F10" i="31"/>
  <c r="G10" i="31"/>
  <c r="H10" i="31"/>
  <c r="I10" i="31"/>
  <c r="J10" i="31"/>
  <c r="K10" i="31"/>
  <c r="B11" i="31"/>
  <c r="C11" i="31"/>
  <c r="D11" i="31"/>
  <c r="E11" i="31"/>
  <c r="F11" i="31"/>
  <c r="G11" i="31"/>
  <c r="H11" i="31"/>
  <c r="I11" i="31"/>
  <c r="J11" i="31"/>
  <c r="K11" i="31"/>
  <c r="B12" i="31"/>
  <c r="C12" i="31"/>
  <c r="D12" i="31"/>
  <c r="E12" i="31"/>
  <c r="F12" i="31"/>
  <c r="G12" i="31"/>
  <c r="H12" i="31"/>
  <c r="I12" i="31"/>
  <c r="J12" i="31"/>
  <c r="K12" i="31"/>
  <c r="B13" i="31"/>
  <c r="C13" i="31"/>
  <c r="D13" i="31"/>
  <c r="E13" i="31"/>
  <c r="F13" i="31"/>
  <c r="G13" i="31"/>
  <c r="H13" i="31"/>
  <c r="I13" i="31"/>
  <c r="J13" i="31"/>
  <c r="K13" i="31"/>
  <c r="B14" i="31"/>
  <c r="C14" i="31"/>
  <c r="D14" i="31"/>
  <c r="E14" i="31"/>
  <c r="F14" i="31"/>
  <c r="G14" i="31"/>
  <c r="H14" i="31"/>
  <c r="I14" i="31"/>
  <c r="J14" i="31"/>
  <c r="K14" i="31"/>
  <c r="B15" i="31"/>
  <c r="C15" i="31"/>
  <c r="D15" i="31"/>
  <c r="E15" i="31"/>
  <c r="F15" i="31"/>
  <c r="G15" i="31"/>
  <c r="H15" i="31"/>
  <c r="I15" i="31"/>
  <c r="J15" i="31"/>
  <c r="K15" i="31"/>
  <c r="B16" i="31"/>
  <c r="C16" i="31"/>
  <c r="D16" i="31"/>
  <c r="E16" i="31"/>
  <c r="F16" i="31"/>
  <c r="G16" i="31"/>
  <c r="H16" i="31"/>
  <c r="I16" i="31"/>
  <c r="J16" i="31"/>
  <c r="K16" i="31"/>
  <c r="B17" i="31"/>
  <c r="C17" i="31"/>
  <c r="D17" i="31"/>
  <c r="E17" i="31"/>
  <c r="F17" i="31"/>
  <c r="G17" i="31"/>
  <c r="H17" i="31"/>
  <c r="I17" i="31"/>
  <c r="J17" i="31"/>
  <c r="K17" i="31"/>
  <c r="B18" i="31"/>
  <c r="C18" i="31"/>
  <c r="D18" i="31"/>
  <c r="E18" i="31"/>
  <c r="F18" i="31"/>
  <c r="G18" i="31"/>
  <c r="H18" i="31"/>
  <c r="I18" i="31"/>
  <c r="J18" i="31"/>
  <c r="K18" i="31"/>
  <c r="B19" i="31"/>
  <c r="C19" i="31"/>
  <c r="D19" i="31"/>
  <c r="E19" i="31"/>
  <c r="F19" i="31"/>
  <c r="G19" i="31"/>
  <c r="H19" i="31"/>
  <c r="I19" i="31"/>
  <c r="J19" i="31"/>
  <c r="K19" i="31"/>
  <c r="B20" i="31"/>
  <c r="C20" i="31"/>
  <c r="D20" i="31"/>
  <c r="E20" i="31"/>
  <c r="F20" i="31"/>
  <c r="G20" i="31"/>
  <c r="H20" i="31"/>
  <c r="I20" i="31"/>
  <c r="J20" i="31"/>
  <c r="K20" i="31"/>
  <c r="B21" i="31"/>
  <c r="C21" i="31"/>
  <c r="D21" i="31"/>
  <c r="E21" i="31"/>
  <c r="F21" i="31"/>
  <c r="G21" i="31"/>
  <c r="H21" i="31"/>
  <c r="I21" i="31"/>
  <c r="J21" i="31"/>
  <c r="K21" i="31"/>
  <c r="B22" i="31"/>
  <c r="C22" i="31"/>
  <c r="D22" i="31"/>
  <c r="E22" i="31"/>
  <c r="F22" i="31"/>
  <c r="G22" i="31"/>
  <c r="H22" i="31"/>
  <c r="I22" i="31"/>
  <c r="J22" i="31"/>
  <c r="K22" i="31"/>
  <c r="B23" i="31"/>
  <c r="C23" i="31"/>
  <c r="D23" i="31"/>
  <c r="E23" i="31"/>
  <c r="F23" i="31"/>
  <c r="G23" i="31"/>
  <c r="H23" i="31"/>
  <c r="I23" i="31"/>
  <c r="J23" i="31"/>
  <c r="K23" i="31"/>
  <c r="B24" i="31"/>
  <c r="C24" i="31"/>
  <c r="D24" i="31"/>
  <c r="E24" i="31"/>
  <c r="F24" i="31"/>
  <c r="G24" i="31"/>
  <c r="H24" i="31"/>
  <c r="I24" i="31"/>
  <c r="J24" i="31"/>
  <c r="K24" i="31"/>
  <c r="B25" i="31"/>
  <c r="C25" i="31"/>
  <c r="D25" i="31"/>
  <c r="E25" i="31"/>
  <c r="F25" i="31"/>
  <c r="G25" i="31"/>
  <c r="H25" i="31"/>
  <c r="I25" i="31"/>
  <c r="J25" i="31"/>
  <c r="K25" i="31"/>
  <c r="B26" i="31"/>
  <c r="C26" i="31"/>
  <c r="D26" i="31"/>
  <c r="E26" i="31"/>
  <c r="F26" i="31"/>
  <c r="G26" i="31"/>
  <c r="H26" i="31"/>
  <c r="I26" i="31"/>
  <c r="J26" i="31"/>
  <c r="K26" i="31"/>
  <c r="B27" i="31"/>
  <c r="C27" i="31"/>
  <c r="D27" i="31"/>
  <c r="E27" i="31"/>
  <c r="F27" i="31"/>
  <c r="G27" i="31"/>
  <c r="H27" i="31"/>
  <c r="I27" i="31"/>
  <c r="J27" i="31"/>
  <c r="K27" i="31"/>
  <c r="B28" i="31"/>
  <c r="C28" i="31"/>
  <c r="D28" i="31"/>
  <c r="E28" i="31"/>
  <c r="F28" i="31"/>
  <c r="G28" i="31"/>
  <c r="H28" i="31"/>
  <c r="I28" i="31"/>
  <c r="J28" i="31"/>
  <c r="K28" i="31"/>
  <c r="B29" i="31"/>
  <c r="C29" i="31"/>
  <c r="D29" i="31"/>
  <c r="E29" i="31"/>
  <c r="F29" i="31"/>
  <c r="G29" i="31"/>
  <c r="H29" i="31"/>
  <c r="I29" i="31"/>
  <c r="J29" i="31"/>
  <c r="K29" i="31"/>
  <c r="B30" i="31"/>
  <c r="C30" i="31"/>
  <c r="D30" i="31"/>
  <c r="E30" i="31"/>
  <c r="F30" i="31"/>
  <c r="G30" i="31"/>
  <c r="H30" i="31"/>
  <c r="I30" i="31"/>
  <c r="J30" i="31"/>
  <c r="K30" i="31"/>
  <c r="B31" i="31"/>
  <c r="C31" i="31"/>
  <c r="D31" i="31"/>
  <c r="E31" i="31"/>
  <c r="F31" i="31"/>
  <c r="G31" i="31"/>
  <c r="H31" i="31"/>
  <c r="I31" i="31"/>
  <c r="J31" i="31"/>
  <c r="K31" i="31"/>
  <c r="B32" i="31"/>
  <c r="C32" i="31"/>
  <c r="D32" i="31"/>
  <c r="E32" i="31"/>
  <c r="F32" i="31"/>
  <c r="G32" i="31"/>
  <c r="H32" i="31"/>
  <c r="I32" i="31"/>
  <c r="J32" i="31"/>
  <c r="K32" i="31"/>
  <c r="B33" i="31"/>
  <c r="C33" i="31"/>
  <c r="D33" i="31"/>
  <c r="E33" i="31"/>
  <c r="F33" i="31"/>
  <c r="G33" i="31"/>
  <c r="H33" i="31"/>
  <c r="I33" i="31"/>
  <c r="J33" i="31"/>
  <c r="K33" i="31"/>
  <c r="B34" i="31"/>
  <c r="C34" i="31"/>
  <c r="D34" i="31"/>
  <c r="E34" i="31"/>
  <c r="F34" i="31"/>
  <c r="G34" i="31"/>
  <c r="H34" i="31"/>
  <c r="I34" i="31"/>
  <c r="J34" i="31"/>
  <c r="K34" i="31"/>
  <c r="B35" i="31"/>
  <c r="C35" i="31"/>
  <c r="D35" i="31"/>
  <c r="E35" i="31"/>
  <c r="F35" i="31"/>
  <c r="G35" i="31"/>
  <c r="H35" i="31"/>
  <c r="I35" i="31"/>
  <c r="J35" i="31"/>
  <c r="K35" i="31"/>
  <c r="B36" i="31"/>
  <c r="C36" i="31"/>
  <c r="D36" i="31"/>
  <c r="E36" i="31"/>
  <c r="F36" i="31"/>
  <c r="G36" i="31"/>
  <c r="H36" i="31"/>
  <c r="I36" i="31"/>
  <c r="J36" i="31"/>
  <c r="K36" i="31"/>
  <c r="B37" i="31"/>
  <c r="C37" i="31"/>
  <c r="D37" i="31"/>
  <c r="E37" i="31"/>
  <c r="F37" i="31"/>
  <c r="G37" i="31"/>
  <c r="H37" i="31"/>
  <c r="I37" i="31"/>
  <c r="J37" i="31"/>
  <c r="K37" i="31"/>
  <c r="B38" i="31"/>
  <c r="C38" i="31"/>
  <c r="D38" i="31"/>
  <c r="E38" i="31"/>
  <c r="F38" i="31"/>
  <c r="G38" i="31"/>
  <c r="H38" i="31"/>
  <c r="I38" i="31"/>
  <c r="J38" i="31"/>
  <c r="K38" i="31"/>
  <c r="B39" i="31"/>
  <c r="C39" i="31"/>
  <c r="D39" i="31"/>
  <c r="E39" i="31"/>
  <c r="F39" i="31"/>
  <c r="G39" i="31"/>
  <c r="H39" i="31"/>
  <c r="I39" i="31"/>
  <c r="J39" i="31"/>
  <c r="K39" i="31"/>
  <c r="B40" i="31"/>
  <c r="C40" i="31"/>
  <c r="D40" i="31"/>
  <c r="E40" i="31"/>
  <c r="F40" i="31"/>
  <c r="G40" i="31"/>
  <c r="H40" i="31"/>
  <c r="I40" i="31"/>
  <c r="J40" i="31"/>
  <c r="K40" i="31"/>
  <c r="B41" i="31"/>
  <c r="C41" i="31"/>
  <c r="D41" i="31"/>
  <c r="E41" i="31"/>
  <c r="F41" i="31"/>
  <c r="G41" i="31"/>
  <c r="H41" i="31"/>
  <c r="I41" i="31"/>
  <c r="J41" i="31"/>
  <c r="K41" i="31"/>
  <c r="B42" i="31"/>
  <c r="C42" i="31"/>
  <c r="D42" i="31"/>
  <c r="E42" i="31"/>
  <c r="F42" i="31"/>
  <c r="G42" i="31"/>
  <c r="H42" i="31"/>
  <c r="I42" i="31"/>
  <c r="J42" i="31"/>
  <c r="K42" i="31"/>
  <c r="B43" i="31"/>
  <c r="C43" i="31"/>
  <c r="D43" i="31"/>
  <c r="E43" i="31"/>
  <c r="F43" i="31"/>
  <c r="G43" i="31"/>
  <c r="H43" i="31"/>
  <c r="I43" i="31"/>
  <c r="J43" i="31"/>
  <c r="K43" i="31"/>
  <c r="B44" i="31"/>
  <c r="C44" i="31"/>
  <c r="D44" i="31"/>
  <c r="E44" i="31"/>
  <c r="F44" i="31"/>
  <c r="G44" i="31"/>
  <c r="H44" i="31"/>
  <c r="I44" i="31"/>
  <c r="J44" i="31"/>
  <c r="K44" i="31"/>
  <c r="B45" i="31"/>
  <c r="C45" i="31"/>
  <c r="D45" i="31"/>
  <c r="E45" i="31"/>
  <c r="F45" i="31"/>
  <c r="G45" i="31"/>
  <c r="H45" i="31"/>
  <c r="I45" i="31"/>
  <c r="J45" i="31"/>
  <c r="K45" i="31"/>
  <c r="B46" i="31"/>
  <c r="C46" i="31"/>
  <c r="D46" i="31"/>
  <c r="E46" i="31"/>
  <c r="F46" i="31"/>
  <c r="G46" i="31"/>
  <c r="H46" i="31"/>
  <c r="I46" i="31"/>
  <c r="J46" i="31"/>
  <c r="K46" i="31"/>
  <c r="B47" i="31"/>
  <c r="C47" i="31"/>
  <c r="D47" i="31"/>
  <c r="E47" i="31"/>
  <c r="F47" i="31"/>
  <c r="G47" i="31"/>
  <c r="H47" i="31"/>
  <c r="I47" i="31"/>
  <c r="J47" i="31"/>
  <c r="K47" i="31"/>
  <c r="B48" i="31"/>
  <c r="C48" i="31"/>
  <c r="D48" i="31"/>
  <c r="E48" i="31"/>
  <c r="F48" i="31"/>
  <c r="G48" i="31"/>
  <c r="H48" i="31"/>
  <c r="I48" i="31"/>
  <c r="J48" i="31"/>
  <c r="K48" i="31"/>
  <c r="B49" i="31"/>
  <c r="C49" i="31"/>
  <c r="D49" i="31"/>
  <c r="E49" i="31"/>
  <c r="F49" i="31"/>
  <c r="G49" i="31"/>
  <c r="H49" i="31"/>
  <c r="I49" i="31"/>
  <c r="J49" i="31"/>
  <c r="K49" i="31"/>
  <c r="B50" i="31"/>
  <c r="C50" i="31"/>
  <c r="D50" i="31"/>
  <c r="E50" i="31"/>
  <c r="F50" i="31"/>
  <c r="G50" i="31"/>
  <c r="H50" i="31"/>
  <c r="I50" i="31"/>
  <c r="J50" i="31"/>
  <c r="K50" i="31"/>
  <c r="B51" i="31"/>
  <c r="C51" i="31"/>
  <c r="D51" i="31"/>
  <c r="E51" i="31"/>
  <c r="F51" i="31"/>
  <c r="G51" i="31"/>
  <c r="H51" i="31"/>
  <c r="I51" i="31"/>
  <c r="J51" i="31"/>
  <c r="K51" i="31"/>
  <c r="B52" i="31"/>
  <c r="C52" i="31"/>
  <c r="D52" i="31"/>
  <c r="E52" i="31"/>
  <c r="F52" i="31"/>
  <c r="G52" i="31"/>
  <c r="H52" i="31"/>
  <c r="I52" i="31"/>
  <c r="J52" i="31"/>
  <c r="K52" i="31"/>
  <c r="B53" i="31"/>
  <c r="C53" i="31"/>
  <c r="D53" i="31"/>
  <c r="E53" i="31"/>
  <c r="F53" i="31"/>
  <c r="G53" i="31"/>
  <c r="H53" i="31"/>
  <c r="I53" i="31"/>
  <c r="J53" i="31"/>
  <c r="K53" i="31"/>
  <c r="B54" i="31"/>
  <c r="C54" i="31"/>
  <c r="D54" i="31"/>
  <c r="E54" i="31"/>
  <c r="F54" i="31"/>
  <c r="G54" i="31"/>
  <c r="H54" i="31"/>
  <c r="I54" i="31"/>
  <c r="J54" i="31"/>
  <c r="K54" i="31"/>
  <c r="B55" i="31"/>
  <c r="C55" i="31"/>
  <c r="D55" i="31"/>
  <c r="E55" i="31"/>
  <c r="F55" i="31"/>
  <c r="G55" i="31"/>
  <c r="H55" i="31"/>
  <c r="I55" i="31"/>
  <c r="J55" i="31"/>
  <c r="K55" i="31"/>
  <c r="B56" i="31"/>
  <c r="C56" i="31"/>
  <c r="D56" i="31"/>
  <c r="E56" i="31"/>
  <c r="F56" i="31"/>
  <c r="G56" i="31"/>
  <c r="H56" i="31"/>
  <c r="I56" i="31"/>
  <c r="J56" i="31"/>
  <c r="K56" i="31"/>
  <c r="B57" i="31"/>
  <c r="C57" i="31"/>
  <c r="D57" i="31"/>
  <c r="E57" i="31"/>
  <c r="F57" i="31"/>
  <c r="G57" i="31"/>
  <c r="H57" i="31"/>
  <c r="I57" i="31"/>
  <c r="J57" i="31"/>
  <c r="K57" i="31"/>
  <c r="B58" i="31"/>
  <c r="C58" i="31"/>
  <c r="D58" i="31"/>
  <c r="E58" i="31"/>
  <c r="F58" i="31"/>
  <c r="G58" i="31"/>
  <c r="H58" i="31"/>
  <c r="I58" i="31"/>
  <c r="J58" i="31"/>
  <c r="K58" i="31"/>
  <c r="B59" i="31"/>
  <c r="C59" i="31"/>
  <c r="D59" i="31"/>
  <c r="E59" i="31"/>
  <c r="F59" i="31"/>
  <c r="G59" i="31"/>
  <c r="H59" i="31"/>
  <c r="I59" i="31"/>
  <c r="J59" i="31"/>
  <c r="K59" i="31"/>
  <c r="B60" i="31"/>
  <c r="C60" i="31"/>
  <c r="D60" i="31"/>
  <c r="E60" i="31"/>
  <c r="F60" i="31"/>
  <c r="G60" i="31"/>
  <c r="H60" i="31"/>
  <c r="I60" i="31"/>
  <c r="J60" i="31"/>
  <c r="K60" i="31"/>
  <c r="B61" i="31"/>
  <c r="C61" i="31"/>
  <c r="D61" i="31"/>
  <c r="E61" i="31"/>
  <c r="F61" i="31"/>
  <c r="G61" i="31"/>
  <c r="H61" i="31"/>
  <c r="I61" i="31"/>
  <c r="J61" i="31"/>
  <c r="K61" i="31"/>
  <c r="B62" i="31"/>
  <c r="C62" i="31"/>
  <c r="D62" i="31"/>
  <c r="E62" i="31"/>
  <c r="F62" i="31"/>
  <c r="G62" i="31"/>
  <c r="H62" i="31"/>
  <c r="I62" i="31"/>
  <c r="J62" i="31"/>
  <c r="K62" i="31"/>
  <c r="B63" i="31"/>
  <c r="C63" i="31"/>
  <c r="D63" i="31"/>
  <c r="E63" i="31"/>
  <c r="F63" i="31"/>
  <c r="G63" i="31"/>
  <c r="H63" i="31"/>
  <c r="I63" i="31"/>
  <c r="J63" i="31"/>
  <c r="K63" i="31"/>
  <c r="B64" i="31"/>
  <c r="C64" i="31"/>
  <c r="D64" i="31"/>
  <c r="E64" i="31"/>
  <c r="F64" i="31"/>
  <c r="G64" i="31"/>
  <c r="H64" i="31"/>
  <c r="I64" i="31"/>
  <c r="J64" i="31"/>
  <c r="K64" i="31"/>
  <c r="B65" i="31"/>
  <c r="C65" i="31"/>
  <c r="D65" i="31"/>
  <c r="E65" i="31"/>
  <c r="F65" i="31"/>
  <c r="G65" i="31"/>
  <c r="H65" i="31"/>
  <c r="I65" i="31"/>
  <c r="J65" i="31"/>
  <c r="K65" i="31"/>
  <c r="B66" i="31"/>
  <c r="C66" i="31"/>
  <c r="D66" i="31"/>
  <c r="E66" i="31"/>
  <c r="F66" i="31"/>
  <c r="G66" i="31"/>
  <c r="H66" i="31"/>
  <c r="I66" i="31"/>
  <c r="J66" i="31"/>
  <c r="K66" i="31"/>
  <c r="B67" i="31"/>
  <c r="C67" i="31"/>
  <c r="D67" i="31"/>
  <c r="E67" i="31"/>
  <c r="F67" i="31"/>
  <c r="G67" i="31"/>
  <c r="H67" i="31"/>
  <c r="I67" i="31"/>
  <c r="J67" i="31"/>
  <c r="K67" i="31"/>
  <c r="B68" i="31"/>
  <c r="C68" i="31"/>
  <c r="D68" i="31"/>
  <c r="E68" i="31"/>
  <c r="F68" i="31"/>
  <c r="G68" i="31"/>
  <c r="H68" i="31"/>
  <c r="I68" i="31"/>
  <c r="J68" i="31"/>
  <c r="K68" i="31"/>
  <c r="B69" i="31"/>
  <c r="C69" i="31"/>
  <c r="D69" i="31"/>
  <c r="E69" i="31"/>
  <c r="F69" i="31"/>
  <c r="G69" i="31"/>
  <c r="H69" i="31"/>
  <c r="I69" i="31"/>
  <c r="J69" i="31"/>
  <c r="K69" i="31"/>
  <c r="O4" i="31"/>
  <c r="P4" i="31"/>
  <c r="Q4" i="31"/>
  <c r="R4" i="31"/>
  <c r="S4" i="31"/>
  <c r="T4" i="31"/>
  <c r="U4" i="31"/>
  <c r="V4" i="31"/>
  <c r="W4" i="31"/>
  <c r="X4" i="31"/>
  <c r="O5" i="31"/>
  <c r="P5" i="31"/>
  <c r="Q5" i="31"/>
  <c r="R5" i="31"/>
  <c r="S5" i="31"/>
  <c r="T5" i="31"/>
  <c r="U5" i="31"/>
  <c r="V5" i="31"/>
  <c r="W5" i="31"/>
  <c r="X5" i="31"/>
  <c r="O6" i="31"/>
  <c r="P6" i="31"/>
  <c r="Q6" i="31"/>
  <c r="R6" i="31"/>
  <c r="S6" i="31"/>
  <c r="T6" i="31"/>
  <c r="U6" i="31"/>
  <c r="V6" i="31"/>
  <c r="W6" i="31"/>
  <c r="X6" i="31"/>
  <c r="O7" i="31"/>
  <c r="P7" i="31"/>
  <c r="Q7" i="31"/>
  <c r="R7" i="31"/>
  <c r="S7" i="31"/>
  <c r="T7" i="31"/>
  <c r="U7" i="31"/>
  <c r="V7" i="31"/>
  <c r="W7" i="31"/>
  <c r="X7" i="31"/>
  <c r="O8" i="31"/>
  <c r="P8" i="31"/>
  <c r="Q8" i="31"/>
  <c r="R8" i="31"/>
  <c r="S8" i="31"/>
  <c r="T8" i="31"/>
  <c r="U8" i="31"/>
  <c r="V8" i="31"/>
  <c r="W8" i="31"/>
  <c r="X8" i="31"/>
  <c r="O9" i="31"/>
  <c r="P9" i="31"/>
  <c r="Q9" i="31"/>
  <c r="R9" i="31"/>
  <c r="S9" i="31"/>
  <c r="T9" i="31"/>
  <c r="U9" i="31"/>
  <c r="V9" i="31"/>
  <c r="W9" i="31"/>
  <c r="X9" i="31"/>
  <c r="O10" i="31"/>
  <c r="P10" i="31"/>
  <c r="Q10" i="31"/>
  <c r="R10" i="31"/>
  <c r="S10" i="31"/>
  <c r="T10" i="31"/>
  <c r="U10" i="31"/>
  <c r="V10" i="31"/>
  <c r="W10" i="31"/>
  <c r="X10" i="31"/>
  <c r="O11" i="31"/>
  <c r="P11" i="31"/>
  <c r="Q11" i="31"/>
  <c r="R11" i="31"/>
  <c r="S11" i="31"/>
  <c r="T11" i="31"/>
  <c r="U11" i="31"/>
  <c r="V11" i="31"/>
  <c r="W11" i="31"/>
  <c r="X11" i="31"/>
  <c r="O12" i="31"/>
  <c r="P12" i="31"/>
  <c r="Q12" i="31"/>
  <c r="R12" i="31"/>
  <c r="S12" i="31"/>
  <c r="T12" i="31"/>
  <c r="U12" i="31"/>
  <c r="V12" i="31"/>
  <c r="W12" i="31"/>
  <c r="X12" i="31"/>
  <c r="O13" i="31"/>
  <c r="P13" i="31"/>
  <c r="Q13" i="31"/>
  <c r="R13" i="31"/>
  <c r="S13" i="31"/>
  <c r="T13" i="31"/>
  <c r="U13" i="31"/>
  <c r="V13" i="31"/>
  <c r="W13" i="31"/>
  <c r="X13" i="31"/>
  <c r="O14" i="31"/>
  <c r="P14" i="31"/>
  <c r="Q14" i="31"/>
  <c r="R14" i="31"/>
  <c r="S14" i="31"/>
  <c r="T14" i="31"/>
  <c r="U14" i="31"/>
  <c r="V14" i="31"/>
  <c r="W14" i="31"/>
  <c r="X14" i="31"/>
  <c r="O15" i="31"/>
  <c r="P15" i="31"/>
  <c r="Q15" i="31"/>
  <c r="R15" i="31"/>
  <c r="S15" i="31"/>
  <c r="T15" i="31"/>
  <c r="U15" i="31"/>
  <c r="V15" i="31"/>
  <c r="W15" i="31"/>
  <c r="X15" i="31"/>
  <c r="O16" i="31"/>
  <c r="P16" i="31"/>
  <c r="Q16" i="31"/>
  <c r="R16" i="31"/>
  <c r="S16" i="31"/>
  <c r="T16" i="31"/>
  <c r="U16" i="31"/>
  <c r="V16" i="31"/>
  <c r="W16" i="31"/>
  <c r="X16" i="31"/>
  <c r="O17" i="31"/>
  <c r="P17" i="31"/>
  <c r="Q17" i="31"/>
  <c r="R17" i="31"/>
  <c r="S17" i="31"/>
  <c r="T17" i="31"/>
  <c r="U17" i="31"/>
  <c r="V17" i="31"/>
  <c r="W17" i="31"/>
  <c r="X17" i="31"/>
  <c r="O18" i="31"/>
  <c r="P18" i="31"/>
  <c r="Q18" i="31"/>
  <c r="R18" i="31"/>
  <c r="S18" i="31"/>
  <c r="T18" i="31"/>
  <c r="U18" i="31"/>
  <c r="V18" i="31"/>
  <c r="W18" i="31"/>
  <c r="X18" i="31"/>
  <c r="O19" i="31"/>
  <c r="P19" i="31"/>
  <c r="Q19" i="31"/>
  <c r="R19" i="31"/>
  <c r="S19" i="31"/>
  <c r="T19" i="31"/>
  <c r="U19" i="31"/>
  <c r="V19" i="31"/>
  <c r="W19" i="31"/>
  <c r="X19" i="31"/>
  <c r="O20" i="31"/>
  <c r="P20" i="31"/>
  <c r="Q20" i="31"/>
  <c r="R20" i="31"/>
  <c r="S20" i="31"/>
  <c r="T20" i="31"/>
  <c r="U20" i="31"/>
  <c r="V20" i="31"/>
  <c r="W20" i="31"/>
  <c r="X20" i="31"/>
  <c r="O21" i="31"/>
  <c r="P21" i="31"/>
  <c r="Q21" i="31"/>
  <c r="R21" i="31"/>
  <c r="S21" i="31"/>
  <c r="T21" i="31"/>
  <c r="U21" i="31"/>
  <c r="V21" i="31"/>
  <c r="W21" i="31"/>
  <c r="X21" i="31"/>
  <c r="O22" i="31"/>
  <c r="P22" i="31"/>
  <c r="Q22" i="31"/>
  <c r="R22" i="31"/>
  <c r="S22" i="31"/>
  <c r="T22" i="31"/>
  <c r="U22" i="31"/>
  <c r="V22" i="31"/>
  <c r="W22" i="31"/>
  <c r="X22" i="31"/>
  <c r="O23" i="31"/>
  <c r="P23" i="31"/>
  <c r="Q23" i="31"/>
  <c r="R23" i="31"/>
  <c r="S23" i="31"/>
  <c r="T23" i="31"/>
  <c r="U23" i="31"/>
  <c r="V23" i="31"/>
  <c r="W23" i="31"/>
  <c r="X23" i="31"/>
  <c r="O24" i="31"/>
  <c r="P24" i="31"/>
  <c r="Q24" i="31"/>
  <c r="R24" i="31"/>
  <c r="S24" i="31"/>
  <c r="T24" i="31"/>
  <c r="U24" i="31"/>
  <c r="V24" i="31"/>
  <c r="W24" i="31"/>
  <c r="X24" i="31"/>
  <c r="O25" i="31"/>
  <c r="P25" i="31"/>
  <c r="Q25" i="31"/>
  <c r="R25" i="31"/>
  <c r="S25" i="31"/>
  <c r="T25" i="31"/>
  <c r="U25" i="31"/>
  <c r="V25" i="31"/>
  <c r="W25" i="31"/>
  <c r="X25" i="31"/>
  <c r="O26" i="31"/>
  <c r="P26" i="31"/>
  <c r="Q26" i="31"/>
  <c r="R26" i="31"/>
  <c r="S26" i="31"/>
  <c r="T26" i="31"/>
  <c r="U26" i="31"/>
  <c r="V26" i="31"/>
  <c r="W26" i="31"/>
  <c r="X26" i="31"/>
  <c r="O27" i="31"/>
  <c r="P27" i="31"/>
  <c r="Q27" i="31"/>
  <c r="R27" i="31"/>
  <c r="S27" i="31"/>
  <c r="T27" i="31"/>
  <c r="U27" i="31"/>
  <c r="V27" i="31"/>
  <c r="W27" i="31"/>
  <c r="X27" i="31"/>
  <c r="O28" i="31"/>
  <c r="P28" i="31"/>
  <c r="Q28" i="31"/>
  <c r="R28" i="31"/>
  <c r="S28" i="31"/>
  <c r="T28" i="31"/>
  <c r="U28" i="31"/>
  <c r="V28" i="31"/>
  <c r="W28" i="31"/>
  <c r="X28" i="31"/>
  <c r="O29" i="31"/>
  <c r="P29" i="31"/>
  <c r="Q29" i="31"/>
  <c r="R29" i="31"/>
  <c r="S29" i="31"/>
  <c r="T29" i="31"/>
  <c r="U29" i="31"/>
  <c r="V29" i="31"/>
  <c r="W29" i="31"/>
  <c r="X29" i="31"/>
  <c r="O30" i="31"/>
  <c r="P30" i="31"/>
  <c r="Q30" i="31"/>
  <c r="R30" i="31"/>
  <c r="S30" i="31"/>
  <c r="T30" i="31"/>
  <c r="U30" i="31"/>
  <c r="V30" i="31"/>
  <c r="W30" i="31"/>
  <c r="X30" i="31"/>
  <c r="O31" i="31"/>
  <c r="P31" i="31"/>
  <c r="Q31" i="31"/>
  <c r="R31" i="31"/>
  <c r="S31" i="31"/>
  <c r="T31" i="31"/>
  <c r="U31" i="31"/>
  <c r="V31" i="31"/>
  <c r="W31" i="31"/>
  <c r="X31" i="31"/>
  <c r="O32" i="31"/>
  <c r="P32" i="31"/>
  <c r="Q32" i="31"/>
  <c r="R32" i="31"/>
  <c r="S32" i="31"/>
  <c r="T32" i="31"/>
  <c r="U32" i="31"/>
  <c r="V32" i="31"/>
  <c r="W32" i="31"/>
  <c r="X32" i="31"/>
  <c r="O33" i="31"/>
  <c r="P33" i="31"/>
  <c r="Q33" i="31"/>
  <c r="R33" i="31"/>
  <c r="S33" i="31"/>
  <c r="T33" i="31"/>
  <c r="U33" i="31"/>
  <c r="V33" i="31"/>
  <c r="W33" i="31"/>
  <c r="X33" i="31"/>
  <c r="O34" i="31"/>
  <c r="P34" i="31"/>
  <c r="Q34" i="31"/>
  <c r="R34" i="31"/>
  <c r="S34" i="31"/>
  <c r="T34" i="31"/>
  <c r="U34" i="31"/>
  <c r="V34" i="31"/>
  <c r="W34" i="31"/>
  <c r="X34" i="31"/>
  <c r="O35" i="31"/>
  <c r="P35" i="31"/>
  <c r="Q35" i="31"/>
  <c r="R35" i="31"/>
  <c r="S35" i="31"/>
  <c r="T35" i="31"/>
  <c r="U35" i="31"/>
  <c r="V35" i="31"/>
  <c r="W35" i="31"/>
  <c r="X35" i="31"/>
  <c r="O36" i="31"/>
  <c r="P36" i="31"/>
  <c r="Q36" i="31"/>
  <c r="R36" i="31"/>
  <c r="S36" i="31"/>
  <c r="T36" i="31"/>
  <c r="U36" i="31"/>
  <c r="V36" i="31"/>
  <c r="W36" i="31"/>
  <c r="X36" i="31"/>
  <c r="O37" i="31"/>
  <c r="P37" i="31"/>
  <c r="Q37" i="31"/>
  <c r="R37" i="31"/>
  <c r="S37" i="31"/>
  <c r="T37" i="31"/>
  <c r="U37" i="31"/>
  <c r="V37" i="31"/>
  <c r="W37" i="31"/>
  <c r="X37" i="31"/>
  <c r="O38" i="31"/>
  <c r="P38" i="31"/>
  <c r="Q38" i="31"/>
  <c r="R38" i="31"/>
  <c r="S38" i="31"/>
  <c r="T38" i="31"/>
  <c r="U38" i="31"/>
  <c r="V38" i="31"/>
  <c r="W38" i="31"/>
  <c r="X38" i="31"/>
  <c r="O39" i="31"/>
  <c r="P39" i="31"/>
  <c r="Q39" i="31"/>
  <c r="R39" i="31"/>
  <c r="S39" i="31"/>
  <c r="T39" i="31"/>
  <c r="U39" i="31"/>
  <c r="V39" i="31"/>
  <c r="W39" i="31"/>
  <c r="X39" i="31"/>
  <c r="O40" i="31"/>
  <c r="P40" i="31"/>
  <c r="Q40" i="31"/>
  <c r="R40" i="31"/>
  <c r="S40" i="31"/>
  <c r="T40" i="31"/>
  <c r="U40" i="31"/>
  <c r="V40" i="31"/>
  <c r="W40" i="31"/>
  <c r="X40" i="31"/>
  <c r="O41" i="31"/>
  <c r="P41" i="31"/>
  <c r="Q41" i="31"/>
  <c r="R41" i="31"/>
  <c r="S41" i="31"/>
  <c r="T41" i="31"/>
  <c r="U41" i="31"/>
  <c r="V41" i="31"/>
  <c r="W41" i="31"/>
  <c r="X41" i="31"/>
  <c r="O42" i="31"/>
  <c r="P42" i="31"/>
  <c r="Q42" i="31"/>
  <c r="R42" i="31"/>
  <c r="S42" i="31"/>
  <c r="T42" i="31"/>
  <c r="U42" i="31"/>
  <c r="V42" i="31"/>
  <c r="W42" i="31"/>
  <c r="X42" i="31"/>
  <c r="O43" i="31"/>
  <c r="P43" i="31"/>
  <c r="Q43" i="31"/>
  <c r="R43" i="31"/>
  <c r="S43" i="31"/>
  <c r="T43" i="31"/>
  <c r="U43" i="31"/>
  <c r="V43" i="31"/>
  <c r="W43" i="31"/>
  <c r="X43" i="31"/>
  <c r="O44" i="31"/>
  <c r="P44" i="31"/>
  <c r="Q44" i="31"/>
  <c r="R44" i="31"/>
  <c r="S44" i="31"/>
  <c r="T44" i="31"/>
  <c r="U44" i="31"/>
  <c r="V44" i="31"/>
  <c r="W44" i="31"/>
  <c r="X44" i="31"/>
  <c r="O45" i="31"/>
  <c r="P45" i="31"/>
  <c r="Q45" i="31"/>
  <c r="R45" i="31"/>
  <c r="S45" i="31"/>
  <c r="T45" i="31"/>
  <c r="U45" i="31"/>
  <c r="V45" i="31"/>
  <c r="W45" i="31"/>
  <c r="X45" i="31"/>
  <c r="O46" i="31"/>
  <c r="P46" i="31"/>
  <c r="Q46" i="31"/>
  <c r="R46" i="31"/>
  <c r="S46" i="31"/>
  <c r="T46" i="31"/>
  <c r="U46" i="31"/>
  <c r="V46" i="31"/>
  <c r="W46" i="31"/>
  <c r="X46" i="31"/>
  <c r="O47" i="31"/>
  <c r="P47" i="31"/>
  <c r="Q47" i="31"/>
  <c r="R47" i="31"/>
  <c r="S47" i="31"/>
  <c r="T47" i="31"/>
  <c r="U47" i="31"/>
  <c r="V47" i="31"/>
  <c r="W47" i="31"/>
  <c r="X47" i="31"/>
  <c r="O48" i="31"/>
  <c r="P48" i="31"/>
  <c r="Q48" i="31"/>
  <c r="R48" i="31"/>
  <c r="S48" i="31"/>
  <c r="T48" i="31"/>
  <c r="U48" i="31"/>
  <c r="V48" i="31"/>
  <c r="W48" i="31"/>
  <c r="X48" i="31"/>
  <c r="O49" i="31"/>
  <c r="P49" i="31"/>
  <c r="Q49" i="31"/>
  <c r="R49" i="31"/>
  <c r="S49" i="31"/>
  <c r="T49" i="31"/>
  <c r="U49" i="31"/>
  <c r="V49" i="31"/>
  <c r="W49" i="31"/>
  <c r="X49" i="31"/>
  <c r="O50" i="31"/>
  <c r="P50" i="31"/>
  <c r="Q50" i="31"/>
  <c r="R50" i="31"/>
  <c r="S50" i="31"/>
  <c r="T50" i="31"/>
  <c r="U50" i="31"/>
  <c r="V50" i="31"/>
  <c r="W50" i="31"/>
  <c r="X50" i="31"/>
  <c r="O51" i="31"/>
  <c r="P51" i="31"/>
  <c r="Q51" i="31"/>
  <c r="R51" i="31"/>
  <c r="S51" i="31"/>
  <c r="T51" i="31"/>
  <c r="U51" i="31"/>
  <c r="V51" i="31"/>
  <c r="W51" i="31"/>
  <c r="X51" i="31"/>
  <c r="O52" i="31"/>
  <c r="P52" i="31"/>
  <c r="Q52" i="31"/>
  <c r="R52" i="31"/>
  <c r="S52" i="31"/>
  <c r="T52" i="31"/>
  <c r="U52" i="31"/>
  <c r="V52" i="31"/>
  <c r="W52" i="31"/>
  <c r="X52" i="31"/>
  <c r="O53" i="31"/>
  <c r="P53" i="31"/>
  <c r="Q53" i="31"/>
  <c r="R53" i="31"/>
  <c r="S53" i="31"/>
  <c r="T53" i="31"/>
  <c r="U53" i="31"/>
  <c r="V53" i="31"/>
  <c r="W53" i="31"/>
  <c r="X53" i="31"/>
  <c r="O54" i="31"/>
  <c r="P54" i="31"/>
  <c r="Q54" i="31"/>
  <c r="R54" i="31"/>
  <c r="S54" i="31"/>
  <c r="T54" i="31"/>
  <c r="U54" i="31"/>
  <c r="V54" i="31"/>
  <c r="W54" i="31"/>
  <c r="X54" i="31"/>
  <c r="O55" i="31"/>
  <c r="P55" i="31"/>
  <c r="Q55" i="31"/>
  <c r="R55" i="31"/>
  <c r="S55" i="31"/>
  <c r="T55" i="31"/>
  <c r="U55" i="31"/>
  <c r="V55" i="31"/>
  <c r="W55" i="31"/>
  <c r="X55" i="31"/>
  <c r="O56" i="31"/>
  <c r="P56" i="31"/>
  <c r="Q56" i="31"/>
  <c r="R56" i="31"/>
  <c r="S56" i="31"/>
  <c r="T56" i="31"/>
  <c r="U56" i="31"/>
  <c r="V56" i="31"/>
  <c r="W56" i="31"/>
  <c r="X56" i="31"/>
  <c r="O57" i="31"/>
  <c r="P57" i="31"/>
  <c r="Q57" i="31"/>
  <c r="R57" i="31"/>
  <c r="S57" i="31"/>
  <c r="T57" i="31"/>
  <c r="U57" i="31"/>
  <c r="V57" i="31"/>
  <c r="W57" i="31"/>
  <c r="X57" i="31"/>
  <c r="O58" i="31"/>
  <c r="P58" i="31"/>
  <c r="Q58" i="31"/>
  <c r="R58" i="31"/>
  <c r="S58" i="31"/>
  <c r="T58" i="31"/>
  <c r="U58" i="31"/>
  <c r="V58" i="31"/>
  <c r="W58" i="31"/>
  <c r="X58" i="31"/>
  <c r="O59" i="31"/>
  <c r="P59" i="31"/>
  <c r="Q59" i="31"/>
  <c r="R59" i="31"/>
  <c r="S59" i="31"/>
  <c r="T59" i="31"/>
  <c r="U59" i="31"/>
  <c r="V59" i="31"/>
  <c r="W59" i="31"/>
  <c r="X59" i="31"/>
  <c r="O60" i="31"/>
  <c r="P60" i="31"/>
  <c r="Q60" i="31"/>
  <c r="R60" i="31"/>
  <c r="S60" i="31"/>
  <c r="T60" i="31"/>
  <c r="U60" i="31"/>
  <c r="V60" i="31"/>
  <c r="W60" i="31"/>
  <c r="X60" i="31"/>
  <c r="O61" i="31"/>
  <c r="P61" i="31"/>
  <c r="Q61" i="31"/>
  <c r="R61" i="31"/>
  <c r="S61" i="31"/>
  <c r="T61" i="31"/>
  <c r="U61" i="31"/>
  <c r="V61" i="31"/>
  <c r="W61" i="31"/>
  <c r="X61" i="31"/>
  <c r="O62" i="31"/>
  <c r="P62" i="31"/>
  <c r="Q62" i="31"/>
  <c r="R62" i="31"/>
  <c r="S62" i="31"/>
  <c r="T62" i="31"/>
  <c r="U62" i="31"/>
  <c r="V62" i="31"/>
  <c r="W62" i="31"/>
  <c r="X62" i="31"/>
  <c r="O63" i="31"/>
  <c r="P63" i="31"/>
  <c r="Q63" i="31"/>
  <c r="R63" i="31"/>
  <c r="S63" i="31"/>
  <c r="T63" i="31"/>
  <c r="U63" i="31"/>
  <c r="V63" i="31"/>
  <c r="W63" i="31"/>
  <c r="X63" i="31"/>
  <c r="O64" i="31"/>
  <c r="P64" i="31"/>
  <c r="Q64" i="31"/>
  <c r="R64" i="31"/>
  <c r="S64" i="31"/>
  <c r="T64" i="31"/>
  <c r="U64" i="31"/>
  <c r="V64" i="31"/>
  <c r="W64" i="31"/>
  <c r="X64" i="31"/>
  <c r="O65" i="31"/>
  <c r="P65" i="31"/>
  <c r="Q65" i="31"/>
  <c r="R65" i="31"/>
  <c r="S65" i="31"/>
  <c r="T65" i="31"/>
  <c r="U65" i="31"/>
  <c r="V65" i="31"/>
  <c r="W65" i="31"/>
  <c r="X65" i="31"/>
  <c r="O66" i="31"/>
  <c r="P66" i="31"/>
  <c r="Q66" i="31"/>
  <c r="R66" i="31"/>
  <c r="S66" i="31"/>
  <c r="T66" i="31"/>
  <c r="U66" i="31"/>
  <c r="V66" i="31"/>
  <c r="W66" i="31"/>
  <c r="X66" i="31"/>
  <c r="O67" i="31"/>
  <c r="P67" i="31"/>
  <c r="Q67" i="31"/>
  <c r="R67" i="31"/>
  <c r="S67" i="31"/>
  <c r="T67" i="31"/>
  <c r="U67" i="31"/>
  <c r="V67" i="31"/>
  <c r="W67" i="31"/>
  <c r="X67" i="31"/>
  <c r="O68" i="31"/>
  <c r="P68" i="31"/>
  <c r="Q68" i="31"/>
  <c r="R68" i="31"/>
  <c r="S68" i="31"/>
  <c r="T68" i="31"/>
  <c r="U68" i="31"/>
  <c r="V68" i="31"/>
  <c r="W68" i="31"/>
  <c r="X68" i="31"/>
  <c r="O69" i="31"/>
  <c r="P69" i="31"/>
  <c r="Q69" i="31"/>
  <c r="R69" i="31"/>
  <c r="S69" i="31"/>
  <c r="T69" i="31"/>
  <c r="U69" i="31"/>
  <c r="V69" i="31"/>
  <c r="W69" i="31"/>
  <c r="X69" i="31"/>
  <c r="O70" i="31"/>
  <c r="P70" i="31"/>
  <c r="Q70" i="31"/>
  <c r="R70" i="31"/>
  <c r="S70" i="31"/>
  <c r="T70" i="31"/>
  <c r="U70" i="31"/>
  <c r="V70" i="31"/>
  <c r="W70" i="31"/>
  <c r="X70" i="31"/>
  <c r="O71" i="31"/>
  <c r="P71" i="31"/>
  <c r="Q71" i="31"/>
  <c r="R71" i="31"/>
  <c r="S71" i="31"/>
  <c r="T71" i="31"/>
  <c r="U71" i="31"/>
  <c r="V71" i="31"/>
  <c r="W71" i="31"/>
  <c r="X71" i="31"/>
  <c r="O72" i="31"/>
  <c r="P72" i="31"/>
  <c r="Q72" i="31"/>
  <c r="R72" i="31"/>
  <c r="S72" i="31"/>
  <c r="T72" i="31"/>
  <c r="U72" i="31"/>
  <c r="V72" i="31"/>
  <c r="W72" i="31"/>
  <c r="X72" i="31"/>
  <c r="O73" i="31"/>
  <c r="P73" i="31"/>
  <c r="Q73" i="31"/>
  <c r="R73" i="31"/>
  <c r="S73" i="31"/>
  <c r="T73" i="31"/>
  <c r="U73" i="31"/>
  <c r="V73" i="31"/>
  <c r="W73" i="31"/>
  <c r="X73" i="31"/>
  <c r="O74" i="31"/>
  <c r="P74" i="31"/>
  <c r="Q74" i="31"/>
  <c r="R74" i="31"/>
  <c r="S74" i="31"/>
  <c r="T74" i="31"/>
  <c r="U74" i="31"/>
  <c r="V74" i="31"/>
  <c r="W74" i="31"/>
  <c r="X74" i="31"/>
  <c r="O75" i="31"/>
  <c r="P75" i="31"/>
  <c r="Q75" i="31"/>
  <c r="R75" i="31"/>
  <c r="S75" i="31"/>
  <c r="T75" i="31"/>
  <c r="U75" i="31"/>
  <c r="V75" i="31"/>
  <c r="W75" i="31"/>
  <c r="X75" i="31"/>
  <c r="O76" i="31"/>
  <c r="P76" i="31"/>
  <c r="Q76" i="31"/>
  <c r="R76" i="31"/>
  <c r="S76" i="31"/>
  <c r="T76" i="31"/>
  <c r="U76" i="31"/>
  <c r="V76" i="31"/>
  <c r="W76" i="31"/>
  <c r="X76" i="31"/>
  <c r="O77" i="31"/>
  <c r="P77" i="31"/>
  <c r="Q77" i="31"/>
  <c r="R77" i="31"/>
  <c r="S77" i="31"/>
  <c r="T77" i="31"/>
  <c r="U77" i="31"/>
  <c r="V77" i="31"/>
  <c r="W77" i="31"/>
  <c r="X77" i="31"/>
  <c r="O78" i="31"/>
  <c r="P78" i="31"/>
  <c r="Q78" i="31"/>
  <c r="R78" i="31"/>
  <c r="S78" i="31"/>
  <c r="T78" i="31"/>
  <c r="U78" i="31"/>
  <c r="V78" i="31"/>
  <c r="W78" i="31"/>
  <c r="X78" i="31"/>
  <c r="O79" i="31"/>
  <c r="P79" i="31"/>
  <c r="Q79" i="31"/>
  <c r="R79" i="31"/>
  <c r="S79" i="31"/>
  <c r="T79" i="31"/>
  <c r="U79" i="31"/>
  <c r="V79" i="31"/>
  <c r="W79" i="31"/>
  <c r="X79" i="31"/>
  <c r="O80" i="31"/>
  <c r="P80" i="31"/>
  <c r="Q80" i="31"/>
  <c r="R80" i="31"/>
  <c r="S80" i="31"/>
  <c r="T80" i="31"/>
  <c r="U80" i="31"/>
  <c r="V80" i="31"/>
  <c r="W80" i="31"/>
  <c r="X80" i="31"/>
  <c r="O81" i="31"/>
  <c r="P81" i="31"/>
  <c r="Q81" i="31"/>
  <c r="R81" i="31"/>
  <c r="S81" i="31"/>
  <c r="T81" i="31"/>
  <c r="U81" i="31"/>
  <c r="V81" i="31"/>
  <c r="W81" i="31"/>
  <c r="X81" i="31"/>
  <c r="O82" i="31"/>
  <c r="P82" i="31"/>
  <c r="Q82" i="31"/>
  <c r="R82" i="31"/>
  <c r="S82" i="31"/>
  <c r="T82" i="31"/>
  <c r="U82" i="31"/>
  <c r="V82" i="31"/>
  <c r="W82" i="31"/>
  <c r="X82" i="31"/>
  <c r="O83" i="31"/>
  <c r="P83" i="31"/>
  <c r="Q83" i="31"/>
  <c r="R83" i="31"/>
  <c r="S83" i="31"/>
  <c r="T83" i="31"/>
  <c r="U83" i="31"/>
  <c r="V83" i="31"/>
  <c r="W83" i="31"/>
  <c r="X83" i="31"/>
  <c r="O84" i="31"/>
  <c r="P84" i="31"/>
  <c r="Q84" i="31"/>
  <c r="R84" i="31"/>
  <c r="S84" i="31"/>
  <c r="T84" i="31"/>
  <c r="U84" i="31"/>
  <c r="V84" i="31"/>
  <c r="W84" i="31"/>
  <c r="X84" i="31"/>
  <c r="O85" i="31"/>
  <c r="P85" i="31"/>
  <c r="Q85" i="31"/>
  <c r="R85" i="31"/>
  <c r="S85" i="31"/>
  <c r="T85" i="31"/>
  <c r="U85" i="31"/>
  <c r="V85" i="31"/>
  <c r="W85" i="31"/>
  <c r="X85" i="31"/>
  <c r="O86" i="31"/>
  <c r="P86" i="31"/>
  <c r="Q86" i="31"/>
  <c r="R86" i="31"/>
  <c r="S86" i="31"/>
  <c r="T86" i="31"/>
  <c r="U86" i="31"/>
  <c r="V86" i="31"/>
  <c r="W86" i="31"/>
  <c r="X86" i="31"/>
  <c r="O87" i="31"/>
  <c r="P87" i="31"/>
  <c r="Q87" i="31"/>
  <c r="R87" i="31"/>
  <c r="S87" i="31"/>
  <c r="T87" i="31"/>
  <c r="U87" i="31"/>
  <c r="V87" i="31"/>
  <c r="W87" i="31"/>
  <c r="X87" i="31"/>
  <c r="O88" i="31"/>
  <c r="P88" i="31"/>
  <c r="Q88" i="31"/>
  <c r="R88" i="31"/>
  <c r="S88" i="31"/>
  <c r="T88" i="31"/>
  <c r="U88" i="31"/>
  <c r="V88" i="31"/>
  <c r="W88" i="31"/>
  <c r="X88" i="31"/>
  <c r="O89" i="31"/>
  <c r="P89" i="31"/>
  <c r="Q89" i="31"/>
  <c r="R89" i="31"/>
  <c r="S89" i="31"/>
  <c r="T89" i="31"/>
  <c r="U89" i="31"/>
  <c r="V89" i="31"/>
  <c r="W89" i="31"/>
  <c r="X89" i="31"/>
  <c r="O90" i="31"/>
  <c r="P90" i="31"/>
  <c r="Q90" i="31"/>
  <c r="R90" i="31"/>
  <c r="S90" i="31"/>
  <c r="T90" i="31"/>
  <c r="U90" i="31"/>
  <c r="V90" i="31"/>
  <c r="W90" i="31"/>
  <c r="X90" i="31"/>
  <c r="O91" i="31"/>
  <c r="P91" i="31"/>
  <c r="Q91" i="31"/>
  <c r="R91" i="31"/>
  <c r="S91" i="31"/>
  <c r="T91" i="31"/>
  <c r="U91" i="31"/>
  <c r="V91" i="31"/>
  <c r="W91" i="31"/>
  <c r="X91" i="31"/>
  <c r="O92" i="31"/>
  <c r="P92" i="31"/>
  <c r="Q92" i="31"/>
  <c r="R92" i="31"/>
  <c r="S92" i="31"/>
  <c r="T92" i="31"/>
  <c r="U92" i="31"/>
  <c r="V92" i="31"/>
  <c r="W92" i="31"/>
  <c r="X92" i="31"/>
  <c r="AB4" i="31"/>
  <c r="AC4" i="31"/>
  <c r="AD4" i="31"/>
  <c r="AE4" i="31"/>
  <c r="AF4" i="31"/>
  <c r="AG4" i="31"/>
  <c r="AH4" i="31"/>
  <c r="AI4" i="31"/>
  <c r="AJ4" i="31"/>
  <c r="AK4" i="31"/>
  <c r="AB5" i="31"/>
  <c r="AC5" i="31"/>
  <c r="AD5" i="31"/>
  <c r="AE5" i="31"/>
  <c r="AF5" i="31"/>
  <c r="AG5" i="31"/>
  <c r="AH5" i="31"/>
  <c r="AI5" i="31"/>
  <c r="AJ5" i="31"/>
  <c r="AK5" i="31"/>
  <c r="AB6" i="31"/>
  <c r="AC6" i="31"/>
  <c r="AD6" i="31"/>
  <c r="AE6" i="31"/>
  <c r="AF6" i="31"/>
  <c r="AG6" i="31"/>
  <c r="AH6" i="31"/>
  <c r="AI6" i="31"/>
  <c r="AJ6" i="31"/>
  <c r="AK6" i="31"/>
  <c r="AB7" i="31"/>
  <c r="AC7" i="31"/>
  <c r="AD7" i="31"/>
  <c r="AE7" i="31"/>
  <c r="AF7" i="31"/>
  <c r="AG7" i="31"/>
  <c r="AH7" i="31"/>
  <c r="AI7" i="31"/>
  <c r="AJ7" i="31"/>
  <c r="AK7" i="31"/>
  <c r="AB8" i="31"/>
  <c r="AC8" i="31"/>
  <c r="AD8" i="31"/>
  <c r="AE8" i="31"/>
  <c r="AF8" i="31"/>
  <c r="AG8" i="31"/>
  <c r="AH8" i="31"/>
  <c r="AI8" i="31"/>
  <c r="AJ8" i="31"/>
  <c r="AK8" i="31"/>
  <c r="AB9" i="31"/>
  <c r="AC9" i="31"/>
  <c r="AD9" i="31"/>
  <c r="AE9" i="31"/>
  <c r="AF9" i="31"/>
  <c r="AG9" i="31"/>
  <c r="AH9" i="31"/>
  <c r="AI9" i="31"/>
  <c r="AJ9" i="31"/>
  <c r="AK9" i="31"/>
  <c r="AB10" i="31"/>
  <c r="AC10" i="31"/>
  <c r="AD10" i="31"/>
  <c r="AE10" i="31"/>
  <c r="AF10" i="31"/>
  <c r="AG10" i="31"/>
  <c r="AH10" i="31"/>
  <c r="AI10" i="31"/>
  <c r="AJ10" i="31"/>
  <c r="AK10" i="31"/>
  <c r="AB11" i="31"/>
  <c r="AC11" i="31"/>
  <c r="AD11" i="31"/>
  <c r="AE11" i="31"/>
  <c r="AF11" i="31"/>
  <c r="AG11" i="31"/>
  <c r="AH11" i="31"/>
  <c r="AI11" i="31"/>
  <c r="AJ11" i="31"/>
  <c r="AK11" i="31"/>
  <c r="AB12" i="31"/>
  <c r="AC12" i="31"/>
  <c r="AD12" i="31"/>
  <c r="AE12" i="31"/>
  <c r="AF12" i="31"/>
  <c r="AG12" i="31"/>
  <c r="AH12" i="31"/>
  <c r="AI12" i="31"/>
  <c r="AJ12" i="31"/>
  <c r="AK12" i="31"/>
  <c r="AB13" i="31"/>
  <c r="AC13" i="31"/>
  <c r="AD13" i="31"/>
  <c r="AE13" i="31"/>
  <c r="AF13" i="31"/>
  <c r="AG13" i="31"/>
  <c r="AH13" i="31"/>
  <c r="AI13" i="31"/>
  <c r="AJ13" i="31"/>
  <c r="AK13" i="31"/>
  <c r="AB14" i="31"/>
  <c r="AC14" i="31"/>
  <c r="AD14" i="31"/>
  <c r="AE14" i="31"/>
  <c r="AF14" i="31"/>
  <c r="AG14" i="31"/>
  <c r="AH14" i="31"/>
  <c r="AI14" i="31"/>
  <c r="AJ14" i="31"/>
  <c r="AK14" i="31"/>
  <c r="AB15" i="31"/>
  <c r="AC15" i="31"/>
  <c r="AD15" i="31"/>
  <c r="AE15" i="31"/>
  <c r="AF15" i="31"/>
  <c r="AG15" i="31"/>
  <c r="AH15" i="31"/>
  <c r="AI15" i="31"/>
  <c r="AJ15" i="31"/>
  <c r="AK15" i="31"/>
  <c r="AB16" i="31"/>
  <c r="AC16" i="31"/>
  <c r="AD16" i="31"/>
  <c r="AE16" i="31"/>
  <c r="AF16" i="31"/>
  <c r="AG16" i="31"/>
  <c r="AH16" i="31"/>
  <c r="AI16" i="31"/>
  <c r="AJ16" i="31"/>
  <c r="AK16" i="31"/>
  <c r="AB17" i="31"/>
  <c r="AC17" i="31"/>
  <c r="AD17" i="31"/>
  <c r="AE17" i="31"/>
  <c r="AF17" i="31"/>
  <c r="AG17" i="31"/>
  <c r="AH17" i="31"/>
  <c r="AI17" i="31"/>
  <c r="AJ17" i="31"/>
  <c r="AK17" i="31"/>
  <c r="AB18" i="31"/>
  <c r="AC18" i="31"/>
  <c r="AD18" i="31"/>
  <c r="AE18" i="31"/>
  <c r="AF18" i="31"/>
  <c r="AG18" i="31"/>
  <c r="AH18" i="31"/>
  <c r="AI18" i="31"/>
  <c r="AJ18" i="31"/>
  <c r="AK18" i="31"/>
  <c r="AB19" i="31"/>
  <c r="AC19" i="31"/>
  <c r="AD19" i="31"/>
  <c r="AE19" i="31"/>
  <c r="AF19" i="31"/>
  <c r="AG19" i="31"/>
  <c r="AH19" i="31"/>
  <c r="AI19" i="31"/>
  <c r="AJ19" i="31"/>
  <c r="AK19" i="31"/>
  <c r="AB20" i="31"/>
  <c r="AC20" i="31"/>
  <c r="AD20" i="31"/>
  <c r="AE20" i="31"/>
  <c r="AF20" i="31"/>
  <c r="AG20" i="31"/>
  <c r="AH20" i="31"/>
  <c r="AI20" i="31"/>
  <c r="AJ20" i="31"/>
  <c r="AK20" i="31"/>
  <c r="AB21" i="31"/>
  <c r="AC21" i="31"/>
  <c r="AD21" i="31"/>
  <c r="AE21" i="31"/>
  <c r="AF21" i="31"/>
  <c r="AG21" i="31"/>
  <c r="AH21" i="31"/>
  <c r="AI21" i="31"/>
  <c r="AJ21" i="31"/>
  <c r="AK21" i="31"/>
  <c r="AB22" i="31"/>
  <c r="AC22" i="31"/>
  <c r="AD22" i="31"/>
  <c r="AE22" i="31"/>
  <c r="AF22" i="31"/>
  <c r="AG22" i="31"/>
  <c r="AH22" i="31"/>
  <c r="AI22" i="31"/>
  <c r="AJ22" i="31"/>
  <c r="AK22" i="31"/>
  <c r="AB23" i="31"/>
  <c r="AC23" i="31"/>
  <c r="AD23" i="31"/>
  <c r="AE23" i="31"/>
  <c r="AF23" i="31"/>
  <c r="AG23" i="31"/>
  <c r="AH23" i="31"/>
  <c r="AI23" i="31"/>
  <c r="AJ23" i="31"/>
  <c r="AK23" i="31"/>
  <c r="AB24" i="31"/>
  <c r="AC24" i="31"/>
  <c r="AD24" i="31"/>
  <c r="AE24" i="31"/>
  <c r="AF24" i="31"/>
  <c r="AG24" i="31"/>
  <c r="AH24" i="31"/>
  <c r="AI24" i="31"/>
  <c r="AJ24" i="31"/>
  <c r="AK24" i="31"/>
  <c r="AB25" i="31"/>
  <c r="AC25" i="31"/>
  <c r="AD25" i="31"/>
  <c r="AE25" i="31"/>
  <c r="AF25" i="31"/>
  <c r="AG25" i="31"/>
  <c r="AH25" i="31"/>
  <c r="AI25" i="31"/>
  <c r="AJ25" i="31"/>
  <c r="AK25" i="31"/>
  <c r="AB26" i="31"/>
  <c r="AC26" i="31"/>
  <c r="AD26" i="31"/>
  <c r="AE26" i="31"/>
  <c r="AF26" i="31"/>
  <c r="AG26" i="31"/>
  <c r="AH26" i="31"/>
  <c r="AI26" i="31"/>
  <c r="AJ26" i="31"/>
  <c r="AK26" i="31"/>
  <c r="AB27" i="31"/>
  <c r="AC27" i="31"/>
  <c r="AD27" i="31"/>
  <c r="AE27" i="31"/>
  <c r="AF27" i="31"/>
  <c r="AG27" i="31"/>
  <c r="AH27" i="31"/>
  <c r="AI27" i="31"/>
  <c r="AJ27" i="31"/>
  <c r="AK27" i="31"/>
  <c r="AB28" i="31"/>
  <c r="AC28" i="31"/>
  <c r="AD28" i="31"/>
  <c r="AE28" i="31"/>
  <c r="AF28" i="31"/>
  <c r="AG28" i="31"/>
  <c r="AH28" i="31"/>
  <c r="AI28" i="31"/>
  <c r="AJ28" i="31"/>
  <c r="AK28" i="31"/>
  <c r="AB29" i="31"/>
  <c r="AC29" i="31"/>
  <c r="AD29" i="31"/>
  <c r="AE29" i="31"/>
  <c r="AF29" i="31"/>
  <c r="AG29" i="31"/>
  <c r="AH29" i="31"/>
  <c r="AI29" i="31"/>
  <c r="AJ29" i="31"/>
  <c r="AK29" i="31"/>
  <c r="AB30" i="31"/>
  <c r="AC30" i="31"/>
  <c r="AD30" i="31"/>
  <c r="AE30" i="31"/>
  <c r="AF30" i="31"/>
  <c r="AG30" i="31"/>
  <c r="AH30" i="31"/>
  <c r="AI30" i="31"/>
  <c r="AJ30" i="31"/>
  <c r="AK30" i="31"/>
  <c r="AB31" i="31"/>
  <c r="AC31" i="31"/>
  <c r="AD31" i="31"/>
  <c r="AE31" i="31"/>
  <c r="AF31" i="31"/>
  <c r="AG31" i="31"/>
  <c r="AH31" i="31"/>
  <c r="AI31" i="31"/>
  <c r="AJ31" i="31"/>
  <c r="AK31" i="31"/>
  <c r="AB32" i="31"/>
  <c r="AC32" i="31"/>
  <c r="AD32" i="31"/>
  <c r="AE32" i="31"/>
  <c r="AF32" i="31"/>
  <c r="AG32" i="31"/>
  <c r="AH32" i="31"/>
  <c r="AI32" i="31"/>
  <c r="AJ32" i="31"/>
  <c r="AK32" i="31"/>
  <c r="AB33" i="31"/>
  <c r="AC33" i="31"/>
  <c r="AD33" i="31"/>
  <c r="AE33" i="31"/>
  <c r="AF33" i="31"/>
  <c r="AG33" i="31"/>
  <c r="AH33" i="31"/>
  <c r="AI33" i="31"/>
  <c r="AJ33" i="31"/>
  <c r="AK33" i="31"/>
  <c r="AB34" i="31"/>
  <c r="AC34" i="31"/>
  <c r="AD34" i="31"/>
  <c r="AE34" i="31"/>
  <c r="AF34" i="31"/>
  <c r="AG34" i="31"/>
  <c r="AH34" i="31"/>
  <c r="AI34" i="31"/>
  <c r="AJ34" i="31"/>
  <c r="AK34" i="31"/>
  <c r="AB35" i="31"/>
  <c r="AC35" i="31"/>
  <c r="AD35" i="31"/>
  <c r="AE35" i="31"/>
  <c r="AF35" i="31"/>
  <c r="AG35" i="31"/>
  <c r="AH35" i="31"/>
  <c r="AI35" i="31"/>
  <c r="AJ35" i="31"/>
  <c r="AK35" i="31"/>
  <c r="AB36" i="31"/>
  <c r="AC36" i="31"/>
  <c r="AD36" i="31"/>
  <c r="AE36" i="31"/>
  <c r="AF36" i="31"/>
  <c r="AG36" i="31"/>
  <c r="AH36" i="31"/>
  <c r="AI36" i="31"/>
  <c r="AJ36" i="31"/>
  <c r="AK36" i="31"/>
  <c r="AB37" i="31"/>
  <c r="AC37" i="31"/>
  <c r="AD37" i="31"/>
  <c r="AE37" i="31"/>
  <c r="AF37" i="31"/>
  <c r="AG37" i="31"/>
  <c r="AH37" i="31"/>
  <c r="AI37" i="31"/>
  <c r="AJ37" i="31"/>
  <c r="AK37" i="31"/>
  <c r="AB38" i="31"/>
  <c r="AC38" i="31"/>
  <c r="AD38" i="31"/>
  <c r="AE38" i="31"/>
  <c r="AF38" i="31"/>
  <c r="AG38" i="31"/>
  <c r="AH38" i="31"/>
  <c r="AI38" i="31"/>
  <c r="AJ38" i="31"/>
  <c r="AK38" i="31"/>
  <c r="AB39" i="31"/>
  <c r="AC39" i="31"/>
  <c r="AD39" i="31"/>
  <c r="AE39" i="31"/>
  <c r="AF39" i="31"/>
  <c r="AG39" i="31"/>
  <c r="AH39" i="31"/>
  <c r="AI39" i="31"/>
  <c r="AJ39" i="31"/>
  <c r="AK39" i="31"/>
  <c r="AB40" i="31"/>
  <c r="AC40" i="31"/>
  <c r="AD40" i="31"/>
  <c r="AE40" i="31"/>
  <c r="AF40" i="31"/>
  <c r="AG40" i="31"/>
  <c r="AH40" i="31"/>
  <c r="AI40" i="31"/>
  <c r="AJ40" i="31"/>
  <c r="AK40" i="31"/>
  <c r="AB41" i="31"/>
  <c r="AC41" i="31"/>
  <c r="AD41" i="31"/>
  <c r="AE41" i="31"/>
  <c r="AF41" i="31"/>
  <c r="AG41" i="31"/>
  <c r="AH41" i="31"/>
  <c r="AI41" i="31"/>
  <c r="AJ41" i="31"/>
  <c r="AK41" i="31"/>
  <c r="AB42" i="31"/>
  <c r="AC42" i="31"/>
  <c r="AD42" i="31"/>
  <c r="AE42" i="31"/>
  <c r="AF42" i="31"/>
  <c r="AG42" i="31"/>
  <c r="AH42" i="31"/>
  <c r="AI42" i="31"/>
  <c r="AJ42" i="31"/>
  <c r="AK42" i="31"/>
  <c r="AB43" i="31"/>
  <c r="AC43" i="31"/>
  <c r="AD43" i="31"/>
  <c r="AE43" i="31"/>
  <c r="AF43" i="31"/>
  <c r="AG43" i="31"/>
  <c r="AH43" i="31"/>
  <c r="AI43" i="31"/>
  <c r="AJ43" i="31"/>
  <c r="AK43" i="31"/>
  <c r="AB44" i="31"/>
  <c r="AC44" i="31"/>
  <c r="AD44" i="31"/>
  <c r="AE44" i="31"/>
  <c r="AF44" i="31"/>
  <c r="AG44" i="31"/>
  <c r="AH44" i="31"/>
  <c r="AI44" i="31"/>
  <c r="AJ44" i="31"/>
  <c r="AK44" i="31"/>
  <c r="AB45" i="31"/>
  <c r="AC45" i="31"/>
  <c r="AD45" i="31"/>
  <c r="AE45" i="31"/>
  <c r="AF45" i="31"/>
  <c r="AG45" i="31"/>
  <c r="AH45" i="31"/>
  <c r="AI45" i="31"/>
  <c r="AJ45" i="31"/>
  <c r="AK45" i="31"/>
  <c r="AB46" i="31"/>
  <c r="AC46" i="31"/>
  <c r="AD46" i="31"/>
  <c r="AE46" i="31"/>
  <c r="AF46" i="31"/>
  <c r="AG46" i="31"/>
  <c r="AH46" i="31"/>
  <c r="AI46" i="31"/>
  <c r="AJ46" i="31"/>
  <c r="AK46" i="31"/>
  <c r="AB47" i="31"/>
  <c r="AC47" i="31"/>
  <c r="AD47" i="31"/>
  <c r="AE47" i="31"/>
  <c r="AF47" i="31"/>
  <c r="AG47" i="31"/>
  <c r="AH47" i="31"/>
  <c r="AI47" i="31"/>
  <c r="AJ47" i="31"/>
  <c r="AK47" i="31"/>
  <c r="AB48" i="31"/>
  <c r="AC48" i="31"/>
  <c r="AD48" i="31"/>
  <c r="AE48" i="31"/>
  <c r="AF48" i="31"/>
  <c r="AG48" i="31"/>
  <c r="AH48" i="31"/>
  <c r="AI48" i="31"/>
  <c r="AJ48" i="31"/>
  <c r="AK48" i="31"/>
  <c r="AB49" i="31"/>
  <c r="AC49" i="31"/>
  <c r="AD49" i="31"/>
  <c r="AE49" i="31"/>
  <c r="AF49" i="31"/>
  <c r="AG49" i="31"/>
  <c r="AH49" i="31"/>
  <c r="AI49" i="31"/>
  <c r="AJ49" i="31"/>
  <c r="AK49" i="31"/>
  <c r="AB50" i="31"/>
  <c r="AC50" i="31"/>
  <c r="AD50" i="31"/>
  <c r="AE50" i="31"/>
  <c r="AF50" i="31"/>
  <c r="AG50" i="31"/>
  <c r="AH50" i="31"/>
  <c r="AI50" i="31"/>
  <c r="AJ50" i="31"/>
  <c r="AK50" i="31"/>
  <c r="AB51" i="31"/>
  <c r="AC51" i="31"/>
  <c r="AD51" i="31"/>
  <c r="AE51" i="31"/>
  <c r="AF51" i="31"/>
  <c r="AG51" i="31"/>
  <c r="AH51" i="31"/>
  <c r="AI51" i="31"/>
  <c r="AJ51" i="31"/>
  <c r="AK51" i="31"/>
  <c r="AB52" i="31"/>
  <c r="AC52" i="31"/>
  <c r="AD52" i="31"/>
  <c r="AE52" i="31"/>
  <c r="AF52" i="31"/>
  <c r="AG52" i="31"/>
  <c r="AH52" i="31"/>
  <c r="AI52" i="31"/>
  <c r="AJ52" i="31"/>
  <c r="AK52" i="31"/>
  <c r="AB53" i="31"/>
  <c r="AC53" i="31"/>
  <c r="AD53" i="31"/>
  <c r="AE53" i="31"/>
  <c r="AF53" i="31"/>
  <c r="AG53" i="31"/>
  <c r="AH53" i="31"/>
  <c r="AI53" i="31"/>
  <c r="AJ53" i="31"/>
  <c r="AK53" i="31"/>
  <c r="AB54" i="31"/>
  <c r="AC54" i="31"/>
  <c r="AD54" i="31"/>
  <c r="AE54" i="31"/>
  <c r="AF54" i="31"/>
  <c r="AG54" i="31"/>
  <c r="AH54" i="31"/>
  <c r="AI54" i="31"/>
  <c r="AJ54" i="31"/>
  <c r="AK54" i="31"/>
  <c r="AB55" i="31"/>
  <c r="AC55" i="31"/>
  <c r="AD55" i="31"/>
  <c r="AE55" i="31"/>
  <c r="AF55" i="31"/>
  <c r="AG55" i="31"/>
  <c r="AH55" i="31"/>
  <c r="AI55" i="31"/>
  <c r="AJ55" i="31"/>
  <c r="AK55" i="31"/>
  <c r="AB56" i="31"/>
  <c r="AC56" i="31"/>
  <c r="AD56" i="31"/>
  <c r="AE56" i="31"/>
  <c r="AF56" i="31"/>
  <c r="AG56" i="31"/>
  <c r="AH56" i="31"/>
  <c r="AI56" i="31"/>
  <c r="AJ56" i="31"/>
  <c r="AK56" i="31"/>
  <c r="AB57" i="31"/>
  <c r="AC57" i="31"/>
  <c r="AD57" i="31"/>
  <c r="AE57" i="31"/>
  <c r="AF57" i="31"/>
  <c r="AG57" i="31"/>
  <c r="AH57" i="31"/>
  <c r="AI57" i="31"/>
  <c r="AJ57" i="31"/>
  <c r="AK57" i="31"/>
  <c r="AB58" i="31"/>
  <c r="AC58" i="31"/>
  <c r="AD58" i="31"/>
  <c r="AE58" i="31"/>
  <c r="AF58" i="31"/>
  <c r="AG58" i="31"/>
  <c r="AH58" i="31"/>
  <c r="AI58" i="31"/>
  <c r="AJ58" i="31"/>
  <c r="AK58" i="31"/>
  <c r="AB59" i="31"/>
  <c r="AC59" i="31"/>
  <c r="AD59" i="31"/>
  <c r="AE59" i="31"/>
  <c r="AF59" i="31"/>
  <c r="AG59" i="31"/>
  <c r="AH59" i="31"/>
  <c r="AI59" i="31"/>
  <c r="AJ59" i="31"/>
  <c r="AK59" i="31"/>
  <c r="AB60" i="31"/>
  <c r="AC60" i="31"/>
  <c r="AD60" i="31"/>
  <c r="AE60" i="31"/>
  <c r="AF60" i="31"/>
  <c r="AG60" i="31"/>
  <c r="AH60" i="31"/>
  <c r="AI60" i="31"/>
  <c r="AJ60" i="31"/>
  <c r="AK60" i="31"/>
  <c r="AB61" i="31"/>
  <c r="AC61" i="31"/>
  <c r="AD61" i="31"/>
  <c r="AE61" i="31"/>
  <c r="AF61" i="31"/>
  <c r="AG61" i="31"/>
  <c r="AH61" i="31"/>
  <c r="AI61" i="31"/>
  <c r="AJ61" i="31"/>
  <c r="AK61" i="31"/>
  <c r="AB62" i="31"/>
  <c r="AC62" i="31"/>
  <c r="AD62" i="31"/>
  <c r="AE62" i="31"/>
  <c r="AF62" i="31"/>
  <c r="AG62" i="31"/>
  <c r="AH62" i="31"/>
  <c r="AI62" i="31"/>
  <c r="AJ62" i="31"/>
  <c r="AK62" i="31"/>
  <c r="AB63" i="31"/>
  <c r="AC63" i="31"/>
  <c r="AD63" i="31"/>
  <c r="AE63" i="31"/>
  <c r="AF63" i="31"/>
  <c r="AG63" i="31"/>
  <c r="AH63" i="31"/>
  <c r="AI63" i="31"/>
  <c r="AJ63" i="31"/>
  <c r="AK63" i="31"/>
  <c r="AB64" i="31"/>
  <c r="AC64" i="31"/>
  <c r="AD64" i="31"/>
  <c r="AE64" i="31"/>
  <c r="AF64" i="31"/>
  <c r="AG64" i="31"/>
  <c r="AH64" i="31"/>
  <c r="AI64" i="31"/>
  <c r="AJ64" i="31"/>
  <c r="AK64" i="31"/>
  <c r="AB65" i="31"/>
  <c r="AC65" i="31"/>
  <c r="AD65" i="31"/>
  <c r="AE65" i="31"/>
  <c r="AF65" i="31"/>
  <c r="AG65" i="31"/>
  <c r="AH65" i="31"/>
  <c r="AI65" i="31"/>
  <c r="AJ65" i="31"/>
  <c r="AK65" i="31"/>
  <c r="AB66" i="31"/>
  <c r="AC66" i="31"/>
  <c r="AD66" i="31"/>
  <c r="AE66" i="31"/>
  <c r="AF66" i="31"/>
  <c r="AG66" i="31"/>
  <c r="AH66" i="31"/>
  <c r="AI66" i="31"/>
  <c r="AJ66" i="31"/>
  <c r="AK66" i="31"/>
  <c r="AB67" i="31"/>
  <c r="AC67" i="31"/>
  <c r="AD67" i="31"/>
  <c r="AE67" i="31"/>
  <c r="AF67" i="31"/>
  <c r="AG67" i="31"/>
  <c r="AH67" i="31"/>
  <c r="AI67" i="31"/>
  <c r="AJ67" i="31"/>
  <c r="AK67" i="31"/>
  <c r="AB68" i="31"/>
  <c r="AC68" i="31"/>
  <c r="AD68" i="31"/>
  <c r="AE68" i="31"/>
  <c r="AF68" i="31"/>
  <c r="AG68" i="31"/>
  <c r="AH68" i="31"/>
  <c r="AI68" i="31"/>
  <c r="AJ68" i="31"/>
  <c r="AK68" i="31"/>
  <c r="AB69" i="31"/>
  <c r="AC69" i="31"/>
  <c r="AD69" i="31"/>
  <c r="AE69" i="31"/>
  <c r="AF69" i="31"/>
  <c r="AG69" i="31"/>
  <c r="AH69" i="31"/>
  <c r="AI69" i="31"/>
  <c r="AJ69" i="31"/>
  <c r="AK69" i="31"/>
  <c r="AB70" i="31"/>
  <c r="AC70" i="31"/>
  <c r="AD70" i="31"/>
  <c r="AE70" i="31"/>
  <c r="AF70" i="31"/>
  <c r="AG70" i="31"/>
  <c r="AH70" i="31"/>
  <c r="AI70" i="31"/>
  <c r="AJ70" i="31"/>
  <c r="AK70" i="31"/>
  <c r="AB71" i="31"/>
  <c r="AC71" i="31"/>
  <c r="AD71" i="31"/>
  <c r="AE71" i="31"/>
  <c r="AF71" i="31"/>
  <c r="AG71" i="31"/>
  <c r="AH71" i="31"/>
  <c r="AI71" i="31"/>
  <c r="AJ71" i="31"/>
  <c r="AK71" i="31"/>
  <c r="AB72" i="31"/>
  <c r="AC72" i="31"/>
  <c r="AD72" i="31"/>
  <c r="AE72" i="31"/>
  <c r="AF72" i="31"/>
  <c r="AG72" i="31"/>
  <c r="AH72" i="31"/>
  <c r="AI72" i="31"/>
  <c r="AJ72" i="31"/>
  <c r="AK72" i="31"/>
  <c r="AB73" i="31"/>
  <c r="AC73" i="31"/>
  <c r="AD73" i="31"/>
  <c r="AE73" i="31"/>
  <c r="AF73" i="31"/>
  <c r="AG73" i="31"/>
  <c r="AH73" i="31"/>
  <c r="AI73" i="31"/>
  <c r="AJ73" i="31"/>
  <c r="AK73" i="31"/>
  <c r="AB74" i="31"/>
  <c r="AC74" i="31"/>
  <c r="AD74" i="31"/>
  <c r="AE74" i="31"/>
  <c r="AF74" i="31"/>
  <c r="AG74" i="31"/>
  <c r="AH74" i="31"/>
  <c r="AI74" i="31"/>
  <c r="AJ74" i="31"/>
  <c r="AK74" i="31"/>
  <c r="AB75" i="31"/>
  <c r="AC75" i="31"/>
  <c r="AD75" i="31"/>
  <c r="AE75" i="31"/>
  <c r="AF75" i="31"/>
  <c r="AG75" i="31"/>
  <c r="AH75" i="31"/>
  <c r="AI75" i="31"/>
  <c r="AJ75" i="31"/>
  <c r="AK75" i="31"/>
  <c r="AB76" i="31"/>
  <c r="AC76" i="31"/>
  <c r="AD76" i="31"/>
  <c r="AE76" i="31"/>
  <c r="AF76" i="31"/>
  <c r="AG76" i="31"/>
  <c r="AH76" i="31"/>
  <c r="AI76" i="31"/>
  <c r="AJ76" i="31"/>
  <c r="AK76" i="31"/>
  <c r="AB77" i="31"/>
  <c r="AC77" i="31"/>
  <c r="AD77" i="31"/>
  <c r="AE77" i="31"/>
  <c r="AF77" i="31"/>
  <c r="AG77" i="31"/>
  <c r="AH77" i="31"/>
  <c r="AI77" i="31"/>
  <c r="AJ77" i="31"/>
  <c r="AK77" i="31"/>
  <c r="AB78" i="31"/>
  <c r="AC78" i="31"/>
  <c r="AD78" i="31"/>
  <c r="AE78" i="31"/>
  <c r="AF78" i="31"/>
  <c r="AG78" i="31"/>
  <c r="AH78" i="31"/>
  <c r="AI78" i="31"/>
  <c r="AJ78" i="31"/>
  <c r="AK78" i="31"/>
  <c r="AB79" i="31"/>
  <c r="AC79" i="31"/>
  <c r="AD79" i="31"/>
  <c r="AE79" i="31"/>
  <c r="AF79" i="31"/>
  <c r="AG79" i="31"/>
  <c r="AH79" i="31"/>
  <c r="AI79" i="31"/>
  <c r="AJ79" i="31"/>
  <c r="AK79" i="31"/>
  <c r="AB80" i="31"/>
  <c r="AC80" i="31"/>
  <c r="AD80" i="31"/>
  <c r="AE80" i="31"/>
  <c r="AF80" i="31"/>
  <c r="AG80" i="31"/>
  <c r="AH80" i="31"/>
  <c r="AI80" i="31"/>
  <c r="AJ80" i="31"/>
  <c r="AK80" i="31"/>
  <c r="AB81" i="31"/>
  <c r="AC81" i="31"/>
  <c r="AD81" i="31"/>
  <c r="AE81" i="31"/>
  <c r="AF81" i="31"/>
  <c r="AG81" i="31"/>
  <c r="AH81" i="31"/>
  <c r="AI81" i="31"/>
  <c r="AJ81" i="31"/>
  <c r="AK81" i="31"/>
  <c r="AB82" i="31"/>
  <c r="AC82" i="31"/>
  <c r="AD82" i="31"/>
  <c r="AE82" i="31"/>
  <c r="AF82" i="31"/>
  <c r="AG82" i="31"/>
  <c r="AH82" i="31"/>
  <c r="AI82" i="31"/>
  <c r="AJ82" i="31"/>
  <c r="AK82" i="31"/>
  <c r="AB83" i="31"/>
  <c r="AC83" i="31"/>
  <c r="AD83" i="31"/>
  <c r="AE83" i="31"/>
  <c r="AF83" i="31"/>
  <c r="AG83" i="31"/>
  <c r="AH83" i="31"/>
  <c r="AI83" i="31"/>
  <c r="AJ83" i="31"/>
  <c r="AK83" i="31"/>
  <c r="AB84" i="31"/>
  <c r="AC84" i="31"/>
  <c r="AD84" i="31"/>
  <c r="AE84" i="31"/>
  <c r="AF84" i="31"/>
  <c r="AG84" i="31"/>
  <c r="AH84" i="31"/>
  <c r="AI84" i="31"/>
  <c r="AJ84" i="31"/>
  <c r="AK84" i="31"/>
  <c r="AB85" i="31"/>
  <c r="AC85" i="31"/>
  <c r="AD85" i="31"/>
  <c r="AE85" i="31"/>
  <c r="AF85" i="31"/>
  <c r="AG85" i="31"/>
  <c r="AH85" i="31"/>
  <c r="AI85" i="31"/>
  <c r="AJ85" i="31"/>
  <c r="AK85" i="31"/>
  <c r="AB86" i="31"/>
  <c r="AC86" i="31"/>
  <c r="AD86" i="31"/>
  <c r="AE86" i="31"/>
  <c r="AF86" i="31"/>
  <c r="AG86" i="31"/>
  <c r="AH86" i="31"/>
  <c r="AI86" i="31"/>
  <c r="AJ86" i="31"/>
  <c r="AK86" i="31"/>
  <c r="AB87" i="31"/>
  <c r="AC87" i="31"/>
  <c r="AD87" i="31"/>
  <c r="AE87" i="31"/>
  <c r="AF87" i="31"/>
  <c r="AG87" i="31"/>
  <c r="AH87" i="31"/>
  <c r="AI87" i="31"/>
  <c r="AJ87" i="31"/>
  <c r="AK87" i="31"/>
  <c r="AB88" i="31"/>
  <c r="AC88" i="31"/>
  <c r="AD88" i="31"/>
  <c r="AE88" i="31"/>
  <c r="AF88" i="31"/>
  <c r="AG88" i="31"/>
  <c r="AH88" i="31"/>
  <c r="AI88" i="31"/>
  <c r="AJ88" i="31"/>
  <c r="AK88" i="31"/>
  <c r="AB89" i="31"/>
  <c r="AC89" i="31"/>
  <c r="AD89" i="31"/>
  <c r="AE89" i="31"/>
  <c r="AF89" i="31"/>
  <c r="AG89" i="31"/>
  <c r="AH89" i="31"/>
  <c r="AI89" i="31"/>
  <c r="AJ89" i="31"/>
  <c r="AK89" i="31"/>
  <c r="AB90" i="31"/>
  <c r="AC90" i="31"/>
  <c r="AD90" i="31"/>
  <c r="AE90" i="31"/>
  <c r="AF90" i="31"/>
  <c r="AG90" i="31"/>
  <c r="AH90" i="31"/>
  <c r="AI90" i="31"/>
  <c r="AJ90" i="31"/>
  <c r="AK90" i="31"/>
  <c r="AB91" i="31"/>
  <c r="AC91" i="31"/>
  <c r="AD91" i="31"/>
  <c r="AE91" i="31"/>
  <c r="AF91" i="31"/>
  <c r="AG91" i="31"/>
  <c r="AH91" i="31"/>
  <c r="AI91" i="31"/>
  <c r="AJ91" i="31"/>
  <c r="AK91" i="31"/>
  <c r="AB92" i="31"/>
  <c r="AC92" i="31"/>
  <c r="AD92" i="31"/>
  <c r="AE92" i="31"/>
  <c r="AF92" i="31"/>
  <c r="AG92" i="31"/>
  <c r="AH92" i="31"/>
  <c r="AI92" i="31"/>
  <c r="AJ92" i="31"/>
  <c r="AK92" i="31"/>
  <c r="AO4" i="31"/>
  <c r="AP4" i="31"/>
  <c r="AQ4" i="31"/>
  <c r="AR4" i="31"/>
  <c r="AS4" i="31"/>
  <c r="AT4" i="31"/>
  <c r="AU4" i="31"/>
  <c r="AV4" i="31"/>
  <c r="AW4" i="31"/>
  <c r="AX4" i="31"/>
  <c r="AO5" i="31"/>
  <c r="AP5" i="31"/>
  <c r="AQ5" i="31"/>
  <c r="AR5" i="31"/>
  <c r="AS5" i="31"/>
  <c r="AT5" i="31"/>
  <c r="AU5" i="31"/>
  <c r="AV5" i="31"/>
  <c r="AW5" i="31"/>
  <c r="AX5" i="31"/>
  <c r="AO6" i="31"/>
  <c r="AP6" i="31"/>
  <c r="AQ6" i="31"/>
  <c r="AR6" i="31"/>
  <c r="AS6" i="31"/>
  <c r="AT6" i="31"/>
  <c r="AU6" i="31"/>
  <c r="AV6" i="31"/>
  <c r="AW6" i="31"/>
  <c r="AX6" i="31"/>
  <c r="AO7" i="31"/>
  <c r="AP7" i="31"/>
  <c r="AQ7" i="31"/>
  <c r="AR7" i="31"/>
  <c r="AS7" i="31"/>
  <c r="AT7" i="31"/>
  <c r="AU7" i="31"/>
  <c r="AV7" i="31"/>
  <c r="AW7" i="31"/>
  <c r="AX7" i="31"/>
  <c r="AO8" i="31"/>
  <c r="AP8" i="31"/>
  <c r="AQ8" i="31"/>
  <c r="AR8" i="31"/>
  <c r="AS8" i="31"/>
  <c r="AT8" i="31"/>
  <c r="AU8" i="31"/>
  <c r="AV8" i="31"/>
  <c r="AW8" i="31"/>
  <c r="AX8" i="31"/>
  <c r="AO9" i="31"/>
  <c r="AP9" i="31"/>
  <c r="AQ9" i="31"/>
  <c r="AR9" i="31"/>
  <c r="AS9" i="31"/>
  <c r="AT9" i="31"/>
  <c r="AU9" i="31"/>
  <c r="AV9" i="31"/>
  <c r="AW9" i="31"/>
  <c r="AX9" i="31"/>
  <c r="AO10" i="31"/>
  <c r="AP10" i="31"/>
  <c r="AQ10" i="31"/>
  <c r="AR10" i="31"/>
  <c r="AS10" i="31"/>
  <c r="AT10" i="31"/>
  <c r="AU10" i="31"/>
  <c r="AV10" i="31"/>
  <c r="AW10" i="31"/>
  <c r="AX10" i="31"/>
  <c r="AO11" i="31"/>
  <c r="AP11" i="31"/>
  <c r="AQ11" i="31"/>
  <c r="AR11" i="31"/>
  <c r="AS11" i="31"/>
  <c r="AT11" i="31"/>
  <c r="AU11" i="31"/>
  <c r="AV11" i="31"/>
  <c r="AW11" i="31"/>
  <c r="AX11" i="31"/>
  <c r="AO12" i="31"/>
  <c r="AP12" i="31"/>
  <c r="AQ12" i="31"/>
  <c r="AR12" i="31"/>
  <c r="AS12" i="31"/>
  <c r="AT12" i="31"/>
  <c r="AU12" i="31"/>
  <c r="AV12" i="31"/>
  <c r="AW12" i="31"/>
  <c r="AX12" i="31"/>
  <c r="AO13" i="31"/>
  <c r="AP13" i="31"/>
  <c r="AQ13" i="31"/>
  <c r="AR13" i="31"/>
  <c r="AS13" i="31"/>
  <c r="AT13" i="31"/>
  <c r="AU13" i="31"/>
  <c r="AV13" i="31"/>
  <c r="AW13" i="31"/>
  <c r="AX13" i="31"/>
  <c r="AO14" i="31"/>
  <c r="AP14" i="31"/>
  <c r="AQ14" i="31"/>
  <c r="AR14" i="31"/>
  <c r="AS14" i="31"/>
  <c r="AT14" i="31"/>
  <c r="AU14" i="31"/>
  <c r="AV14" i="31"/>
  <c r="AW14" i="31"/>
  <c r="AX14" i="31"/>
  <c r="AO15" i="31"/>
  <c r="AP15" i="31"/>
  <c r="AQ15" i="31"/>
  <c r="AR15" i="31"/>
  <c r="AS15" i="31"/>
  <c r="AT15" i="31"/>
  <c r="AU15" i="31"/>
  <c r="AV15" i="31"/>
  <c r="AW15" i="31"/>
  <c r="AX15" i="31"/>
  <c r="AO16" i="31"/>
  <c r="AP16" i="31"/>
  <c r="AQ16" i="31"/>
  <c r="AR16" i="31"/>
  <c r="AS16" i="31"/>
  <c r="AT16" i="31"/>
  <c r="AU16" i="31"/>
  <c r="AV16" i="31"/>
  <c r="AW16" i="31"/>
  <c r="AX16" i="31"/>
  <c r="AO17" i="31"/>
  <c r="AP17" i="31"/>
  <c r="AQ17" i="31"/>
  <c r="AR17" i="31"/>
  <c r="AS17" i="31"/>
  <c r="AT17" i="31"/>
  <c r="AU17" i="31"/>
  <c r="AV17" i="31"/>
  <c r="AW17" i="31"/>
  <c r="AX17" i="31"/>
  <c r="AO18" i="31"/>
  <c r="AP18" i="31"/>
  <c r="AQ18" i="31"/>
  <c r="AR18" i="31"/>
  <c r="AS18" i="31"/>
  <c r="AT18" i="31"/>
  <c r="AU18" i="31"/>
  <c r="AV18" i="31"/>
  <c r="AW18" i="31"/>
  <c r="AX18" i="31"/>
  <c r="AO19" i="31"/>
  <c r="AP19" i="31"/>
  <c r="AQ19" i="31"/>
  <c r="AR19" i="31"/>
  <c r="AS19" i="31"/>
  <c r="AT19" i="31"/>
  <c r="AU19" i="31"/>
  <c r="AV19" i="31"/>
  <c r="AW19" i="31"/>
  <c r="AX19" i="31"/>
  <c r="AO20" i="31"/>
  <c r="AP20" i="31"/>
  <c r="AQ20" i="31"/>
  <c r="AR20" i="31"/>
  <c r="AS20" i="31"/>
  <c r="AT20" i="31"/>
  <c r="AU20" i="31"/>
  <c r="AV20" i="31"/>
  <c r="AW20" i="31"/>
  <c r="AX20" i="31"/>
  <c r="AO21" i="31"/>
  <c r="AP21" i="31"/>
  <c r="AQ21" i="31"/>
  <c r="AR21" i="31"/>
  <c r="AS21" i="31"/>
  <c r="AT21" i="31"/>
  <c r="AU21" i="31"/>
  <c r="AV21" i="31"/>
  <c r="AW21" i="31"/>
  <c r="AX21" i="31"/>
  <c r="AO22" i="31"/>
  <c r="AP22" i="31"/>
  <c r="AQ22" i="31"/>
  <c r="AR22" i="31"/>
  <c r="AS22" i="31"/>
  <c r="AT22" i="31"/>
  <c r="AU22" i="31"/>
  <c r="AV22" i="31"/>
  <c r="AW22" i="31"/>
  <c r="AX22" i="31"/>
  <c r="AO23" i="31"/>
  <c r="AP23" i="31"/>
  <c r="AQ23" i="31"/>
  <c r="AR23" i="31"/>
  <c r="AS23" i="31"/>
  <c r="AT23" i="31"/>
  <c r="AU23" i="31"/>
  <c r="AV23" i="31"/>
  <c r="AW23" i="31"/>
  <c r="AX23" i="31"/>
  <c r="AO24" i="31"/>
  <c r="AP24" i="31"/>
  <c r="AQ24" i="31"/>
  <c r="AR24" i="31"/>
  <c r="AS24" i="31"/>
  <c r="AT24" i="31"/>
  <c r="AU24" i="31"/>
  <c r="AV24" i="31"/>
  <c r="AW24" i="31"/>
  <c r="AX24" i="31"/>
  <c r="AO25" i="31"/>
  <c r="AP25" i="31"/>
  <c r="AQ25" i="31"/>
  <c r="AR25" i="31"/>
  <c r="AS25" i="31"/>
  <c r="AT25" i="31"/>
  <c r="AU25" i="31"/>
  <c r="AV25" i="31"/>
  <c r="AW25" i="31"/>
  <c r="AX25" i="31"/>
  <c r="AO26" i="31"/>
  <c r="AP26" i="31"/>
  <c r="AQ26" i="31"/>
  <c r="AR26" i="31"/>
  <c r="AS26" i="31"/>
  <c r="AT26" i="31"/>
  <c r="AU26" i="31"/>
  <c r="AV26" i="31"/>
  <c r="AW26" i="31"/>
  <c r="AX26" i="31"/>
  <c r="AO27" i="31"/>
  <c r="AP27" i="31"/>
  <c r="AQ27" i="31"/>
  <c r="AR27" i="31"/>
  <c r="AS27" i="31"/>
  <c r="AT27" i="31"/>
  <c r="AU27" i="31"/>
  <c r="AV27" i="31"/>
  <c r="AW27" i="31"/>
  <c r="AX27" i="31"/>
  <c r="AO28" i="31"/>
  <c r="AP28" i="31"/>
  <c r="AQ28" i="31"/>
  <c r="AR28" i="31"/>
  <c r="AS28" i="31"/>
  <c r="AT28" i="31"/>
  <c r="AU28" i="31"/>
  <c r="AV28" i="31"/>
  <c r="AW28" i="31"/>
  <c r="AX28" i="31"/>
  <c r="AO29" i="31"/>
  <c r="AP29" i="31"/>
  <c r="AQ29" i="31"/>
  <c r="AR29" i="31"/>
  <c r="AS29" i="31"/>
  <c r="AT29" i="31"/>
  <c r="AU29" i="31"/>
  <c r="AV29" i="31"/>
  <c r="AW29" i="31"/>
  <c r="AX29" i="31"/>
  <c r="AO30" i="31"/>
  <c r="AP30" i="31"/>
  <c r="AQ30" i="31"/>
  <c r="AR30" i="31"/>
  <c r="AS30" i="31"/>
  <c r="AT30" i="31"/>
  <c r="AU30" i="31"/>
  <c r="AV30" i="31"/>
  <c r="AW30" i="31"/>
  <c r="AX30" i="31"/>
  <c r="AO31" i="31"/>
  <c r="AP31" i="31"/>
  <c r="AQ31" i="31"/>
  <c r="AR31" i="31"/>
  <c r="AS31" i="31"/>
  <c r="AT31" i="31"/>
  <c r="AU31" i="31"/>
  <c r="AV31" i="31"/>
  <c r="AW31" i="31"/>
  <c r="AX31" i="31"/>
  <c r="AO32" i="31"/>
  <c r="AP32" i="31"/>
  <c r="AQ32" i="31"/>
  <c r="AR32" i="31"/>
  <c r="AS32" i="31"/>
  <c r="AT32" i="31"/>
  <c r="AU32" i="31"/>
  <c r="AV32" i="31"/>
  <c r="AW32" i="31"/>
  <c r="AX32" i="31"/>
  <c r="AO33" i="31"/>
  <c r="AP33" i="31"/>
  <c r="AQ33" i="31"/>
  <c r="AR33" i="31"/>
  <c r="AS33" i="31"/>
  <c r="AT33" i="31"/>
  <c r="AU33" i="31"/>
  <c r="AV33" i="31"/>
  <c r="AW33" i="31"/>
  <c r="AX33" i="31"/>
  <c r="AO34" i="31"/>
  <c r="AP34" i="31"/>
  <c r="AQ34" i="31"/>
  <c r="AR34" i="31"/>
  <c r="AS34" i="31"/>
  <c r="AT34" i="31"/>
  <c r="AU34" i="31"/>
  <c r="AV34" i="31"/>
  <c r="AW34" i="31"/>
  <c r="AX34" i="31"/>
  <c r="AO35" i="31"/>
  <c r="AP35" i="31"/>
  <c r="AQ35" i="31"/>
  <c r="AR35" i="31"/>
  <c r="AS35" i="31"/>
  <c r="AT35" i="31"/>
  <c r="AU35" i="31"/>
  <c r="AV35" i="31"/>
  <c r="AW35" i="31"/>
  <c r="AX35" i="31"/>
  <c r="AO36" i="31"/>
  <c r="AP36" i="31"/>
  <c r="AQ36" i="31"/>
  <c r="AR36" i="31"/>
  <c r="AS36" i="31"/>
  <c r="AT36" i="31"/>
  <c r="AU36" i="31"/>
  <c r="AV36" i="31"/>
  <c r="AW36" i="31"/>
  <c r="AX36" i="31"/>
  <c r="AO37" i="31"/>
  <c r="AP37" i="31"/>
  <c r="AQ37" i="31"/>
  <c r="AR37" i="31"/>
  <c r="AS37" i="31"/>
  <c r="AT37" i="31"/>
  <c r="AU37" i="31"/>
  <c r="AV37" i="31"/>
  <c r="AW37" i="31"/>
  <c r="AX37" i="31"/>
  <c r="AO38" i="31"/>
  <c r="AP38" i="31"/>
  <c r="AQ38" i="31"/>
  <c r="AR38" i="31"/>
  <c r="AS38" i="31"/>
  <c r="AT38" i="31"/>
  <c r="AU38" i="31"/>
  <c r="AV38" i="31"/>
  <c r="AW38" i="31"/>
  <c r="AX38" i="31"/>
  <c r="AO39" i="31"/>
  <c r="AP39" i="31"/>
  <c r="AQ39" i="31"/>
  <c r="AR39" i="31"/>
  <c r="AS39" i="31"/>
  <c r="AT39" i="31"/>
  <c r="AU39" i="31"/>
  <c r="AV39" i="31"/>
  <c r="AW39" i="31"/>
  <c r="AX39" i="31"/>
  <c r="AO40" i="31"/>
  <c r="AP40" i="31"/>
  <c r="AQ40" i="31"/>
  <c r="AR40" i="31"/>
  <c r="AS40" i="31"/>
  <c r="AT40" i="31"/>
  <c r="AU40" i="31"/>
  <c r="AV40" i="31"/>
  <c r="AW40" i="31"/>
  <c r="AX40" i="31"/>
  <c r="AO41" i="31"/>
  <c r="AP41" i="31"/>
  <c r="AQ41" i="31"/>
  <c r="AR41" i="31"/>
  <c r="AS41" i="31"/>
  <c r="AT41" i="31"/>
  <c r="AU41" i="31"/>
  <c r="AV41" i="31"/>
  <c r="AW41" i="31"/>
  <c r="AX41" i="31"/>
  <c r="AO42" i="31"/>
  <c r="AP42" i="31"/>
  <c r="AQ42" i="31"/>
  <c r="AR42" i="31"/>
  <c r="AS42" i="31"/>
  <c r="AT42" i="31"/>
  <c r="AU42" i="31"/>
  <c r="AV42" i="31"/>
  <c r="AW42" i="31"/>
  <c r="AX42" i="31"/>
  <c r="AO43" i="31"/>
  <c r="AP43" i="31"/>
  <c r="AQ43" i="31"/>
  <c r="AR43" i="31"/>
  <c r="AS43" i="31"/>
  <c r="AT43" i="31"/>
  <c r="AU43" i="31"/>
  <c r="AV43" i="31"/>
  <c r="AW43" i="31"/>
  <c r="AX43" i="31"/>
  <c r="AO44" i="31"/>
  <c r="AP44" i="31"/>
  <c r="AQ44" i="31"/>
  <c r="AR44" i="31"/>
  <c r="AS44" i="31"/>
  <c r="AT44" i="31"/>
  <c r="AU44" i="31"/>
  <c r="AV44" i="31"/>
  <c r="AW44" i="31"/>
  <c r="AX44" i="31"/>
  <c r="AO45" i="31"/>
  <c r="AP45" i="31"/>
  <c r="AQ45" i="31"/>
  <c r="AR45" i="31"/>
  <c r="AS45" i="31"/>
  <c r="AT45" i="31"/>
  <c r="AU45" i="31"/>
  <c r="AV45" i="31"/>
  <c r="AW45" i="31"/>
  <c r="AX45" i="31"/>
  <c r="AO46" i="31"/>
  <c r="AP46" i="31"/>
  <c r="AQ46" i="31"/>
  <c r="AR46" i="31"/>
  <c r="AS46" i="31"/>
  <c r="AT46" i="31"/>
  <c r="AU46" i="31"/>
  <c r="AV46" i="31"/>
  <c r="AW46" i="31"/>
  <c r="AX46" i="31"/>
  <c r="AO47" i="31"/>
  <c r="AP47" i="31"/>
  <c r="AQ47" i="31"/>
  <c r="AR47" i="31"/>
  <c r="AS47" i="31"/>
  <c r="AT47" i="31"/>
  <c r="AU47" i="31"/>
  <c r="AV47" i="31"/>
  <c r="AW47" i="31"/>
  <c r="AX47" i="31"/>
  <c r="AO48" i="31"/>
  <c r="AP48" i="31"/>
  <c r="AQ48" i="31"/>
  <c r="AR48" i="31"/>
  <c r="AS48" i="31"/>
  <c r="AT48" i="31"/>
  <c r="AU48" i="31"/>
  <c r="AV48" i="31"/>
  <c r="AW48" i="31"/>
  <c r="AX48" i="31"/>
  <c r="AO49" i="31"/>
  <c r="AP49" i="31"/>
  <c r="AQ49" i="31"/>
  <c r="AR49" i="31"/>
  <c r="AS49" i="31"/>
  <c r="AT49" i="31"/>
  <c r="AU49" i="31"/>
  <c r="AV49" i="31"/>
  <c r="AW49" i="31"/>
  <c r="AX49" i="31"/>
  <c r="AO50" i="31"/>
  <c r="AP50" i="31"/>
  <c r="AQ50" i="31"/>
  <c r="AR50" i="31"/>
  <c r="AS50" i="31"/>
  <c r="AT50" i="31"/>
  <c r="AU50" i="31"/>
  <c r="AV50" i="31"/>
  <c r="AW50" i="31"/>
  <c r="AX50" i="31"/>
  <c r="AO51" i="31"/>
  <c r="AP51" i="31"/>
  <c r="AQ51" i="31"/>
  <c r="AR51" i="31"/>
  <c r="AS51" i="31"/>
  <c r="AT51" i="31"/>
  <c r="AU51" i="31"/>
  <c r="AV51" i="31"/>
  <c r="AW51" i="31"/>
  <c r="AX51" i="31"/>
  <c r="AO52" i="31"/>
  <c r="AP52" i="31"/>
  <c r="AQ52" i="31"/>
  <c r="AR52" i="31"/>
  <c r="AS52" i="31"/>
  <c r="AT52" i="31"/>
  <c r="AU52" i="31"/>
  <c r="AV52" i="31"/>
  <c r="AW52" i="31"/>
  <c r="AX52" i="31"/>
  <c r="AO53" i="31"/>
  <c r="AP53" i="31"/>
  <c r="AQ53" i="31"/>
  <c r="AR53" i="31"/>
  <c r="AS53" i="31"/>
  <c r="AT53" i="31"/>
  <c r="AU53" i="31"/>
  <c r="AV53" i="31"/>
  <c r="AW53" i="31"/>
  <c r="AX53" i="31"/>
  <c r="AO54" i="31"/>
  <c r="AP54" i="31"/>
  <c r="AQ54" i="31"/>
  <c r="AR54" i="31"/>
  <c r="AS54" i="31"/>
  <c r="AT54" i="31"/>
  <c r="AU54" i="31"/>
  <c r="AV54" i="31"/>
  <c r="AW54" i="31"/>
  <c r="AX54" i="31"/>
  <c r="AO55" i="31"/>
  <c r="AP55" i="31"/>
  <c r="AQ55" i="31"/>
  <c r="AR55" i="31"/>
  <c r="AS55" i="31"/>
  <c r="AT55" i="31"/>
  <c r="AU55" i="31"/>
  <c r="AV55" i="31"/>
  <c r="AW55" i="31"/>
  <c r="AX55" i="31"/>
  <c r="AO56" i="31"/>
  <c r="AP56" i="31"/>
  <c r="AQ56" i="31"/>
  <c r="AR56" i="31"/>
  <c r="AS56" i="31"/>
  <c r="AT56" i="31"/>
  <c r="AU56" i="31"/>
  <c r="AV56" i="31"/>
  <c r="AW56" i="31"/>
  <c r="AX56" i="31"/>
  <c r="AO57" i="31"/>
  <c r="AP57" i="31"/>
  <c r="AQ57" i="31"/>
  <c r="AR57" i="31"/>
  <c r="AS57" i="31"/>
  <c r="AT57" i="31"/>
  <c r="AU57" i="31"/>
  <c r="AV57" i="31"/>
  <c r="AW57" i="31"/>
  <c r="AX57" i="31"/>
  <c r="AO58" i="31"/>
  <c r="AP58" i="31"/>
  <c r="AQ58" i="31"/>
  <c r="AR58" i="31"/>
  <c r="AS58" i="31"/>
  <c r="AT58" i="31"/>
  <c r="AU58" i="31"/>
  <c r="AV58" i="31"/>
  <c r="AW58" i="31"/>
  <c r="AX58" i="31"/>
  <c r="AO59" i="31"/>
  <c r="AP59" i="31"/>
  <c r="AQ59" i="31"/>
  <c r="AR59" i="31"/>
  <c r="AS59" i="31"/>
  <c r="AT59" i="31"/>
  <c r="AU59" i="31"/>
  <c r="AV59" i="31"/>
  <c r="AW59" i="31"/>
  <c r="AX59" i="31"/>
  <c r="AO60" i="31"/>
  <c r="AP60" i="31"/>
  <c r="AQ60" i="31"/>
  <c r="AR60" i="31"/>
  <c r="AS60" i="31"/>
  <c r="AT60" i="31"/>
  <c r="AU60" i="31"/>
  <c r="AV60" i="31"/>
  <c r="AW60" i="31"/>
  <c r="AX60" i="31"/>
  <c r="AO61" i="31"/>
  <c r="AP61" i="31"/>
  <c r="AQ61" i="31"/>
  <c r="AR61" i="31"/>
  <c r="AS61" i="31"/>
  <c r="AT61" i="31"/>
  <c r="AU61" i="31"/>
  <c r="AV61" i="31"/>
  <c r="AW61" i="31"/>
  <c r="AX61" i="31"/>
  <c r="AO62" i="31"/>
  <c r="AP62" i="31"/>
  <c r="AQ62" i="31"/>
  <c r="AR62" i="31"/>
  <c r="AS62" i="31"/>
  <c r="AT62" i="31"/>
  <c r="AU62" i="31"/>
  <c r="AV62" i="31"/>
  <c r="AW62" i="31"/>
  <c r="AX62" i="31"/>
  <c r="AO63" i="31"/>
  <c r="AP63" i="31"/>
  <c r="AQ63" i="31"/>
  <c r="AR63" i="31"/>
  <c r="AS63" i="31"/>
  <c r="AT63" i="31"/>
  <c r="AU63" i="31"/>
  <c r="AV63" i="31"/>
  <c r="AW63" i="31"/>
  <c r="AX63" i="31"/>
  <c r="AO64" i="31"/>
  <c r="AP64" i="31"/>
  <c r="AQ64" i="31"/>
  <c r="AR64" i="31"/>
  <c r="AS64" i="31"/>
  <c r="AT64" i="31"/>
  <c r="AU64" i="31"/>
  <c r="AV64" i="31"/>
  <c r="AW64" i="31"/>
  <c r="AX64" i="31"/>
  <c r="AO65" i="31"/>
  <c r="AP65" i="31"/>
  <c r="AQ65" i="31"/>
  <c r="AR65" i="31"/>
  <c r="AS65" i="31"/>
  <c r="AT65" i="31"/>
  <c r="AU65" i="31"/>
  <c r="AV65" i="31"/>
  <c r="AW65" i="31"/>
  <c r="AX65" i="31"/>
  <c r="AO66" i="31"/>
  <c r="AP66" i="31"/>
  <c r="AQ66" i="31"/>
  <c r="AR66" i="31"/>
  <c r="AS66" i="31"/>
  <c r="AT66" i="31"/>
  <c r="AU66" i="31"/>
  <c r="AV66" i="31"/>
  <c r="AW66" i="31"/>
  <c r="AX66" i="31"/>
  <c r="AO67" i="31"/>
  <c r="AP67" i="31"/>
  <c r="AQ67" i="31"/>
  <c r="AR67" i="31"/>
  <c r="AS67" i="31"/>
  <c r="AT67" i="31"/>
  <c r="AU67" i="31"/>
  <c r="AV67" i="31"/>
  <c r="AW67" i="31"/>
  <c r="AX67" i="31"/>
  <c r="AO68" i="31"/>
  <c r="AP68" i="31"/>
  <c r="AQ68" i="31"/>
  <c r="AR68" i="31"/>
  <c r="AS68" i="31"/>
  <c r="AT68" i="31"/>
  <c r="AU68" i="31"/>
  <c r="AV68" i="31"/>
  <c r="AW68" i="31"/>
  <c r="AX68" i="31"/>
  <c r="AO69" i="31"/>
  <c r="AP69" i="31"/>
  <c r="AQ69" i="31"/>
  <c r="AR69" i="31"/>
  <c r="AS69" i="31"/>
  <c r="AT69" i="31"/>
  <c r="AU69" i="31"/>
  <c r="AV69" i="31"/>
  <c r="AW69" i="31"/>
  <c r="AX69" i="31"/>
  <c r="AO70" i="31"/>
  <c r="AP70" i="31"/>
  <c r="AQ70" i="31"/>
  <c r="AR70" i="31"/>
  <c r="AS70" i="31"/>
  <c r="AT70" i="31"/>
  <c r="AU70" i="31"/>
  <c r="AV70" i="31"/>
  <c r="AW70" i="31"/>
  <c r="AX70" i="31"/>
  <c r="AO71" i="31"/>
  <c r="AP71" i="31"/>
  <c r="AQ71" i="31"/>
  <c r="AR71" i="31"/>
  <c r="AS71" i="31"/>
  <c r="AT71" i="31"/>
  <c r="AU71" i="31"/>
  <c r="AV71" i="31"/>
  <c r="AW71" i="31"/>
  <c r="AX71" i="31"/>
  <c r="AO72" i="31"/>
  <c r="AP72" i="31"/>
  <c r="AQ72" i="31"/>
  <c r="AR72" i="31"/>
  <c r="AS72" i="31"/>
  <c r="AT72" i="31"/>
  <c r="AU72" i="31"/>
  <c r="AV72" i="31"/>
  <c r="AW72" i="31"/>
  <c r="AX72" i="31"/>
  <c r="AO73" i="31"/>
  <c r="AP73" i="31"/>
  <c r="AQ73" i="31"/>
  <c r="AR73" i="31"/>
  <c r="AS73" i="31"/>
  <c r="AT73" i="31"/>
  <c r="AU73" i="31"/>
  <c r="AV73" i="31"/>
  <c r="AW73" i="31"/>
  <c r="AX73" i="31"/>
  <c r="AO74" i="31"/>
  <c r="AP74" i="31"/>
  <c r="AQ74" i="31"/>
  <c r="AR74" i="31"/>
  <c r="AS74" i="31"/>
  <c r="AT74" i="31"/>
  <c r="AU74" i="31"/>
  <c r="AV74" i="31"/>
  <c r="AW74" i="31"/>
  <c r="AX74" i="31"/>
  <c r="AO75" i="31"/>
  <c r="AP75" i="31"/>
  <c r="AQ75" i="31"/>
  <c r="AR75" i="31"/>
  <c r="AS75" i="31"/>
  <c r="AT75" i="31"/>
  <c r="AU75" i="31"/>
  <c r="AV75" i="31"/>
  <c r="AW75" i="31"/>
  <c r="AX75" i="31"/>
  <c r="AO76" i="31"/>
  <c r="AP76" i="31"/>
  <c r="AQ76" i="31"/>
  <c r="AR76" i="31"/>
  <c r="AS76" i="31"/>
  <c r="AT76" i="31"/>
  <c r="AU76" i="31"/>
  <c r="AV76" i="31"/>
  <c r="AW76" i="31"/>
  <c r="AX76" i="31"/>
  <c r="AO77" i="31"/>
  <c r="AP77" i="31"/>
  <c r="AQ77" i="31"/>
  <c r="AR77" i="31"/>
  <c r="AS77" i="31"/>
  <c r="AT77" i="31"/>
  <c r="AU77" i="31"/>
  <c r="AV77" i="31"/>
  <c r="AW77" i="31"/>
  <c r="AX77" i="31"/>
  <c r="AO78" i="31"/>
  <c r="AP78" i="31"/>
  <c r="AQ78" i="31"/>
  <c r="AR78" i="31"/>
  <c r="AS78" i="31"/>
  <c r="AT78" i="31"/>
  <c r="AU78" i="31"/>
  <c r="AV78" i="31"/>
  <c r="AW78" i="31"/>
  <c r="AX78" i="31"/>
  <c r="AO79" i="31"/>
  <c r="AP79" i="31"/>
  <c r="AQ79" i="31"/>
  <c r="AR79" i="31"/>
  <c r="AS79" i="31"/>
  <c r="AT79" i="31"/>
  <c r="AU79" i="31"/>
  <c r="AV79" i="31"/>
  <c r="AW79" i="31"/>
  <c r="AX79" i="31"/>
  <c r="AO80" i="31"/>
  <c r="AP80" i="31"/>
  <c r="AQ80" i="31"/>
  <c r="AR80" i="31"/>
  <c r="AS80" i="31"/>
  <c r="AT80" i="31"/>
  <c r="AU80" i="31"/>
  <c r="AV80" i="31"/>
  <c r="AW80" i="31"/>
  <c r="AX80" i="31"/>
  <c r="AO81" i="31"/>
  <c r="AP81" i="31"/>
  <c r="AQ81" i="31"/>
  <c r="AR81" i="31"/>
  <c r="AS81" i="31"/>
  <c r="AT81" i="31"/>
  <c r="AU81" i="31"/>
  <c r="AV81" i="31"/>
  <c r="AW81" i="31"/>
  <c r="AX81" i="31"/>
  <c r="AO82" i="31"/>
  <c r="AP82" i="31"/>
  <c r="AQ82" i="31"/>
  <c r="AR82" i="31"/>
  <c r="AS82" i="31"/>
  <c r="AT82" i="31"/>
  <c r="AU82" i="31"/>
  <c r="AV82" i="31"/>
  <c r="AW82" i="31"/>
  <c r="AX82" i="31"/>
  <c r="AO83" i="31"/>
  <c r="AP83" i="31"/>
  <c r="AQ83" i="31"/>
  <c r="AR83" i="31"/>
  <c r="AS83" i="31"/>
  <c r="AT83" i="31"/>
  <c r="AU83" i="31"/>
  <c r="AV83" i="31"/>
  <c r="AW83" i="31"/>
  <c r="AX83" i="31"/>
  <c r="AO84" i="31"/>
  <c r="AP84" i="31"/>
  <c r="AQ84" i="31"/>
  <c r="AR84" i="31"/>
  <c r="AS84" i="31"/>
  <c r="AT84" i="31"/>
  <c r="AU84" i="31"/>
  <c r="AV84" i="31"/>
  <c r="AW84" i="31"/>
  <c r="AX84" i="31"/>
  <c r="AO85" i="31"/>
  <c r="AP85" i="31"/>
  <c r="AQ85" i="31"/>
  <c r="AR85" i="31"/>
  <c r="AS85" i="31"/>
  <c r="AT85" i="31"/>
  <c r="AU85" i="31"/>
  <c r="AV85" i="31"/>
  <c r="AW85" i="31"/>
  <c r="AX85" i="31"/>
  <c r="AO86" i="31"/>
  <c r="AP86" i="31"/>
  <c r="AQ86" i="31"/>
  <c r="AR86" i="31"/>
  <c r="AS86" i="31"/>
  <c r="AT86" i="31"/>
  <c r="AU86" i="31"/>
  <c r="AV86" i="31"/>
  <c r="AW86" i="31"/>
  <c r="AX86" i="31"/>
  <c r="AO87" i="31"/>
  <c r="AP87" i="31"/>
  <c r="AQ87" i="31"/>
  <c r="AR87" i="31"/>
  <c r="AS87" i="31"/>
  <c r="AT87" i="31"/>
  <c r="AU87" i="31"/>
  <c r="AV87" i="31"/>
  <c r="AW87" i="31"/>
  <c r="AX87" i="31"/>
  <c r="AO88" i="31"/>
  <c r="AP88" i="31"/>
  <c r="AQ88" i="31"/>
  <c r="AR88" i="31"/>
  <c r="AS88" i="31"/>
  <c r="AT88" i="31"/>
  <c r="AU88" i="31"/>
  <c r="AV88" i="31"/>
  <c r="AW88" i="31"/>
  <c r="AX88" i="31"/>
  <c r="AO89" i="31"/>
  <c r="AP89" i="31"/>
  <c r="AQ89" i="31"/>
  <c r="AR89" i="31"/>
  <c r="AS89" i="31"/>
  <c r="AT89" i="31"/>
  <c r="AU89" i="31"/>
  <c r="AV89" i="31"/>
  <c r="AW89" i="31"/>
  <c r="AX89" i="31"/>
  <c r="AO90" i="31"/>
  <c r="AP90" i="31"/>
  <c r="AQ90" i="31"/>
  <c r="AR90" i="31"/>
  <c r="AS90" i="31"/>
  <c r="AT90" i="31"/>
  <c r="AU90" i="31"/>
  <c r="AV90" i="31"/>
  <c r="AW90" i="31"/>
  <c r="AX90" i="31"/>
  <c r="AO91" i="31"/>
  <c r="AP91" i="31"/>
  <c r="AQ91" i="31"/>
  <c r="AR91" i="31"/>
  <c r="AS91" i="31"/>
  <c r="AT91" i="31"/>
  <c r="AU91" i="31"/>
  <c r="AV91" i="31"/>
  <c r="AW91" i="31"/>
  <c r="AX91" i="31"/>
  <c r="AO92" i="31"/>
  <c r="AP92" i="31"/>
  <c r="AQ92" i="31"/>
  <c r="AR92" i="31"/>
  <c r="AS92" i="31"/>
  <c r="AT92" i="31"/>
  <c r="AU92" i="31"/>
  <c r="AV92" i="31"/>
  <c r="AW92" i="31"/>
  <c r="AX92" i="31"/>
  <c r="AX3" i="31"/>
  <c r="AW3" i="31"/>
  <c r="AV3" i="31"/>
  <c r="AU3" i="31"/>
  <c r="AT3" i="31"/>
  <c r="AS3" i="31"/>
  <c r="AR3" i="31"/>
  <c r="AQ3" i="31"/>
  <c r="AP3" i="31"/>
  <c r="AO3" i="31"/>
  <c r="AK3" i="31"/>
  <c r="AJ3" i="31"/>
  <c r="AI3" i="31"/>
  <c r="AH3" i="31"/>
  <c r="AG3" i="31"/>
  <c r="AF3" i="31"/>
  <c r="AE3" i="31"/>
  <c r="AD3" i="31"/>
  <c r="AC3" i="31"/>
  <c r="AB3" i="31"/>
  <c r="X3" i="31"/>
  <c r="W3" i="31"/>
  <c r="V3" i="31"/>
  <c r="U3" i="31"/>
  <c r="T3" i="31"/>
  <c r="S3" i="31"/>
  <c r="R3" i="31"/>
  <c r="Q3" i="31"/>
  <c r="P3" i="31"/>
  <c r="O3" i="31"/>
  <c r="K3" i="31"/>
  <c r="J3" i="31"/>
  <c r="I3" i="31"/>
  <c r="H3" i="31"/>
  <c r="G3" i="31"/>
  <c r="F3" i="31"/>
  <c r="E3" i="31"/>
  <c r="D3" i="31"/>
  <c r="C3" i="31"/>
  <c r="B3" i="31"/>
  <c r="I22" i="29"/>
  <c r="S22" i="29"/>
  <c r="V22" i="29"/>
  <c r="Y22" i="29"/>
  <c r="Y21" i="29"/>
  <c r="V21" i="29"/>
  <c r="S21" i="29"/>
  <c r="I21" i="29"/>
  <c r="I13" i="30"/>
  <c r="J13" i="30" s="1"/>
  <c r="I12" i="30"/>
  <c r="J12" i="30" s="1"/>
  <c r="I11" i="30"/>
  <c r="J11" i="30" s="1"/>
  <c r="I10" i="30"/>
  <c r="J10" i="30" s="1"/>
  <c r="I9" i="30"/>
  <c r="J9" i="30" s="1"/>
  <c r="I8" i="30"/>
  <c r="J8" i="30" s="1"/>
  <c r="I7" i="30"/>
  <c r="J7" i="30" s="1"/>
  <c r="I6" i="30"/>
  <c r="J6" i="30" s="1"/>
  <c r="I5" i="30"/>
  <c r="J5" i="30" s="1"/>
  <c r="I4" i="30"/>
  <c r="J4" i="30" s="1"/>
  <c r="P4" i="30"/>
  <c r="Q4" i="30" s="1"/>
  <c r="C13" i="30"/>
  <c r="C12" i="30"/>
  <c r="C11" i="30"/>
  <c r="C10" i="30"/>
  <c r="C9" i="30"/>
  <c r="P5" i="30"/>
  <c r="Q5" i="30" s="1"/>
  <c r="P6" i="30"/>
  <c r="Q6" i="30" s="1"/>
  <c r="P7" i="30"/>
  <c r="Q7" i="30" s="1"/>
  <c r="P8" i="30"/>
  <c r="Q8" i="30" s="1"/>
  <c r="P9" i="30"/>
  <c r="Q9" i="30" s="1"/>
  <c r="P10" i="30"/>
  <c r="Q10" i="30" s="1"/>
  <c r="P11" i="30"/>
  <c r="Q11" i="30" s="1"/>
  <c r="P12" i="30"/>
  <c r="Q12" i="30" s="1"/>
  <c r="P13" i="30"/>
  <c r="Q13" i="30" s="1"/>
  <c r="W4" i="30"/>
  <c r="X4" i="30" s="1"/>
  <c r="W5" i="30"/>
  <c r="X5" i="30" s="1"/>
  <c r="W6" i="30"/>
  <c r="X6" i="30" s="1"/>
  <c r="C8" i="30"/>
  <c r="C7" i="30"/>
  <c r="C6" i="30"/>
  <c r="C5" i="30"/>
  <c r="C4" i="30"/>
  <c r="W13" i="30"/>
  <c r="X13" i="30" s="1"/>
  <c r="W12" i="30"/>
  <c r="X12" i="30" s="1"/>
  <c r="W11" i="30"/>
  <c r="X11" i="30" s="1"/>
  <c r="W10" i="30"/>
  <c r="X10" i="30" s="1"/>
  <c r="W9" i="30"/>
  <c r="X9" i="30" s="1"/>
  <c r="W8" i="30"/>
  <c r="X8" i="30" s="1"/>
  <c r="W7" i="30"/>
  <c r="X7" i="30" s="1"/>
  <c r="B4" i="29"/>
  <c r="I17" i="29" l="1"/>
  <c r="AY3" i="31" l="1"/>
  <c r="AY4" i="31"/>
  <c r="AY5" i="31"/>
  <c r="AY6" i="31"/>
  <c r="AY7" i="31"/>
  <c r="AY8" i="31"/>
  <c r="AY9" i="31"/>
  <c r="AY10" i="31"/>
  <c r="AY11" i="31"/>
  <c r="AY12" i="31"/>
  <c r="AY13" i="31"/>
  <c r="AY14" i="31"/>
  <c r="AY15" i="31"/>
  <c r="AY16" i="31"/>
  <c r="AY17" i="31"/>
  <c r="AY18" i="31"/>
  <c r="AY19" i="31"/>
  <c r="AY20" i="31"/>
  <c r="AY21" i="31"/>
  <c r="AY22" i="31"/>
  <c r="AY23" i="31"/>
  <c r="AY24" i="31"/>
  <c r="AY25" i="31"/>
  <c r="AY26" i="31"/>
  <c r="AY27" i="31"/>
  <c r="AY28" i="31"/>
  <c r="AY29" i="31"/>
  <c r="AY30" i="31"/>
  <c r="AY31" i="31"/>
  <c r="AY32" i="31"/>
  <c r="AY33" i="31"/>
  <c r="AY34" i="31"/>
  <c r="AY35" i="31"/>
  <c r="AY36" i="31"/>
  <c r="AY37" i="31"/>
  <c r="AY38" i="31"/>
  <c r="AY39" i="31"/>
  <c r="AY40" i="31"/>
  <c r="AY41" i="31"/>
  <c r="AY42" i="31"/>
  <c r="AY43" i="31"/>
  <c r="AY44" i="31"/>
  <c r="AY45" i="31"/>
  <c r="AY46" i="31"/>
  <c r="AY47" i="31"/>
  <c r="AY48" i="31"/>
  <c r="AY49" i="31"/>
  <c r="AY50" i="31"/>
  <c r="AY51" i="31"/>
  <c r="AY52" i="31"/>
  <c r="AY53" i="31"/>
  <c r="AY54" i="31"/>
  <c r="AY55" i="31"/>
  <c r="AY56" i="31"/>
  <c r="AY57" i="31"/>
  <c r="AY58" i="31"/>
  <c r="AY59" i="31"/>
  <c r="AY60" i="31"/>
  <c r="AY61" i="31"/>
  <c r="AY62" i="31"/>
  <c r="AY63" i="31"/>
  <c r="AY64" i="31"/>
  <c r="AY65" i="31"/>
  <c r="AY66" i="31"/>
  <c r="AY67" i="31"/>
  <c r="AY68" i="31"/>
  <c r="AY69" i="31"/>
  <c r="AY70" i="31"/>
  <c r="AY71" i="31"/>
  <c r="AY72" i="31"/>
  <c r="AY73" i="31"/>
  <c r="AY74" i="31"/>
  <c r="AY75" i="31"/>
  <c r="AY76" i="31"/>
  <c r="AY77" i="31"/>
  <c r="AY78" i="31"/>
  <c r="AY79" i="31"/>
  <c r="AY80" i="31"/>
  <c r="AY81" i="31"/>
  <c r="AY82" i="31"/>
  <c r="AY83" i="31"/>
  <c r="AY84" i="31"/>
  <c r="AY85" i="31"/>
  <c r="AY86" i="31"/>
  <c r="AY87" i="31"/>
  <c r="AY88" i="31"/>
  <c r="AY89" i="31"/>
  <c r="AY90" i="31"/>
  <c r="AY91" i="31"/>
  <c r="AY92" i="31"/>
  <c r="AL3" i="31"/>
  <c r="AL4" i="31"/>
  <c r="AL5" i="31"/>
  <c r="AL6" i="31"/>
  <c r="AL7" i="31"/>
  <c r="AL8" i="31"/>
  <c r="AL9" i="31"/>
  <c r="AL10" i="31"/>
  <c r="AL11" i="31"/>
  <c r="AL12" i="31"/>
  <c r="AL13" i="31"/>
  <c r="AL14" i="31"/>
  <c r="AL15" i="31"/>
  <c r="AL16" i="31"/>
  <c r="AL17" i="31"/>
  <c r="AL18" i="31"/>
  <c r="AL19" i="31"/>
  <c r="AL20" i="31"/>
  <c r="AL21" i="31"/>
  <c r="AL22" i="31"/>
  <c r="AL23" i="31"/>
  <c r="AL24" i="31"/>
  <c r="AL25" i="31"/>
  <c r="AL26" i="31"/>
  <c r="AL27" i="31"/>
  <c r="AL28" i="31"/>
  <c r="AL29" i="31"/>
  <c r="AL30" i="31"/>
  <c r="AL31" i="31"/>
  <c r="AL32" i="31"/>
  <c r="AL33" i="31"/>
  <c r="AL34" i="31"/>
  <c r="AL35" i="31"/>
  <c r="AL36" i="31"/>
  <c r="AL37" i="31"/>
  <c r="AL38" i="31"/>
  <c r="AL39" i="31"/>
  <c r="AL40" i="31"/>
  <c r="AL41" i="31"/>
  <c r="AL42" i="31"/>
  <c r="AL43" i="31"/>
  <c r="AL44" i="31"/>
  <c r="AL45" i="31"/>
  <c r="AL46" i="31"/>
  <c r="AL47" i="31"/>
  <c r="AL48" i="31"/>
  <c r="AL49" i="31"/>
  <c r="AL50" i="31"/>
  <c r="AL51" i="31"/>
  <c r="AL52" i="31"/>
  <c r="AL53" i="31"/>
  <c r="AL54" i="31"/>
  <c r="AL55" i="31"/>
  <c r="AL56" i="31"/>
  <c r="AL57" i="31"/>
  <c r="AL58" i="31"/>
  <c r="AL59" i="31"/>
  <c r="AL60" i="31"/>
  <c r="AL61" i="31"/>
  <c r="AL62" i="31"/>
  <c r="AL63" i="31"/>
  <c r="AL64" i="31"/>
  <c r="AL65" i="31"/>
  <c r="AL66" i="31"/>
  <c r="AL67" i="31"/>
  <c r="AL68" i="31"/>
  <c r="AL69" i="31"/>
  <c r="AL70" i="31"/>
  <c r="AL71" i="31"/>
  <c r="AL72" i="31"/>
  <c r="AL73" i="31"/>
  <c r="AL74" i="31"/>
  <c r="AL75" i="31"/>
  <c r="AL76" i="31"/>
  <c r="AL77" i="31"/>
  <c r="AL78" i="31"/>
  <c r="AL79" i="31"/>
  <c r="AL80" i="31"/>
  <c r="AL81" i="31"/>
  <c r="AL82" i="31"/>
  <c r="AL83" i="31"/>
  <c r="AL84" i="31"/>
  <c r="AL85" i="31"/>
  <c r="AL86" i="31"/>
  <c r="AL87" i="31"/>
  <c r="AL88" i="31"/>
  <c r="AL89" i="31"/>
  <c r="AL90" i="31"/>
  <c r="AL91" i="31"/>
  <c r="AL92" i="31"/>
  <c r="Y3" i="31"/>
  <c r="Y4" i="31"/>
  <c r="Y5" i="31"/>
  <c r="Y6" i="31"/>
  <c r="Y7" i="31"/>
  <c r="Y8" i="31"/>
  <c r="Y9" i="31"/>
  <c r="Y10" i="31"/>
  <c r="Y11" i="31"/>
  <c r="Y12" i="31"/>
  <c r="Y13" i="31"/>
  <c r="Y14" i="31"/>
  <c r="Y15" i="31"/>
  <c r="Y16" i="31"/>
  <c r="Y17" i="31"/>
  <c r="Y18" i="31"/>
  <c r="Y19" i="31"/>
  <c r="Y20" i="31"/>
  <c r="Y21" i="31"/>
  <c r="Y22" i="31"/>
  <c r="Y23" i="31"/>
  <c r="Y24" i="31"/>
  <c r="Y25" i="31"/>
  <c r="Y26" i="31"/>
  <c r="Y27" i="31"/>
  <c r="Y28" i="31"/>
  <c r="Y29" i="31"/>
  <c r="Y30" i="31"/>
  <c r="Y31" i="31"/>
  <c r="Y32" i="31"/>
  <c r="Y33" i="31"/>
  <c r="Y34" i="31"/>
  <c r="Y35" i="31"/>
  <c r="Y36" i="31"/>
  <c r="Y37" i="31"/>
  <c r="Y38" i="31"/>
  <c r="Y39" i="31"/>
  <c r="Y40" i="31"/>
  <c r="Y41" i="31"/>
  <c r="Y42" i="31"/>
  <c r="Y43" i="31"/>
  <c r="Y44" i="31"/>
  <c r="Y45" i="31"/>
  <c r="Y46" i="31"/>
  <c r="Y47" i="31"/>
  <c r="Y48" i="31"/>
  <c r="Y49" i="31"/>
  <c r="Y50" i="31"/>
  <c r="Y51" i="31"/>
  <c r="Y52" i="31"/>
  <c r="Y53" i="31"/>
  <c r="Y54" i="31"/>
  <c r="Y55" i="31"/>
  <c r="Y56" i="31"/>
  <c r="Y57" i="31"/>
  <c r="Y58" i="31"/>
  <c r="Y59" i="31"/>
  <c r="Y60" i="31"/>
  <c r="Y61" i="31"/>
  <c r="Y62" i="31"/>
  <c r="Y63" i="31"/>
  <c r="Y64" i="31"/>
  <c r="Y65" i="31"/>
  <c r="Y66" i="31"/>
  <c r="Y67" i="31"/>
  <c r="Y68" i="31"/>
  <c r="Y69" i="31"/>
  <c r="Y70" i="31"/>
  <c r="Y71" i="31"/>
  <c r="Y72" i="31"/>
  <c r="Y73" i="31"/>
  <c r="Y74" i="31"/>
  <c r="Y75" i="31"/>
  <c r="Y76" i="31"/>
  <c r="Y77" i="31"/>
  <c r="Y78" i="31"/>
  <c r="Y79" i="31"/>
  <c r="Y80" i="31"/>
  <c r="Y81" i="31"/>
  <c r="Y82" i="31"/>
  <c r="Y83" i="31"/>
  <c r="Y84" i="31"/>
  <c r="Y85" i="31"/>
  <c r="Y86" i="31"/>
  <c r="Y87" i="31"/>
  <c r="Y88" i="31"/>
  <c r="Y89" i="31"/>
  <c r="Y90" i="31"/>
  <c r="Y91" i="31"/>
  <c r="Y92" i="31"/>
  <c r="L3" i="31"/>
  <c r="L4" i="31"/>
  <c r="L5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AN3" i="31"/>
  <c r="AN4" i="31"/>
  <c r="AN5" i="31"/>
  <c r="AN6" i="31"/>
  <c r="AN7" i="31"/>
  <c r="AN8" i="31"/>
  <c r="AN9" i="31"/>
  <c r="AN10" i="31"/>
  <c r="AN11" i="31"/>
  <c r="AN12" i="31"/>
  <c r="AN13" i="31"/>
  <c r="AN14" i="31"/>
  <c r="AN15" i="31"/>
  <c r="AN16" i="31"/>
  <c r="AN17" i="31"/>
  <c r="AN18" i="31"/>
  <c r="AN19" i="31"/>
  <c r="AN20" i="31"/>
  <c r="AN21" i="31"/>
  <c r="AN22" i="31"/>
  <c r="AN23" i="31"/>
  <c r="AN24" i="31"/>
  <c r="AN25" i="31"/>
  <c r="AN26" i="31"/>
  <c r="AN27" i="31"/>
  <c r="AN28" i="31"/>
  <c r="AN29" i="31"/>
  <c r="AN30" i="31"/>
  <c r="AN31" i="31"/>
  <c r="AN32" i="31"/>
  <c r="AN33" i="31"/>
  <c r="AN34" i="31"/>
  <c r="AN35" i="31"/>
  <c r="AN36" i="31"/>
  <c r="AN37" i="31"/>
  <c r="AN38" i="31"/>
  <c r="AN39" i="31"/>
  <c r="AN40" i="31"/>
  <c r="AN41" i="31"/>
  <c r="AN42" i="31"/>
  <c r="AN43" i="31"/>
  <c r="AN44" i="31"/>
  <c r="AN45" i="31"/>
  <c r="AN46" i="31"/>
  <c r="AN47" i="31"/>
  <c r="AN48" i="31"/>
  <c r="AN49" i="31"/>
  <c r="AN50" i="31"/>
  <c r="AN51" i="31"/>
  <c r="AN52" i="31"/>
  <c r="AN53" i="31"/>
  <c r="AN54" i="31"/>
  <c r="AN55" i="31"/>
  <c r="AN56" i="31"/>
  <c r="AN57" i="31"/>
  <c r="AN58" i="31"/>
  <c r="AN59" i="31"/>
  <c r="AN60" i="31"/>
  <c r="AN61" i="31"/>
  <c r="AN62" i="31"/>
  <c r="AN63" i="31"/>
  <c r="AN64" i="31"/>
  <c r="AN65" i="31"/>
  <c r="AN66" i="31"/>
  <c r="AN67" i="31"/>
  <c r="AN68" i="31"/>
  <c r="AN69" i="31"/>
  <c r="AN70" i="31"/>
  <c r="AN71" i="31"/>
  <c r="AN72" i="31"/>
  <c r="AN73" i="31"/>
  <c r="AN74" i="31"/>
  <c r="AN75" i="31"/>
  <c r="AN76" i="31"/>
  <c r="AN77" i="31"/>
  <c r="AN78" i="31"/>
  <c r="AN79" i="31"/>
  <c r="AN80" i="31"/>
  <c r="AN81" i="31"/>
  <c r="AN82" i="31"/>
  <c r="AN83" i="31"/>
  <c r="AN84" i="31"/>
  <c r="AN85" i="31"/>
  <c r="AN86" i="31"/>
  <c r="AN87" i="31"/>
  <c r="AN88" i="31"/>
  <c r="AN89" i="31"/>
  <c r="AN90" i="31"/>
  <c r="AN91" i="31"/>
  <c r="AN92" i="31"/>
  <c r="AA3" i="31"/>
  <c r="AA4" i="31"/>
  <c r="AA5" i="31"/>
  <c r="AA6" i="3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N3" i="31"/>
  <c r="N4" i="31"/>
  <c r="N5" i="31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N27" i="31"/>
  <c r="N28" i="31"/>
  <c r="N29" i="31"/>
  <c r="N30" i="31"/>
  <c r="N31" i="31"/>
  <c r="N32" i="31"/>
  <c r="N33" i="31"/>
  <c r="N34" i="31"/>
  <c r="N35" i="31"/>
  <c r="N36" i="31"/>
  <c r="N37" i="31"/>
  <c r="N38" i="31"/>
  <c r="N39" i="31"/>
  <c r="N40" i="31"/>
  <c r="N41" i="31"/>
  <c r="N42" i="31"/>
  <c r="N43" i="31"/>
  <c r="N44" i="31"/>
  <c r="N45" i="31"/>
  <c r="N46" i="31"/>
  <c r="N47" i="31"/>
  <c r="N48" i="31"/>
  <c r="N49" i="31"/>
  <c r="N50" i="31"/>
  <c r="N51" i="31"/>
  <c r="N52" i="31"/>
  <c r="N53" i="31"/>
  <c r="N54" i="31"/>
  <c r="N55" i="31"/>
  <c r="N56" i="31"/>
  <c r="N57" i="31"/>
  <c r="N58" i="31"/>
  <c r="N59" i="31"/>
  <c r="N60" i="31"/>
  <c r="N61" i="31"/>
  <c r="N62" i="31"/>
  <c r="N63" i="31"/>
  <c r="N64" i="31"/>
  <c r="N65" i="31"/>
  <c r="N66" i="31"/>
  <c r="N6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A3" i="31"/>
  <c r="A4" i="31"/>
  <c r="A5" i="31"/>
  <c r="A6" i="31"/>
  <c r="A7" i="31"/>
  <c r="A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Y23" i="29"/>
  <c r="V23" i="29"/>
  <c r="S23" i="29"/>
  <c r="I23" i="29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3" i="4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3" i="3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3" i="2"/>
  <c r="C4" i="29" l="1"/>
  <c r="M71" i="29"/>
  <c r="N71" i="29" s="1"/>
  <c r="L71" i="29"/>
  <c r="M70" i="29"/>
  <c r="N70" i="29" s="1"/>
  <c r="L70" i="29"/>
  <c r="M69" i="29"/>
  <c r="N69" i="29" s="1"/>
  <c r="L69" i="29"/>
  <c r="M68" i="29"/>
  <c r="N68" i="29" s="1"/>
  <c r="L68" i="29"/>
  <c r="M67" i="29"/>
  <c r="N67" i="29" s="1"/>
  <c r="L67" i="29"/>
  <c r="M66" i="29"/>
  <c r="N66" i="29" s="1"/>
  <c r="L66" i="29"/>
  <c r="M65" i="29"/>
  <c r="N65" i="29" s="1"/>
  <c r="L65" i="29"/>
  <c r="M64" i="29"/>
  <c r="N64" i="29" s="1"/>
  <c r="L64" i="29"/>
  <c r="M63" i="29"/>
  <c r="N63" i="29" s="1"/>
  <c r="L63" i="29"/>
  <c r="M62" i="29"/>
  <c r="N62" i="29" s="1"/>
  <c r="L62" i="29"/>
  <c r="M61" i="29"/>
  <c r="N61" i="29" s="1"/>
  <c r="L61" i="29"/>
  <c r="M60" i="29"/>
  <c r="N60" i="29" s="1"/>
  <c r="L60" i="29"/>
  <c r="M59" i="29"/>
  <c r="N59" i="29" s="1"/>
  <c r="L59" i="29"/>
  <c r="M58" i="29"/>
  <c r="N58" i="29" s="1"/>
  <c r="L58" i="29"/>
  <c r="M57" i="29"/>
  <c r="N57" i="29" s="1"/>
  <c r="L57" i="29"/>
  <c r="M56" i="29"/>
  <c r="N56" i="29" s="1"/>
  <c r="L56" i="29"/>
  <c r="M55" i="29"/>
  <c r="N55" i="29" s="1"/>
  <c r="L55" i="29"/>
  <c r="M54" i="29"/>
  <c r="N54" i="29" s="1"/>
  <c r="L54" i="29"/>
  <c r="M53" i="29"/>
  <c r="N53" i="29" s="1"/>
  <c r="L53" i="29"/>
  <c r="M52" i="29"/>
  <c r="N52" i="29" s="1"/>
  <c r="L52" i="29"/>
  <c r="M51" i="29"/>
  <c r="N51" i="29" s="1"/>
  <c r="L51" i="29"/>
  <c r="M50" i="29"/>
  <c r="N50" i="29" s="1"/>
  <c r="L50" i="29"/>
  <c r="M49" i="29"/>
  <c r="N49" i="29" s="1"/>
  <c r="L49" i="29"/>
  <c r="M48" i="29"/>
  <c r="N48" i="29" s="1"/>
  <c r="L48" i="29"/>
  <c r="M47" i="29"/>
  <c r="N47" i="29" s="1"/>
  <c r="L47" i="29"/>
  <c r="M46" i="29"/>
  <c r="N46" i="29" s="1"/>
  <c r="L46" i="29"/>
  <c r="M45" i="29"/>
  <c r="N45" i="29" s="1"/>
  <c r="L45" i="29"/>
  <c r="M44" i="29"/>
  <c r="N44" i="29" s="1"/>
  <c r="L44" i="29"/>
  <c r="M43" i="29"/>
  <c r="N43" i="29" s="1"/>
  <c r="L43" i="29"/>
  <c r="M42" i="29"/>
  <c r="N42" i="29" s="1"/>
  <c r="L42" i="29"/>
  <c r="M41" i="29"/>
  <c r="N41" i="29" s="1"/>
  <c r="L41" i="29"/>
  <c r="M40" i="29"/>
  <c r="N40" i="29" s="1"/>
  <c r="L40" i="29"/>
  <c r="M39" i="29"/>
  <c r="N39" i="29" s="1"/>
  <c r="L39" i="29"/>
  <c r="M38" i="29"/>
  <c r="N38" i="29" s="1"/>
  <c r="L38" i="29"/>
  <c r="M37" i="29"/>
  <c r="N37" i="29" s="1"/>
  <c r="L37" i="29"/>
  <c r="M36" i="29"/>
  <c r="N36" i="29" s="1"/>
  <c r="L36" i="29"/>
  <c r="M35" i="29"/>
  <c r="N35" i="29" s="1"/>
  <c r="L35" i="29"/>
  <c r="M34" i="29"/>
  <c r="N34" i="29" s="1"/>
  <c r="L34" i="29"/>
  <c r="M33" i="29"/>
  <c r="N33" i="29" s="1"/>
  <c r="L33" i="29"/>
  <c r="M32" i="29"/>
  <c r="N32" i="29" s="1"/>
  <c r="L32" i="29"/>
  <c r="M31" i="29"/>
  <c r="N31" i="29" s="1"/>
  <c r="L31" i="29"/>
  <c r="M30" i="29"/>
  <c r="N30" i="29" s="1"/>
  <c r="L30" i="29"/>
  <c r="M29" i="29"/>
  <c r="N29" i="29" s="1"/>
  <c r="L29" i="29"/>
  <c r="M28" i="29"/>
  <c r="N28" i="29" s="1"/>
  <c r="L28" i="29"/>
  <c r="M27" i="29"/>
  <c r="N27" i="29" s="1"/>
  <c r="L27" i="29"/>
  <c r="M26" i="29"/>
  <c r="N26" i="29" s="1"/>
  <c r="L26" i="29"/>
  <c r="M25" i="29"/>
  <c r="N25" i="29" s="1"/>
  <c r="L25" i="29"/>
  <c r="M24" i="29"/>
  <c r="N24" i="29" s="1"/>
  <c r="L24" i="29"/>
  <c r="M23" i="29"/>
  <c r="N23" i="29" s="1"/>
  <c r="L23" i="29"/>
  <c r="M22" i="29"/>
  <c r="N22" i="29" s="1"/>
  <c r="L22" i="29"/>
  <c r="M20" i="29"/>
  <c r="N20" i="29" s="1"/>
  <c r="L20" i="29"/>
  <c r="M19" i="29"/>
  <c r="N19" i="29" s="1"/>
  <c r="L19" i="29"/>
  <c r="M18" i="29"/>
  <c r="N18" i="29" s="1"/>
  <c r="L18" i="29"/>
  <c r="M17" i="29"/>
  <c r="N17" i="29" s="1"/>
  <c r="L17" i="29"/>
  <c r="I18" i="29"/>
  <c r="I19" i="29" s="1"/>
  <c r="V16" i="29"/>
  <c r="V17" i="29" s="1"/>
  <c r="V18" i="29" s="1"/>
  <c r="V19" i="29" s="1"/>
  <c r="V20" i="29" s="1"/>
  <c r="S16" i="29"/>
  <c r="S17" i="29" s="1"/>
  <c r="S18" i="29" s="1"/>
  <c r="S19" i="29" s="1"/>
  <c r="M16" i="29"/>
  <c r="N16" i="29" s="1"/>
  <c r="L16" i="29"/>
  <c r="I16" i="29"/>
  <c r="M15" i="29"/>
  <c r="N15" i="29" s="1"/>
  <c r="L15" i="29"/>
  <c r="Y14" i="29"/>
  <c r="V14" i="29"/>
  <c r="S14" i="29"/>
  <c r="M14" i="29"/>
  <c r="N14" i="29" s="1"/>
  <c r="L14" i="29"/>
  <c r="I14" i="29"/>
  <c r="M13" i="29"/>
  <c r="N13" i="29" s="1"/>
  <c r="L13" i="29"/>
  <c r="M12" i="29"/>
  <c r="N12" i="29" s="1"/>
  <c r="L12" i="29"/>
  <c r="M11" i="29"/>
  <c r="N11" i="29" s="1"/>
  <c r="L11" i="29"/>
  <c r="M10" i="29"/>
  <c r="N10" i="29" s="1"/>
  <c r="L10" i="29"/>
  <c r="M9" i="29"/>
  <c r="N9" i="29" s="1"/>
  <c r="L9" i="29"/>
  <c r="M8" i="29"/>
  <c r="N8" i="29" s="1"/>
  <c r="L8" i="29"/>
  <c r="M7" i="29"/>
  <c r="N7" i="29" s="1"/>
  <c r="L7" i="29"/>
  <c r="M6" i="29"/>
  <c r="N6" i="29" s="1"/>
  <c r="L6" i="29"/>
  <c r="M5" i="29"/>
  <c r="N5" i="29" s="1"/>
  <c r="L5" i="29"/>
  <c r="M4" i="29"/>
  <c r="N4" i="29" s="1"/>
  <c r="L4" i="29"/>
  <c r="D13" i="30" l="1"/>
  <c r="D9" i="30"/>
  <c r="D5" i="30"/>
  <c r="D11" i="30"/>
  <c r="D10" i="30"/>
  <c r="D12" i="30"/>
  <c r="D8" i="30"/>
  <c r="D4" i="30"/>
  <c r="D7" i="30"/>
  <c r="D6" i="30"/>
  <c r="V11" i="30"/>
  <c r="Y11" i="30" s="1"/>
  <c r="V7" i="30"/>
  <c r="Y7" i="30" s="1"/>
  <c r="O13" i="30"/>
  <c r="R13" i="30" s="1"/>
  <c r="O9" i="30"/>
  <c r="R9" i="30" s="1"/>
  <c r="O5" i="30"/>
  <c r="R5" i="30" s="1"/>
  <c r="H12" i="30"/>
  <c r="K12" i="30" s="1"/>
  <c r="H8" i="30"/>
  <c r="K8" i="30" s="1"/>
  <c r="V9" i="30"/>
  <c r="Y9" i="30" s="1"/>
  <c r="O11" i="30"/>
  <c r="R11" i="30" s="1"/>
  <c r="H4" i="30"/>
  <c r="K4" i="30" s="1"/>
  <c r="H6" i="30"/>
  <c r="K6" i="30" s="1"/>
  <c r="V12" i="30"/>
  <c r="Y12" i="30" s="1"/>
  <c r="V4" i="30"/>
  <c r="Y4" i="30" s="1"/>
  <c r="O6" i="30"/>
  <c r="R6" i="30" s="1"/>
  <c r="H9" i="30"/>
  <c r="K9" i="30" s="1"/>
  <c r="V10" i="30"/>
  <c r="Y10" i="30" s="1"/>
  <c r="V6" i="30"/>
  <c r="Y6" i="30" s="1"/>
  <c r="O12" i="30"/>
  <c r="R12" i="30" s="1"/>
  <c r="O8" i="30"/>
  <c r="R8" i="30" s="1"/>
  <c r="O4" i="30"/>
  <c r="R4" i="30" s="1"/>
  <c r="H11" i="30"/>
  <c r="K11" i="30" s="1"/>
  <c r="H7" i="30"/>
  <c r="K7" i="30" s="1"/>
  <c r="V13" i="30"/>
  <c r="Y13" i="30" s="1"/>
  <c r="V5" i="30"/>
  <c r="Y5" i="30" s="1"/>
  <c r="O7" i="30"/>
  <c r="R7" i="30" s="1"/>
  <c r="H10" i="30"/>
  <c r="K10" i="30" s="1"/>
  <c r="V8" i="30"/>
  <c r="Y8" i="30" s="1"/>
  <c r="O10" i="30"/>
  <c r="R10" i="30" s="1"/>
  <c r="H13" i="30"/>
  <c r="K13" i="30" s="1"/>
  <c r="H5" i="30"/>
  <c r="K5" i="30" s="1"/>
  <c r="S20" i="29"/>
  <c r="I20" i="29"/>
  <c r="O30" i="29"/>
  <c r="P30" i="29" s="1"/>
  <c r="O36" i="29"/>
  <c r="P36" i="29" s="1"/>
  <c r="O47" i="29"/>
  <c r="P47" i="29" s="1"/>
  <c r="O13" i="29"/>
  <c r="P13" i="29" s="1"/>
  <c r="O16" i="29"/>
  <c r="P16" i="29" s="1"/>
  <c r="O26" i="29"/>
  <c r="P26" i="29" s="1"/>
  <c r="O6" i="29"/>
  <c r="P6" i="29" s="1"/>
  <c r="O57" i="29"/>
  <c r="P57" i="29" s="1"/>
  <c r="O35" i="29"/>
  <c r="P35" i="29" s="1"/>
  <c r="O37" i="29"/>
  <c r="P37" i="29" s="1"/>
  <c r="O4" i="29"/>
  <c r="P4" i="29" s="1"/>
  <c r="O8" i="29"/>
  <c r="P8" i="29" s="1"/>
  <c r="O9" i="29"/>
  <c r="P9" i="29" s="1"/>
  <c r="O43" i="29"/>
  <c r="P43" i="29" s="1"/>
  <c r="O50" i="29"/>
  <c r="P50" i="29" s="1"/>
  <c r="O52" i="29"/>
  <c r="P52" i="29" s="1"/>
  <c r="O38" i="29"/>
  <c r="P38" i="29" s="1"/>
  <c r="O70" i="29"/>
  <c r="P70" i="29" s="1"/>
  <c r="O14" i="29"/>
  <c r="P14" i="29" s="1"/>
  <c r="O20" i="29"/>
  <c r="P20" i="29" s="1"/>
  <c r="O34" i="29"/>
  <c r="P34" i="29" s="1"/>
  <c r="O18" i="29"/>
  <c r="P18" i="29" s="1"/>
  <c r="O33" i="29"/>
  <c r="P33" i="29" s="1"/>
  <c r="O54" i="29"/>
  <c r="P54" i="29" s="1"/>
  <c r="O10" i="29"/>
  <c r="P10" i="29" s="1"/>
  <c r="O12" i="29"/>
  <c r="P12" i="29" s="1"/>
  <c r="O23" i="29"/>
  <c r="P23" i="29" s="1"/>
  <c r="O51" i="29"/>
  <c r="P51" i="29" s="1"/>
  <c r="O58" i="29"/>
  <c r="P58" i="29" s="1"/>
  <c r="O7" i="29"/>
  <c r="P7" i="29" s="1"/>
  <c r="O11" i="29"/>
  <c r="P11" i="29" s="1"/>
  <c r="O15" i="29"/>
  <c r="P15" i="29" s="1"/>
  <c r="O42" i="29"/>
  <c r="P42" i="29" s="1"/>
  <c r="O62" i="29"/>
  <c r="P62" i="29" s="1"/>
  <c r="O66" i="29"/>
  <c r="P66" i="29" s="1"/>
  <c r="O5" i="29"/>
  <c r="P5" i="29" s="1"/>
  <c r="O22" i="29"/>
  <c r="P22" i="29" s="1"/>
  <c r="O46" i="29"/>
  <c r="P46" i="29" s="1"/>
  <c r="O49" i="29"/>
  <c r="P49" i="29" s="1"/>
  <c r="O27" i="29"/>
  <c r="P27" i="29" s="1"/>
  <c r="O31" i="29"/>
  <c r="P31" i="29" s="1"/>
  <c r="O39" i="29"/>
  <c r="P39" i="29" s="1"/>
  <c r="O53" i="29"/>
  <c r="P53" i="29" s="1"/>
  <c r="O55" i="29"/>
  <c r="P55" i="29" s="1"/>
  <c r="O65" i="29"/>
  <c r="P65" i="29" s="1"/>
  <c r="O24" i="29"/>
  <c r="P24" i="29" s="1"/>
  <c r="O40" i="29"/>
  <c r="P40" i="29" s="1"/>
  <c r="O56" i="29"/>
  <c r="P56" i="29" s="1"/>
  <c r="O17" i="29"/>
  <c r="P17" i="29" s="1"/>
  <c r="O25" i="29"/>
  <c r="P25" i="29" s="1"/>
  <c r="O28" i="29"/>
  <c r="P28" i="29" s="1"/>
  <c r="O41" i="29"/>
  <c r="P41" i="29" s="1"/>
  <c r="O44" i="29"/>
  <c r="P44" i="29" s="1"/>
  <c r="O19" i="29"/>
  <c r="P19" i="29" s="1"/>
  <c r="O29" i="29"/>
  <c r="P29" i="29" s="1"/>
  <c r="O32" i="29"/>
  <c r="P32" i="29" s="1"/>
  <c r="O45" i="29"/>
  <c r="P45" i="29" s="1"/>
  <c r="O48" i="29"/>
  <c r="P48" i="29" s="1"/>
  <c r="O61" i="29"/>
  <c r="P61" i="29" s="1"/>
  <c r="O69" i="29"/>
  <c r="P69" i="29" s="1"/>
  <c r="O59" i="29"/>
  <c r="P59" i="29" s="1"/>
  <c r="O60" i="29"/>
  <c r="P60" i="29" s="1"/>
  <c r="O63" i="29"/>
  <c r="P63" i="29" s="1"/>
  <c r="O64" i="29"/>
  <c r="P64" i="29" s="1"/>
  <c r="O67" i="29"/>
  <c r="P67" i="29" s="1"/>
  <c r="O68" i="29"/>
  <c r="P68" i="29" s="1"/>
  <c r="O71" i="29"/>
  <c r="P71" i="29" s="1"/>
  <c r="B29" i="3"/>
  <c r="B28" i="3"/>
  <c r="G5" i="4"/>
  <c r="AS5" i="22" l="1"/>
  <c r="AS6" i="22" s="1"/>
  <c r="AS7" i="22" s="1"/>
  <c r="AS8" i="22" s="1"/>
  <c r="AS9" i="22" s="1"/>
  <c r="AS10" i="22" s="1"/>
  <c r="AS11" i="22" s="1"/>
  <c r="AS12" i="22" s="1"/>
  <c r="AS13" i="22" s="1"/>
  <c r="AS14" i="22" s="1"/>
  <c r="AS15" i="22" s="1"/>
  <c r="AS16" i="22" s="1"/>
  <c r="AS17" i="22" s="1"/>
  <c r="AS18" i="22" s="1"/>
  <c r="AS19" i="22" s="1"/>
  <c r="AS20" i="22" s="1"/>
  <c r="AS21" i="22" s="1"/>
  <c r="AS22" i="22" s="1"/>
  <c r="AS23" i="22" s="1"/>
  <c r="AS24" i="22" s="1"/>
  <c r="AS25" i="22" s="1"/>
  <c r="AS26" i="22" s="1"/>
  <c r="AS27" i="22" s="1"/>
  <c r="AS28" i="22" s="1"/>
  <c r="AS29" i="22" s="1"/>
  <c r="AS30" i="22" s="1"/>
  <c r="AS31" i="22" s="1"/>
  <c r="AS32" i="22" s="1"/>
  <c r="AS33" i="22" s="1"/>
  <c r="AS34" i="22" s="1"/>
  <c r="AS35" i="22" s="1"/>
  <c r="AS36" i="22" s="1"/>
  <c r="AS37" i="22" s="1"/>
  <c r="AS38" i="22" s="1"/>
  <c r="AS39" i="22" s="1"/>
  <c r="AS40" i="22" s="1"/>
  <c r="AS41" i="22" s="1"/>
  <c r="AS42" i="22" s="1"/>
  <c r="AS43" i="22" s="1"/>
  <c r="AS44" i="22" s="1"/>
  <c r="AS45" i="22" s="1"/>
  <c r="AS46" i="22" s="1"/>
  <c r="AS47" i="22" s="1"/>
  <c r="AS48" i="22" s="1"/>
  <c r="AS49" i="22" s="1"/>
  <c r="AS50" i="22" s="1"/>
  <c r="AS51" i="22" s="1"/>
  <c r="AS52" i="22" s="1"/>
  <c r="AS53" i="22" s="1"/>
  <c r="AS54" i="22" s="1"/>
  <c r="AS55" i="22" s="1"/>
  <c r="AS56" i="22" s="1"/>
  <c r="AS57" i="22" s="1"/>
  <c r="AS58" i="22" s="1"/>
  <c r="AS59" i="22" s="1"/>
  <c r="AS60" i="22" s="1"/>
  <c r="AS61" i="22" s="1"/>
  <c r="AS62" i="22" s="1"/>
  <c r="AS63" i="22" s="1"/>
  <c r="AS64" i="22" s="1"/>
  <c r="AS65" i="22" s="1"/>
  <c r="AS66" i="22" s="1"/>
  <c r="AS67" i="22" s="1"/>
  <c r="AS68" i="22" s="1"/>
  <c r="AS69" i="22" s="1"/>
  <c r="AS70" i="22" s="1"/>
  <c r="AS71" i="22" s="1"/>
  <c r="AS72" i="22" s="1"/>
  <c r="AS73" i="22" s="1"/>
  <c r="AS74" i="22" s="1"/>
  <c r="AS75" i="22" s="1"/>
  <c r="AS76" i="22" s="1"/>
  <c r="AS77" i="22" s="1"/>
  <c r="AS78" i="22" s="1"/>
  <c r="AS79" i="22" s="1"/>
  <c r="AS80" i="22" s="1"/>
  <c r="AS81" i="22" s="1"/>
  <c r="AS82" i="22" s="1"/>
  <c r="AS83" i="22" s="1"/>
  <c r="AS84" i="22" s="1"/>
  <c r="AS85" i="22" s="1"/>
  <c r="AS86" i="22" s="1"/>
  <c r="AS87" i="22" s="1"/>
  <c r="AS88" i="22" s="1"/>
  <c r="AS89" i="22" s="1"/>
  <c r="AS90" i="22" s="1"/>
  <c r="AS91" i="22" s="1"/>
  <c r="AS92" i="22" s="1"/>
  <c r="AS93" i="22" s="1"/>
  <c r="AS94" i="22" s="1"/>
  <c r="AM93" i="13" l="1"/>
  <c r="AK93" i="13"/>
  <c r="AM92" i="13"/>
  <c r="AK92" i="13"/>
  <c r="AM91" i="13"/>
  <c r="AK91" i="13"/>
  <c r="AM90" i="13"/>
  <c r="AK90" i="13"/>
  <c r="AM89" i="13"/>
  <c r="AK89" i="13"/>
  <c r="AM88" i="13"/>
  <c r="AK88" i="13"/>
  <c r="AM87" i="13"/>
  <c r="AK87" i="13"/>
  <c r="AM86" i="13"/>
  <c r="AK86" i="13"/>
  <c r="AM85" i="13"/>
  <c r="AK85" i="13"/>
  <c r="AM84" i="13"/>
  <c r="AK84" i="13"/>
  <c r="AM83" i="13"/>
  <c r="AK83" i="13"/>
  <c r="AM82" i="13"/>
  <c r="AK82" i="13"/>
  <c r="AM81" i="13"/>
  <c r="AK81" i="13"/>
  <c r="AM80" i="13"/>
  <c r="AK80" i="13"/>
  <c r="AM79" i="13"/>
  <c r="AK79" i="13"/>
  <c r="AM78" i="13"/>
  <c r="AK78" i="13"/>
  <c r="AM77" i="13"/>
  <c r="AK77" i="13"/>
  <c r="AM76" i="13"/>
  <c r="AK76" i="13"/>
  <c r="AM75" i="13"/>
  <c r="AK75" i="13"/>
  <c r="AM74" i="13"/>
  <c r="AK74" i="13"/>
  <c r="AM73" i="13"/>
  <c r="AK73" i="13"/>
  <c r="AM72" i="13"/>
  <c r="AK72" i="13"/>
  <c r="AM71" i="13"/>
  <c r="AK71" i="13"/>
  <c r="AM70" i="13"/>
  <c r="AK70" i="13"/>
  <c r="AM69" i="13"/>
  <c r="AK69" i="13"/>
  <c r="AM68" i="13"/>
  <c r="AK68" i="13"/>
  <c r="AM67" i="13"/>
  <c r="AK67" i="13"/>
  <c r="AM66" i="13"/>
  <c r="AK66" i="13"/>
  <c r="AM65" i="13"/>
  <c r="AK65" i="13"/>
  <c r="AM64" i="13"/>
  <c r="AK64" i="13"/>
  <c r="AM63" i="13"/>
  <c r="AK63" i="13"/>
  <c r="AM62" i="13"/>
  <c r="AK62" i="13"/>
  <c r="AM61" i="13"/>
  <c r="AK61" i="13"/>
  <c r="AM60" i="13"/>
  <c r="AK60" i="13"/>
  <c r="AM59" i="13"/>
  <c r="AK59" i="13"/>
  <c r="AM58" i="13"/>
  <c r="AK58" i="13"/>
  <c r="AM57" i="13"/>
  <c r="AK57" i="13"/>
  <c r="AM56" i="13"/>
  <c r="AK56" i="13"/>
  <c r="AM55" i="13"/>
  <c r="AK55" i="13"/>
  <c r="AM54" i="13"/>
  <c r="AK54" i="13"/>
  <c r="AM53" i="13"/>
  <c r="AK53" i="13"/>
  <c r="AM52" i="13"/>
  <c r="AK52" i="13"/>
  <c r="AM51" i="13"/>
  <c r="AK51" i="13"/>
  <c r="AM50" i="13"/>
  <c r="AK50" i="13"/>
  <c r="AM49" i="13"/>
  <c r="AK49" i="13"/>
  <c r="AM48" i="13"/>
  <c r="AK48" i="13"/>
  <c r="AM47" i="13"/>
  <c r="AK47" i="13"/>
  <c r="AM46" i="13"/>
  <c r="AK46" i="13"/>
  <c r="AM45" i="13"/>
  <c r="AK45" i="13"/>
  <c r="AM44" i="13"/>
  <c r="AK44" i="13"/>
  <c r="AM43" i="13"/>
  <c r="AK43" i="13"/>
  <c r="AM42" i="13"/>
  <c r="AK42" i="13"/>
  <c r="AM41" i="13"/>
  <c r="AK41" i="13"/>
  <c r="AM40" i="13"/>
  <c r="AK40" i="13"/>
  <c r="AM39" i="13"/>
  <c r="AK39" i="13"/>
  <c r="AM38" i="13"/>
  <c r="AK38" i="13"/>
  <c r="AM37" i="13"/>
  <c r="AK37" i="13"/>
  <c r="AM36" i="13"/>
  <c r="AK36" i="13"/>
  <c r="AM35" i="13"/>
  <c r="AK35" i="13"/>
  <c r="AM34" i="13"/>
  <c r="AK34" i="13"/>
  <c r="AM33" i="13"/>
  <c r="AK33" i="13"/>
  <c r="AM32" i="13"/>
  <c r="AK32" i="13"/>
  <c r="AM31" i="13"/>
  <c r="AK31" i="13"/>
  <c r="AM30" i="13"/>
  <c r="AK30" i="13"/>
  <c r="AM29" i="13"/>
  <c r="AK29" i="13"/>
  <c r="AM28" i="13"/>
  <c r="AK28" i="13"/>
  <c r="AM27" i="13"/>
  <c r="AK27" i="13"/>
  <c r="AM26" i="13"/>
  <c r="AK26" i="13"/>
  <c r="AM25" i="13"/>
  <c r="AK25" i="13"/>
  <c r="AM24" i="13"/>
  <c r="AK24" i="13"/>
  <c r="AM23" i="13"/>
  <c r="AK23" i="13"/>
  <c r="AM22" i="13"/>
  <c r="AK22" i="13"/>
  <c r="AM21" i="13"/>
  <c r="AK21" i="13"/>
  <c r="AM20" i="13"/>
  <c r="AK20" i="13"/>
  <c r="AM19" i="13"/>
  <c r="AK19" i="13"/>
  <c r="AM18" i="13"/>
  <c r="AK18" i="13"/>
  <c r="AM17" i="13"/>
  <c r="AK17" i="13"/>
  <c r="AM16" i="13"/>
  <c r="AK16" i="13"/>
  <c r="AM15" i="13"/>
  <c r="AK15" i="13"/>
  <c r="AM14" i="13"/>
  <c r="AK14" i="13"/>
  <c r="AM13" i="13"/>
  <c r="AK13" i="13"/>
  <c r="AM12" i="13"/>
  <c r="AK12" i="13"/>
  <c r="AM11" i="13"/>
  <c r="AK11" i="13"/>
  <c r="AM10" i="13"/>
  <c r="AK10" i="13"/>
  <c r="AM9" i="13"/>
  <c r="AK9" i="13"/>
  <c r="AM8" i="13"/>
  <c r="AK8" i="13"/>
  <c r="AM7" i="13"/>
  <c r="AK7" i="13"/>
  <c r="AM6" i="13"/>
  <c r="AK6" i="13"/>
  <c r="AM5" i="13"/>
  <c r="AK5" i="13"/>
  <c r="AM4" i="13"/>
  <c r="AK4" i="13"/>
  <c r="AG93" i="13"/>
  <c r="AE93" i="13"/>
  <c r="AG92" i="13"/>
  <c r="AE92" i="13"/>
  <c r="AG91" i="13"/>
  <c r="AE91" i="13"/>
  <c r="AG90" i="13"/>
  <c r="AE90" i="13"/>
  <c r="AG89" i="13"/>
  <c r="AE89" i="13"/>
  <c r="AG88" i="13"/>
  <c r="AE88" i="13"/>
  <c r="AG87" i="13"/>
  <c r="AE87" i="13"/>
  <c r="AG86" i="13"/>
  <c r="AE86" i="13"/>
  <c r="AG85" i="13"/>
  <c r="AE85" i="13"/>
  <c r="AG84" i="13"/>
  <c r="AE84" i="13"/>
  <c r="AG83" i="13"/>
  <c r="AE83" i="13"/>
  <c r="AG82" i="13"/>
  <c r="AE82" i="13"/>
  <c r="AG81" i="13"/>
  <c r="AE81" i="13"/>
  <c r="AG80" i="13"/>
  <c r="AE80" i="13"/>
  <c r="AG79" i="13"/>
  <c r="AE79" i="13"/>
  <c r="AG78" i="13"/>
  <c r="AE78" i="13"/>
  <c r="AG77" i="13"/>
  <c r="AE77" i="13"/>
  <c r="AG76" i="13"/>
  <c r="AE76" i="13"/>
  <c r="AG75" i="13"/>
  <c r="AE75" i="13"/>
  <c r="AG74" i="13"/>
  <c r="AE74" i="13"/>
  <c r="AG73" i="13"/>
  <c r="AE73" i="13"/>
  <c r="AG72" i="13"/>
  <c r="AE72" i="13"/>
  <c r="AG71" i="13"/>
  <c r="AE71" i="13"/>
  <c r="AG70" i="13"/>
  <c r="AE70" i="13"/>
  <c r="AG69" i="13"/>
  <c r="AE69" i="13"/>
  <c r="AG68" i="13"/>
  <c r="AE68" i="13"/>
  <c r="AG67" i="13"/>
  <c r="AE67" i="13"/>
  <c r="AG66" i="13"/>
  <c r="AE66" i="13"/>
  <c r="AG65" i="13"/>
  <c r="AE65" i="13"/>
  <c r="AG64" i="13"/>
  <c r="AE64" i="13"/>
  <c r="AG63" i="13"/>
  <c r="AE63" i="13"/>
  <c r="AG62" i="13"/>
  <c r="AE62" i="13"/>
  <c r="AG61" i="13"/>
  <c r="AE61" i="13"/>
  <c r="AG60" i="13"/>
  <c r="AE60" i="13"/>
  <c r="AG59" i="13"/>
  <c r="AE59" i="13"/>
  <c r="AG58" i="13"/>
  <c r="AE58" i="13"/>
  <c r="AG57" i="13"/>
  <c r="AE57" i="13"/>
  <c r="AG56" i="13"/>
  <c r="AE56" i="13"/>
  <c r="AG55" i="13"/>
  <c r="AE55" i="13"/>
  <c r="AG54" i="13"/>
  <c r="AE54" i="13"/>
  <c r="AG53" i="13"/>
  <c r="AE53" i="13"/>
  <c r="AG52" i="13"/>
  <c r="AE52" i="13"/>
  <c r="AG51" i="13"/>
  <c r="AE51" i="13"/>
  <c r="AG50" i="13"/>
  <c r="AE50" i="13"/>
  <c r="AG49" i="13"/>
  <c r="AE49" i="13"/>
  <c r="AG48" i="13"/>
  <c r="AE48" i="13"/>
  <c r="AG47" i="13"/>
  <c r="AE47" i="13"/>
  <c r="AG46" i="13"/>
  <c r="AE46" i="13"/>
  <c r="AG45" i="13"/>
  <c r="AE45" i="13"/>
  <c r="AG44" i="13"/>
  <c r="AE44" i="13"/>
  <c r="AG43" i="13"/>
  <c r="AE43" i="13"/>
  <c r="AG42" i="13"/>
  <c r="AE42" i="13"/>
  <c r="AG41" i="13"/>
  <c r="AE41" i="13"/>
  <c r="AG40" i="13"/>
  <c r="AE40" i="13"/>
  <c r="AG39" i="13"/>
  <c r="AE39" i="13"/>
  <c r="AG38" i="13"/>
  <c r="AE38" i="13"/>
  <c r="AG37" i="13"/>
  <c r="AE37" i="13"/>
  <c r="AG36" i="13"/>
  <c r="AE36" i="13"/>
  <c r="AG35" i="13"/>
  <c r="AE35" i="13"/>
  <c r="AG34" i="13"/>
  <c r="AE34" i="13"/>
  <c r="AG33" i="13"/>
  <c r="AE33" i="13"/>
  <c r="AG32" i="13"/>
  <c r="AE32" i="13"/>
  <c r="AG31" i="13"/>
  <c r="AE31" i="13"/>
  <c r="AG30" i="13"/>
  <c r="AE30" i="13"/>
  <c r="AG29" i="13"/>
  <c r="AE29" i="13"/>
  <c r="AG28" i="13"/>
  <c r="AE28" i="13"/>
  <c r="AG27" i="13"/>
  <c r="AE27" i="13"/>
  <c r="AG26" i="13"/>
  <c r="AE26" i="13"/>
  <c r="AG25" i="13"/>
  <c r="AE25" i="13"/>
  <c r="AG24" i="13"/>
  <c r="AE24" i="13"/>
  <c r="AG23" i="13"/>
  <c r="AE23" i="13"/>
  <c r="AG22" i="13"/>
  <c r="AE22" i="13"/>
  <c r="AG21" i="13"/>
  <c r="AE21" i="13"/>
  <c r="AG20" i="13"/>
  <c r="AE20" i="13"/>
  <c r="AG19" i="13"/>
  <c r="AE19" i="13"/>
  <c r="AG18" i="13"/>
  <c r="AE18" i="13"/>
  <c r="AG17" i="13"/>
  <c r="AE17" i="13"/>
  <c r="AG16" i="13"/>
  <c r="AE16" i="13"/>
  <c r="AG15" i="13"/>
  <c r="AE15" i="13"/>
  <c r="AG14" i="13"/>
  <c r="AE14" i="13"/>
  <c r="AG13" i="13"/>
  <c r="AE13" i="13"/>
  <c r="AG12" i="13"/>
  <c r="AE12" i="13"/>
  <c r="AG11" i="13"/>
  <c r="AE11" i="13"/>
  <c r="AG10" i="13"/>
  <c r="AE10" i="13"/>
  <c r="AG9" i="13"/>
  <c r="AE9" i="13"/>
  <c r="AG8" i="13"/>
  <c r="AE8" i="13"/>
  <c r="AG7" i="13"/>
  <c r="AE7" i="13"/>
  <c r="AG6" i="13"/>
  <c r="AE6" i="13"/>
  <c r="AG5" i="13"/>
  <c r="AE5" i="13"/>
  <c r="AG4" i="13"/>
  <c r="AE4" i="13"/>
  <c r="AA93" i="13"/>
  <c r="AA71" i="13"/>
  <c r="AA72" i="13"/>
  <c r="AA73" i="13"/>
  <c r="AA74" i="13"/>
  <c r="AA75" i="13"/>
  <c r="AA76" i="13"/>
  <c r="AA77" i="13"/>
  <c r="AA78" i="13"/>
  <c r="AA79" i="13"/>
  <c r="AA80" i="13"/>
  <c r="AA81" i="13"/>
  <c r="AA82" i="13"/>
  <c r="AA83" i="13"/>
  <c r="AA84" i="13"/>
  <c r="AA85" i="13"/>
  <c r="AA86" i="13"/>
  <c r="AA87" i="13"/>
  <c r="AA88" i="13"/>
  <c r="AA89" i="13"/>
  <c r="AA90" i="13"/>
  <c r="AA91" i="13"/>
  <c r="AA92" i="13"/>
  <c r="Y71" i="13"/>
  <c r="Y72" i="13"/>
  <c r="Y73" i="13"/>
  <c r="Y74" i="13"/>
  <c r="Y75" i="13"/>
  <c r="Y76" i="13"/>
  <c r="Y77" i="13"/>
  <c r="Y78" i="13"/>
  <c r="Y79" i="13"/>
  <c r="Y80" i="13"/>
  <c r="Y81" i="13"/>
  <c r="Y82" i="13"/>
  <c r="Y83" i="13"/>
  <c r="Y84" i="13"/>
  <c r="Y85" i="13"/>
  <c r="Y86" i="13"/>
  <c r="Y87" i="13"/>
  <c r="Y88" i="13"/>
  <c r="Y89" i="13"/>
  <c r="Y90" i="13"/>
  <c r="Y91" i="13"/>
  <c r="Y92" i="13"/>
  <c r="Y93" i="13"/>
  <c r="B3" i="25" l="1"/>
  <c r="J4" i="25"/>
  <c r="K4" i="25" s="1"/>
  <c r="B3" i="27"/>
  <c r="J4" i="27"/>
  <c r="J5" i="27" s="1"/>
  <c r="J6" i="27" s="1"/>
  <c r="J7" i="27" s="1"/>
  <c r="J8" i="27" s="1"/>
  <c r="J9" i="27" s="1"/>
  <c r="J10" i="27" s="1"/>
  <c r="J11" i="27" s="1"/>
  <c r="J12" i="27" s="1"/>
  <c r="B49" i="5"/>
  <c r="B36" i="5"/>
  <c r="B26" i="5"/>
  <c r="B5" i="5"/>
  <c r="B3" i="5"/>
  <c r="K4" i="27" l="1"/>
  <c r="J5" i="25"/>
  <c r="H3" i="25"/>
  <c r="B4" i="25"/>
  <c r="B5" i="25" s="1"/>
  <c r="K5" i="27"/>
  <c r="K7" i="27"/>
  <c r="K9" i="27"/>
  <c r="B4" i="27"/>
  <c r="J13" i="27"/>
  <c r="K12" i="27"/>
  <c r="K11" i="27"/>
  <c r="H3" i="27"/>
  <c r="K6" i="27"/>
  <c r="K8" i="27"/>
  <c r="K10" i="27"/>
  <c r="J6" i="25" l="1"/>
  <c r="K5" i="25"/>
  <c r="H4" i="25"/>
  <c r="B6" i="25"/>
  <c r="H5" i="25"/>
  <c r="B5" i="27"/>
  <c r="H4" i="27"/>
  <c r="J14" i="27"/>
  <c r="K13" i="27"/>
  <c r="J7" i="25" l="1"/>
  <c r="K6" i="25"/>
  <c r="H6" i="25"/>
  <c r="B7" i="25"/>
  <c r="J15" i="27"/>
  <c r="K14" i="27"/>
  <c r="B6" i="27"/>
  <c r="H5" i="27"/>
  <c r="J8" i="25" l="1"/>
  <c r="K7" i="25"/>
  <c r="H7" i="25"/>
  <c r="B8" i="25"/>
  <c r="H6" i="27"/>
  <c r="B7" i="27"/>
  <c r="J16" i="27"/>
  <c r="K15" i="27"/>
  <c r="J9" i="25" l="1"/>
  <c r="K8" i="25"/>
  <c r="B9" i="25"/>
  <c r="H8" i="25"/>
  <c r="J17" i="27"/>
  <c r="K16" i="27"/>
  <c r="B8" i="27"/>
  <c r="H7" i="27"/>
  <c r="B3" i="3"/>
  <c r="B5" i="3"/>
  <c r="B26" i="3"/>
  <c r="B36" i="3"/>
  <c r="B49" i="3"/>
  <c r="J10" i="25" l="1"/>
  <c r="K9" i="25"/>
  <c r="B10" i="25"/>
  <c r="H9" i="25"/>
  <c r="J18" i="27"/>
  <c r="K17" i="27"/>
  <c r="H8" i="27"/>
  <c r="B9" i="27"/>
  <c r="J11" i="25" l="1"/>
  <c r="K10" i="25"/>
  <c r="H10" i="25"/>
  <c r="B11" i="25"/>
  <c r="B10" i="27"/>
  <c r="H9" i="27"/>
  <c r="J19" i="27"/>
  <c r="K18" i="27"/>
  <c r="AJ3" i="12"/>
  <c r="AK3" i="12"/>
  <c r="AK4" i="12" s="1"/>
  <c r="AK5" i="12" s="1"/>
  <c r="AK6" i="12" s="1"/>
  <c r="AK7" i="12" s="1"/>
  <c r="AK8" i="12" s="1"/>
  <c r="AK9" i="12" s="1"/>
  <c r="AK10" i="12" s="1"/>
  <c r="AK11" i="12" s="1"/>
  <c r="AK12" i="12" s="1"/>
  <c r="AK13" i="12" s="1"/>
  <c r="AK14" i="12" s="1"/>
  <c r="AK15" i="12" s="1"/>
  <c r="AK16" i="12" s="1"/>
  <c r="AK17" i="12" s="1"/>
  <c r="AK18" i="12" s="1"/>
  <c r="AK19" i="12" s="1"/>
  <c r="AK20" i="12" s="1"/>
  <c r="AK21" i="12" s="1"/>
  <c r="AK22" i="12" s="1"/>
  <c r="AK23" i="12" s="1"/>
  <c r="AK24" i="12" s="1"/>
  <c r="AK25" i="12" s="1"/>
  <c r="AK26" i="12" s="1"/>
  <c r="AK27" i="12" s="1"/>
  <c r="AK28" i="12" s="1"/>
  <c r="AK29" i="12" s="1"/>
  <c r="AK30" i="12" s="1"/>
  <c r="AK31" i="12" s="1"/>
  <c r="AK32" i="12" s="1"/>
  <c r="AK33" i="12" s="1"/>
  <c r="AK34" i="12" s="1"/>
  <c r="AK35" i="12" s="1"/>
  <c r="AK36" i="12" s="1"/>
  <c r="AK37" i="12" s="1"/>
  <c r="AK38" i="12" s="1"/>
  <c r="AK39" i="12" s="1"/>
  <c r="AK40" i="12" s="1"/>
  <c r="AK41" i="12" s="1"/>
  <c r="AK42" i="12" s="1"/>
  <c r="AK43" i="12" s="1"/>
  <c r="AK44" i="12" s="1"/>
  <c r="AK45" i="12" s="1"/>
  <c r="AK46" i="12" s="1"/>
  <c r="AK47" i="12" s="1"/>
  <c r="AK48" i="12" s="1"/>
  <c r="AK49" i="12" s="1"/>
  <c r="AK50" i="12" s="1"/>
  <c r="AK51" i="12" s="1"/>
  <c r="AK52" i="12" s="1"/>
  <c r="AK53" i="12" s="1"/>
  <c r="AK54" i="12" s="1"/>
  <c r="AK55" i="12" s="1"/>
  <c r="AK56" i="12" s="1"/>
  <c r="AK57" i="12" s="1"/>
  <c r="AK58" i="12" s="1"/>
  <c r="AK59" i="12" s="1"/>
  <c r="AK60" i="12" s="1"/>
  <c r="AK61" i="12" s="1"/>
  <c r="AK62" i="12" s="1"/>
  <c r="AK63" i="12" s="1"/>
  <c r="AK64" i="12" s="1"/>
  <c r="AK65" i="12" s="1"/>
  <c r="AK66" i="12" s="1"/>
  <c r="AK67" i="12" s="1"/>
  <c r="AK68" i="12" s="1"/>
  <c r="AK69" i="12" s="1"/>
  <c r="AK70" i="12" s="1"/>
  <c r="AK71" i="12" s="1"/>
  <c r="AK72" i="12" s="1"/>
  <c r="AK73" i="12" s="1"/>
  <c r="AK74" i="12" s="1"/>
  <c r="AK75" i="12" s="1"/>
  <c r="AK76" i="12" s="1"/>
  <c r="AK77" i="12" s="1"/>
  <c r="AK78" i="12" s="1"/>
  <c r="AK79" i="12" s="1"/>
  <c r="AK80" i="12" s="1"/>
  <c r="AK81" i="12" s="1"/>
  <c r="AK82" i="12" s="1"/>
  <c r="AK83" i="12" s="1"/>
  <c r="AK84" i="12" s="1"/>
  <c r="AK85" i="12" s="1"/>
  <c r="AK86" i="12" s="1"/>
  <c r="AK87" i="12" s="1"/>
  <c r="AK88" i="12" s="1"/>
  <c r="AK89" i="12" s="1"/>
  <c r="AK90" i="12" s="1"/>
  <c r="AK91" i="12" s="1"/>
  <c r="AK92" i="12" s="1"/>
  <c r="Z3" i="12"/>
  <c r="Z4" i="12" s="1"/>
  <c r="Z5" i="12" s="1"/>
  <c r="Z6" i="12" s="1"/>
  <c r="Z7" i="12" s="1"/>
  <c r="Z8" i="12" s="1"/>
  <c r="Z9" i="12" s="1"/>
  <c r="Z10" i="12" s="1"/>
  <c r="Z11" i="12" s="1"/>
  <c r="Z12" i="12" s="1"/>
  <c r="Z13" i="12" s="1"/>
  <c r="Z14" i="12" s="1"/>
  <c r="Z15" i="12" s="1"/>
  <c r="Z16" i="12" s="1"/>
  <c r="Z17" i="12" s="1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Z29" i="12" s="1"/>
  <c r="Z30" i="12" s="1"/>
  <c r="Z31" i="12" s="1"/>
  <c r="Z32" i="12" s="1"/>
  <c r="Z33" i="12" s="1"/>
  <c r="Z34" i="12" s="1"/>
  <c r="Z35" i="12" s="1"/>
  <c r="Z36" i="12" s="1"/>
  <c r="Z37" i="12" s="1"/>
  <c r="Z38" i="12" s="1"/>
  <c r="Z39" i="12" s="1"/>
  <c r="Z40" i="12" s="1"/>
  <c r="Z41" i="12" s="1"/>
  <c r="Z42" i="12" s="1"/>
  <c r="Z43" i="12" s="1"/>
  <c r="Z44" i="12" s="1"/>
  <c r="Z45" i="12" s="1"/>
  <c r="Z46" i="12" s="1"/>
  <c r="Z47" i="12" s="1"/>
  <c r="Z48" i="12" s="1"/>
  <c r="Z49" i="12" s="1"/>
  <c r="Z50" i="12" s="1"/>
  <c r="Z51" i="12" s="1"/>
  <c r="Z52" i="12" s="1"/>
  <c r="Z53" i="12" s="1"/>
  <c r="Z54" i="12" s="1"/>
  <c r="Z55" i="12" s="1"/>
  <c r="Z56" i="12" s="1"/>
  <c r="Z57" i="12" s="1"/>
  <c r="Z58" i="12" s="1"/>
  <c r="Z59" i="12" s="1"/>
  <c r="Z60" i="12" s="1"/>
  <c r="Z61" i="12" s="1"/>
  <c r="Z62" i="12" s="1"/>
  <c r="Z63" i="12" s="1"/>
  <c r="Z64" i="12" s="1"/>
  <c r="Z65" i="12" s="1"/>
  <c r="Z66" i="12" s="1"/>
  <c r="Z67" i="12" s="1"/>
  <c r="Z68" i="12" s="1"/>
  <c r="Z69" i="12" s="1"/>
  <c r="Z70" i="12" s="1"/>
  <c r="Z71" i="12" s="1"/>
  <c r="Z72" i="12" s="1"/>
  <c r="Z73" i="12" s="1"/>
  <c r="Z74" i="12" s="1"/>
  <c r="Z75" i="12" s="1"/>
  <c r="Z76" i="12" s="1"/>
  <c r="Z77" i="12" s="1"/>
  <c r="Z78" i="12" s="1"/>
  <c r="Z79" i="12" s="1"/>
  <c r="Z80" i="12" s="1"/>
  <c r="Z81" i="12" s="1"/>
  <c r="Z82" i="12" s="1"/>
  <c r="Z83" i="12" s="1"/>
  <c r="Z84" i="12" s="1"/>
  <c r="Z85" i="12" s="1"/>
  <c r="Z86" i="12" s="1"/>
  <c r="Z87" i="12" s="1"/>
  <c r="Z88" i="12" s="1"/>
  <c r="Z89" i="12" s="1"/>
  <c r="Z90" i="12" s="1"/>
  <c r="Z91" i="12" s="1"/>
  <c r="Z92" i="12" s="1"/>
  <c r="AC3" i="12"/>
  <c r="AC4" i="12" s="1"/>
  <c r="AC5" i="12" s="1"/>
  <c r="AC6" i="12" s="1"/>
  <c r="AC7" i="12" s="1"/>
  <c r="AC8" i="12" s="1"/>
  <c r="AC9" i="12" s="1"/>
  <c r="AC10" i="12" s="1"/>
  <c r="AC11" i="12" s="1"/>
  <c r="AC12" i="12" s="1"/>
  <c r="AC13" i="12" s="1"/>
  <c r="AC14" i="12" s="1"/>
  <c r="AC15" i="12" s="1"/>
  <c r="AC16" i="12" s="1"/>
  <c r="AC17" i="12" s="1"/>
  <c r="AC18" i="12" s="1"/>
  <c r="AC19" i="12" s="1"/>
  <c r="AC20" i="12" s="1"/>
  <c r="AC21" i="12" s="1"/>
  <c r="AC22" i="12" s="1"/>
  <c r="AC23" i="12" s="1"/>
  <c r="AC24" i="12" s="1"/>
  <c r="AC25" i="12" s="1"/>
  <c r="AC26" i="12" s="1"/>
  <c r="AC27" i="12" s="1"/>
  <c r="AC28" i="12" s="1"/>
  <c r="AC29" i="12" s="1"/>
  <c r="AC30" i="12" s="1"/>
  <c r="AC31" i="12" s="1"/>
  <c r="AC32" i="12" s="1"/>
  <c r="AC33" i="12" s="1"/>
  <c r="AC34" i="12" s="1"/>
  <c r="AC35" i="12" s="1"/>
  <c r="AC36" i="12" s="1"/>
  <c r="AC37" i="12" s="1"/>
  <c r="AC38" i="12" s="1"/>
  <c r="AC39" i="12" s="1"/>
  <c r="AC40" i="12" s="1"/>
  <c r="AC41" i="12" s="1"/>
  <c r="AC42" i="12" s="1"/>
  <c r="AC43" i="12" s="1"/>
  <c r="AC44" i="12" s="1"/>
  <c r="AC45" i="12" s="1"/>
  <c r="AC46" i="12" s="1"/>
  <c r="AC47" i="12" s="1"/>
  <c r="AC48" i="12" s="1"/>
  <c r="AC49" i="12" s="1"/>
  <c r="AC50" i="12" s="1"/>
  <c r="AC51" i="12" s="1"/>
  <c r="AC52" i="12" s="1"/>
  <c r="AC53" i="12" s="1"/>
  <c r="AC54" i="12" s="1"/>
  <c r="AC55" i="12" s="1"/>
  <c r="AC56" i="12" s="1"/>
  <c r="AC57" i="12" s="1"/>
  <c r="AC58" i="12" s="1"/>
  <c r="AC59" i="12" s="1"/>
  <c r="AC60" i="12" s="1"/>
  <c r="AC61" i="12" s="1"/>
  <c r="AC62" i="12" s="1"/>
  <c r="AC63" i="12" s="1"/>
  <c r="AC64" i="12" s="1"/>
  <c r="AC65" i="12" s="1"/>
  <c r="AC66" i="12" s="1"/>
  <c r="AC67" i="12" s="1"/>
  <c r="AC68" i="12" s="1"/>
  <c r="AC69" i="12" s="1"/>
  <c r="AC70" i="12" s="1"/>
  <c r="AC71" i="12" s="1"/>
  <c r="AC72" i="12" s="1"/>
  <c r="AC73" i="12" s="1"/>
  <c r="AC74" i="12" s="1"/>
  <c r="AC75" i="12" s="1"/>
  <c r="AC76" i="12" s="1"/>
  <c r="AC77" i="12" s="1"/>
  <c r="AC78" i="12" s="1"/>
  <c r="AC79" i="12" s="1"/>
  <c r="AC80" i="12" s="1"/>
  <c r="AC81" i="12" s="1"/>
  <c r="AC82" i="12" s="1"/>
  <c r="AC83" i="12" s="1"/>
  <c r="AC84" i="12" s="1"/>
  <c r="AC85" i="12" s="1"/>
  <c r="AC86" i="12" s="1"/>
  <c r="AC87" i="12" s="1"/>
  <c r="AC88" i="12" s="1"/>
  <c r="AC89" i="12" s="1"/>
  <c r="AC90" i="12" s="1"/>
  <c r="AC91" i="12" s="1"/>
  <c r="AC92" i="12" s="1"/>
  <c r="R3" i="12"/>
  <c r="R4" i="12" s="1"/>
  <c r="R5" i="12" s="1"/>
  <c r="R6" i="12" s="1"/>
  <c r="R7" i="12" s="1"/>
  <c r="R8" i="12" s="1"/>
  <c r="R9" i="12" s="1"/>
  <c r="R10" i="12" s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6" i="12" s="1"/>
  <c r="R57" i="12" s="1"/>
  <c r="R58" i="12" s="1"/>
  <c r="R59" i="12" s="1"/>
  <c r="R60" i="12" s="1"/>
  <c r="R61" i="12" s="1"/>
  <c r="R62" i="12" s="1"/>
  <c r="R63" i="12" s="1"/>
  <c r="R64" i="12" s="1"/>
  <c r="R65" i="12" s="1"/>
  <c r="R66" i="12" s="1"/>
  <c r="R67" i="12" s="1"/>
  <c r="R68" i="12" s="1"/>
  <c r="R69" i="12" s="1"/>
  <c r="R70" i="12" s="1"/>
  <c r="R71" i="12" s="1"/>
  <c r="R72" i="12" s="1"/>
  <c r="R73" i="12" s="1"/>
  <c r="R74" i="12" s="1"/>
  <c r="R75" i="12" s="1"/>
  <c r="R76" i="12" s="1"/>
  <c r="R77" i="12" s="1"/>
  <c r="R78" i="12" s="1"/>
  <c r="R79" i="12" s="1"/>
  <c r="R80" i="12" s="1"/>
  <c r="R81" i="12" s="1"/>
  <c r="R82" i="12" s="1"/>
  <c r="R83" i="12" s="1"/>
  <c r="R84" i="12" s="1"/>
  <c r="R85" i="12" s="1"/>
  <c r="R86" i="12" s="1"/>
  <c r="R87" i="12" s="1"/>
  <c r="R88" i="12" s="1"/>
  <c r="R89" i="12" s="1"/>
  <c r="R90" i="12" s="1"/>
  <c r="R91" i="12" s="1"/>
  <c r="R92" i="12" s="1"/>
  <c r="Y3" i="12"/>
  <c r="Y4" i="12" s="1"/>
  <c r="Y5" i="12" s="1"/>
  <c r="Y6" i="12" s="1"/>
  <c r="Y7" i="12" s="1"/>
  <c r="Y8" i="12" s="1"/>
  <c r="Y9" i="12" s="1"/>
  <c r="Y10" i="12" s="1"/>
  <c r="Y11" i="12" s="1"/>
  <c r="Y12" i="12" s="1"/>
  <c r="Y13" i="12" s="1"/>
  <c r="Y14" i="12" s="1"/>
  <c r="Y15" i="12" s="1"/>
  <c r="Y16" i="12" s="1"/>
  <c r="Y17" i="12" s="1"/>
  <c r="Y18" i="12" s="1"/>
  <c r="Y19" i="12" s="1"/>
  <c r="Y20" i="12" s="1"/>
  <c r="Y21" i="12" s="1"/>
  <c r="Y22" i="12" s="1"/>
  <c r="Y23" i="12" s="1"/>
  <c r="Y24" i="12" s="1"/>
  <c r="Y25" i="12" s="1"/>
  <c r="Y26" i="12" s="1"/>
  <c r="Y27" i="12" s="1"/>
  <c r="Y28" i="12" s="1"/>
  <c r="Y29" i="12" s="1"/>
  <c r="Y30" i="12" s="1"/>
  <c r="Y31" i="12" s="1"/>
  <c r="Y32" i="12" s="1"/>
  <c r="Y33" i="12" s="1"/>
  <c r="Y34" i="12" s="1"/>
  <c r="Y35" i="12" s="1"/>
  <c r="Y36" i="12" s="1"/>
  <c r="Y37" i="12" s="1"/>
  <c r="Y38" i="12" s="1"/>
  <c r="Y39" i="12" s="1"/>
  <c r="Y40" i="12" s="1"/>
  <c r="Y41" i="12" s="1"/>
  <c r="Y42" i="12" s="1"/>
  <c r="Y43" i="12" s="1"/>
  <c r="Y44" i="12" s="1"/>
  <c r="Y45" i="12" s="1"/>
  <c r="Y46" i="12" s="1"/>
  <c r="Y47" i="12" s="1"/>
  <c r="Y48" i="12" s="1"/>
  <c r="Y49" i="12" s="1"/>
  <c r="Y50" i="12" s="1"/>
  <c r="Y51" i="12" s="1"/>
  <c r="Y52" i="12" s="1"/>
  <c r="Y53" i="12" s="1"/>
  <c r="Y54" i="12" s="1"/>
  <c r="Y55" i="12" s="1"/>
  <c r="Y56" i="12" s="1"/>
  <c r="Y57" i="12" s="1"/>
  <c r="Y58" i="12" s="1"/>
  <c r="Y59" i="12" s="1"/>
  <c r="Y60" i="12" s="1"/>
  <c r="Y61" i="12" s="1"/>
  <c r="Y62" i="12" s="1"/>
  <c r="Y63" i="12" s="1"/>
  <c r="Y64" i="12" s="1"/>
  <c r="Y65" i="12" s="1"/>
  <c r="Y66" i="12" s="1"/>
  <c r="Y67" i="12" s="1"/>
  <c r="Y68" i="12" s="1"/>
  <c r="Y69" i="12" s="1"/>
  <c r="Y70" i="12" s="1"/>
  <c r="N3" i="12"/>
  <c r="N4" i="12" s="1"/>
  <c r="N5" i="12" s="1"/>
  <c r="N6" i="12" s="1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O3" i="12"/>
  <c r="O4" i="12" s="1"/>
  <c r="O5" i="12" s="1"/>
  <c r="O6" i="12" s="1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J12" i="25" l="1"/>
  <c r="K11" i="25"/>
  <c r="H11" i="25"/>
  <c r="B12" i="25"/>
  <c r="B11" i="27"/>
  <c r="H10" i="27"/>
  <c r="J20" i="27"/>
  <c r="K19" i="27"/>
  <c r="Y71" i="12"/>
  <c r="N71" i="12"/>
  <c r="J13" i="25" l="1"/>
  <c r="K12" i="25"/>
  <c r="H12" i="25"/>
  <c r="B13" i="25"/>
  <c r="J21" i="27"/>
  <c r="K20" i="27"/>
  <c r="H11" i="27"/>
  <c r="B12" i="27"/>
  <c r="Y72" i="12"/>
  <c r="N72" i="12"/>
  <c r="G3" i="2"/>
  <c r="J14" i="25" l="1"/>
  <c r="K13" i="25"/>
  <c r="H13" i="25"/>
  <c r="B14" i="25"/>
  <c r="J22" i="27"/>
  <c r="K21" i="27"/>
  <c r="B13" i="27"/>
  <c r="H12" i="27"/>
  <c r="Y73" i="12"/>
  <c r="N73" i="12"/>
  <c r="B49" i="4"/>
  <c r="B3" i="26"/>
  <c r="J4" i="26"/>
  <c r="J5" i="26" s="1"/>
  <c r="K4" i="26" l="1"/>
  <c r="J15" i="25"/>
  <c r="K14" i="25"/>
  <c r="H14" i="25"/>
  <c r="B15" i="25"/>
  <c r="H13" i="27"/>
  <c r="B14" i="27"/>
  <c r="K22" i="27"/>
  <c r="J23" i="27"/>
  <c r="H3" i="26"/>
  <c r="Y74" i="12"/>
  <c r="N74" i="12"/>
  <c r="K5" i="26"/>
  <c r="J6" i="26"/>
  <c r="B4" i="26"/>
  <c r="J16" i="25" l="1"/>
  <c r="K15" i="25"/>
  <c r="H15" i="25"/>
  <c r="B16" i="25"/>
  <c r="K23" i="27"/>
  <c r="J24" i="27"/>
  <c r="B15" i="27"/>
  <c r="H14" i="27"/>
  <c r="Y75" i="12"/>
  <c r="N75" i="12"/>
  <c r="B5" i="26"/>
  <c r="H4" i="26"/>
  <c r="J7" i="26"/>
  <c r="K6" i="26"/>
  <c r="J17" i="25" l="1"/>
  <c r="K16" i="25"/>
  <c r="B17" i="25"/>
  <c r="H16" i="25"/>
  <c r="B16" i="27"/>
  <c r="H15" i="27"/>
  <c r="J25" i="27"/>
  <c r="K24" i="27"/>
  <c r="Y76" i="12"/>
  <c r="N76" i="12"/>
  <c r="J8" i="26"/>
  <c r="K7" i="26"/>
  <c r="B6" i="26"/>
  <c r="H5" i="26"/>
  <c r="B26" i="4"/>
  <c r="H71" i="22"/>
  <c r="AD5" i="22"/>
  <c r="AD6" i="22" s="1"/>
  <c r="AD7" i="22" s="1"/>
  <c r="O5" i="22"/>
  <c r="O6" i="22" s="1"/>
  <c r="O7" i="22" s="1"/>
  <c r="O8" i="22" s="1"/>
  <c r="BD4" i="22"/>
  <c r="AO4" i="22"/>
  <c r="Z4" i="22"/>
  <c r="A4" i="22"/>
  <c r="K4" i="22" s="1"/>
  <c r="J18" i="25" l="1"/>
  <c r="K17" i="25"/>
  <c r="H17" i="25"/>
  <c r="B18" i="25"/>
  <c r="B17" i="27"/>
  <c r="H16" i="27"/>
  <c r="K25" i="27"/>
  <c r="J26" i="27"/>
  <c r="Y77" i="12"/>
  <c r="N77" i="12"/>
  <c r="B7" i="26"/>
  <c r="H6" i="26"/>
  <c r="K8" i="26"/>
  <c r="J9" i="26"/>
  <c r="O9" i="22"/>
  <c r="A5" i="22"/>
  <c r="P5" i="22"/>
  <c r="AE5" i="22"/>
  <c r="AT5" i="22"/>
  <c r="AT6" i="22" s="1"/>
  <c r="AD8" i="22"/>
  <c r="J19" i="25" l="1"/>
  <c r="K18" i="25"/>
  <c r="B19" i="25"/>
  <c r="H18" i="25"/>
  <c r="J27" i="27"/>
  <c r="K26" i="27"/>
  <c r="B18" i="27"/>
  <c r="H17" i="27"/>
  <c r="Y78" i="12"/>
  <c r="N78" i="12"/>
  <c r="J10" i="26"/>
  <c r="K9" i="26"/>
  <c r="B8" i="26"/>
  <c r="H7" i="26"/>
  <c r="BD6" i="22"/>
  <c r="Z5" i="22"/>
  <c r="P6" i="22"/>
  <c r="AT7" i="22"/>
  <c r="AT8" i="22" s="1"/>
  <c r="AO5" i="22"/>
  <c r="AE6" i="22"/>
  <c r="AD9" i="22"/>
  <c r="K5" i="22"/>
  <c r="A6" i="22"/>
  <c r="BD5" i="22"/>
  <c r="O10" i="22"/>
  <c r="J20" i="25" l="1"/>
  <c r="K19" i="25"/>
  <c r="H19" i="25"/>
  <c r="B20" i="25"/>
  <c r="B19" i="27"/>
  <c r="H18" i="27"/>
  <c r="J28" i="27"/>
  <c r="K27" i="27"/>
  <c r="Y79" i="12"/>
  <c r="N79" i="12"/>
  <c r="B9" i="26"/>
  <c r="H8" i="26"/>
  <c r="J11" i="26"/>
  <c r="K10" i="26"/>
  <c r="O11" i="22"/>
  <c r="A7" i="22"/>
  <c r="K6" i="22"/>
  <c r="Z6" i="22"/>
  <c r="P7" i="22"/>
  <c r="AO6" i="22"/>
  <c r="AE7" i="22"/>
  <c r="AT9" i="22"/>
  <c r="AD10" i="22"/>
  <c r="BD8" i="22"/>
  <c r="BD7" i="22"/>
  <c r="J21" i="25" l="1"/>
  <c r="K20" i="25"/>
  <c r="H20" i="25"/>
  <c r="B21" i="25"/>
  <c r="B20" i="27"/>
  <c r="H19" i="27"/>
  <c r="K28" i="27"/>
  <c r="J29" i="27"/>
  <c r="Y80" i="12"/>
  <c r="N80" i="12"/>
  <c r="K11" i="26"/>
  <c r="J12" i="26"/>
  <c r="B10" i="26"/>
  <c r="H9" i="26"/>
  <c r="AD11" i="22"/>
  <c r="BD9" i="22"/>
  <c r="AT10" i="22"/>
  <c r="AO7" i="22"/>
  <c r="AE8" i="22"/>
  <c r="Z7" i="22"/>
  <c r="P8" i="22"/>
  <c r="O12" i="22"/>
  <c r="A8" i="22"/>
  <c r="K7" i="22"/>
  <c r="J22" i="25" l="1"/>
  <c r="K21" i="25"/>
  <c r="B22" i="25"/>
  <c r="H21" i="25"/>
  <c r="J30" i="27"/>
  <c r="K29" i="27"/>
  <c r="B21" i="27"/>
  <c r="H20" i="27"/>
  <c r="Y81" i="12"/>
  <c r="N81" i="12"/>
  <c r="B11" i="26"/>
  <c r="H10" i="26"/>
  <c r="J13" i="26"/>
  <c r="K12" i="26"/>
  <c r="Z8" i="22"/>
  <c r="P9" i="22"/>
  <c r="O13" i="22"/>
  <c r="BD10" i="22"/>
  <c r="AD12" i="22"/>
  <c r="K8" i="22"/>
  <c r="A9" i="22"/>
  <c r="AO8" i="22"/>
  <c r="AE9" i="22"/>
  <c r="AT11" i="22"/>
  <c r="J23" i="25" l="1"/>
  <c r="K22" i="25"/>
  <c r="H22" i="25"/>
  <c r="B23" i="25"/>
  <c r="B22" i="27"/>
  <c r="H21" i="27"/>
  <c r="K30" i="27"/>
  <c r="J31" i="27"/>
  <c r="Y82" i="12"/>
  <c r="N82" i="12"/>
  <c r="K13" i="26"/>
  <c r="J14" i="26"/>
  <c r="B12" i="26"/>
  <c r="H11" i="26"/>
  <c r="AT12" i="22"/>
  <c r="AD13" i="22"/>
  <c r="Z9" i="22"/>
  <c r="P10" i="22"/>
  <c r="BD11" i="22"/>
  <c r="O14" i="22"/>
  <c r="AO9" i="22"/>
  <c r="AE10" i="22"/>
  <c r="K9" i="22"/>
  <c r="A10" i="22"/>
  <c r="J24" i="25" l="1"/>
  <c r="K23" i="25"/>
  <c r="H23" i="25"/>
  <c r="B24" i="25"/>
  <c r="B23" i="27"/>
  <c r="H22" i="27"/>
  <c r="J32" i="27"/>
  <c r="K31" i="27"/>
  <c r="Y83" i="12"/>
  <c r="N83" i="12"/>
  <c r="B13" i="26"/>
  <c r="H12" i="26"/>
  <c r="J15" i="26"/>
  <c r="K14" i="26"/>
  <c r="A11" i="22"/>
  <c r="K10" i="22"/>
  <c r="AO10" i="22"/>
  <c r="AE11" i="22"/>
  <c r="AD14" i="22"/>
  <c r="AT13" i="22"/>
  <c r="O15" i="22"/>
  <c r="Z10" i="22"/>
  <c r="P11" i="22"/>
  <c r="BD12" i="22"/>
  <c r="J25" i="25" l="1"/>
  <c r="K24" i="25"/>
  <c r="B25" i="25"/>
  <c r="H24" i="25"/>
  <c r="H23" i="27"/>
  <c r="B24" i="27"/>
  <c r="K32" i="27"/>
  <c r="J33" i="27"/>
  <c r="Y84" i="12"/>
  <c r="N84" i="12"/>
  <c r="K15" i="26"/>
  <c r="J16" i="26"/>
  <c r="B14" i="26"/>
  <c r="H13" i="26"/>
  <c r="O16" i="22"/>
  <c r="AO11" i="22"/>
  <c r="AE12" i="22"/>
  <c r="A12" i="22"/>
  <c r="K11" i="22"/>
  <c r="Z11" i="22"/>
  <c r="P12" i="22"/>
  <c r="BD13" i="22"/>
  <c r="AT14" i="22"/>
  <c r="AD15" i="22"/>
  <c r="J26" i="25" l="1"/>
  <c r="K25" i="25"/>
  <c r="H25" i="25"/>
  <c r="B26" i="25"/>
  <c r="J34" i="27"/>
  <c r="K33" i="27"/>
  <c r="B25" i="27"/>
  <c r="H24" i="27"/>
  <c r="Y85" i="12"/>
  <c r="N85" i="12"/>
  <c r="B15" i="26"/>
  <c r="H14" i="26"/>
  <c r="K16" i="26"/>
  <c r="J17" i="26"/>
  <c r="A13" i="22"/>
  <c r="K12" i="22"/>
  <c r="O17" i="22"/>
  <c r="AD16" i="22"/>
  <c r="Z12" i="22"/>
  <c r="P13" i="22"/>
  <c r="AO12" i="22"/>
  <c r="AE13" i="22"/>
  <c r="AT15" i="22"/>
  <c r="BD14" i="22"/>
  <c r="J27" i="25" l="1"/>
  <c r="K26" i="25"/>
  <c r="B27" i="25"/>
  <c r="H26" i="25"/>
  <c r="K34" i="27"/>
  <c r="J35" i="27"/>
  <c r="B26" i="27"/>
  <c r="H25" i="27"/>
  <c r="Y86" i="12"/>
  <c r="N86" i="12"/>
  <c r="K17" i="26"/>
  <c r="J18" i="26"/>
  <c r="B16" i="26"/>
  <c r="H15" i="26"/>
  <c r="Z13" i="22"/>
  <c r="P14" i="22"/>
  <c r="AT16" i="22"/>
  <c r="AO13" i="22"/>
  <c r="AE14" i="22"/>
  <c r="K13" i="22"/>
  <c r="A14" i="22"/>
  <c r="AD17" i="22"/>
  <c r="BD15" i="22"/>
  <c r="O18" i="22"/>
  <c r="J28" i="25" l="1"/>
  <c r="K27" i="25"/>
  <c r="H27" i="25"/>
  <c r="B28" i="25"/>
  <c r="J36" i="27"/>
  <c r="K35" i="27"/>
  <c r="B27" i="27"/>
  <c r="H26" i="27"/>
  <c r="Y87" i="12"/>
  <c r="N87" i="12"/>
  <c r="B17" i="26"/>
  <c r="H16" i="26"/>
  <c r="J19" i="26"/>
  <c r="K18" i="26"/>
  <c r="AT17" i="22"/>
  <c r="Z14" i="22"/>
  <c r="P15" i="22"/>
  <c r="O19" i="22"/>
  <c r="AO14" i="22"/>
  <c r="AE15" i="22"/>
  <c r="BD16" i="22"/>
  <c r="A15" i="22"/>
  <c r="K14" i="22"/>
  <c r="AD18" i="22"/>
  <c r="J29" i="25" l="1"/>
  <c r="K28" i="25"/>
  <c r="H28" i="25"/>
  <c r="B29" i="25"/>
  <c r="B28" i="27"/>
  <c r="H27" i="27"/>
  <c r="K36" i="27"/>
  <c r="J37" i="27"/>
  <c r="Y88" i="12"/>
  <c r="N88" i="12"/>
  <c r="K19" i="26"/>
  <c r="J20" i="26"/>
  <c r="B18" i="26"/>
  <c r="H17" i="26"/>
  <c r="AD19" i="22"/>
  <c r="BD17" i="22"/>
  <c r="A16" i="22"/>
  <c r="K15" i="22"/>
  <c r="AO15" i="22"/>
  <c r="AE16" i="22"/>
  <c r="Z15" i="22"/>
  <c r="P16" i="22"/>
  <c r="AT18" i="22"/>
  <c r="O20" i="22"/>
  <c r="J30" i="25" l="1"/>
  <c r="K29" i="25"/>
  <c r="B30" i="25"/>
  <c r="H29" i="25"/>
  <c r="J38" i="27"/>
  <c r="K37" i="27"/>
  <c r="B29" i="27"/>
  <c r="H28" i="27"/>
  <c r="Y89" i="12"/>
  <c r="N89" i="12"/>
  <c r="B19" i="26"/>
  <c r="H18" i="26"/>
  <c r="J21" i="26"/>
  <c r="K20" i="26"/>
  <c r="BD18" i="22"/>
  <c r="AT19" i="22"/>
  <c r="AO16" i="22"/>
  <c r="AE17" i="22"/>
  <c r="A17" i="22"/>
  <c r="K16" i="22"/>
  <c r="AD20" i="22"/>
  <c r="O21" i="22"/>
  <c r="Z16" i="22"/>
  <c r="P17" i="22"/>
  <c r="J31" i="25" l="1"/>
  <c r="K30" i="25"/>
  <c r="H30" i="25"/>
  <c r="B31" i="25"/>
  <c r="H29" i="27"/>
  <c r="B30" i="27"/>
  <c r="K38" i="27"/>
  <c r="J39" i="27"/>
  <c r="Y90" i="12"/>
  <c r="N90" i="12"/>
  <c r="J22" i="26"/>
  <c r="K21" i="26"/>
  <c r="H19" i="26"/>
  <c r="B20" i="26"/>
  <c r="AD21" i="22"/>
  <c r="BD19" i="22"/>
  <c r="O22" i="22"/>
  <c r="AO17" i="22"/>
  <c r="AE18" i="22"/>
  <c r="Z17" i="22"/>
  <c r="P18" i="22"/>
  <c r="K17" i="22"/>
  <c r="A18" i="22"/>
  <c r="AT20" i="22"/>
  <c r="J32" i="25" l="1"/>
  <c r="K31" i="25"/>
  <c r="B32" i="25"/>
  <c r="H31" i="25"/>
  <c r="J40" i="27"/>
  <c r="K39" i="27"/>
  <c r="B31" i="27"/>
  <c r="H30" i="27"/>
  <c r="Y91" i="12"/>
  <c r="N91" i="12"/>
  <c r="H20" i="26"/>
  <c r="B21" i="26"/>
  <c r="J23" i="26"/>
  <c r="K22" i="26"/>
  <c r="BD20" i="22"/>
  <c r="A19" i="22"/>
  <c r="K18" i="22"/>
  <c r="AO18" i="22"/>
  <c r="AE19" i="22"/>
  <c r="O23" i="22"/>
  <c r="AT21" i="22"/>
  <c r="Z18" i="22"/>
  <c r="P19" i="22"/>
  <c r="AD22" i="22"/>
  <c r="K32" i="25" l="1"/>
  <c r="J33" i="25"/>
  <c r="B33" i="25"/>
  <c r="H32" i="25"/>
  <c r="H31" i="27"/>
  <c r="B32" i="27"/>
  <c r="J41" i="27"/>
  <c r="K40" i="27"/>
  <c r="Y92" i="12"/>
  <c r="N92" i="12"/>
  <c r="J24" i="26"/>
  <c r="K23" i="26"/>
  <c r="B22" i="26"/>
  <c r="H21" i="26"/>
  <c r="AO19" i="22"/>
  <c r="AE20" i="22"/>
  <c r="BD21" i="22"/>
  <c r="O24" i="22"/>
  <c r="AD23" i="22"/>
  <c r="A20" i="22"/>
  <c r="K19" i="22"/>
  <c r="Z19" i="22"/>
  <c r="P20" i="22"/>
  <c r="AT22" i="22"/>
  <c r="K33" i="25" l="1"/>
  <c r="J34" i="25"/>
  <c r="H33" i="25"/>
  <c r="B34" i="25"/>
  <c r="J42" i="27"/>
  <c r="K41" i="27"/>
  <c r="B33" i="27"/>
  <c r="H32" i="27"/>
  <c r="B23" i="26"/>
  <c r="H22" i="26"/>
  <c r="J25" i="26"/>
  <c r="K24" i="26"/>
  <c r="Z20" i="22"/>
  <c r="P21" i="22"/>
  <c r="O25" i="22"/>
  <c r="AT23" i="22"/>
  <c r="A21" i="22"/>
  <c r="K20" i="22"/>
  <c r="BD22" i="22"/>
  <c r="AD24" i="22"/>
  <c r="AO20" i="22"/>
  <c r="AE21" i="22"/>
  <c r="K34" i="25" l="1"/>
  <c r="J35" i="25"/>
  <c r="B35" i="25"/>
  <c r="H34" i="25"/>
  <c r="H33" i="27"/>
  <c r="B34" i="27"/>
  <c r="J43" i="27"/>
  <c r="K42" i="27"/>
  <c r="J26" i="26"/>
  <c r="K25" i="26"/>
  <c r="B24" i="26"/>
  <c r="H23" i="26"/>
  <c r="AO21" i="22"/>
  <c r="AE22" i="22"/>
  <c r="AD25" i="22"/>
  <c r="O26" i="22"/>
  <c r="AT24" i="22"/>
  <c r="K21" i="22"/>
  <c r="A22" i="22"/>
  <c r="BD23" i="22"/>
  <c r="Z21" i="22"/>
  <c r="P22" i="22"/>
  <c r="J36" i="25" l="1"/>
  <c r="K35" i="25"/>
  <c r="H35" i="25"/>
  <c r="B36" i="25"/>
  <c r="J44" i="27"/>
  <c r="K43" i="27"/>
  <c r="B35" i="27"/>
  <c r="H34" i="27"/>
  <c r="J27" i="26"/>
  <c r="K26" i="26"/>
  <c r="B25" i="26"/>
  <c r="H24" i="26"/>
  <c r="BD24" i="22"/>
  <c r="AD26" i="22"/>
  <c r="Z22" i="22"/>
  <c r="P23" i="22"/>
  <c r="AT25" i="22"/>
  <c r="A23" i="22"/>
  <c r="K22" i="22"/>
  <c r="O27" i="22"/>
  <c r="AO22" i="22"/>
  <c r="AE23" i="22"/>
  <c r="K36" i="25" l="1"/>
  <c r="J37" i="25"/>
  <c r="B37" i="25"/>
  <c r="H36" i="25"/>
  <c r="J45" i="27"/>
  <c r="K44" i="27"/>
  <c r="B36" i="27"/>
  <c r="H35" i="27"/>
  <c r="H25" i="26"/>
  <c r="B26" i="26"/>
  <c r="J28" i="26"/>
  <c r="K27" i="26"/>
  <c r="A24" i="22"/>
  <c r="K23" i="22"/>
  <c r="Z23" i="22"/>
  <c r="P24" i="22"/>
  <c r="AD27" i="22"/>
  <c r="AO23" i="22"/>
  <c r="AE24" i="22"/>
  <c r="O28" i="22"/>
  <c r="AT26" i="22"/>
  <c r="BD25" i="22"/>
  <c r="J38" i="25" l="1"/>
  <c r="K37" i="25"/>
  <c r="H37" i="25"/>
  <c r="B38" i="25"/>
  <c r="J46" i="27"/>
  <c r="K45" i="27"/>
  <c r="B37" i="27"/>
  <c r="H36" i="27"/>
  <c r="H26" i="26"/>
  <c r="B27" i="26"/>
  <c r="J29" i="26"/>
  <c r="K28" i="26"/>
  <c r="O29" i="22"/>
  <c r="K24" i="22"/>
  <c r="A25" i="22"/>
  <c r="AT27" i="22"/>
  <c r="AD28" i="22"/>
  <c r="BD26" i="22"/>
  <c r="AO24" i="22"/>
  <c r="AE25" i="22"/>
  <c r="Z24" i="22"/>
  <c r="P25" i="22"/>
  <c r="K38" i="25" l="1"/>
  <c r="J39" i="25"/>
  <c r="B39" i="25"/>
  <c r="H38" i="25"/>
  <c r="J47" i="27"/>
  <c r="K46" i="27"/>
  <c r="B38" i="27"/>
  <c r="H37" i="27"/>
  <c r="H27" i="26"/>
  <c r="B28" i="26"/>
  <c r="J30" i="26"/>
  <c r="K29" i="26"/>
  <c r="BD27" i="22"/>
  <c r="AD29" i="22"/>
  <c r="O30" i="22"/>
  <c r="Z25" i="22"/>
  <c r="P26" i="22"/>
  <c r="AO25" i="22"/>
  <c r="AE26" i="22"/>
  <c r="K25" i="22"/>
  <c r="A26" i="22"/>
  <c r="AT28" i="22"/>
  <c r="J40" i="25" l="1"/>
  <c r="K39" i="25"/>
  <c r="H39" i="25"/>
  <c r="B40" i="25"/>
  <c r="J48" i="27"/>
  <c r="K47" i="27"/>
  <c r="B39" i="27"/>
  <c r="H38" i="27"/>
  <c r="H28" i="26"/>
  <c r="B29" i="26"/>
  <c r="K30" i="26"/>
  <c r="J31" i="26"/>
  <c r="Z26" i="22"/>
  <c r="P27" i="22"/>
  <c r="O31" i="22"/>
  <c r="AT29" i="22"/>
  <c r="A27" i="22"/>
  <c r="K26" i="22"/>
  <c r="BD28" i="22"/>
  <c r="AO26" i="22"/>
  <c r="AE27" i="22"/>
  <c r="AD30" i="22"/>
  <c r="K40" i="25" l="1"/>
  <c r="J41" i="25"/>
  <c r="B41" i="25"/>
  <c r="H40" i="25"/>
  <c r="J49" i="27"/>
  <c r="K48" i="27"/>
  <c r="B40" i="27"/>
  <c r="H39" i="27"/>
  <c r="J32" i="26"/>
  <c r="K31" i="26"/>
  <c r="B30" i="26"/>
  <c r="H29" i="26"/>
  <c r="A28" i="22"/>
  <c r="K27" i="22"/>
  <c r="BD29" i="22"/>
  <c r="Z27" i="22"/>
  <c r="P28" i="22"/>
  <c r="O32" i="22"/>
  <c r="AD31" i="22"/>
  <c r="AO27" i="22"/>
  <c r="AE28" i="22"/>
  <c r="AT30" i="22"/>
  <c r="J42" i="25" l="1"/>
  <c r="K41" i="25"/>
  <c r="H41" i="25"/>
  <c r="B42" i="25"/>
  <c r="B41" i="27"/>
  <c r="H40" i="27"/>
  <c r="K49" i="27"/>
  <c r="J50" i="27"/>
  <c r="H30" i="26"/>
  <c r="B31" i="26"/>
  <c r="K32" i="26"/>
  <c r="J33" i="26"/>
  <c r="AD32" i="22"/>
  <c r="K28" i="22"/>
  <c r="A29" i="22"/>
  <c r="AT31" i="22"/>
  <c r="O33" i="22"/>
  <c r="Z28" i="22"/>
  <c r="P29" i="22"/>
  <c r="BD30" i="22"/>
  <c r="AO28" i="22"/>
  <c r="AE29" i="22"/>
  <c r="J43" i="25" l="1"/>
  <c r="K42" i="25"/>
  <c r="B43" i="25"/>
  <c r="H42" i="25"/>
  <c r="J51" i="27"/>
  <c r="K50" i="27"/>
  <c r="B42" i="27"/>
  <c r="H41" i="27"/>
  <c r="B32" i="26"/>
  <c r="H31" i="26"/>
  <c r="J34" i="26"/>
  <c r="K33" i="26"/>
  <c r="Z29" i="22"/>
  <c r="P30" i="22"/>
  <c r="AO29" i="22"/>
  <c r="AE30" i="22"/>
  <c r="AT32" i="22"/>
  <c r="K29" i="22"/>
  <c r="A30" i="22"/>
  <c r="O34" i="22"/>
  <c r="BD31" i="22"/>
  <c r="AD33" i="22"/>
  <c r="J44" i="25" l="1"/>
  <c r="K43" i="25"/>
  <c r="H43" i="25"/>
  <c r="B44" i="25"/>
  <c r="B43" i="27"/>
  <c r="H42" i="27"/>
  <c r="K51" i="27"/>
  <c r="J52" i="27"/>
  <c r="J35" i="26"/>
  <c r="K34" i="26"/>
  <c r="H32" i="26"/>
  <c r="B33" i="26"/>
  <c r="BD32" i="22"/>
  <c r="Z30" i="22"/>
  <c r="P31" i="22"/>
  <c r="AO30" i="22"/>
  <c r="AE31" i="22"/>
  <c r="AD34" i="22"/>
  <c r="A31" i="22"/>
  <c r="K30" i="22"/>
  <c r="O35" i="22"/>
  <c r="AT33" i="22"/>
  <c r="K44" i="25" l="1"/>
  <c r="J45" i="25"/>
  <c r="H44" i="25"/>
  <c r="B45" i="25"/>
  <c r="J53" i="27"/>
  <c r="K52" i="27"/>
  <c r="H43" i="27"/>
  <c r="B44" i="27"/>
  <c r="H33" i="26"/>
  <c r="B34" i="26"/>
  <c r="J36" i="26"/>
  <c r="K35" i="26"/>
  <c r="AT34" i="22"/>
  <c r="O36" i="22"/>
  <c r="Z31" i="22"/>
  <c r="P32" i="22"/>
  <c r="K31" i="22"/>
  <c r="A32" i="22"/>
  <c r="AO31" i="22"/>
  <c r="AE32" i="22"/>
  <c r="AD35" i="22"/>
  <c r="BD33" i="22"/>
  <c r="J46" i="25" l="1"/>
  <c r="K45" i="25"/>
  <c r="H45" i="25"/>
  <c r="B46" i="25"/>
  <c r="K53" i="27"/>
  <c r="J54" i="27"/>
  <c r="B45" i="27"/>
  <c r="H44" i="27"/>
  <c r="J37" i="26"/>
  <c r="K36" i="26"/>
  <c r="B35" i="26"/>
  <c r="H34" i="26"/>
  <c r="A33" i="22"/>
  <c r="K32" i="22"/>
  <c r="AO32" i="22"/>
  <c r="AE33" i="22"/>
  <c r="O37" i="22"/>
  <c r="AT35" i="22"/>
  <c r="AD36" i="22"/>
  <c r="Z32" i="22"/>
  <c r="P33" i="22"/>
  <c r="BD34" i="22"/>
  <c r="J47" i="25" l="1"/>
  <c r="K46" i="25"/>
  <c r="H46" i="25"/>
  <c r="B47" i="25"/>
  <c r="J55" i="27"/>
  <c r="K54" i="27"/>
  <c r="H45" i="27"/>
  <c r="B46" i="27"/>
  <c r="B36" i="26"/>
  <c r="H35" i="26"/>
  <c r="J38" i="26"/>
  <c r="K37" i="26"/>
  <c r="O38" i="22"/>
  <c r="K33" i="22"/>
  <c r="A34" i="22"/>
  <c r="AT36" i="22"/>
  <c r="AO33" i="22"/>
  <c r="AE34" i="22"/>
  <c r="AD37" i="22"/>
  <c r="Z33" i="22"/>
  <c r="P34" i="22"/>
  <c r="BD35" i="22"/>
  <c r="J48" i="25" l="1"/>
  <c r="K47" i="25"/>
  <c r="B48" i="25"/>
  <c r="H47" i="25"/>
  <c r="K55" i="27"/>
  <c r="J56" i="27"/>
  <c r="H46" i="27"/>
  <c r="B47" i="27"/>
  <c r="H36" i="26"/>
  <c r="B37" i="26"/>
  <c r="J39" i="26"/>
  <c r="K38" i="26"/>
  <c r="Z34" i="22"/>
  <c r="P35" i="22"/>
  <c r="AT37" i="22"/>
  <c r="O39" i="22"/>
  <c r="AO34" i="22"/>
  <c r="AE35" i="22"/>
  <c r="BD36" i="22"/>
  <c r="A35" i="22"/>
  <c r="K34" i="22"/>
  <c r="AD38" i="22"/>
  <c r="J49" i="25" l="1"/>
  <c r="K48" i="25"/>
  <c r="B49" i="25"/>
  <c r="H48" i="25"/>
  <c r="J57" i="27"/>
  <c r="K56" i="27"/>
  <c r="H47" i="27"/>
  <c r="B48" i="27"/>
  <c r="B38" i="26"/>
  <c r="H37" i="26"/>
  <c r="J40" i="26"/>
  <c r="K39" i="26"/>
  <c r="O40" i="22"/>
  <c r="AD39" i="22"/>
  <c r="BD37" i="22"/>
  <c r="Z35" i="22"/>
  <c r="P36" i="22"/>
  <c r="AO35" i="22"/>
  <c r="AE36" i="22"/>
  <c r="AT38" i="22"/>
  <c r="A36" i="22"/>
  <c r="K35" i="22"/>
  <c r="J50" i="25" l="1"/>
  <c r="K49" i="25"/>
  <c r="H49" i="25"/>
  <c r="B50" i="25"/>
  <c r="J58" i="27"/>
  <c r="K57" i="27"/>
  <c r="H48" i="27"/>
  <c r="B49" i="27"/>
  <c r="H38" i="26"/>
  <c r="B39" i="26"/>
  <c r="J41" i="26"/>
  <c r="K40" i="26"/>
  <c r="AT39" i="22"/>
  <c r="BD38" i="22"/>
  <c r="O41" i="22"/>
  <c r="Z36" i="22"/>
  <c r="P37" i="22"/>
  <c r="AD40" i="22"/>
  <c r="A37" i="22"/>
  <c r="K36" i="22"/>
  <c r="AO36" i="22"/>
  <c r="AE37" i="22"/>
  <c r="J51" i="25" l="1"/>
  <c r="K50" i="25"/>
  <c r="B51" i="25"/>
  <c r="H50" i="25"/>
  <c r="B50" i="27"/>
  <c r="H49" i="27"/>
  <c r="J59" i="27"/>
  <c r="K58" i="27"/>
  <c r="B40" i="26"/>
  <c r="H39" i="26"/>
  <c r="J42" i="26"/>
  <c r="K41" i="26"/>
  <c r="K37" i="22"/>
  <c r="A38" i="22"/>
  <c r="AD41" i="22"/>
  <c r="Z37" i="22"/>
  <c r="P38" i="22"/>
  <c r="O42" i="22"/>
  <c r="AT40" i="22"/>
  <c r="AO37" i="22"/>
  <c r="AE38" i="22"/>
  <c r="BD39" i="22"/>
  <c r="J52" i="25" l="1"/>
  <c r="K51" i="25"/>
  <c r="H51" i="25"/>
  <c r="B52" i="25"/>
  <c r="B51" i="27"/>
  <c r="H50" i="27"/>
  <c r="J60" i="27"/>
  <c r="K59" i="27"/>
  <c r="H40" i="26"/>
  <c r="B41" i="26"/>
  <c r="J43" i="26"/>
  <c r="K42" i="26"/>
  <c r="AT41" i="22"/>
  <c r="AD42" i="22"/>
  <c r="AO38" i="22"/>
  <c r="AE39" i="22"/>
  <c r="BD40" i="22"/>
  <c r="A39" i="22"/>
  <c r="K38" i="22"/>
  <c r="Z38" i="22"/>
  <c r="P39" i="22"/>
  <c r="O43" i="22"/>
  <c r="J53" i="25" l="1"/>
  <c r="K52" i="25"/>
  <c r="H52" i="25"/>
  <c r="B53" i="25"/>
  <c r="B52" i="27"/>
  <c r="H51" i="27"/>
  <c r="J61" i="27"/>
  <c r="K60" i="27"/>
  <c r="B42" i="26"/>
  <c r="H41" i="26"/>
  <c r="J44" i="26"/>
  <c r="K43" i="26"/>
  <c r="AD43" i="22"/>
  <c r="Z39" i="22"/>
  <c r="P40" i="22"/>
  <c r="A40" i="22"/>
  <c r="K39" i="22"/>
  <c r="BD41" i="22"/>
  <c r="O44" i="22"/>
  <c r="AT42" i="22"/>
  <c r="AO39" i="22"/>
  <c r="AE40" i="22"/>
  <c r="J54" i="25" l="1"/>
  <c r="K53" i="25"/>
  <c r="B54" i="25"/>
  <c r="H53" i="25"/>
  <c r="B53" i="27"/>
  <c r="H52" i="27"/>
  <c r="J62" i="27"/>
  <c r="K61" i="27"/>
  <c r="K44" i="26"/>
  <c r="J45" i="26"/>
  <c r="H42" i="26"/>
  <c r="B43" i="26"/>
  <c r="K40" i="22"/>
  <c r="A41" i="22"/>
  <c r="AT43" i="22"/>
  <c r="Z40" i="22"/>
  <c r="P41" i="22"/>
  <c r="AD44" i="22"/>
  <c r="AO40" i="22"/>
  <c r="AE41" i="22"/>
  <c r="BD42" i="22"/>
  <c r="O45" i="22"/>
  <c r="J55" i="25" l="1"/>
  <c r="K54" i="25"/>
  <c r="H54" i="25"/>
  <c r="B55" i="25"/>
  <c r="J63" i="27"/>
  <c r="K62" i="27"/>
  <c r="B54" i="27"/>
  <c r="H53" i="27"/>
  <c r="B44" i="26"/>
  <c r="H43" i="26"/>
  <c r="J46" i="26"/>
  <c r="K45" i="26"/>
  <c r="BD43" i="22"/>
  <c r="O46" i="22"/>
  <c r="AO41" i="22"/>
  <c r="AE42" i="22"/>
  <c r="AD45" i="22"/>
  <c r="AT44" i="22"/>
  <c r="Z41" i="22"/>
  <c r="P42" i="22"/>
  <c r="K41" i="22"/>
  <c r="A42" i="22"/>
  <c r="K55" i="25" l="1"/>
  <c r="J56" i="25"/>
  <c r="B56" i="25"/>
  <c r="H55" i="25"/>
  <c r="B55" i="27"/>
  <c r="H54" i="27"/>
  <c r="K63" i="27"/>
  <c r="J64" i="27"/>
  <c r="H44" i="26"/>
  <c r="B45" i="26"/>
  <c r="J47" i="26"/>
  <c r="K46" i="26"/>
  <c r="BD44" i="22"/>
  <c r="A43" i="22"/>
  <c r="K42" i="22"/>
  <c r="Z42" i="22"/>
  <c r="P43" i="22"/>
  <c r="AT45" i="22"/>
  <c r="AO42" i="22"/>
  <c r="AE43" i="22"/>
  <c r="AD46" i="22"/>
  <c r="O47" i="22"/>
  <c r="J57" i="25" l="1"/>
  <c r="K56" i="25"/>
  <c r="B57" i="25"/>
  <c r="H56" i="25"/>
  <c r="J65" i="27"/>
  <c r="K64" i="27"/>
  <c r="B56" i="27"/>
  <c r="H55" i="27"/>
  <c r="H45" i="26"/>
  <c r="B46" i="26"/>
  <c r="K47" i="26"/>
  <c r="J48" i="26"/>
  <c r="AD47" i="22"/>
  <c r="A44" i="22"/>
  <c r="K43" i="22"/>
  <c r="O48" i="22"/>
  <c r="BD45" i="22"/>
  <c r="Z43" i="22"/>
  <c r="P44" i="22"/>
  <c r="AO43" i="22"/>
  <c r="AE44" i="22"/>
  <c r="AT46" i="22"/>
  <c r="J58" i="25" l="1"/>
  <c r="K57" i="25"/>
  <c r="H57" i="25"/>
  <c r="B58" i="25"/>
  <c r="K65" i="27"/>
  <c r="J66" i="27"/>
  <c r="H56" i="27"/>
  <c r="B57" i="27"/>
  <c r="J49" i="26"/>
  <c r="K48" i="26"/>
  <c r="B47" i="26"/>
  <c r="H46" i="26"/>
  <c r="A45" i="22"/>
  <c r="K44" i="22"/>
  <c r="AT47" i="22"/>
  <c r="AD48" i="22"/>
  <c r="BD46" i="22"/>
  <c r="Z44" i="22"/>
  <c r="P45" i="22"/>
  <c r="O49" i="22"/>
  <c r="AO44" i="22"/>
  <c r="AE45" i="22"/>
  <c r="J59" i="25" l="1"/>
  <c r="K58" i="25"/>
  <c r="B59" i="25"/>
  <c r="H58" i="25"/>
  <c r="B58" i="27"/>
  <c r="H57" i="27"/>
  <c r="J67" i="27"/>
  <c r="K66" i="27"/>
  <c r="K49" i="26"/>
  <c r="J50" i="26"/>
  <c r="H47" i="26"/>
  <c r="B48" i="26"/>
  <c r="AO45" i="22"/>
  <c r="AE46" i="22"/>
  <c r="O50" i="22"/>
  <c r="A46" i="22"/>
  <c r="K45" i="22"/>
  <c r="AD49" i="22"/>
  <c r="BD47" i="22"/>
  <c r="Z45" i="22"/>
  <c r="P46" i="22"/>
  <c r="AT48" i="22"/>
  <c r="J60" i="25" l="1"/>
  <c r="K59" i="25"/>
  <c r="H59" i="25"/>
  <c r="B60" i="25"/>
  <c r="J68" i="27"/>
  <c r="K67" i="27"/>
  <c r="H58" i="27"/>
  <c r="B59" i="27"/>
  <c r="J51" i="26"/>
  <c r="K50" i="26"/>
  <c r="B49" i="26"/>
  <c r="H48" i="26"/>
  <c r="A47" i="22"/>
  <c r="K46" i="22"/>
  <c r="AT49" i="22"/>
  <c r="AD50" i="22"/>
  <c r="O51" i="22"/>
  <c r="AO46" i="22"/>
  <c r="AE47" i="22"/>
  <c r="Z46" i="22"/>
  <c r="P47" i="22"/>
  <c r="BD48" i="22"/>
  <c r="J61" i="25" l="1"/>
  <c r="K60" i="25"/>
  <c r="B61" i="25"/>
  <c r="H60" i="25"/>
  <c r="H59" i="27"/>
  <c r="B60" i="27"/>
  <c r="K68" i="27"/>
  <c r="J69" i="27"/>
  <c r="H49" i="26"/>
  <c r="B50" i="26"/>
  <c r="K51" i="26"/>
  <c r="J52" i="26"/>
  <c r="BD49" i="22"/>
  <c r="AD51" i="22"/>
  <c r="AO47" i="22"/>
  <c r="AE48" i="22"/>
  <c r="AT50" i="22"/>
  <c r="Z47" i="22"/>
  <c r="P48" i="22"/>
  <c r="O52" i="22"/>
  <c r="K47" i="22"/>
  <c r="A48" i="22"/>
  <c r="J62" i="25" l="1"/>
  <c r="K61" i="25"/>
  <c r="B62" i="25"/>
  <c r="H61" i="25"/>
  <c r="B61" i="27"/>
  <c r="H60" i="27"/>
  <c r="J70" i="27"/>
  <c r="K69" i="27"/>
  <c r="J53" i="26"/>
  <c r="K52" i="26"/>
  <c r="B51" i="26"/>
  <c r="H50" i="26"/>
  <c r="A49" i="22"/>
  <c r="K48" i="22"/>
  <c r="O53" i="22"/>
  <c r="AT51" i="22"/>
  <c r="BD50" i="22"/>
  <c r="AO48" i="22"/>
  <c r="AE49" i="22"/>
  <c r="Z48" i="22"/>
  <c r="P49" i="22"/>
  <c r="AD52" i="22"/>
  <c r="J63" i="25" l="1"/>
  <c r="K62" i="25"/>
  <c r="H62" i="25"/>
  <c r="B63" i="25"/>
  <c r="J71" i="27"/>
  <c r="K70" i="27"/>
  <c r="B62" i="27"/>
  <c r="H61" i="27"/>
  <c r="H51" i="26"/>
  <c r="B52" i="26"/>
  <c r="J54" i="26"/>
  <c r="K53" i="26"/>
  <c r="AT52" i="22"/>
  <c r="A50" i="22"/>
  <c r="K49" i="22"/>
  <c r="O54" i="22"/>
  <c r="Z49" i="22"/>
  <c r="P50" i="22"/>
  <c r="AO49" i="22"/>
  <c r="AE50" i="22"/>
  <c r="AD53" i="22"/>
  <c r="BD51" i="22"/>
  <c r="J64" i="25" l="1"/>
  <c r="K63" i="25"/>
  <c r="B64" i="25"/>
  <c r="H63" i="25"/>
  <c r="B63" i="27"/>
  <c r="H62" i="27"/>
  <c r="J72" i="27"/>
  <c r="K71" i="27"/>
  <c r="J55" i="26"/>
  <c r="K54" i="26"/>
  <c r="B53" i="26"/>
  <c r="H52" i="26"/>
  <c r="AT53" i="22"/>
  <c r="O55" i="22"/>
  <c r="AD54" i="22"/>
  <c r="Z50" i="22"/>
  <c r="P51" i="22"/>
  <c r="A51" i="22"/>
  <c r="K50" i="22"/>
  <c r="AO50" i="22"/>
  <c r="AE51" i="22"/>
  <c r="BD52" i="22"/>
  <c r="J65" i="25" l="1"/>
  <c r="K64" i="25"/>
  <c r="B65" i="25"/>
  <c r="H64" i="25"/>
  <c r="J73" i="27"/>
  <c r="K72" i="27"/>
  <c r="B64" i="27"/>
  <c r="H63" i="27"/>
  <c r="B54" i="26"/>
  <c r="H53" i="26"/>
  <c r="K55" i="26"/>
  <c r="J56" i="26"/>
  <c r="Z51" i="22"/>
  <c r="P52" i="22"/>
  <c r="AD55" i="22"/>
  <c r="AT54" i="22"/>
  <c r="AO51" i="22"/>
  <c r="AE52" i="22"/>
  <c r="O56" i="22"/>
  <c r="K51" i="22"/>
  <c r="A52" i="22"/>
  <c r="BD53" i="22"/>
  <c r="J66" i="25" l="1"/>
  <c r="K65" i="25"/>
  <c r="B66" i="25"/>
  <c r="H65" i="25"/>
  <c r="J74" i="27"/>
  <c r="K73" i="27"/>
  <c r="B65" i="27"/>
  <c r="H64" i="27"/>
  <c r="J57" i="26"/>
  <c r="K56" i="26"/>
  <c r="B55" i="26"/>
  <c r="H54" i="26"/>
  <c r="BD54" i="22"/>
  <c r="AD56" i="22"/>
  <c r="AT55" i="22"/>
  <c r="O57" i="22"/>
  <c r="AO52" i="22"/>
  <c r="AE53" i="22"/>
  <c r="A53" i="22"/>
  <c r="K52" i="22"/>
  <c r="Z52" i="22"/>
  <c r="P53" i="22"/>
  <c r="K66" i="25" l="1"/>
  <c r="J67" i="25"/>
  <c r="H66" i="25"/>
  <c r="B67" i="25"/>
  <c r="B66" i="27"/>
  <c r="H65" i="27"/>
  <c r="J75" i="27"/>
  <c r="K74" i="27"/>
  <c r="B56" i="26"/>
  <c r="H55" i="26"/>
  <c r="K57" i="26"/>
  <c r="J58" i="26"/>
  <c r="AO53" i="22"/>
  <c r="AE54" i="22"/>
  <c r="BD55" i="22"/>
  <c r="O58" i="22"/>
  <c r="AD57" i="22"/>
  <c r="Z53" i="22"/>
  <c r="P54" i="22"/>
  <c r="A54" i="22"/>
  <c r="K53" i="22"/>
  <c r="AT56" i="22"/>
  <c r="J68" i="25" l="1"/>
  <c r="K67" i="25"/>
  <c r="H67" i="25"/>
  <c r="B68" i="25"/>
  <c r="J76" i="27"/>
  <c r="K75" i="27"/>
  <c r="B67" i="27"/>
  <c r="H66" i="27"/>
  <c r="B57" i="26"/>
  <c r="H56" i="26"/>
  <c r="J59" i="26"/>
  <c r="K58" i="26"/>
  <c r="AT57" i="22"/>
  <c r="Z54" i="22"/>
  <c r="P55" i="22"/>
  <c r="O59" i="22"/>
  <c r="AD58" i="22"/>
  <c r="BD56" i="22"/>
  <c r="A55" i="22"/>
  <c r="K54" i="22"/>
  <c r="AO54" i="22"/>
  <c r="AE55" i="22"/>
  <c r="J69" i="25" l="1"/>
  <c r="K68" i="25"/>
  <c r="B69" i="25"/>
  <c r="H68" i="25"/>
  <c r="J77" i="27"/>
  <c r="K76" i="27"/>
  <c r="B68" i="27"/>
  <c r="H67" i="27"/>
  <c r="K59" i="26"/>
  <c r="J60" i="26"/>
  <c r="B58" i="26"/>
  <c r="H57" i="26"/>
  <c r="A56" i="22"/>
  <c r="K55" i="22"/>
  <c r="AE58" i="22"/>
  <c r="AD59" i="22"/>
  <c r="O60" i="22"/>
  <c r="Z55" i="22"/>
  <c r="P56" i="22"/>
  <c r="AT58" i="22"/>
  <c r="AO55" i="22"/>
  <c r="AE56" i="22"/>
  <c r="BD57" i="22"/>
  <c r="J70" i="25" l="1"/>
  <c r="K69" i="25"/>
  <c r="H69" i="25"/>
  <c r="B70" i="25"/>
  <c r="H68" i="27"/>
  <c r="B69" i="27"/>
  <c r="J78" i="27"/>
  <c r="K77" i="27"/>
  <c r="B59" i="26"/>
  <c r="H58" i="26"/>
  <c r="J61" i="26"/>
  <c r="K60" i="26"/>
  <c r="BD58" i="22"/>
  <c r="Z56" i="22"/>
  <c r="P57" i="22"/>
  <c r="K56" i="22"/>
  <c r="A57" i="22"/>
  <c r="AO56" i="22"/>
  <c r="AE57" i="22"/>
  <c r="O61" i="22"/>
  <c r="AE59" i="22"/>
  <c r="AD60" i="22"/>
  <c r="AT59" i="22"/>
  <c r="AO58" i="22"/>
  <c r="AK58" i="22"/>
  <c r="K70" i="25" l="1"/>
  <c r="J71" i="25"/>
  <c r="B71" i="25"/>
  <c r="H70" i="25"/>
  <c r="B70" i="27"/>
  <c r="H69" i="27"/>
  <c r="J79" i="27"/>
  <c r="K78" i="27"/>
  <c r="B60" i="26"/>
  <c r="H59" i="26"/>
  <c r="J62" i="26"/>
  <c r="K61" i="26"/>
  <c r="AD61" i="22"/>
  <c r="AE60" i="22"/>
  <c r="O62" i="22"/>
  <c r="AT60" i="22"/>
  <c r="AO59" i="22"/>
  <c r="AK59" i="22"/>
  <c r="A58" i="22"/>
  <c r="K57" i="22"/>
  <c r="Z57" i="22"/>
  <c r="P58" i="22"/>
  <c r="BD59" i="22"/>
  <c r="AO57" i="22"/>
  <c r="J72" i="25" l="1"/>
  <c r="K71" i="25"/>
  <c r="H71" i="25"/>
  <c r="B72" i="25"/>
  <c r="J80" i="27"/>
  <c r="K79" i="27"/>
  <c r="B71" i="27"/>
  <c r="H70" i="27"/>
  <c r="B61" i="26"/>
  <c r="H60" i="26"/>
  <c r="K62" i="26"/>
  <c r="J63" i="26"/>
  <c r="Z58" i="22"/>
  <c r="P59" i="22"/>
  <c r="AO60" i="22"/>
  <c r="AK60" i="22"/>
  <c r="BD60" i="22"/>
  <c r="AD62" i="22"/>
  <c r="AE61" i="22"/>
  <c r="O63" i="22"/>
  <c r="K58" i="22"/>
  <c r="A59" i="22"/>
  <c r="AT61" i="22"/>
  <c r="J73" i="25" l="1"/>
  <c r="K72" i="25"/>
  <c r="B73" i="25"/>
  <c r="H72" i="25"/>
  <c r="H71" i="27"/>
  <c r="B72" i="27"/>
  <c r="J81" i="27"/>
  <c r="K80" i="27"/>
  <c r="J64" i="26"/>
  <c r="K63" i="26"/>
  <c r="H61" i="26"/>
  <c r="B62" i="26"/>
  <c r="AE62" i="22"/>
  <c r="AD63" i="22"/>
  <c r="AT62" i="22"/>
  <c r="Z59" i="22"/>
  <c r="P60" i="22"/>
  <c r="BD61" i="22"/>
  <c r="O64" i="22"/>
  <c r="A60" i="22"/>
  <c r="K59" i="22"/>
  <c r="AO61" i="22"/>
  <c r="AK61" i="22"/>
  <c r="J74" i="25" l="1"/>
  <c r="K73" i="25"/>
  <c r="H73" i="25"/>
  <c r="B74" i="25"/>
  <c r="H72" i="27"/>
  <c r="B73" i="27"/>
  <c r="J82" i="27"/>
  <c r="K81" i="27"/>
  <c r="B63" i="26"/>
  <c r="H62" i="26"/>
  <c r="K64" i="26"/>
  <c r="J65" i="26"/>
  <c r="K60" i="22"/>
  <c r="A61" i="22"/>
  <c r="Z60" i="22"/>
  <c r="P61" i="22"/>
  <c r="O65" i="22"/>
  <c r="AT63" i="22"/>
  <c r="AO62" i="22"/>
  <c r="AK62" i="22"/>
  <c r="BD62" i="22"/>
  <c r="AD64" i="22"/>
  <c r="AE63" i="22"/>
  <c r="J75" i="25" l="1"/>
  <c r="K74" i="25"/>
  <c r="B75" i="25"/>
  <c r="H74" i="25"/>
  <c r="J83" i="27"/>
  <c r="K82" i="27"/>
  <c r="B74" i="27"/>
  <c r="H73" i="27"/>
  <c r="H63" i="26"/>
  <c r="B64" i="26"/>
  <c r="J66" i="26"/>
  <c r="K65" i="26"/>
  <c r="AE64" i="22"/>
  <c r="AD65" i="22"/>
  <c r="BD63" i="22"/>
  <c r="A62" i="22"/>
  <c r="K61" i="22"/>
  <c r="AT64" i="22"/>
  <c r="Z61" i="22"/>
  <c r="P62" i="22"/>
  <c r="AO63" i="22"/>
  <c r="AK63" i="22"/>
  <c r="O66" i="22"/>
  <c r="J76" i="25" l="1"/>
  <c r="K75" i="25"/>
  <c r="H75" i="25"/>
  <c r="B76" i="25"/>
  <c r="J84" i="27"/>
  <c r="K83" i="27"/>
  <c r="H74" i="27"/>
  <c r="B75" i="27"/>
  <c r="J67" i="26"/>
  <c r="K66" i="26"/>
  <c r="B65" i="26"/>
  <c r="H64" i="26"/>
  <c r="O67" i="22"/>
  <c r="AT65" i="22"/>
  <c r="Z62" i="22"/>
  <c r="P63" i="22"/>
  <c r="BD64" i="22"/>
  <c r="AE65" i="22"/>
  <c r="AD66" i="22"/>
  <c r="A63" i="22"/>
  <c r="K62" i="22"/>
  <c r="AK64" i="22"/>
  <c r="AO64" i="22"/>
  <c r="J77" i="25" l="1"/>
  <c r="K76" i="25"/>
  <c r="B77" i="25"/>
  <c r="H76" i="25"/>
  <c r="J85" i="27"/>
  <c r="K84" i="27"/>
  <c r="B76" i="27"/>
  <c r="H75" i="27"/>
  <c r="B66" i="26"/>
  <c r="H65" i="26"/>
  <c r="J68" i="26"/>
  <c r="K67" i="26"/>
  <c r="BD65" i="22"/>
  <c r="K63" i="22"/>
  <c r="A64" i="22"/>
  <c r="AE66" i="22"/>
  <c r="AD67" i="22"/>
  <c r="Z63" i="22"/>
  <c r="P64" i="22"/>
  <c r="AK65" i="22"/>
  <c r="AO65" i="22"/>
  <c r="AT66" i="22"/>
  <c r="O68" i="22"/>
  <c r="J78" i="25" l="1"/>
  <c r="K77" i="25"/>
  <c r="H77" i="25"/>
  <c r="B78" i="25"/>
  <c r="B77" i="27"/>
  <c r="H76" i="27"/>
  <c r="K85" i="27"/>
  <c r="J86" i="27"/>
  <c r="J69" i="26"/>
  <c r="K68" i="26"/>
  <c r="H66" i="26"/>
  <c r="B67" i="26"/>
  <c r="O69" i="22"/>
  <c r="AT67" i="22"/>
  <c r="Z64" i="22"/>
  <c r="P65" i="22"/>
  <c r="AO66" i="22"/>
  <c r="AK66" i="22"/>
  <c r="A65" i="22"/>
  <c r="K64" i="22"/>
  <c r="BD66" i="22"/>
  <c r="AD68" i="22"/>
  <c r="AE67" i="22"/>
  <c r="K78" i="25" l="1"/>
  <c r="J79" i="25"/>
  <c r="B79" i="25"/>
  <c r="H78" i="25"/>
  <c r="H77" i="27"/>
  <c r="B78" i="27"/>
  <c r="J87" i="27"/>
  <c r="K86" i="27"/>
  <c r="B68" i="26"/>
  <c r="H67" i="26"/>
  <c r="J70" i="26"/>
  <c r="K69" i="26"/>
  <c r="A66" i="22"/>
  <c r="K65" i="22"/>
  <c r="O70" i="22"/>
  <c r="AO67" i="22"/>
  <c r="AK67" i="22"/>
  <c r="AE68" i="22"/>
  <c r="AD69" i="22"/>
  <c r="Z65" i="22"/>
  <c r="P66" i="22"/>
  <c r="BD67" i="22"/>
  <c r="AT68" i="22"/>
  <c r="J80" i="25" l="1"/>
  <c r="K79" i="25"/>
  <c r="H79" i="25"/>
  <c r="B80" i="25"/>
  <c r="J88" i="27"/>
  <c r="K87" i="27"/>
  <c r="B79" i="27"/>
  <c r="H78" i="27"/>
  <c r="J71" i="26"/>
  <c r="K70" i="26"/>
  <c r="B69" i="26"/>
  <c r="H68" i="26"/>
  <c r="BD68" i="22"/>
  <c r="Z66" i="22"/>
  <c r="P67" i="22"/>
  <c r="AO68" i="22"/>
  <c r="AK68" i="22"/>
  <c r="K66" i="22"/>
  <c r="A67" i="22"/>
  <c r="AT69" i="22"/>
  <c r="O71" i="22"/>
  <c r="AE69" i="22"/>
  <c r="AD70" i="22"/>
  <c r="J81" i="25" l="1"/>
  <c r="K80" i="25"/>
  <c r="B81" i="25"/>
  <c r="H80" i="25"/>
  <c r="H79" i="27"/>
  <c r="B80" i="27"/>
  <c r="J89" i="27"/>
  <c r="K88" i="27"/>
  <c r="J72" i="26"/>
  <c r="K71" i="26"/>
  <c r="H69" i="26"/>
  <c r="B70" i="26"/>
  <c r="BD69" i="22"/>
  <c r="K67" i="22"/>
  <c r="A68" i="22"/>
  <c r="AD71" i="22"/>
  <c r="AE70" i="22"/>
  <c r="O72" i="22"/>
  <c r="Z67" i="22"/>
  <c r="P68" i="22"/>
  <c r="AK69" i="22"/>
  <c r="AO69" i="22"/>
  <c r="AT70" i="22"/>
  <c r="J82" i="25" l="1"/>
  <c r="K81" i="25"/>
  <c r="B82" i="25"/>
  <c r="H81" i="25"/>
  <c r="B81" i="27"/>
  <c r="H80" i="27"/>
  <c r="J90" i="27"/>
  <c r="K89" i="27"/>
  <c r="H70" i="26"/>
  <c r="B71" i="26"/>
  <c r="J73" i="26"/>
  <c r="K72" i="26"/>
  <c r="Z68" i="22"/>
  <c r="P69" i="22"/>
  <c r="AT71" i="22"/>
  <c r="A69" i="22"/>
  <c r="K68" i="22"/>
  <c r="BD70" i="22"/>
  <c r="O73" i="22"/>
  <c r="AK70" i="22"/>
  <c r="AO70" i="22"/>
  <c r="AE71" i="22"/>
  <c r="AD72" i="22"/>
  <c r="J83" i="25" l="1"/>
  <c r="K82" i="25"/>
  <c r="B83" i="25"/>
  <c r="H82" i="25"/>
  <c r="H81" i="27"/>
  <c r="B82" i="27"/>
  <c r="J91" i="27"/>
  <c r="K90" i="27"/>
  <c r="J74" i="26"/>
  <c r="K73" i="26"/>
  <c r="B72" i="26"/>
  <c r="H71" i="26"/>
  <c r="K69" i="22"/>
  <c r="A70" i="22"/>
  <c r="AT72" i="22"/>
  <c r="Z69" i="22"/>
  <c r="P70" i="22"/>
  <c r="AD73" i="22"/>
  <c r="AE72" i="22"/>
  <c r="AO71" i="22"/>
  <c r="AK71" i="22"/>
  <c r="O74" i="22"/>
  <c r="BD71" i="22"/>
  <c r="K83" i="25" l="1"/>
  <c r="J84" i="25"/>
  <c r="H83" i="25"/>
  <c r="B84" i="25"/>
  <c r="J92" i="27"/>
  <c r="K91" i="27"/>
  <c r="H82" i="27"/>
  <c r="B83" i="27"/>
  <c r="J75" i="26"/>
  <c r="K74" i="26"/>
  <c r="B73" i="26"/>
  <c r="H72" i="26"/>
  <c r="O75" i="22"/>
  <c r="A71" i="22"/>
  <c r="K71" i="22" s="1"/>
  <c r="K70" i="22"/>
  <c r="AE73" i="22"/>
  <c r="AD74" i="22"/>
  <c r="AT73" i="22"/>
  <c r="AO72" i="22"/>
  <c r="AK72" i="22"/>
  <c r="Z70" i="22"/>
  <c r="P71" i="22"/>
  <c r="P72" i="22" s="1"/>
  <c r="BD72" i="22"/>
  <c r="K84" i="25" l="1"/>
  <c r="J85" i="25"/>
  <c r="B85" i="25"/>
  <c r="H84" i="25"/>
  <c r="J93" i="27"/>
  <c r="K93" i="27" s="1"/>
  <c r="K92" i="27"/>
  <c r="H83" i="27"/>
  <c r="B84" i="27"/>
  <c r="H73" i="26"/>
  <c r="B74" i="26"/>
  <c r="J76" i="26"/>
  <c r="K75" i="26"/>
  <c r="P73" i="22"/>
  <c r="Z72" i="22"/>
  <c r="AD75" i="22"/>
  <c r="AE74" i="22"/>
  <c r="Z71" i="22"/>
  <c r="AT74" i="22"/>
  <c r="AO73" i="22"/>
  <c r="AK73" i="22"/>
  <c r="O76" i="22"/>
  <c r="BD73" i="22"/>
  <c r="K85" i="25" l="1"/>
  <c r="J86" i="25"/>
  <c r="H85" i="25"/>
  <c r="B86" i="25"/>
  <c r="H84" i="27"/>
  <c r="B85" i="27"/>
  <c r="H74" i="26"/>
  <c r="B75" i="26"/>
  <c r="J77" i="26"/>
  <c r="K76" i="26"/>
  <c r="Z73" i="22"/>
  <c r="P74" i="22"/>
  <c r="O77" i="22"/>
  <c r="AO74" i="22"/>
  <c r="AK74" i="22"/>
  <c r="BD74" i="22"/>
  <c r="AT75" i="22"/>
  <c r="AD76" i="22"/>
  <c r="AE75" i="22"/>
  <c r="K86" i="25" l="1"/>
  <c r="J87" i="25"/>
  <c r="B87" i="25"/>
  <c r="H86" i="25"/>
  <c r="B86" i="27"/>
  <c r="H85" i="27"/>
  <c r="J78" i="26"/>
  <c r="K77" i="26"/>
  <c r="B76" i="26"/>
  <c r="H75" i="26"/>
  <c r="P75" i="22"/>
  <c r="Z74" i="22"/>
  <c r="BD75" i="22"/>
  <c r="O78" i="22"/>
  <c r="AD77" i="22"/>
  <c r="AE76" i="22"/>
  <c r="AT76" i="22"/>
  <c r="AO75" i="22"/>
  <c r="AK75" i="22"/>
  <c r="J88" i="25" l="1"/>
  <c r="K87" i="25"/>
  <c r="B88" i="25"/>
  <c r="H87" i="25"/>
  <c r="H86" i="27"/>
  <c r="B87" i="27"/>
  <c r="H76" i="26"/>
  <c r="B77" i="26"/>
  <c r="J79" i="26"/>
  <c r="K78" i="26"/>
  <c r="P76" i="22"/>
  <c r="Z75" i="22"/>
  <c r="AK76" i="22"/>
  <c r="AO76" i="22"/>
  <c r="AD78" i="22"/>
  <c r="AE77" i="22"/>
  <c r="BD76" i="22"/>
  <c r="AT77" i="22"/>
  <c r="O79" i="22"/>
  <c r="K88" i="25" l="1"/>
  <c r="J89" i="25"/>
  <c r="B89" i="25"/>
  <c r="H88" i="25"/>
  <c r="B88" i="27"/>
  <c r="H87" i="27"/>
  <c r="J80" i="26"/>
  <c r="K79" i="26"/>
  <c r="B78" i="26"/>
  <c r="H77" i="26"/>
  <c r="Z76" i="22"/>
  <c r="P77" i="22"/>
  <c r="BD77" i="22"/>
  <c r="AT78" i="22"/>
  <c r="AD79" i="22"/>
  <c r="AE78" i="22"/>
  <c r="O80" i="22"/>
  <c r="AO77" i="22"/>
  <c r="AK77" i="22"/>
  <c r="K89" i="25" l="1"/>
  <c r="J90" i="25"/>
  <c r="H89" i="25"/>
  <c r="B90" i="25"/>
  <c r="H88" i="27"/>
  <c r="B89" i="27"/>
  <c r="B79" i="26"/>
  <c r="H78" i="26"/>
  <c r="J81" i="26"/>
  <c r="K80" i="26"/>
  <c r="Z77" i="22"/>
  <c r="P78" i="22"/>
  <c r="O81" i="22"/>
  <c r="AK78" i="22"/>
  <c r="AO78" i="22"/>
  <c r="AT79" i="22"/>
  <c r="BD78" i="22"/>
  <c r="AD80" i="22"/>
  <c r="AE79" i="22"/>
  <c r="J91" i="25" l="1"/>
  <c r="K90" i="25"/>
  <c r="B91" i="25"/>
  <c r="H90" i="25"/>
  <c r="B90" i="27"/>
  <c r="H89" i="27"/>
  <c r="H79" i="26"/>
  <c r="B80" i="26"/>
  <c r="J82" i="26"/>
  <c r="K81" i="26"/>
  <c r="Z78" i="22"/>
  <c r="P79" i="22"/>
  <c r="AO79" i="22"/>
  <c r="AK79" i="22"/>
  <c r="BD79" i="22"/>
  <c r="AE80" i="22"/>
  <c r="AD81" i="22"/>
  <c r="AT80" i="22"/>
  <c r="O82" i="22"/>
  <c r="K91" i="25" l="1"/>
  <c r="J92" i="25"/>
  <c r="B92" i="25"/>
  <c r="H91" i="25"/>
  <c r="H90" i="27"/>
  <c r="B91" i="27"/>
  <c r="J83" i="26"/>
  <c r="K82" i="26"/>
  <c r="B81" i="26"/>
  <c r="H80" i="26"/>
  <c r="Z79" i="22"/>
  <c r="P80" i="22"/>
  <c r="AO80" i="22"/>
  <c r="AK80" i="22"/>
  <c r="AT81" i="22"/>
  <c r="BD80" i="22"/>
  <c r="O83" i="22"/>
  <c r="AE81" i="22"/>
  <c r="AD82" i="22"/>
  <c r="K92" i="25" l="1"/>
  <c r="J93" i="25"/>
  <c r="K93" i="25" s="1"/>
  <c r="H92" i="25"/>
  <c r="B92" i="27"/>
  <c r="H91" i="27"/>
  <c r="H81" i="26"/>
  <c r="B82" i="26"/>
  <c r="J84" i="26"/>
  <c r="K83" i="26"/>
  <c r="Z80" i="22"/>
  <c r="P81" i="22"/>
  <c r="AK81" i="22"/>
  <c r="AO81" i="22"/>
  <c r="AE82" i="22"/>
  <c r="AD83" i="22"/>
  <c r="AT82" i="22"/>
  <c r="O84" i="22"/>
  <c r="BD81" i="22"/>
  <c r="H92" i="27" l="1"/>
  <c r="J85" i="26"/>
  <c r="K84" i="26"/>
  <c r="B83" i="26"/>
  <c r="H82" i="26"/>
  <c r="P82" i="22"/>
  <c r="Z81" i="22"/>
  <c r="AO82" i="22"/>
  <c r="AK82" i="22"/>
  <c r="AT83" i="22"/>
  <c r="BD82" i="22"/>
  <c r="O85" i="22"/>
  <c r="AE83" i="22"/>
  <c r="AD84" i="22"/>
  <c r="H83" i="26" l="1"/>
  <c r="B84" i="26"/>
  <c r="J86" i="26"/>
  <c r="K85" i="26"/>
  <c r="Z82" i="22"/>
  <c r="P83" i="22"/>
  <c r="AE84" i="22"/>
  <c r="AD85" i="22"/>
  <c r="O86" i="22"/>
  <c r="AO83" i="22"/>
  <c r="AK83" i="22"/>
  <c r="AT84" i="22"/>
  <c r="BD83" i="22"/>
  <c r="B85" i="26" l="1"/>
  <c r="H84" i="26"/>
  <c r="J87" i="26"/>
  <c r="K86" i="26"/>
  <c r="Z83" i="22"/>
  <c r="P84" i="22"/>
  <c r="AD86" i="22"/>
  <c r="AE85" i="22"/>
  <c r="AO84" i="22"/>
  <c r="AK84" i="22"/>
  <c r="AT85" i="22"/>
  <c r="O87" i="22"/>
  <c r="BD84" i="22"/>
  <c r="J88" i="26" l="1"/>
  <c r="K87" i="26"/>
  <c r="H85" i="26"/>
  <c r="B86" i="26"/>
  <c r="Z84" i="22"/>
  <c r="P85" i="22"/>
  <c r="O88" i="22"/>
  <c r="BD85" i="22"/>
  <c r="AK85" i="22"/>
  <c r="AO85" i="22"/>
  <c r="AE86" i="22"/>
  <c r="AD87" i="22"/>
  <c r="AT86" i="22"/>
  <c r="J89" i="26" l="1"/>
  <c r="K88" i="26"/>
  <c r="B87" i="26"/>
  <c r="H86" i="26"/>
  <c r="P86" i="22"/>
  <c r="Z85" i="22"/>
  <c r="AT87" i="22"/>
  <c r="AE87" i="22"/>
  <c r="AD88" i="22"/>
  <c r="BD86" i="22"/>
  <c r="AO86" i="22"/>
  <c r="AK86" i="22"/>
  <c r="O89" i="22"/>
  <c r="J90" i="26" l="1"/>
  <c r="K89" i="26"/>
  <c r="H87" i="26"/>
  <c r="B88" i="26"/>
  <c r="P87" i="22"/>
  <c r="Z86" i="22"/>
  <c r="BD87" i="22"/>
  <c r="O90" i="22"/>
  <c r="AE88" i="22"/>
  <c r="AD89" i="22"/>
  <c r="AK87" i="22"/>
  <c r="AO87" i="22"/>
  <c r="AT88" i="22"/>
  <c r="K90" i="26" l="1"/>
  <c r="J91" i="26"/>
  <c r="B89" i="26"/>
  <c r="H88" i="26"/>
  <c r="Z87" i="22"/>
  <c r="P88" i="22"/>
  <c r="AT89" i="22"/>
  <c r="O91" i="22"/>
  <c r="BD88" i="22"/>
  <c r="AE89" i="22"/>
  <c r="AD90" i="22"/>
  <c r="AO88" i="22"/>
  <c r="AK88" i="22"/>
  <c r="H89" i="26" l="1"/>
  <c r="B90" i="26"/>
  <c r="J92" i="26"/>
  <c r="K91" i="26"/>
  <c r="P89" i="22"/>
  <c r="Z88" i="22"/>
  <c r="AT90" i="22"/>
  <c r="AE90" i="22"/>
  <c r="AD91" i="22"/>
  <c r="AK89" i="22"/>
  <c r="AO89" i="22"/>
  <c r="BD89" i="22"/>
  <c r="O92" i="22"/>
  <c r="J93" i="26" l="1"/>
  <c r="K93" i="26" s="1"/>
  <c r="K92" i="26"/>
  <c r="B91" i="26"/>
  <c r="H90" i="26"/>
  <c r="Z89" i="22"/>
  <c r="P90" i="22"/>
  <c r="AE91" i="22"/>
  <c r="AD92" i="22"/>
  <c r="AK90" i="22"/>
  <c r="AO90" i="22"/>
  <c r="AT91" i="22"/>
  <c r="O93" i="22"/>
  <c r="BD90" i="22"/>
  <c r="H91" i="26" l="1"/>
  <c r="B92" i="26"/>
  <c r="P91" i="22"/>
  <c r="Z90" i="22"/>
  <c r="AE92" i="22"/>
  <c r="AD93" i="22"/>
  <c r="AK91" i="22"/>
  <c r="AO91" i="22"/>
  <c r="AT92" i="22"/>
  <c r="O94" i="22"/>
  <c r="BD91" i="22"/>
  <c r="H92" i="26" l="1"/>
  <c r="P92" i="22"/>
  <c r="Z91" i="22"/>
  <c r="AK92" i="22"/>
  <c r="AO92" i="22"/>
  <c r="AT93" i="22"/>
  <c r="AE93" i="22"/>
  <c r="AD94" i="22"/>
  <c r="AE94" i="22" s="1"/>
  <c r="BD92" i="22"/>
  <c r="AT94" i="22" l="1"/>
  <c r="BD94" i="22" s="1"/>
  <c r="Z92" i="22"/>
  <c r="P93" i="22"/>
  <c r="AK94" i="22"/>
  <c r="AO94" i="22"/>
  <c r="BD93" i="22"/>
  <c r="AK93" i="22"/>
  <c r="AO93" i="22"/>
  <c r="AL85" i="22" l="1"/>
  <c r="AL91" i="22"/>
  <c r="P94" i="22"/>
  <c r="Z93" i="22"/>
  <c r="AL94" i="22"/>
  <c r="AL93" i="22"/>
  <c r="AL57" i="22"/>
  <c r="AL59" i="22"/>
  <c r="AL58" i="22"/>
  <c r="AL61" i="22"/>
  <c r="AL63" i="22"/>
  <c r="AL60" i="22"/>
  <c r="AL62" i="22"/>
  <c r="AL64" i="22"/>
  <c r="AL65" i="22"/>
  <c r="AL66" i="22"/>
  <c r="AL67" i="22"/>
  <c r="AL68" i="22"/>
  <c r="AL69" i="22"/>
  <c r="AL70" i="22"/>
  <c r="AL73" i="22"/>
  <c r="AL71" i="22"/>
  <c r="AL72" i="22"/>
  <c r="AL74" i="22"/>
  <c r="AL75" i="22"/>
  <c r="AL76" i="22"/>
  <c r="AL77" i="22"/>
  <c r="AL78" i="22"/>
  <c r="AL79" i="22"/>
  <c r="AL80" i="22"/>
  <c r="AL81" i="22"/>
  <c r="AL84" i="22"/>
  <c r="AL83" i="22"/>
  <c r="AL82" i="22"/>
  <c r="AL92" i="22"/>
  <c r="AL89" i="22"/>
  <c r="AL90" i="22"/>
  <c r="AL86" i="22"/>
  <c r="AL88" i="22"/>
  <c r="AL87" i="22"/>
  <c r="Z94" i="22" l="1"/>
  <c r="O3" i="20" l="1"/>
  <c r="A69" i="20"/>
  <c r="C68" i="20"/>
  <c r="C67" i="20" s="1"/>
  <c r="C66" i="20" s="1"/>
  <c r="C65" i="20" s="1"/>
  <c r="C64" i="20" s="1"/>
  <c r="C63" i="20" s="1"/>
  <c r="C62" i="20" s="1"/>
  <c r="C61" i="20" s="1"/>
  <c r="C60" i="20" s="1"/>
  <c r="C59" i="20" s="1"/>
  <c r="C58" i="20" s="1"/>
  <c r="C57" i="20" s="1"/>
  <c r="C56" i="20" s="1"/>
  <c r="C55" i="20" s="1"/>
  <c r="C54" i="20" s="1"/>
  <c r="C53" i="20" s="1"/>
  <c r="C52" i="20" s="1"/>
  <c r="C51" i="20" s="1"/>
  <c r="C50" i="20" s="1"/>
  <c r="C49" i="20" s="1"/>
  <c r="C48" i="20" s="1"/>
  <c r="C47" i="20" s="1"/>
  <c r="C46" i="20" s="1"/>
  <c r="C45" i="20" s="1"/>
  <c r="C44" i="20" s="1"/>
  <c r="C43" i="20" s="1"/>
  <c r="C42" i="20" s="1"/>
  <c r="C41" i="20" s="1"/>
  <c r="C40" i="20" s="1"/>
  <c r="C39" i="20" s="1"/>
  <c r="C38" i="20" s="1"/>
  <c r="C37" i="20" s="1"/>
  <c r="C36" i="20" s="1"/>
  <c r="C35" i="20" s="1"/>
  <c r="C34" i="20" s="1"/>
  <c r="C33" i="20" s="1"/>
  <c r="C32" i="20" s="1"/>
  <c r="C31" i="20" s="1"/>
  <c r="C30" i="20" s="1"/>
  <c r="C29" i="20" s="1"/>
  <c r="C28" i="20" s="1"/>
  <c r="C27" i="20" s="1"/>
  <c r="C26" i="20" s="1"/>
  <c r="C25" i="20" s="1"/>
  <c r="C24" i="20" s="1"/>
  <c r="C23" i="20" s="1"/>
  <c r="C22" i="20" s="1"/>
  <c r="C21" i="20" s="1"/>
  <c r="C20" i="20" s="1"/>
  <c r="C19" i="20" s="1"/>
  <c r="C18" i="20" s="1"/>
  <c r="C17" i="20" s="1"/>
  <c r="C16" i="20" s="1"/>
  <c r="C15" i="20" s="1"/>
  <c r="C14" i="20" s="1"/>
  <c r="C13" i="20" s="1"/>
  <c r="C12" i="20" s="1"/>
  <c r="C11" i="20" s="1"/>
  <c r="C10" i="20" s="1"/>
  <c r="C9" i="20" s="1"/>
  <c r="C8" i="20" s="1"/>
  <c r="C7" i="20" s="1"/>
  <c r="C6" i="20" s="1"/>
  <c r="C5" i="20" s="1"/>
  <c r="C4" i="20" s="1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E5" i="20"/>
  <c r="E6" i="20" s="1"/>
  <c r="E7" i="20" s="1"/>
  <c r="E8" i="20" s="1"/>
  <c r="E9" i="20" s="1"/>
  <c r="E10" i="20" s="1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A5" i="20"/>
  <c r="J4" i="20"/>
  <c r="J5" i="20" s="1"/>
  <c r="H4" i="20"/>
  <c r="G4" i="20"/>
  <c r="G5" i="20" s="1"/>
  <c r="G6" i="20" s="1"/>
  <c r="G7" i="20" s="1"/>
  <c r="G8" i="20" s="1"/>
  <c r="G9" i="20" s="1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46" i="20" s="1"/>
  <c r="G47" i="20" s="1"/>
  <c r="G48" i="20" s="1"/>
  <c r="G49" i="20" s="1"/>
  <c r="G50" i="20" s="1"/>
  <c r="G51" i="20" s="1"/>
  <c r="G52" i="20" s="1"/>
  <c r="G53" i="20" s="1"/>
  <c r="G54" i="20" s="1"/>
  <c r="G55" i="20" s="1"/>
  <c r="F4" i="20"/>
  <c r="F5" i="20" s="1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E4" i="20"/>
  <c r="D4" i="20"/>
  <c r="D5" i="20" s="1"/>
  <c r="D6" i="20" s="1"/>
  <c r="D7" i="20" s="1"/>
  <c r="D8" i="20" s="1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D30" i="20" s="1"/>
  <c r="D31" i="20" s="1"/>
  <c r="D32" i="20" s="1"/>
  <c r="D33" i="20" s="1"/>
  <c r="D34" i="20" s="1"/>
  <c r="D35" i="20" s="1"/>
  <c r="D36" i="20" s="1"/>
  <c r="D37" i="20" s="1"/>
  <c r="D38" i="20" s="1"/>
  <c r="D39" i="20" s="1"/>
  <c r="D40" i="20" s="1"/>
  <c r="D41" i="20" s="1"/>
  <c r="D42" i="20" s="1"/>
  <c r="D43" i="20" s="1"/>
  <c r="D44" i="20" s="1"/>
  <c r="D45" i="20" s="1"/>
  <c r="D46" i="20" s="1"/>
  <c r="D47" i="20" s="1"/>
  <c r="D48" i="20" s="1"/>
  <c r="D49" i="20" s="1"/>
  <c r="D50" i="20" s="1"/>
  <c r="D51" i="20" s="1"/>
  <c r="D52" i="20" s="1"/>
  <c r="D53" i="20" s="1"/>
  <c r="D54" i="20" s="1"/>
  <c r="D55" i="20" s="1"/>
  <c r="D56" i="20" s="1"/>
  <c r="D57" i="20" s="1"/>
  <c r="D58" i="20" s="1"/>
  <c r="D59" i="20" s="1"/>
  <c r="D60" i="20" s="1"/>
  <c r="D61" i="20" s="1"/>
  <c r="D62" i="20" s="1"/>
  <c r="D63" i="20" s="1"/>
  <c r="D64" i="20" s="1"/>
  <c r="D65" i="20" s="1"/>
  <c r="D66" i="20" s="1"/>
  <c r="D67" i="20" s="1"/>
  <c r="D68" i="20" s="1"/>
  <c r="B4" i="20"/>
  <c r="A4" i="20"/>
  <c r="M3" i="20"/>
  <c r="L3" i="20"/>
  <c r="A3" i="20"/>
  <c r="A69" i="19"/>
  <c r="C68" i="19"/>
  <c r="C67" i="19" s="1"/>
  <c r="C66" i="19" s="1"/>
  <c r="C65" i="19" s="1"/>
  <c r="C64" i="19" s="1"/>
  <c r="C63" i="19" s="1"/>
  <c r="C62" i="19" s="1"/>
  <c r="C61" i="19" s="1"/>
  <c r="C60" i="19" s="1"/>
  <c r="C59" i="19" s="1"/>
  <c r="C58" i="19" s="1"/>
  <c r="C57" i="19" s="1"/>
  <c r="C56" i="19" s="1"/>
  <c r="C55" i="19" s="1"/>
  <c r="C54" i="19" s="1"/>
  <c r="C53" i="19" s="1"/>
  <c r="C52" i="19" s="1"/>
  <c r="C51" i="19" s="1"/>
  <c r="C50" i="19" s="1"/>
  <c r="C49" i="19" s="1"/>
  <c r="C48" i="19" s="1"/>
  <c r="C47" i="19" s="1"/>
  <c r="C46" i="19" s="1"/>
  <c r="C45" i="19" s="1"/>
  <c r="C44" i="19" s="1"/>
  <c r="C43" i="19" s="1"/>
  <c r="C42" i="19" s="1"/>
  <c r="C41" i="19" s="1"/>
  <c r="C40" i="19" s="1"/>
  <c r="C39" i="19" s="1"/>
  <c r="C38" i="19" s="1"/>
  <c r="C37" i="19" s="1"/>
  <c r="C36" i="19" s="1"/>
  <c r="C35" i="19" s="1"/>
  <c r="C34" i="19" s="1"/>
  <c r="C33" i="19" s="1"/>
  <c r="C32" i="19" s="1"/>
  <c r="C31" i="19" s="1"/>
  <c r="C30" i="19" s="1"/>
  <c r="C29" i="19" s="1"/>
  <c r="C28" i="19" s="1"/>
  <c r="C27" i="19" s="1"/>
  <c r="C26" i="19" s="1"/>
  <c r="C25" i="19" s="1"/>
  <c r="C24" i="19" s="1"/>
  <c r="C23" i="19" s="1"/>
  <c r="C22" i="19" s="1"/>
  <c r="C21" i="19" s="1"/>
  <c r="C20" i="19" s="1"/>
  <c r="C19" i="19" s="1"/>
  <c r="C18" i="19" s="1"/>
  <c r="C17" i="19" s="1"/>
  <c r="C16" i="19" s="1"/>
  <c r="C15" i="19" s="1"/>
  <c r="C14" i="19" s="1"/>
  <c r="C13" i="19" s="1"/>
  <c r="C12" i="19" s="1"/>
  <c r="C11" i="19" s="1"/>
  <c r="C10" i="19" s="1"/>
  <c r="C9" i="19" s="1"/>
  <c r="C8" i="19" s="1"/>
  <c r="C7" i="19" s="1"/>
  <c r="C6" i="19" s="1"/>
  <c r="C5" i="19" s="1"/>
  <c r="A68" i="19"/>
  <c r="A67" i="19"/>
  <c r="A66" i="19"/>
  <c r="A65" i="19"/>
  <c r="A64" i="19"/>
  <c r="A63" i="19"/>
  <c r="A62" i="19"/>
  <c r="A61" i="19"/>
  <c r="A60" i="19"/>
  <c r="A59" i="19"/>
  <c r="A58" i="19"/>
  <c r="A57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56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I4" i="19"/>
  <c r="I5" i="19" s="1"/>
  <c r="I6" i="19" s="1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G4" i="19"/>
  <c r="G5" i="19" s="1"/>
  <c r="F4" i="19"/>
  <c r="F5" i="19" s="1"/>
  <c r="F6" i="19" s="1"/>
  <c r="F7" i="19" s="1"/>
  <c r="F8" i="19" s="1"/>
  <c r="F9" i="19" s="1"/>
  <c r="F10" i="19" s="1"/>
  <c r="F11" i="19" s="1"/>
  <c r="F12" i="19" s="1"/>
  <c r="F13" i="19" s="1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E4" i="19"/>
  <c r="E5" i="19" s="1"/>
  <c r="E6" i="19" s="1"/>
  <c r="E7" i="19" s="1"/>
  <c r="E8" i="19" s="1"/>
  <c r="E9" i="19" s="1"/>
  <c r="E10" i="19" s="1"/>
  <c r="E11" i="19" s="1"/>
  <c r="E12" i="19" s="1"/>
  <c r="E13" i="19" s="1"/>
  <c r="E14" i="19" s="1"/>
  <c r="E15" i="19" s="1"/>
  <c r="E16" i="19" s="1"/>
  <c r="E17" i="19" s="1"/>
  <c r="E18" i="19" s="1"/>
  <c r="E19" i="19" s="1"/>
  <c r="E20" i="19" s="1"/>
  <c r="E21" i="19" s="1"/>
  <c r="E22" i="19" s="1"/>
  <c r="E23" i="19" s="1"/>
  <c r="E24" i="19" s="1"/>
  <c r="E25" i="19" s="1"/>
  <c r="E26" i="19" s="1"/>
  <c r="E27" i="19" s="1"/>
  <c r="E28" i="19" s="1"/>
  <c r="E29" i="19" s="1"/>
  <c r="D4" i="19"/>
  <c r="D5" i="19" s="1"/>
  <c r="D6" i="19" s="1"/>
  <c r="D7" i="19" s="1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7" i="19" s="1"/>
  <c r="D58" i="19" s="1"/>
  <c r="D59" i="19" s="1"/>
  <c r="D60" i="19" s="1"/>
  <c r="D61" i="19" s="1"/>
  <c r="D62" i="19" s="1"/>
  <c r="D63" i="19" s="1"/>
  <c r="D64" i="19" s="1"/>
  <c r="D65" i="19" s="1"/>
  <c r="D66" i="19" s="1"/>
  <c r="D67" i="19" s="1"/>
  <c r="D68" i="19" s="1"/>
  <c r="B4" i="19"/>
  <c r="B5" i="19" s="1"/>
  <c r="A4" i="19"/>
  <c r="N3" i="19"/>
  <c r="L3" i="19"/>
  <c r="K3" i="19"/>
  <c r="A3" i="19"/>
  <c r="A69" i="17"/>
  <c r="B68" i="17"/>
  <c r="BG67" i="17" s="1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E28" i="17"/>
  <c r="E27" i="17" s="1"/>
  <c r="E26" i="17" s="1"/>
  <c r="E25" i="17" s="1"/>
  <c r="E24" i="17" s="1"/>
  <c r="E23" i="17" s="1"/>
  <c r="E22" i="17" s="1"/>
  <c r="E21" i="17" s="1"/>
  <c r="E20" i="17" s="1"/>
  <c r="E19" i="17" s="1"/>
  <c r="E18" i="17" s="1"/>
  <c r="E17" i="17" s="1"/>
  <c r="E16" i="17" s="1"/>
  <c r="E15" i="17" s="1"/>
  <c r="E14" i="17" s="1"/>
  <c r="E13" i="17" s="1"/>
  <c r="E12" i="17" s="1"/>
  <c r="E11" i="17" s="1"/>
  <c r="E10" i="17" s="1"/>
  <c r="E9" i="17" s="1"/>
  <c r="E8" i="17" s="1"/>
  <c r="E7" i="17" s="1"/>
  <c r="E6" i="17" s="1"/>
  <c r="E5" i="17" s="1"/>
  <c r="E4" i="17" s="1"/>
  <c r="E3" i="17" s="1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H4" i="17"/>
  <c r="I4" i="17" s="1"/>
  <c r="F4" i="17"/>
  <c r="D4" i="17"/>
  <c r="D5" i="17" s="1"/>
  <c r="D6" i="17" s="1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37" i="17" s="1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D49" i="17" s="1"/>
  <c r="D50" i="17" s="1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D62" i="17" s="1"/>
  <c r="D63" i="17" s="1"/>
  <c r="D64" i="17" s="1"/>
  <c r="D65" i="17" s="1"/>
  <c r="D66" i="17" s="1"/>
  <c r="D67" i="17" s="1"/>
  <c r="D68" i="17" s="1"/>
  <c r="D69" i="17" s="1"/>
  <c r="C4" i="17"/>
  <c r="C5" i="17" s="1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A4" i="17"/>
  <c r="J3" i="17"/>
  <c r="A3" i="17"/>
  <c r="B67" i="17" l="1"/>
  <c r="B66" i="17" s="1"/>
  <c r="BG65" i="17" s="1"/>
  <c r="M3" i="19"/>
  <c r="O3" i="19" s="1"/>
  <c r="BG66" i="17"/>
  <c r="K4" i="20"/>
  <c r="J4" i="19"/>
  <c r="N4" i="19" s="1"/>
  <c r="N3" i="20"/>
  <c r="P3" i="20" s="1"/>
  <c r="C3" i="20"/>
  <c r="H5" i="20"/>
  <c r="J6" i="20"/>
  <c r="K5" i="20"/>
  <c r="O5" i="20" s="1"/>
  <c r="B5" i="20"/>
  <c r="M4" i="20"/>
  <c r="C4" i="19"/>
  <c r="J20" i="19"/>
  <c r="I21" i="19"/>
  <c r="B6" i="19"/>
  <c r="G6" i="19"/>
  <c r="J19" i="19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C67" i="17"/>
  <c r="J4" i="17"/>
  <c r="F5" i="17"/>
  <c r="H5" i="17"/>
  <c r="B65" i="17"/>
  <c r="L4" i="20" l="1"/>
  <c r="N4" i="20" s="1"/>
  <c r="P4" i="20" s="1"/>
  <c r="O4" i="20"/>
  <c r="K4" i="19"/>
  <c r="L4" i="19"/>
  <c r="J7" i="20"/>
  <c r="K6" i="20"/>
  <c r="O6" i="20" s="1"/>
  <c r="B6" i="20"/>
  <c r="M5" i="20"/>
  <c r="L5" i="20"/>
  <c r="H6" i="20"/>
  <c r="K18" i="19"/>
  <c r="N18" i="19"/>
  <c r="L18" i="19"/>
  <c r="K14" i="19"/>
  <c r="N14" i="19"/>
  <c r="L14" i="19"/>
  <c r="M14" i="19" s="1"/>
  <c r="O14" i="19" s="1"/>
  <c r="K10" i="19"/>
  <c r="N10" i="19"/>
  <c r="L10" i="19"/>
  <c r="K6" i="19"/>
  <c r="N6" i="19"/>
  <c r="L6" i="19"/>
  <c r="K19" i="19"/>
  <c r="L19" i="19"/>
  <c r="N19" i="19"/>
  <c r="L20" i="19"/>
  <c r="K20" i="19"/>
  <c r="N20" i="19"/>
  <c r="K17" i="19"/>
  <c r="N17" i="19"/>
  <c r="L17" i="19"/>
  <c r="K13" i="19"/>
  <c r="N13" i="19"/>
  <c r="L13" i="19"/>
  <c r="K9" i="19"/>
  <c r="N9" i="19"/>
  <c r="L9" i="19"/>
  <c r="G7" i="19"/>
  <c r="C3" i="19"/>
  <c r="K16" i="19"/>
  <c r="N16" i="19"/>
  <c r="L16" i="19"/>
  <c r="K12" i="19"/>
  <c r="N12" i="19"/>
  <c r="L12" i="19"/>
  <c r="K8" i="19"/>
  <c r="N8" i="19"/>
  <c r="L8" i="19"/>
  <c r="B7" i="19"/>
  <c r="K15" i="19"/>
  <c r="N15" i="19"/>
  <c r="L15" i="19"/>
  <c r="M15" i="19" s="1"/>
  <c r="O15" i="19" s="1"/>
  <c r="K11" i="19"/>
  <c r="N11" i="19"/>
  <c r="L11" i="19"/>
  <c r="K7" i="19"/>
  <c r="N7" i="19"/>
  <c r="L7" i="19"/>
  <c r="K5" i="19"/>
  <c r="N5" i="19"/>
  <c r="L5" i="19"/>
  <c r="J21" i="19"/>
  <c r="I22" i="19"/>
  <c r="BG64" i="17"/>
  <c r="B64" i="17"/>
  <c r="H6" i="17"/>
  <c r="I5" i="17"/>
  <c r="F6" i="17"/>
  <c r="C68" i="17"/>
  <c r="M18" i="19" l="1"/>
  <c r="O18" i="19" s="1"/>
  <c r="M19" i="19"/>
  <c r="O19" i="19" s="1"/>
  <c r="N5" i="20"/>
  <c r="B29" i="2" s="1"/>
  <c r="M4" i="19"/>
  <c r="O4" i="19" s="1"/>
  <c r="M11" i="19"/>
  <c r="O11" i="19" s="1"/>
  <c r="M17" i="19"/>
  <c r="O17" i="19" s="1"/>
  <c r="M10" i="19"/>
  <c r="O10" i="19" s="1"/>
  <c r="M16" i="19"/>
  <c r="O16" i="19" s="1"/>
  <c r="M12" i="19"/>
  <c r="O12" i="19" s="1"/>
  <c r="P5" i="20"/>
  <c r="S4" i="20"/>
  <c r="R3" i="20"/>
  <c r="H7" i="20"/>
  <c r="S6" i="20"/>
  <c r="L6" i="20"/>
  <c r="M6" i="20"/>
  <c r="B7" i="20"/>
  <c r="R6" i="20"/>
  <c r="J8" i="20"/>
  <c r="K7" i="20"/>
  <c r="O7" i="20" s="1"/>
  <c r="M7" i="19"/>
  <c r="O7" i="19" s="1"/>
  <c r="B8" i="19"/>
  <c r="M8" i="19"/>
  <c r="O8" i="19" s="1"/>
  <c r="M13" i="19"/>
  <c r="O13" i="19" s="1"/>
  <c r="M20" i="19"/>
  <c r="O20" i="19" s="1"/>
  <c r="M6" i="19"/>
  <c r="O6" i="19" s="1"/>
  <c r="I23" i="19"/>
  <c r="J22" i="19"/>
  <c r="L21" i="19"/>
  <c r="N21" i="19"/>
  <c r="K21" i="19"/>
  <c r="M5" i="19"/>
  <c r="Q7" i="19" s="1"/>
  <c r="W6" i="19"/>
  <c r="M9" i="19"/>
  <c r="O9" i="19" s="1"/>
  <c r="X4" i="19"/>
  <c r="X5" i="19"/>
  <c r="G8" i="19"/>
  <c r="H7" i="17"/>
  <c r="I6" i="17"/>
  <c r="BG63" i="17"/>
  <c r="B63" i="17"/>
  <c r="C69" i="17"/>
  <c r="F7" i="17"/>
  <c r="J5" i="17"/>
  <c r="W4" i="19" l="1"/>
  <c r="Q3" i="19"/>
  <c r="R5" i="20"/>
  <c r="S5" i="20"/>
  <c r="S3" i="20"/>
  <c r="R4" i="20"/>
  <c r="X7" i="19"/>
  <c r="X6" i="19"/>
  <c r="W5" i="19"/>
  <c r="R7" i="19"/>
  <c r="X3" i="19"/>
  <c r="W3" i="19"/>
  <c r="W7" i="19"/>
  <c r="N6" i="20"/>
  <c r="P6" i="20" s="1"/>
  <c r="M7" i="20"/>
  <c r="L7" i="20"/>
  <c r="K8" i="20"/>
  <c r="O8" i="20" s="1"/>
  <c r="J9" i="20"/>
  <c r="R7" i="20"/>
  <c r="B8" i="20"/>
  <c r="H8" i="20"/>
  <c r="S7" i="20"/>
  <c r="W8" i="19"/>
  <c r="B9" i="19"/>
  <c r="Q8" i="19"/>
  <c r="M21" i="19"/>
  <c r="O21" i="19" s="1"/>
  <c r="R8" i="19"/>
  <c r="X8" i="19"/>
  <c r="G9" i="19"/>
  <c r="R3" i="19"/>
  <c r="O5" i="19"/>
  <c r="R4" i="19"/>
  <c r="Q5" i="19"/>
  <c r="R5" i="19"/>
  <c r="Q6" i="19"/>
  <c r="Q4" i="19"/>
  <c r="R6" i="19"/>
  <c r="L22" i="19"/>
  <c r="N22" i="19"/>
  <c r="K22" i="19"/>
  <c r="J23" i="19"/>
  <c r="I24" i="19"/>
  <c r="I7" i="17"/>
  <c r="H8" i="17"/>
  <c r="F8" i="17"/>
  <c r="BG62" i="17"/>
  <c r="B62" i="17"/>
  <c r="J6" i="17"/>
  <c r="N7" i="20" l="1"/>
  <c r="P7" i="20" s="1"/>
  <c r="J10" i="20"/>
  <c r="K9" i="20"/>
  <c r="O9" i="20" s="1"/>
  <c r="L8" i="20"/>
  <c r="M8" i="20"/>
  <c r="H9" i="20"/>
  <c r="S8" i="20"/>
  <c r="B9" i="20"/>
  <c r="R8" i="20"/>
  <c r="N23" i="19"/>
  <c r="L23" i="19"/>
  <c r="K23" i="19"/>
  <c r="R9" i="19"/>
  <c r="G10" i="19"/>
  <c r="X9" i="19"/>
  <c r="J24" i="19"/>
  <c r="I25" i="19"/>
  <c r="M22" i="19"/>
  <c r="AC5" i="19" s="1"/>
  <c r="W9" i="19"/>
  <c r="B10" i="19"/>
  <c r="Q9" i="19"/>
  <c r="J7" i="17"/>
  <c r="F9" i="17"/>
  <c r="I8" i="17"/>
  <c r="H9" i="17"/>
  <c r="BG61" i="17"/>
  <c r="B61" i="17"/>
  <c r="M23" i="19" l="1"/>
  <c r="O23" i="19" s="1"/>
  <c r="AC7" i="19"/>
  <c r="AC9" i="19"/>
  <c r="AC4" i="19"/>
  <c r="N8" i="20"/>
  <c r="P8" i="20" s="1"/>
  <c r="H10" i="20"/>
  <c r="S9" i="20"/>
  <c r="R9" i="20"/>
  <c r="B10" i="20"/>
  <c r="M9" i="20"/>
  <c r="L9" i="20"/>
  <c r="J11" i="20"/>
  <c r="K10" i="20"/>
  <c r="O10" i="20" s="1"/>
  <c r="I26" i="19"/>
  <c r="J25" i="19"/>
  <c r="AD9" i="19"/>
  <c r="AC3" i="19"/>
  <c r="K24" i="19"/>
  <c r="L24" i="19"/>
  <c r="N24" i="19"/>
  <c r="R10" i="19"/>
  <c r="AD10" i="19"/>
  <c r="G11" i="19"/>
  <c r="X10" i="19"/>
  <c r="W10" i="19"/>
  <c r="B11" i="19"/>
  <c r="AC10" i="19"/>
  <c r="Q10" i="19"/>
  <c r="O22" i="19"/>
  <c r="AD3" i="19"/>
  <c r="AD5" i="19"/>
  <c r="AD4" i="19"/>
  <c r="AD6" i="19"/>
  <c r="AD7" i="19"/>
  <c r="AD8" i="19"/>
  <c r="AC8" i="19"/>
  <c r="AC6" i="19"/>
  <c r="H10" i="17"/>
  <c r="I9" i="17"/>
  <c r="B60" i="17"/>
  <c r="BG60" i="17"/>
  <c r="J8" i="17"/>
  <c r="F10" i="17"/>
  <c r="M24" i="19" l="1"/>
  <c r="O24" i="19" s="1"/>
  <c r="J12" i="20"/>
  <c r="K11" i="20"/>
  <c r="O11" i="20" s="1"/>
  <c r="B11" i="20"/>
  <c r="R10" i="20"/>
  <c r="L10" i="20"/>
  <c r="M10" i="20"/>
  <c r="N9" i="20"/>
  <c r="P9" i="20" s="1"/>
  <c r="H11" i="20"/>
  <c r="S10" i="20"/>
  <c r="K25" i="19"/>
  <c r="L25" i="19"/>
  <c r="N25" i="19"/>
  <c r="R11" i="19"/>
  <c r="AD11" i="19"/>
  <c r="X11" i="19"/>
  <c r="G12" i="19"/>
  <c r="W11" i="19"/>
  <c r="B12" i="19"/>
  <c r="AC11" i="19"/>
  <c r="Q11" i="19"/>
  <c r="I27" i="19"/>
  <c r="J26" i="19"/>
  <c r="J9" i="17"/>
  <c r="H11" i="17"/>
  <c r="I10" i="17"/>
  <c r="F11" i="17"/>
  <c r="BG59" i="17"/>
  <c r="B59" i="17"/>
  <c r="H12" i="20" l="1"/>
  <c r="S11" i="20"/>
  <c r="N10" i="20"/>
  <c r="P10" i="20" s="1"/>
  <c r="R11" i="20"/>
  <c r="B12" i="20"/>
  <c r="M11" i="20"/>
  <c r="L11" i="20"/>
  <c r="K12" i="20"/>
  <c r="O12" i="20" s="1"/>
  <c r="J13" i="20"/>
  <c r="K26" i="19"/>
  <c r="L26" i="19"/>
  <c r="M26" i="19" s="1"/>
  <c r="O26" i="19" s="1"/>
  <c r="N26" i="19"/>
  <c r="I28" i="19"/>
  <c r="J27" i="19"/>
  <c r="W12" i="19"/>
  <c r="B13" i="19"/>
  <c r="AC12" i="19"/>
  <c r="Q12" i="19"/>
  <c r="R12" i="19"/>
  <c r="AD12" i="19"/>
  <c r="X12" i="19"/>
  <c r="G13" i="19"/>
  <c r="M25" i="19"/>
  <c r="O25" i="19" s="1"/>
  <c r="J10" i="17"/>
  <c r="I11" i="17"/>
  <c r="H12" i="17"/>
  <c r="B58" i="17"/>
  <c r="BG58" i="17"/>
  <c r="F12" i="17"/>
  <c r="B13" i="20" l="1"/>
  <c r="R12" i="20"/>
  <c r="N11" i="20"/>
  <c r="P11" i="20" s="1"/>
  <c r="J14" i="20"/>
  <c r="K13" i="20"/>
  <c r="O13" i="20" s="1"/>
  <c r="L12" i="20"/>
  <c r="M12" i="20"/>
  <c r="H13" i="20"/>
  <c r="S12" i="20"/>
  <c r="I29" i="19"/>
  <c r="J28" i="19"/>
  <c r="R13" i="19"/>
  <c r="AD13" i="19"/>
  <c r="X13" i="19"/>
  <c r="G14" i="19"/>
  <c r="W13" i="19"/>
  <c r="B14" i="19"/>
  <c r="AC13" i="19"/>
  <c r="Q13" i="19"/>
  <c r="K27" i="19"/>
  <c r="L27" i="19"/>
  <c r="N27" i="19"/>
  <c r="J11" i="17"/>
  <c r="F13" i="17"/>
  <c r="BG57" i="17"/>
  <c r="B57" i="17"/>
  <c r="I12" i="17"/>
  <c r="H13" i="17"/>
  <c r="N12" i="20" l="1"/>
  <c r="X13" i="20" s="1"/>
  <c r="R13" i="20"/>
  <c r="B14" i="20"/>
  <c r="M13" i="20"/>
  <c r="L13" i="20"/>
  <c r="X4" i="20"/>
  <c r="X5" i="20"/>
  <c r="X7" i="20"/>
  <c r="X9" i="20"/>
  <c r="X11" i="20"/>
  <c r="X12" i="20"/>
  <c r="S13" i="20"/>
  <c r="H14" i="20"/>
  <c r="J15" i="20"/>
  <c r="K14" i="20"/>
  <c r="O14" i="20" s="1"/>
  <c r="W14" i="19"/>
  <c r="B15" i="19"/>
  <c r="AC14" i="19"/>
  <c r="Q14" i="19"/>
  <c r="I30" i="19"/>
  <c r="J29" i="19"/>
  <c r="M27" i="19"/>
  <c r="O27" i="19" s="1"/>
  <c r="K28" i="19"/>
  <c r="L28" i="19"/>
  <c r="N28" i="19"/>
  <c r="R14" i="19"/>
  <c r="AD14" i="19"/>
  <c r="X14" i="19"/>
  <c r="G15" i="19"/>
  <c r="B56" i="17"/>
  <c r="BG56" i="17"/>
  <c r="F14" i="17"/>
  <c r="H14" i="17"/>
  <c r="I13" i="17"/>
  <c r="J12" i="17"/>
  <c r="N13" i="20" l="1"/>
  <c r="P13" i="20" s="1"/>
  <c r="Y13" i="20"/>
  <c r="X10" i="20"/>
  <c r="X6" i="20"/>
  <c r="X8" i="20"/>
  <c r="X3" i="20"/>
  <c r="H15" i="20"/>
  <c r="S14" i="20"/>
  <c r="Y14" i="20"/>
  <c r="L14" i="20"/>
  <c r="M14" i="20"/>
  <c r="N14" i="20" s="1"/>
  <c r="P14" i="20" s="1"/>
  <c r="J16" i="20"/>
  <c r="K15" i="20"/>
  <c r="O15" i="20" s="1"/>
  <c r="B15" i="20"/>
  <c r="X14" i="20"/>
  <c r="R14" i="20"/>
  <c r="P12" i="20"/>
  <c r="Y3" i="20"/>
  <c r="Y4" i="20"/>
  <c r="Y5" i="20"/>
  <c r="Y6" i="20"/>
  <c r="Y7" i="20"/>
  <c r="Y8" i="20"/>
  <c r="Y9" i="20"/>
  <c r="Y10" i="20"/>
  <c r="Y11" i="20"/>
  <c r="Y12" i="20"/>
  <c r="M28" i="19"/>
  <c r="O28" i="19" s="1"/>
  <c r="J30" i="19"/>
  <c r="I31" i="19"/>
  <c r="W15" i="19"/>
  <c r="B16" i="19"/>
  <c r="AC15" i="19"/>
  <c r="Q15" i="19"/>
  <c r="R15" i="19"/>
  <c r="AD15" i="19"/>
  <c r="G16" i="19"/>
  <c r="X15" i="19"/>
  <c r="K29" i="19"/>
  <c r="L29" i="19"/>
  <c r="N29" i="19"/>
  <c r="J13" i="17"/>
  <c r="F15" i="17"/>
  <c r="H15" i="17"/>
  <c r="I14" i="17"/>
  <c r="B55" i="17"/>
  <c r="BG55" i="17"/>
  <c r="M29" i="19" l="1"/>
  <c r="O29" i="19" s="1"/>
  <c r="J17" i="20"/>
  <c r="K16" i="20"/>
  <c r="O16" i="20" s="1"/>
  <c r="Y15" i="20"/>
  <c r="H16" i="20"/>
  <c r="S15" i="20"/>
  <c r="B16" i="20"/>
  <c r="R15" i="20"/>
  <c r="X15" i="20"/>
  <c r="L15" i="20"/>
  <c r="M15" i="20"/>
  <c r="N30" i="19"/>
  <c r="L30" i="19"/>
  <c r="K30" i="19"/>
  <c r="W16" i="19"/>
  <c r="B17" i="19"/>
  <c r="AC16" i="19"/>
  <c r="Q16" i="19"/>
  <c r="I32" i="19"/>
  <c r="J31" i="19"/>
  <c r="R16" i="19"/>
  <c r="AD16" i="19"/>
  <c r="G17" i="19"/>
  <c r="X16" i="19"/>
  <c r="F16" i="17"/>
  <c r="J14" i="17"/>
  <c r="I15" i="17"/>
  <c r="H16" i="17"/>
  <c r="B54" i="17"/>
  <c r="BG54" i="17"/>
  <c r="M30" i="19" l="1"/>
  <c r="O30" i="19" s="1"/>
  <c r="N15" i="20"/>
  <c r="P15" i="20" s="1"/>
  <c r="B17" i="20"/>
  <c r="X16" i="20"/>
  <c r="R16" i="20"/>
  <c r="L16" i="20"/>
  <c r="M16" i="20"/>
  <c r="N16" i="20" s="1"/>
  <c r="P16" i="20" s="1"/>
  <c r="Y16" i="20"/>
  <c r="S16" i="20"/>
  <c r="H17" i="20"/>
  <c r="J18" i="20"/>
  <c r="K17" i="20"/>
  <c r="O17" i="20" s="1"/>
  <c r="K31" i="19"/>
  <c r="L31" i="19"/>
  <c r="N31" i="19"/>
  <c r="R17" i="19"/>
  <c r="AD17" i="19"/>
  <c r="G18" i="19"/>
  <c r="X17" i="19"/>
  <c r="I33" i="19"/>
  <c r="J32" i="19"/>
  <c r="W17" i="19"/>
  <c r="B18" i="19"/>
  <c r="AC17" i="19"/>
  <c r="Q17" i="19"/>
  <c r="J15" i="17"/>
  <c r="BG53" i="17"/>
  <c r="B53" i="17"/>
  <c r="I16" i="17"/>
  <c r="H17" i="17"/>
  <c r="F17" i="17"/>
  <c r="J19" i="20" l="1"/>
  <c r="K18" i="20"/>
  <c r="O18" i="20" s="1"/>
  <c r="X17" i="20"/>
  <c r="R17" i="20"/>
  <c r="B18" i="20"/>
  <c r="L17" i="20"/>
  <c r="M17" i="20"/>
  <c r="H18" i="20"/>
  <c r="S17" i="20"/>
  <c r="Y17" i="20"/>
  <c r="I34" i="19"/>
  <c r="J33" i="19"/>
  <c r="R18" i="19"/>
  <c r="AD18" i="19"/>
  <c r="G19" i="19"/>
  <c r="X18" i="19"/>
  <c r="M31" i="19"/>
  <c r="O31" i="19" s="1"/>
  <c r="B19" i="19"/>
  <c r="W18" i="19"/>
  <c r="AC18" i="19"/>
  <c r="Q18" i="19"/>
  <c r="L32" i="19"/>
  <c r="N32" i="19"/>
  <c r="K32" i="19"/>
  <c r="F18" i="17"/>
  <c r="J16" i="17"/>
  <c r="I17" i="17"/>
  <c r="H18" i="17"/>
  <c r="B52" i="17"/>
  <c r="BG52" i="17"/>
  <c r="M32" i="19" l="1"/>
  <c r="O32" i="19" s="1"/>
  <c r="H19" i="20"/>
  <c r="S18" i="20"/>
  <c r="Y18" i="20"/>
  <c r="M18" i="20"/>
  <c r="L18" i="20"/>
  <c r="N17" i="20"/>
  <c r="P17" i="20" s="1"/>
  <c r="R18" i="20"/>
  <c r="X18" i="20"/>
  <c r="B19" i="20"/>
  <c r="J20" i="20"/>
  <c r="K19" i="20"/>
  <c r="O19" i="20" s="1"/>
  <c r="AI19" i="19"/>
  <c r="AC19" i="19"/>
  <c r="B20" i="19"/>
  <c r="Q19" i="19"/>
  <c r="W19" i="19"/>
  <c r="AJ4" i="19"/>
  <c r="AJ5" i="19"/>
  <c r="AJ7" i="19"/>
  <c r="AJ9" i="19"/>
  <c r="AJ11" i="19"/>
  <c r="AJ13" i="19"/>
  <c r="AJ15" i="19"/>
  <c r="AJ17" i="19"/>
  <c r="G20" i="19"/>
  <c r="AJ19" i="19"/>
  <c r="R19" i="19"/>
  <c r="X19" i="19"/>
  <c r="AD19" i="19"/>
  <c r="K33" i="19"/>
  <c r="L33" i="19"/>
  <c r="N33" i="19"/>
  <c r="AI5" i="19"/>
  <c r="AI3" i="19"/>
  <c r="AI8" i="19"/>
  <c r="AI10" i="19"/>
  <c r="AI12" i="19"/>
  <c r="AI14" i="19"/>
  <c r="AI16" i="19"/>
  <c r="AJ18" i="19"/>
  <c r="J34" i="19"/>
  <c r="I35" i="19"/>
  <c r="F19" i="17"/>
  <c r="J17" i="17"/>
  <c r="BG51" i="17"/>
  <c r="B51" i="17"/>
  <c r="H19" i="17"/>
  <c r="I18" i="17"/>
  <c r="AI18" i="19" l="1"/>
  <c r="AI17" i="19"/>
  <c r="AI13" i="19"/>
  <c r="AI9" i="19"/>
  <c r="AI6" i="19"/>
  <c r="M33" i="19"/>
  <c r="O33" i="19" s="1"/>
  <c r="AJ16" i="19"/>
  <c r="AJ12" i="19"/>
  <c r="AJ8" i="19"/>
  <c r="AJ3" i="19"/>
  <c r="AI15" i="19"/>
  <c r="AI11" i="19"/>
  <c r="AI7" i="19"/>
  <c r="AI4" i="19"/>
  <c r="AJ14" i="19"/>
  <c r="AJ10" i="19"/>
  <c r="AJ6" i="19"/>
  <c r="B20" i="20"/>
  <c r="R19" i="20"/>
  <c r="X19" i="20"/>
  <c r="L19" i="20"/>
  <c r="M19" i="20"/>
  <c r="N18" i="20"/>
  <c r="P18" i="20" s="1"/>
  <c r="J21" i="20"/>
  <c r="K20" i="20"/>
  <c r="O20" i="20" s="1"/>
  <c r="Y19" i="20"/>
  <c r="S19" i="20"/>
  <c r="H20" i="20"/>
  <c r="G21" i="19"/>
  <c r="AJ20" i="19"/>
  <c r="X20" i="19"/>
  <c r="AD20" i="19"/>
  <c r="R20" i="19"/>
  <c r="N34" i="19"/>
  <c r="L34" i="19"/>
  <c r="K34" i="19"/>
  <c r="J35" i="19"/>
  <c r="I36" i="19"/>
  <c r="Q20" i="19"/>
  <c r="AI20" i="19"/>
  <c r="AC20" i="19"/>
  <c r="W20" i="19"/>
  <c r="B21" i="19"/>
  <c r="H20" i="17"/>
  <c r="I19" i="17"/>
  <c r="BG50" i="17"/>
  <c r="B50" i="17"/>
  <c r="J18" i="17"/>
  <c r="F20" i="17"/>
  <c r="M34" i="19" l="1"/>
  <c r="O34" i="19" s="1"/>
  <c r="N19" i="20"/>
  <c r="P19" i="20" s="1"/>
  <c r="Y20" i="20"/>
  <c r="S20" i="20"/>
  <c r="H21" i="20"/>
  <c r="J22" i="20"/>
  <c r="K21" i="20"/>
  <c r="O21" i="20" s="1"/>
  <c r="L20" i="20"/>
  <c r="M20" i="20"/>
  <c r="B21" i="20"/>
  <c r="X20" i="20"/>
  <c r="R20" i="20"/>
  <c r="Q21" i="19"/>
  <c r="AI21" i="19"/>
  <c r="AC21" i="19"/>
  <c r="W21" i="19"/>
  <c r="B22" i="19"/>
  <c r="I37" i="19"/>
  <c r="J36" i="19"/>
  <c r="N35" i="19"/>
  <c r="K35" i="19"/>
  <c r="L35" i="19"/>
  <c r="G22" i="19"/>
  <c r="AJ21" i="19"/>
  <c r="AD21" i="19"/>
  <c r="R21" i="19"/>
  <c r="X21" i="19"/>
  <c r="J19" i="17"/>
  <c r="F21" i="17"/>
  <c r="BG49" i="17"/>
  <c r="B49" i="17"/>
  <c r="I20" i="17"/>
  <c r="H21" i="17"/>
  <c r="N20" i="20" l="1"/>
  <c r="P20" i="20" s="1"/>
  <c r="J23" i="20"/>
  <c r="K22" i="20"/>
  <c r="O22" i="20" s="1"/>
  <c r="X21" i="20"/>
  <c r="B22" i="20"/>
  <c r="R21" i="20"/>
  <c r="L21" i="20"/>
  <c r="M21" i="20"/>
  <c r="H22" i="20"/>
  <c r="S21" i="20"/>
  <c r="Y21" i="20"/>
  <c r="Q22" i="19"/>
  <c r="B23" i="19"/>
  <c r="AI22" i="19"/>
  <c r="AC22" i="19"/>
  <c r="W22" i="19"/>
  <c r="M35" i="19"/>
  <c r="O35" i="19" s="1"/>
  <c r="I38" i="19"/>
  <c r="J37" i="19"/>
  <c r="AJ22" i="19"/>
  <c r="AD22" i="19"/>
  <c r="R22" i="19"/>
  <c r="G23" i="19"/>
  <c r="X22" i="19"/>
  <c r="K36" i="19"/>
  <c r="L36" i="19"/>
  <c r="N36" i="19"/>
  <c r="I21" i="17"/>
  <c r="H22" i="17"/>
  <c r="J20" i="17"/>
  <c r="B48" i="17"/>
  <c r="BG48" i="17"/>
  <c r="F22" i="17"/>
  <c r="H23" i="20" l="1"/>
  <c r="S22" i="20"/>
  <c r="Y22" i="20"/>
  <c r="N21" i="20"/>
  <c r="P21" i="20" s="1"/>
  <c r="R22" i="20"/>
  <c r="X22" i="20"/>
  <c r="B23" i="20"/>
  <c r="M22" i="20"/>
  <c r="L22" i="20"/>
  <c r="J24" i="20"/>
  <c r="K23" i="20"/>
  <c r="O23" i="20" s="1"/>
  <c r="X23" i="19"/>
  <c r="G24" i="19"/>
  <c r="R23" i="19"/>
  <c r="AJ23" i="19"/>
  <c r="AD23" i="19"/>
  <c r="B24" i="19"/>
  <c r="AC23" i="19"/>
  <c r="AI23" i="19"/>
  <c r="W23" i="19"/>
  <c r="Q23" i="19"/>
  <c r="L37" i="19"/>
  <c r="N37" i="19"/>
  <c r="K37" i="19"/>
  <c r="M36" i="19"/>
  <c r="O36" i="19" s="1"/>
  <c r="J38" i="19"/>
  <c r="I39" i="19"/>
  <c r="BG47" i="17"/>
  <c r="B47" i="17"/>
  <c r="H23" i="17"/>
  <c r="I22" i="17"/>
  <c r="F23" i="17"/>
  <c r="J21" i="17"/>
  <c r="N22" i="20" l="1"/>
  <c r="AE4" i="20" s="1"/>
  <c r="J25" i="20"/>
  <c r="K24" i="20"/>
  <c r="O24" i="20" s="1"/>
  <c r="AE3" i="20"/>
  <c r="AE6" i="20"/>
  <c r="AE7" i="20"/>
  <c r="AE11" i="20"/>
  <c r="AE14" i="20"/>
  <c r="AE15" i="20"/>
  <c r="AE19" i="20"/>
  <c r="B24" i="20"/>
  <c r="R23" i="20"/>
  <c r="X23" i="20"/>
  <c r="AE23" i="20"/>
  <c r="Y23" i="20"/>
  <c r="H24" i="20"/>
  <c r="S23" i="20"/>
  <c r="L23" i="20"/>
  <c r="M23" i="20"/>
  <c r="AD3" i="20"/>
  <c r="AD5" i="20"/>
  <c r="AD6" i="20"/>
  <c r="AD8" i="20"/>
  <c r="AD9" i="20"/>
  <c r="AD10" i="20"/>
  <c r="AD12" i="20"/>
  <c r="AD13" i="20"/>
  <c r="AD14" i="20"/>
  <c r="AD16" i="20"/>
  <c r="AD17" i="20"/>
  <c r="AD18" i="20"/>
  <c r="AD20" i="20"/>
  <c r="AD21" i="20"/>
  <c r="I40" i="19"/>
  <c r="J39" i="19"/>
  <c r="M37" i="19"/>
  <c r="O37" i="19" s="1"/>
  <c r="L38" i="19"/>
  <c r="K38" i="19"/>
  <c r="N38" i="19"/>
  <c r="AD24" i="19"/>
  <c r="AJ24" i="19"/>
  <c r="G25" i="19"/>
  <c r="X24" i="19"/>
  <c r="R24" i="19"/>
  <c r="B25" i="19"/>
  <c r="AI24" i="19"/>
  <c r="AC24" i="19"/>
  <c r="W24" i="19"/>
  <c r="Q24" i="19"/>
  <c r="H24" i="17"/>
  <c r="I23" i="17"/>
  <c r="BG46" i="17"/>
  <c r="B46" i="17"/>
  <c r="F24" i="17"/>
  <c r="J22" i="17"/>
  <c r="M38" i="19" l="1"/>
  <c r="O38" i="19" s="1"/>
  <c r="AE18" i="20"/>
  <c r="AE10" i="20"/>
  <c r="P22" i="20"/>
  <c r="AE21" i="20"/>
  <c r="AE17" i="20"/>
  <c r="AE13" i="20"/>
  <c r="AE9" i="20"/>
  <c r="AE5" i="20"/>
  <c r="AD19" i="20"/>
  <c r="AD15" i="20"/>
  <c r="AD11" i="20"/>
  <c r="AD7" i="20"/>
  <c r="AD4" i="20"/>
  <c r="AD23" i="20"/>
  <c r="AE20" i="20"/>
  <c r="AE16" i="20"/>
  <c r="AE12" i="20"/>
  <c r="AE8" i="20"/>
  <c r="N23" i="20"/>
  <c r="P23" i="20" s="1"/>
  <c r="AD22" i="20"/>
  <c r="AE22" i="20"/>
  <c r="Y24" i="20"/>
  <c r="AE24" i="20"/>
  <c r="S24" i="20"/>
  <c r="H25" i="20"/>
  <c r="L24" i="20"/>
  <c r="M24" i="20"/>
  <c r="AD24" i="20"/>
  <c r="B25" i="20"/>
  <c r="X24" i="20"/>
  <c r="R24" i="20"/>
  <c r="J26" i="20"/>
  <c r="K25" i="20"/>
  <c r="O25" i="20" s="1"/>
  <c r="N39" i="19"/>
  <c r="K39" i="19"/>
  <c r="L39" i="19"/>
  <c r="AD25" i="19"/>
  <c r="G26" i="19"/>
  <c r="AJ25" i="19"/>
  <c r="X25" i="19"/>
  <c r="R25" i="19"/>
  <c r="B26" i="19"/>
  <c r="AI25" i="19"/>
  <c r="AC25" i="19"/>
  <c r="W25" i="19"/>
  <c r="Q25" i="19"/>
  <c r="I41" i="19"/>
  <c r="J40" i="19"/>
  <c r="F25" i="17"/>
  <c r="J23" i="17"/>
  <c r="I24" i="17"/>
  <c r="H25" i="17"/>
  <c r="B45" i="17"/>
  <c r="BG45" i="17"/>
  <c r="X25" i="20" l="1"/>
  <c r="AD25" i="20"/>
  <c r="R25" i="20"/>
  <c r="B26" i="20"/>
  <c r="K26" i="20"/>
  <c r="O26" i="20" s="1"/>
  <c r="J27" i="20"/>
  <c r="S25" i="20"/>
  <c r="H26" i="20"/>
  <c r="Y25" i="20"/>
  <c r="AE25" i="20"/>
  <c r="N24" i="20"/>
  <c r="P24" i="20" s="1"/>
  <c r="L25" i="20"/>
  <c r="M25" i="20"/>
  <c r="K40" i="19"/>
  <c r="L40" i="19"/>
  <c r="N40" i="19"/>
  <c r="R26" i="19"/>
  <c r="AD26" i="19"/>
  <c r="G27" i="19"/>
  <c r="AJ26" i="19"/>
  <c r="X26" i="19"/>
  <c r="W26" i="19"/>
  <c r="B27" i="19"/>
  <c r="AI26" i="19"/>
  <c r="Q26" i="19"/>
  <c r="AC26" i="19"/>
  <c r="J41" i="19"/>
  <c r="I42" i="19"/>
  <c r="M39" i="19"/>
  <c r="O39" i="19" s="1"/>
  <c r="BG44" i="17"/>
  <c r="B44" i="17"/>
  <c r="I25" i="17"/>
  <c r="H26" i="17"/>
  <c r="J24" i="17"/>
  <c r="F26" i="17"/>
  <c r="N25" i="20" l="1"/>
  <c r="P25" i="20" s="1"/>
  <c r="M40" i="19"/>
  <c r="O40" i="19" s="1"/>
  <c r="L26" i="20"/>
  <c r="M26" i="20"/>
  <c r="H27" i="20"/>
  <c r="S26" i="20"/>
  <c r="AE26" i="20"/>
  <c r="Y26" i="20"/>
  <c r="X26" i="20"/>
  <c r="B27" i="20"/>
  <c r="R26" i="20"/>
  <c r="AD26" i="20"/>
  <c r="J28" i="20"/>
  <c r="K27" i="20"/>
  <c r="O27" i="20" s="1"/>
  <c r="N41" i="19"/>
  <c r="L41" i="19"/>
  <c r="K41" i="19"/>
  <c r="W27" i="19"/>
  <c r="B28" i="19"/>
  <c r="AI27" i="19"/>
  <c r="Q27" i="19"/>
  <c r="AC27" i="19"/>
  <c r="I43" i="19"/>
  <c r="J42" i="19"/>
  <c r="R27" i="19"/>
  <c r="AD27" i="19"/>
  <c r="G28" i="19"/>
  <c r="AJ27" i="19"/>
  <c r="X27" i="19"/>
  <c r="F27" i="17"/>
  <c r="J25" i="17"/>
  <c r="B43" i="17"/>
  <c r="BG43" i="17"/>
  <c r="H27" i="17"/>
  <c r="I26" i="17"/>
  <c r="M41" i="19" l="1"/>
  <c r="O41" i="19" s="1"/>
  <c r="M27" i="20"/>
  <c r="L27" i="20"/>
  <c r="J29" i="20"/>
  <c r="K28" i="20"/>
  <c r="O28" i="20" s="1"/>
  <c r="Y27" i="20"/>
  <c r="H28" i="20"/>
  <c r="AE27" i="20"/>
  <c r="S27" i="20"/>
  <c r="R27" i="20"/>
  <c r="AD27" i="20"/>
  <c r="B28" i="20"/>
  <c r="X27" i="20"/>
  <c r="N26" i="20"/>
  <c r="P26" i="20" s="1"/>
  <c r="K42" i="19"/>
  <c r="L42" i="19"/>
  <c r="N42" i="19"/>
  <c r="R28" i="19"/>
  <c r="AD28" i="19"/>
  <c r="G29" i="19"/>
  <c r="AJ28" i="19"/>
  <c r="X28" i="19"/>
  <c r="I44" i="19"/>
  <c r="J43" i="19"/>
  <c r="W28" i="19"/>
  <c r="B29" i="19"/>
  <c r="AI28" i="19"/>
  <c r="Q28" i="19"/>
  <c r="AC28" i="19"/>
  <c r="H28" i="17"/>
  <c r="I27" i="17"/>
  <c r="F28" i="17"/>
  <c r="J26" i="17"/>
  <c r="BG42" i="17"/>
  <c r="B42" i="17"/>
  <c r="M42" i="19" l="1"/>
  <c r="AO28" i="19" s="1"/>
  <c r="K29" i="20"/>
  <c r="O29" i="20" s="1"/>
  <c r="J30" i="20"/>
  <c r="B29" i="20"/>
  <c r="X28" i="20"/>
  <c r="AD28" i="20"/>
  <c r="R28" i="20"/>
  <c r="AE28" i="20"/>
  <c r="H29" i="20"/>
  <c r="S28" i="20"/>
  <c r="Y28" i="20"/>
  <c r="L28" i="20"/>
  <c r="M28" i="20"/>
  <c r="N27" i="20"/>
  <c r="P27" i="20" s="1"/>
  <c r="L43" i="19"/>
  <c r="N43" i="19"/>
  <c r="K43" i="19"/>
  <c r="AO5" i="19"/>
  <c r="AO6" i="19"/>
  <c r="AO4" i="19"/>
  <c r="AO7" i="19"/>
  <c r="AO3" i="19"/>
  <c r="AO8" i="19"/>
  <c r="AO9" i="19"/>
  <c r="AO10" i="19"/>
  <c r="AO11" i="19"/>
  <c r="AO12" i="19"/>
  <c r="AO13" i="19"/>
  <c r="AO14" i="19"/>
  <c r="AO15" i="19"/>
  <c r="AO16" i="19"/>
  <c r="AO17" i="19"/>
  <c r="AO18" i="19"/>
  <c r="AO19" i="19"/>
  <c r="AO20" i="19"/>
  <c r="AO21" i="19"/>
  <c r="AO22" i="19"/>
  <c r="AO23" i="19"/>
  <c r="AO24" i="19"/>
  <c r="AO25" i="19"/>
  <c r="AO26" i="19"/>
  <c r="AO27" i="19"/>
  <c r="O42" i="19"/>
  <c r="AP3" i="19"/>
  <c r="AP5" i="19"/>
  <c r="AP4" i="19"/>
  <c r="AP6" i="19"/>
  <c r="AP7" i="19"/>
  <c r="AP8" i="19"/>
  <c r="AP9" i="19"/>
  <c r="AP10" i="19"/>
  <c r="AP11" i="19"/>
  <c r="AP12" i="19"/>
  <c r="AP13" i="19"/>
  <c r="AP14" i="19"/>
  <c r="AP15" i="19"/>
  <c r="AP16" i="19"/>
  <c r="AP17" i="19"/>
  <c r="AP18" i="19"/>
  <c r="AP19" i="19"/>
  <c r="AP20" i="19"/>
  <c r="AP21" i="19"/>
  <c r="AP22" i="19"/>
  <c r="AP23" i="19"/>
  <c r="AP24" i="19"/>
  <c r="AP25" i="19"/>
  <c r="AP26" i="19"/>
  <c r="AP27" i="19"/>
  <c r="I45" i="19"/>
  <c r="J44" i="19"/>
  <c r="W29" i="19"/>
  <c r="B30" i="19"/>
  <c r="AI29" i="19"/>
  <c r="Q29" i="19"/>
  <c r="AO29" i="19"/>
  <c r="AC29" i="19"/>
  <c r="AP29" i="19"/>
  <c r="R29" i="19"/>
  <c r="G30" i="19"/>
  <c r="AD29" i="19"/>
  <c r="AJ29" i="19"/>
  <c r="X29" i="19"/>
  <c r="AP28" i="19"/>
  <c r="J27" i="17"/>
  <c r="F29" i="17"/>
  <c r="B41" i="17"/>
  <c r="BG41" i="17"/>
  <c r="I28" i="17"/>
  <c r="H29" i="17"/>
  <c r="N28" i="20" l="1"/>
  <c r="P28" i="20" s="1"/>
  <c r="M29" i="20"/>
  <c r="L29" i="20"/>
  <c r="AD29" i="20"/>
  <c r="R29" i="20"/>
  <c r="X29" i="20"/>
  <c r="B30" i="20"/>
  <c r="Y29" i="20"/>
  <c r="H30" i="20"/>
  <c r="S29" i="20"/>
  <c r="AE29" i="20"/>
  <c r="K30" i="20"/>
  <c r="O30" i="20" s="1"/>
  <c r="J31" i="20"/>
  <c r="J45" i="19"/>
  <c r="I46" i="19"/>
  <c r="AC30" i="19"/>
  <c r="AO30" i="19"/>
  <c r="Q30" i="19"/>
  <c r="B31" i="19"/>
  <c r="W30" i="19"/>
  <c r="AI30" i="19"/>
  <c r="X30" i="19"/>
  <c r="AJ30" i="19"/>
  <c r="G31" i="19"/>
  <c r="R30" i="19"/>
  <c r="AP30" i="19"/>
  <c r="AD30" i="19"/>
  <c r="K44" i="19"/>
  <c r="L44" i="19"/>
  <c r="N44" i="19"/>
  <c r="M43" i="19"/>
  <c r="O43" i="19" s="1"/>
  <c r="BG40" i="17"/>
  <c r="B40" i="17"/>
  <c r="H30" i="17"/>
  <c r="I29" i="17"/>
  <c r="J28" i="17"/>
  <c r="F30" i="17"/>
  <c r="M44" i="19" l="1"/>
  <c r="O44" i="19" s="1"/>
  <c r="K31" i="20"/>
  <c r="O31" i="20" s="1"/>
  <c r="J32" i="20"/>
  <c r="AD30" i="20"/>
  <c r="R30" i="20"/>
  <c r="B31" i="20"/>
  <c r="X30" i="20"/>
  <c r="N29" i="20"/>
  <c r="P29" i="20" s="1"/>
  <c r="M30" i="20"/>
  <c r="L30" i="20"/>
  <c r="Y30" i="20"/>
  <c r="H31" i="20"/>
  <c r="S30" i="20"/>
  <c r="AE30" i="20"/>
  <c r="B32" i="19"/>
  <c r="AI31" i="19"/>
  <c r="W31" i="19"/>
  <c r="Q31" i="19"/>
  <c r="AO31" i="19"/>
  <c r="AC31" i="19"/>
  <c r="I47" i="19"/>
  <c r="J46" i="19"/>
  <c r="G32" i="19"/>
  <c r="AD31" i="19"/>
  <c r="AP31" i="19"/>
  <c r="R31" i="19"/>
  <c r="AJ31" i="19"/>
  <c r="X31" i="19"/>
  <c r="N45" i="19"/>
  <c r="L45" i="19"/>
  <c r="K45" i="19"/>
  <c r="J29" i="17"/>
  <c r="I30" i="17"/>
  <c r="H31" i="17"/>
  <c r="B39" i="17"/>
  <c r="BG39" i="17"/>
  <c r="F31" i="17"/>
  <c r="N30" i="20" l="1"/>
  <c r="P30" i="20" s="1"/>
  <c r="AD31" i="20"/>
  <c r="R31" i="20"/>
  <c r="B32" i="20"/>
  <c r="X31" i="20"/>
  <c r="K32" i="20"/>
  <c r="O32" i="20" s="1"/>
  <c r="J33" i="20"/>
  <c r="Y31" i="20"/>
  <c r="H32" i="20"/>
  <c r="AE31" i="20"/>
  <c r="S31" i="20"/>
  <c r="M31" i="20"/>
  <c r="N31" i="20" s="1"/>
  <c r="P31" i="20" s="1"/>
  <c r="L31" i="20"/>
  <c r="AJ32" i="19"/>
  <c r="X32" i="19"/>
  <c r="G33" i="19"/>
  <c r="R32" i="19"/>
  <c r="AP32" i="19"/>
  <c r="AD32" i="19"/>
  <c r="AO32" i="19"/>
  <c r="Q32" i="19"/>
  <c r="AC32" i="19"/>
  <c r="B33" i="19"/>
  <c r="W32" i="19"/>
  <c r="AI32" i="19"/>
  <c r="K46" i="19"/>
  <c r="L46" i="19"/>
  <c r="N46" i="19"/>
  <c r="M45" i="19"/>
  <c r="O45" i="19" s="1"/>
  <c r="I48" i="19"/>
  <c r="J47" i="19"/>
  <c r="BG38" i="17"/>
  <c r="B38" i="17"/>
  <c r="H32" i="17"/>
  <c r="I31" i="17"/>
  <c r="J30" i="17"/>
  <c r="BS30" i="17"/>
  <c r="AU30" i="17"/>
  <c r="W30" i="17"/>
  <c r="BM30" i="17"/>
  <c r="AO30" i="17"/>
  <c r="Q30" i="17"/>
  <c r="AC30" i="17"/>
  <c r="AI30" i="17"/>
  <c r="F32" i="17"/>
  <c r="BA30" i="17"/>
  <c r="Y32" i="20" l="1"/>
  <c r="H33" i="20"/>
  <c r="AE32" i="20"/>
  <c r="S32" i="20"/>
  <c r="K33" i="20"/>
  <c r="O33" i="20" s="1"/>
  <c r="J34" i="20"/>
  <c r="AD32" i="20"/>
  <c r="R32" i="20"/>
  <c r="B33" i="20"/>
  <c r="X32" i="20"/>
  <c r="M32" i="20"/>
  <c r="L32" i="20"/>
  <c r="I49" i="19"/>
  <c r="J48" i="19"/>
  <c r="L47" i="19"/>
  <c r="N47" i="19"/>
  <c r="K47" i="19"/>
  <c r="M46" i="19"/>
  <c r="O46" i="19" s="1"/>
  <c r="W33" i="19"/>
  <c r="B34" i="19"/>
  <c r="AI33" i="19"/>
  <c r="Q33" i="19"/>
  <c r="AO33" i="19"/>
  <c r="AC33" i="19"/>
  <c r="AP33" i="19"/>
  <c r="R33" i="19"/>
  <c r="G34" i="19"/>
  <c r="AD33" i="19"/>
  <c r="AJ33" i="19"/>
  <c r="X33" i="19"/>
  <c r="J31" i="17"/>
  <c r="AI31" i="17"/>
  <c r="BA31" i="17"/>
  <c r="AC31" i="17"/>
  <c r="F33" i="17"/>
  <c r="AO31" i="17"/>
  <c r="BM31" i="17"/>
  <c r="Q31" i="17"/>
  <c r="AU31" i="17"/>
  <c r="W31" i="17"/>
  <c r="BS31" i="17"/>
  <c r="I32" i="17"/>
  <c r="H33" i="17"/>
  <c r="B37" i="17"/>
  <c r="BG37" i="17"/>
  <c r="N32" i="20" l="1"/>
  <c r="AK32" i="20" s="1"/>
  <c r="M47" i="19"/>
  <c r="O47" i="19" s="1"/>
  <c r="AK20" i="20"/>
  <c r="AK24" i="20"/>
  <c r="AK28" i="20"/>
  <c r="M33" i="20"/>
  <c r="L33" i="20"/>
  <c r="AJ3" i="20"/>
  <c r="AJ9" i="20"/>
  <c r="AJ13" i="20"/>
  <c r="AJ17" i="20"/>
  <c r="AJ21" i="20"/>
  <c r="AJ25" i="20"/>
  <c r="AJ29" i="20"/>
  <c r="Y33" i="20"/>
  <c r="H34" i="20"/>
  <c r="S33" i="20"/>
  <c r="AE33" i="20"/>
  <c r="AJ32" i="20"/>
  <c r="AD33" i="20"/>
  <c r="R33" i="20"/>
  <c r="X33" i="20"/>
  <c r="B34" i="20"/>
  <c r="K34" i="20"/>
  <c r="O34" i="20" s="1"/>
  <c r="J35" i="20"/>
  <c r="K48" i="19"/>
  <c r="L48" i="19"/>
  <c r="N48" i="19"/>
  <c r="G35" i="19"/>
  <c r="X34" i="19"/>
  <c r="AJ34" i="19"/>
  <c r="R34" i="19"/>
  <c r="AP34" i="19"/>
  <c r="AD34" i="19"/>
  <c r="AC34" i="19"/>
  <c r="AO34" i="19"/>
  <c r="Q34" i="19"/>
  <c r="B35" i="19"/>
  <c r="W34" i="19"/>
  <c r="AI34" i="19"/>
  <c r="I50" i="19"/>
  <c r="J49" i="19"/>
  <c r="J32" i="17"/>
  <c r="I33" i="17"/>
  <c r="H34" i="17"/>
  <c r="F34" i="17"/>
  <c r="AI32" i="17"/>
  <c r="BS32" i="17"/>
  <c r="BM32" i="17"/>
  <c r="W32" i="17"/>
  <c r="Q32" i="17"/>
  <c r="AU32" i="17"/>
  <c r="AO32" i="17"/>
  <c r="AC32" i="17"/>
  <c r="BA32" i="17"/>
  <c r="BG36" i="17"/>
  <c r="B36" i="17"/>
  <c r="AK16" i="20" l="1"/>
  <c r="AK12" i="20"/>
  <c r="AK8" i="20"/>
  <c r="AK4" i="20"/>
  <c r="AJ28" i="20"/>
  <c r="AJ24" i="20"/>
  <c r="AJ20" i="20"/>
  <c r="AJ16" i="20"/>
  <c r="AJ12" i="20"/>
  <c r="AJ8" i="20"/>
  <c r="AJ5" i="20"/>
  <c r="AK31" i="20"/>
  <c r="AK27" i="20"/>
  <c r="AK23" i="20"/>
  <c r="AK19" i="20"/>
  <c r="AK15" i="20"/>
  <c r="AK11" i="20"/>
  <c r="AK7" i="20"/>
  <c r="P32" i="20"/>
  <c r="AJ31" i="20"/>
  <c r="AJ27" i="20"/>
  <c r="AJ23" i="20"/>
  <c r="AJ19" i="20"/>
  <c r="AJ15" i="20"/>
  <c r="AJ11" i="20"/>
  <c r="AJ7" i="20"/>
  <c r="AJ4" i="20"/>
  <c r="AK30" i="20"/>
  <c r="AK26" i="20"/>
  <c r="AK22" i="20"/>
  <c r="AK18" i="20"/>
  <c r="AK14" i="20"/>
  <c r="AK10" i="20"/>
  <c r="AK6" i="20"/>
  <c r="AK3" i="20"/>
  <c r="AJ33" i="20"/>
  <c r="AK33" i="20"/>
  <c r="AJ30" i="20"/>
  <c r="AJ26" i="20"/>
  <c r="AJ22" i="20"/>
  <c r="AJ18" i="20"/>
  <c r="AJ14" i="20"/>
  <c r="AJ10" i="20"/>
  <c r="AJ6" i="20"/>
  <c r="AK29" i="20"/>
  <c r="AK25" i="20"/>
  <c r="AK21" i="20"/>
  <c r="AK17" i="20"/>
  <c r="AK13" i="20"/>
  <c r="AK9" i="20"/>
  <c r="AK5" i="20"/>
  <c r="M48" i="19"/>
  <c r="O48" i="19" s="1"/>
  <c r="Y34" i="20"/>
  <c r="H35" i="20"/>
  <c r="AK34" i="20"/>
  <c r="S34" i="20"/>
  <c r="AE34" i="20"/>
  <c r="N33" i="20"/>
  <c r="P33" i="20" s="1"/>
  <c r="M34" i="20"/>
  <c r="L34" i="20"/>
  <c r="AD34" i="20"/>
  <c r="R34" i="20"/>
  <c r="AJ34" i="20"/>
  <c r="B35" i="20"/>
  <c r="X34" i="20"/>
  <c r="K35" i="20"/>
  <c r="O35" i="20" s="1"/>
  <c r="J36" i="20"/>
  <c r="I51" i="19"/>
  <c r="J50" i="19"/>
  <c r="X35" i="19"/>
  <c r="G36" i="19"/>
  <c r="AP35" i="19"/>
  <c r="AJ35" i="19"/>
  <c r="AD35" i="19"/>
  <c r="R35" i="19"/>
  <c r="N49" i="19"/>
  <c r="L49" i="19"/>
  <c r="K49" i="19"/>
  <c r="AC35" i="19"/>
  <c r="W35" i="19"/>
  <c r="Q35" i="19"/>
  <c r="AO35" i="19"/>
  <c r="AI35" i="19"/>
  <c r="B36" i="19"/>
  <c r="B35" i="17"/>
  <c r="BG35" i="17"/>
  <c r="BS33" i="17"/>
  <c r="AU33" i="17"/>
  <c r="W33" i="17"/>
  <c r="F35" i="17"/>
  <c r="AO33" i="17"/>
  <c r="AI33" i="17"/>
  <c r="AC33" i="17"/>
  <c r="BM33" i="17"/>
  <c r="BA33" i="17"/>
  <c r="Q33" i="17"/>
  <c r="I34" i="17"/>
  <c r="H35" i="17"/>
  <c r="J33" i="17"/>
  <c r="K36" i="20" l="1"/>
  <c r="O36" i="20" s="1"/>
  <c r="J37" i="20"/>
  <c r="Y35" i="20"/>
  <c r="H36" i="20"/>
  <c r="AK35" i="20"/>
  <c r="AE35" i="20"/>
  <c r="S35" i="20"/>
  <c r="M35" i="20"/>
  <c r="L35" i="20"/>
  <c r="AD35" i="20"/>
  <c r="R35" i="20"/>
  <c r="B36" i="20"/>
  <c r="X35" i="20"/>
  <c r="AJ35" i="20"/>
  <c r="N34" i="20"/>
  <c r="P34" i="20" s="1"/>
  <c r="B37" i="19"/>
  <c r="AI36" i="19"/>
  <c r="AC36" i="19"/>
  <c r="W36" i="19"/>
  <c r="Q36" i="19"/>
  <c r="AO36" i="19"/>
  <c r="G37" i="19"/>
  <c r="AD36" i="19"/>
  <c r="AP36" i="19"/>
  <c r="AJ36" i="19"/>
  <c r="X36" i="19"/>
  <c r="R36" i="19"/>
  <c r="N50" i="19"/>
  <c r="K50" i="19"/>
  <c r="L50" i="19"/>
  <c r="M49" i="19"/>
  <c r="O49" i="19" s="1"/>
  <c r="I52" i="19"/>
  <c r="J51" i="19"/>
  <c r="I35" i="17"/>
  <c r="H36" i="17"/>
  <c r="J34" i="17"/>
  <c r="F36" i="17"/>
  <c r="AI34" i="17"/>
  <c r="AC34" i="17"/>
  <c r="W34" i="17"/>
  <c r="Q34" i="17"/>
  <c r="BA34" i="17"/>
  <c r="AU34" i="17"/>
  <c r="AO34" i="17"/>
  <c r="BS34" i="17"/>
  <c r="BM34" i="17"/>
  <c r="BG34" i="17"/>
  <c r="B34" i="17"/>
  <c r="N35" i="20" l="1"/>
  <c r="P35" i="20" s="1"/>
  <c r="AD36" i="20"/>
  <c r="R36" i="20"/>
  <c r="B37" i="20"/>
  <c r="X36" i="20"/>
  <c r="AJ36" i="20"/>
  <c r="Y36" i="20"/>
  <c r="H37" i="20"/>
  <c r="AK36" i="20"/>
  <c r="AE36" i="20"/>
  <c r="S36" i="20"/>
  <c r="K37" i="20"/>
  <c r="O37" i="20" s="1"/>
  <c r="J38" i="20"/>
  <c r="M36" i="20"/>
  <c r="L36" i="20"/>
  <c r="K51" i="19"/>
  <c r="N51" i="19"/>
  <c r="L51" i="19"/>
  <c r="AJ37" i="19"/>
  <c r="AD37" i="19"/>
  <c r="X37" i="19"/>
  <c r="R37" i="19"/>
  <c r="AP37" i="19"/>
  <c r="G38" i="19"/>
  <c r="I53" i="19"/>
  <c r="J52" i="19"/>
  <c r="M50" i="19"/>
  <c r="O50" i="19" s="1"/>
  <c r="AO37" i="19"/>
  <c r="Q37" i="19"/>
  <c r="B38" i="19"/>
  <c r="AI37" i="19"/>
  <c r="W37" i="19"/>
  <c r="AC37" i="19"/>
  <c r="B33" i="17"/>
  <c r="BG33" i="17"/>
  <c r="BS35" i="17"/>
  <c r="AU35" i="17"/>
  <c r="W35" i="17"/>
  <c r="Q35" i="17"/>
  <c r="F37" i="17"/>
  <c r="AI35" i="17"/>
  <c r="AC35" i="17"/>
  <c r="AO35" i="17"/>
  <c r="BM35" i="17"/>
  <c r="BA35" i="17"/>
  <c r="H37" i="17"/>
  <c r="I36" i="17"/>
  <c r="J35" i="17"/>
  <c r="M51" i="19" l="1"/>
  <c r="O51" i="19" s="1"/>
  <c r="N36" i="20"/>
  <c r="P36" i="20" s="1"/>
  <c r="AD37" i="20"/>
  <c r="R37" i="20"/>
  <c r="X37" i="20"/>
  <c r="B38" i="20"/>
  <c r="AJ37" i="20"/>
  <c r="K38" i="20"/>
  <c r="O38" i="20" s="1"/>
  <c r="J39" i="20"/>
  <c r="M37" i="20"/>
  <c r="L37" i="20"/>
  <c r="Y37" i="20"/>
  <c r="H38" i="20"/>
  <c r="AK37" i="20"/>
  <c r="S37" i="20"/>
  <c r="AE37" i="20"/>
  <c r="AP38" i="19"/>
  <c r="R38" i="19"/>
  <c r="G39" i="19"/>
  <c r="AJ38" i="19"/>
  <c r="X38" i="19"/>
  <c r="AD38" i="19"/>
  <c r="I54" i="19"/>
  <c r="J53" i="19"/>
  <c r="W38" i="19"/>
  <c r="AO38" i="19"/>
  <c r="AI38" i="19"/>
  <c r="AC38" i="19"/>
  <c r="B39" i="19"/>
  <c r="Q38" i="19"/>
  <c r="L52" i="19"/>
  <c r="N52" i="19"/>
  <c r="K52" i="19"/>
  <c r="J36" i="17"/>
  <c r="F38" i="17"/>
  <c r="AI36" i="17"/>
  <c r="BA36" i="17"/>
  <c r="AU36" i="17"/>
  <c r="BM36" i="17"/>
  <c r="AC36" i="17"/>
  <c r="Q36" i="17"/>
  <c r="AO36" i="17"/>
  <c r="W36" i="17"/>
  <c r="BS36" i="17"/>
  <c r="I37" i="17"/>
  <c r="H38" i="17"/>
  <c r="BG32" i="17"/>
  <c r="B32" i="17"/>
  <c r="M52" i="19" l="1"/>
  <c r="AV38" i="19" s="1"/>
  <c r="M38" i="20"/>
  <c r="L38" i="20"/>
  <c r="N37" i="20"/>
  <c r="P37" i="20" s="1"/>
  <c r="Y38" i="20"/>
  <c r="H39" i="20"/>
  <c r="AK38" i="20"/>
  <c r="S38" i="20"/>
  <c r="AE38" i="20"/>
  <c r="AD38" i="20"/>
  <c r="R38" i="20"/>
  <c r="AJ38" i="20"/>
  <c r="B39" i="20"/>
  <c r="X38" i="20"/>
  <c r="K39" i="20"/>
  <c r="O39" i="20" s="1"/>
  <c r="J40" i="20"/>
  <c r="AV5" i="19"/>
  <c r="AV9" i="19"/>
  <c r="AV13" i="19"/>
  <c r="AV17" i="19"/>
  <c r="AV21" i="19"/>
  <c r="AV25" i="19"/>
  <c r="AV29" i="19"/>
  <c r="AV33" i="19"/>
  <c r="AV37" i="19"/>
  <c r="AC39" i="19"/>
  <c r="W39" i="19"/>
  <c r="Q39" i="19"/>
  <c r="B40" i="19"/>
  <c r="AI39" i="19"/>
  <c r="AO39" i="19"/>
  <c r="I55" i="19"/>
  <c r="J54" i="19"/>
  <c r="X39" i="19"/>
  <c r="G40" i="19"/>
  <c r="AP39" i="19"/>
  <c r="AJ39" i="19"/>
  <c r="AD39" i="19"/>
  <c r="R39" i="19"/>
  <c r="K53" i="19"/>
  <c r="N53" i="19"/>
  <c r="L53" i="19"/>
  <c r="AU7" i="19"/>
  <c r="AU10" i="19"/>
  <c r="AU14" i="19"/>
  <c r="AU18" i="19"/>
  <c r="AU22" i="19"/>
  <c r="AU26" i="19"/>
  <c r="AU30" i="19"/>
  <c r="AU34" i="19"/>
  <c r="H39" i="17"/>
  <c r="I38" i="17"/>
  <c r="BS37" i="17"/>
  <c r="AU37" i="17"/>
  <c r="W37" i="17"/>
  <c r="BM37" i="17"/>
  <c r="AO37" i="17"/>
  <c r="Q37" i="17"/>
  <c r="AC37" i="17"/>
  <c r="AI37" i="17"/>
  <c r="F39" i="17"/>
  <c r="BA37" i="17"/>
  <c r="BG31" i="17"/>
  <c r="B31" i="17"/>
  <c r="J37" i="17"/>
  <c r="AU37" i="19" l="1"/>
  <c r="AU33" i="19"/>
  <c r="AU29" i="19"/>
  <c r="AU25" i="19"/>
  <c r="AU21" i="19"/>
  <c r="AU17" i="19"/>
  <c r="AU13" i="19"/>
  <c r="AU9" i="19"/>
  <c r="AU4" i="19"/>
  <c r="AV39" i="19"/>
  <c r="AV36" i="19"/>
  <c r="AV32" i="19"/>
  <c r="AV28" i="19"/>
  <c r="AV24" i="19"/>
  <c r="AV20" i="19"/>
  <c r="AV16" i="19"/>
  <c r="AV12" i="19"/>
  <c r="AV8" i="19"/>
  <c r="AV3" i="19"/>
  <c r="AU36" i="19"/>
  <c r="AU32" i="19"/>
  <c r="AU28" i="19"/>
  <c r="AU24" i="19"/>
  <c r="AU20" i="19"/>
  <c r="AU16" i="19"/>
  <c r="AU12" i="19"/>
  <c r="AU8" i="19"/>
  <c r="AU6" i="19"/>
  <c r="AU38" i="19"/>
  <c r="AV35" i="19"/>
  <c r="AV31" i="19"/>
  <c r="AV27" i="19"/>
  <c r="AV23" i="19"/>
  <c r="AV19" i="19"/>
  <c r="AV15" i="19"/>
  <c r="AV11" i="19"/>
  <c r="AV7" i="19"/>
  <c r="AV4" i="19"/>
  <c r="AU35" i="19"/>
  <c r="AU31" i="19"/>
  <c r="AU27" i="19"/>
  <c r="AU23" i="19"/>
  <c r="AU19" i="19"/>
  <c r="AU15" i="19"/>
  <c r="AU11" i="19"/>
  <c r="AU3" i="19"/>
  <c r="AU5" i="19"/>
  <c r="AU39" i="19"/>
  <c r="AV34" i="19"/>
  <c r="AV30" i="19"/>
  <c r="AV26" i="19"/>
  <c r="AV22" i="19"/>
  <c r="AV18" i="19"/>
  <c r="AV14" i="19"/>
  <c r="AV10" i="19"/>
  <c r="AV6" i="19"/>
  <c r="O52" i="19"/>
  <c r="N38" i="20"/>
  <c r="P38" i="20" s="1"/>
  <c r="M53" i="19"/>
  <c r="O53" i="19" s="1"/>
  <c r="AD39" i="20"/>
  <c r="R39" i="20"/>
  <c r="B40" i="20"/>
  <c r="X39" i="20"/>
  <c r="AJ39" i="20"/>
  <c r="K40" i="20"/>
  <c r="O40" i="20" s="1"/>
  <c r="J41" i="20"/>
  <c r="M39" i="20"/>
  <c r="L39" i="20"/>
  <c r="Y39" i="20"/>
  <c r="H40" i="20"/>
  <c r="AK39" i="20"/>
  <c r="AE39" i="20"/>
  <c r="S39" i="20"/>
  <c r="I56" i="19"/>
  <c r="J55" i="19"/>
  <c r="AP40" i="19"/>
  <c r="R40" i="19"/>
  <c r="G41" i="19"/>
  <c r="AD40" i="19"/>
  <c r="AJ40" i="19"/>
  <c r="X40" i="19"/>
  <c r="AV40" i="19"/>
  <c r="K54" i="19"/>
  <c r="N54" i="19"/>
  <c r="L54" i="19"/>
  <c r="AU40" i="19"/>
  <c r="W40" i="19"/>
  <c r="B41" i="19"/>
  <c r="AI40" i="19"/>
  <c r="Q40" i="19"/>
  <c r="AO40" i="19"/>
  <c r="AC40" i="19"/>
  <c r="J38" i="17"/>
  <c r="B30" i="17"/>
  <c r="BG30" i="17"/>
  <c r="F40" i="17"/>
  <c r="AI38" i="17"/>
  <c r="BA38" i="17"/>
  <c r="AC38" i="17"/>
  <c r="AO38" i="17"/>
  <c r="AU38" i="17"/>
  <c r="W38" i="17"/>
  <c r="Q38" i="17"/>
  <c r="BS38" i="17"/>
  <c r="BM38" i="17"/>
  <c r="I39" i="17"/>
  <c r="H40" i="17"/>
  <c r="M40" i="20" l="1"/>
  <c r="L40" i="20"/>
  <c r="AD40" i="20"/>
  <c r="R40" i="20"/>
  <c r="B41" i="20"/>
  <c r="X40" i="20"/>
  <c r="AJ40" i="20"/>
  <c r="N39" i="20"/>
  <c r="P39" i="20" s="1"/>
  <c r="Y40" i="20"/>
  <c r="H41" i="20"/>
  <c r="AK40" i="20"/>
  <c r="AE40" i="20"/>
  <c r="S40" i="20"/>
  <c r="J42" i="20"/>
  <c r="K41" i="20"/>
  <c r="O41" i="20" s="1"/>
  <c r="L55" i="19"/>
  <c r="K55" i="19"/>
  <c r="N55" i="19"/>
  <c r="M54" i="19"/>
  <c r="O54" i="19" s="1"/>
  <c r="AV41" i="19"/>
  <c r="X41" i="19"/>
  <c r="AJ41" i="19"/>
  <c r="G42" i="19"/>
  <c r="R41" i="19"/>
  <c r="AP41" i="19"/>
  <c r="AD41" i="19"/>
  <c r="AC41" i="19"/>
  <c r="AO41" i="19"/>
  <c r="Q41" i="19"/>
  <c r="AU41" i="19"/>
  <c r="B42" i="19"/>
  <c r="W41" i="19"/>
  <c r="AI41" i="19"/>
  <c r="I57" i="19"/>
  <c r="J56" i="19"/>
  <c r="J39" i="17"/>
  <c r="BS39" i="17"/>
  <c r="AU39" i="17"/>
  <c r="W39" i="17"/>
  <c r="BM39" i="17"/>
  <c r="AO39" i="17"/>
  <c r="Q39" i="17"/>
  <c r="F41" i="17"/>
  <c r="BA39" i="17"/>
  <c r="AI39" i="17"/>
  <c r="AC39" i="17"/>
  <c r="H41" i="17"/>
  <c r="I40" i="17"/>
  <c r="B29" i="17"/>
  <c r="N40" i="20" l="1"/>
  <c r="P40" i="20" s="1"/>
  <c r="M41" i="20"/>
  <c r="L41" i="20"/>
  <c r="B42" i="20"/>
  <c r="AD41" i="20"/>
  <c r="R41" i="20"/>
  <c r="X41" i="20"/>
  <c r="AJ41" i="20"/>
  <c r="J43" i="20"/>
  <c r="K42" i="20"/>
  <c r="O42" i="20" s="1"/>
  <c r="H42" i="20"/>
  <c r="AK41" i="20"/>
  <c r="Y41" i="20"/>
  <c r="S41" i="20"/>
  <c r="AE41" i="20"/>
  <c r="J57" i="19"/>
  <c r="I58" i="19"/>
  <c r="G43" i="19"/>
  <c r="AD42" i="19"/>
  <c r="AP42" i="19"/>
  <c r="R42" i="19"/>
  <c r="AJ42" i="19"/>
  <c r="X42" i="19"/>
  <c r="AV42" i="19"/>
  <c r="K56" i="19"/>
  <c r="L56" i="19"/>
  <c r="N56" i="19"/>
  <c r="B43" i="19"/>
  <c r="AI42" i="19"/>
  <c r="AU42" i="19"/>
  <c r="W42" i="19"/>
  <c r="Q42" i="19"/>
  <c r="AO42" i="19"/>
  <c r="AC42" i="19"/>
  <c r="M55" i="19"/>
  <c r="O55" i="19" s="1"/>
  <c r="B28" i="17"/>
  <c r="J40" i="17"/>
  <c r="I41" i="17"/>
  <c r="H42" i="17"/>
  <c r="F42" i="17"/>
  <c r="AI40" i="17"/>
  <c r="BA40" i="17"/>
  <c r="AC40" i="17"/>
  <c r="BS40" i="17"/>
  <c r="W40" i="17"/>
  <c r="AO40" i="17"/>
  <c r="AU40" i="17"/>
  <c r="Q40" i="17"/>
  <c r="BM40" i="17"/>
  <c r="K43" i="20" l="1"/>
  <c r="J44" i="20"/>
  <c r="AK42" i="20"/>
  <c r="S42" i="20"/>
  <c r="AE42" i="20"/>
  <c r="H43" i="20"/>
  <c r="Y42" i="20"/>
  <c r="N41" i="20"/>
  <c r="P41" i="20" s="1"/>
  <c r="M42" i="20"/>
  <c r="L42" i="20"/>
  <c r="R42" i="20"/>
  <c r="X42" i="20"/>
  <c r="B43" i="20"/>
  <c r="AJ42" i="20"/>
  <c r="AD42" i="20"/>
  <c r="J58" i="19"/>
  <c r="I59" i="19"/>
  <c r="M56" i="19"/>
  <c r="O56" i="19" s="1"/>
  <c r="AJ43" i="19"/>
  <c r="AV43" i="19"/>
  <c r="X43" i="19"/>
  <c r="G44" i="19"/>
  <c r="R43" i="19"/>
  <c r="AP43" i="19"/>
  <c r="AD43" i="19"/>
  <c r="AO43" i="19"/>
  <c r="Q43" i="19"/>
  <c r="AC43" i="19"/>
  <c r="AU43" i="19"/>
  <c r="B44" i="19"/>
  <c r="W43" i="19"/>
  <c r="AI43" i="19"/>
  <c r="K57" i="19"/>
  <c r="N57" i="19"/>
  <c r="L57" i="19"/>
  <c r="J41" i="17"/>
  <c r="B27" i="17"/>
  <c r="BS41" i="17"/>
  <c r="AU41" i="17"/>
  <c r="W41" i="17"/>
  <c r="BM41" i="17"/>
  <c r="AO41" i="17"/>
  <c r="Q41" i="17"/>
  <c r="AI41" i="17"/>
  <c r="F43" i="17"/>
  <c r="BA41" i="17"/>
  <c r="AC41" i="17"/>
  <c r="H43" i="17"/>
  <c r="I42" i="17"/>
  <c r="N42" i="20" l="1"/>
  <c r="AQ42" i="20" s="1"/>
  <c r="O43" i="20"/>
  <c r="X43" i="20"/>
  <c r="AD43" i="20"/>
  <c r="B44" i="20"/>
  <c r="R43" i="20"/>
  <c r="AJ43" i="20"/>
  <c r="S43" i="20"/>
  <c r="Y43" i="20"/>
  <c r="H44" i="20"/>
  <c r="AK43" i="20"/>
  <c r="AE43" i="20"/>
  <c r="K44" i="20"/>
  <c r="O44" i="20" s="1"/>
  <c r="J45" i="20"/>
  <c r="AQ5" i="20"/>
  <c r="AQ13" i="20"/>
  <c r="AQ21" i="20"/>
  <c r="AQ29" i="20"/>
  <c r="AQ37" i="20"/>
  <c r="M43" i="20"/>
  <c r="L43" i="20"/>
  <c r="AP10" i="20"/>
  <c r="AP18" i="20"/>
  <c r="AP26" i="20"/>
  <c r="AP34" i="20"/>
  <c r="J59" i="19"/>
  <c r="I60" i="19"/>
  <c r="M57" i="19"/>
  <c r="O57" i="19" s="1"/>
  <c r="AU44" i="19"/>
  <c r="W44" i="19"/>
  <c r="B45" i="19"/>
  <c r="AI44" i="19"/>
  <c r="Q44" i="19"/>
  <c r="AO44" i="19"/>
  <c r="AC44" i="19"/>
  <c r="AP44" i="19"/>
  <c r="R44" i="19"/>
  <c r="G45" i="19"/>
  <c r="AD44" i="19"/>
  <c r="AJ44" i="19"/>
  <c r="X44" i="19"/>
  <c r="AV44" i="19"/>
  <c r="L58" i="19"/>
  <c r="N58" i="19"/>
  <c r="K58" i="19"/>
  <c r="J42" i="17"/>
  <c r="F44" i="17"/>
  <c r="AI42" i="17"/>
  <c r="BA42" i="17"/>
  <c r="AC42" i="17"/>
  <c r="BM42" i="17"/>
  <c r="Q42" i="17"/>
  <c r="BS42" i="17"/>
  <c r="W42" i="17"/>
  <c r="AO42" i="17"/>
  <c r="AU42" i="17"/>
  <c r="I43" i="17"/>
  <c r="H44" i="17"/>
  <c r="B26" i="17"/>
  <c r="AP40" i="20" l="1"/>
  <c r="AP32" i="20"/>
  <c r="AP24" i="20"/>
  <c r="AP16" i="20"/>
  <c r="AP8" i="20"/>
  <c r="AQ35" i="20"/>
  <c r="AQ27" i="20"/>
  <c r="AQ19" i="20"/>
  <c r="AQ11" i="20"/>
  <c r="AQ3" i="20"/>
  <c r="AP38" i="20"/>
  <c r="AP30" i="20"/>
  <c r="AP22" i="20"/>
  <c r="AP14" i="20"/>
  <c r="AP6" i="20"/>
  <c r="AQ41" i="20"/>
  <c r="AQ33" i="20"/>
  <c r="AQ25" i="20"/>
  <c r="AQ17" i="20"/>
  <c r="AQ9" i="20"/>
  <c r="AP36" i="20"/>
  <c r="AP28" i="20"/>
  <c r="AP20" i="20"/>
  <c r="AP12" i="20"/>
  <c r="AP3" i="20"/>
  <c r="AQ39" i="20"/>
  <c r="AQ31" i="20"/>
  <c r="AQ23" i="20"/>
  <c r="AQ15" i="20"/>
  <c r="AQ7" i="20"/>
  <c r="AP43" i="20"/>
  <c r="AP39" i="20"/>
  <c r="AP35" i="20"/>
  <c r="AP31" i="20"/>
  <c r="AP27" i="20"/>
  <c r="AP23" i="20"/>
  <c r="AP19" i="20"/>
  <c r="AP15" i="20"/>
  <c r="AP11" i="20"/>
  <c r="AP7" i="20"/>
  <c r="AP4" i="20"/>
  <c r="AQ40" i="20"/>
  <c r="AQ36" i="20"/>
  <c r="AQ32" i="20"/>
  <c r="AQ28" i="20"/>
  <c r="AQ24" i="20"/>
  <c r="AQ20" i="20"/>
  <c r="AQ16" i="20"/>
  <c r="AQ12" i="20"/>
  <c r="AQ8" i="20"/>
  <c r="AQ4" i="20"/>
  <c r="AP41" i="20"/>
  <c r="AP37" i="20"/>
  <c r="AP33" i="20"/>
  <c r="AP29" i="20"/>
  <c r="AP25" i="20"/>
  <c r="AP21" i="20"/>
  <c r="AP17" i="20"/>
  <c r="AP13" i="20"/>
  <c r="AP9" i="20"/>
  <c r="AP5" i="20"/>
  <c r="AQ38" i="20"/>
  <c r="AQ34" i="20"/>
  <c r="AQ30" i="20"/>
  <c r="AQ26" i="20"/>
  <c r="AQ22" i="20"/>
  <c r="AQ18" i="20"/>
  <c r="AQ14" i="20"/>
  <c r="AQ10" i="20"/>
  <c r="AQ6" i="20"/>
  <c r="P42" i="20"/>
  <c r="AQ43" i="20"/>
  <c r="AP42" i="20"/>
  <c r="N43" i="20"/>
  <c r="P43" i="20" s="1"/>
  <c r="J46" i="20"/>
  <c r="K45" i="20"/>
  <c r="O45" i="20" s="1"/>
  <c r="AD44" i="20"/>
  <c r="B45" i="20"/>
  <c r="AJ44" i="20"/>
  <c r="AP44" i="20"/>
  <c r="R44" i="20"/>
  <c r="X44" i="20"/>
  <c r="L44" i="20"/>
  <c r="M44" i="20"/>
  <c r="N44" i="20" s="1"/>
  <c r="P44" i="20" s="1"/>
  <c r="Y44" i="20"/>
  <c r="H45" i="20"/>
  <c r="AE44" i="20"/>
  <c r="AK44" i="20"/>
  <c r="S44" i="20"/>
  <c r="AQ44" i="20"/>
  <c r="AC45" i="19"/>
  <c r="AO45" i="19"/>
  <c r="Q45" i="19"/>
  <c r="AU45" i="19"/>
  <c r="B46" i="19"/>
  <c r="W45" i="19"/>
  <c r="AI45" i="19"/>
  <c r="J60" i="19"/>
  <c r="I61" i="19"/>
  <c r="M58" i="19"/>
  <c r="O58" i="19" s="1"/>
  <c r="AV45" i="19"/>
  <c r="X45" i="19"/>
  <c r="AJ45" i="19"/>
  <c r="G46" i="19"/>
  <c r="R45" i="19"/>
  <c r="AP45" i="19"/>
  <c r="AD45" i="19"/>
  <c r="N59" i="19"/>
  <c r="L59" i="19"/>
  <c r="K59" i="19"/>
  <c r="BS43" i="17"/>
  <c r="AU43" i="17"/>
  <c r="W43" i="17"/>
  <c r="BM43" i="17"/>
  <c r="AO43" i="17"/>
  <c r="Q43" i="17"/>
  <c r="AC43" i="17"/>
  <c r="AI43" i="17"/>
  <c r="F45" i="17"/>
  <c r="BA43" i="17"/>
  <c r="J43" i="17"/>
  <c r="B25" i="17"/>
  <c r="H45" i="17"/>
  <c r="I44" i="17"/>
  <c r="M59" i="19" l="1"/>
  <c r="O59" i="19" s="1"/>
  <c r="H46" i="20"/>
  <c r="AE45" i="20"/>
  <c r="AK45" i="20"/>
  <c r="Y45" i="20"/>
  <c r="S45" i="20"/>
  <c r="AQ45" i="20"/>
  <c r="L45" i="20"/>
  <c r="M45" i="20"/>
  <c r="B46" i="20"/>
  <c r="AJ45" i="20"/>
  <c r="AP45" i="20"/>
  <c r="R45" i="20"/>
  <c r="AD45" i="20"/>
  <c r="X45" i="20"/>
  <c r="J47" i="20"/>
  <c r="K46" i="20"/>
  <c r="O46" i="20" s="1"/>
  <c r="L60" i="19"/>
  <c r="N60" i="19"/>
  <c r="K60" i="19"/>
  <c r="J61" i="19"/>
  <c r="I62" i="19"/>
  <c r="G47" i="19"/>
  <c r="AD46" i="19"/>
  <c r="AP46" i="19"/>
  <c r="R46" i="19"/>
  <c r="AJ46" i="19"/>
  <c r="AV46" i="19"/>
  <c r="X46" i="19"/>
  <c r="B47" i="19"/>
  <c r="AI46" i="19"/>
  <c r="AU46" i="19"/>
  <c r="W46" i="19"/>
  <c r="Q46" i="19"/>
  <c r="AO46" i="19"/>
  <c r="AC46" i="19"/>
  <c r="I45" i="17"/>
  <c r="H46" i="17"/>
  <c r="B24" i="17"/>
  <c r="J44" i="17"/>
  <c r="F46" i="17"/>
  <c r="AI44" i="17"/>
  <c r="BA44" i="17"/>
  <c r="AC44" i="17"/>
  <c r="AU44" i="17"/>
  <c r="BM44" i="17"/>
  <c r="Q44" i="17"/>
  <c r="AO44" i="17"/>
  <c r="BS44" i="17"/>
  <c r="W44" i="17"/>
  <c r="K47" i="20" l="1"/>
  <c r="O47" i="20" s="1"/>
  <c r="J48" i="20"/>
  <c r="M46" i="20"/>
  <c r="L46" i="20"/>
  <c r="B47" i="20"/>
  <c r="AP46" i="20"/>
  <c r="R46" i="20"/>
  <c r="X46" i="20"/>
  <c r="AJ46" i="20"/>
  <c r="AD46" i="20"/>
  <c r="N45" i="20"/>
  <c r="P45" i="20" s="1"/>
  <c r="H47" i="20"/>
  <c r="AK46" i="20"/>
  <c r="AQ46" i="20"/>
  <c r="S46" i="20"/>
  <c r="AE46" i="20"/>
  <c r="Y46" i="20"/>
  <c r="N61" i="19"/>
  <c r="L61" i="19"/>
  <c r="K61" i="19"/>
  <c r="AJ47" i="19"/>
  <c r="AV47" i="19"/>
  <c r="X47" i="19"/>
  <c r="G48" i="19"/>
  <c r="R47" i="19"/>
  <c r="AP47" i="19"/>
  <c r="AD47" i="19"/>
  <c r="J62" i="19"/>
  <c r="I63" i="19"/>
  <c r="M60" i="19"/>
  <c r="O60" i="19" s="1"/>
  <c r="AO47" i="19"/>
  <c r="Q47" i="19"/>
  <c r="AC47" i="19"/>
  <c r="AU47" i="19"/>
  <c r="B48" i="19"/>
  <c r="W47" i="19"/>
  <c r="AI47" i="19"/>
  <c r="BS45" i="17"/>
  <c r="AU45" i="17"/>
  <c r="W45" i="17"/>
  <c r="BM45" i="17"/>
  <c r="AO45" i="17"/>
  <c r="Q45" i="17"/>
  <c r="AC45" i="17"/>
  <c r="AI45" i="17"/>
  <c r="F47" i="17"/>
  <c r="BA45" i="17"/>
  <c r="J45" i="17"/>
  <c r="H47" i="17"/>
  <c r="I46" i="17"/>
  <c r="B23" i="17"/>
  <c r="M61" i="19" l="1"/>
  <c r="O61" i="19" s="1"/>
  <c r="Y47" i="20"/>
  <c r="AK47" i="20"/>
  <c r="H48" i="20"/>
  <c r="S47" i="20"/>
  <c r="AQ47" i="20"/>
  <c r="AE47" i="20"/>
  <c r="AD47" i="20"/>
  <c r="AP47" i="20"/>
  <c r="R47" i="20"/>
  <c r="AJ47" i="20"/>
  <c r="B48" i="20"/>
  <c r="X47" i="20"/>
  <c r="N46" i="20"/>
  <c r="P46" i="20" s="1"/>
  <c r="J49" i="20"/>
  <c r="K48" i="20"/>
  <c r="O48" i="20" s="1"/>
  <c r="M47" i="20"/>
  <c r="L47" i="20"/>
  <c r="L62" i="19"/>
  <c r="N62" i="19"/>
  <c r="K62" i="19"/>
  <c r="AU48" i="19"/>
  <c r="W48" i="19"/>
  <c r="B49" i="19"/>
  <c r="AI48" i="19"/>
  <c r="Q48" i="19"/>
  <c r="AO48" i="19"/>
  <c r="AC48" i="19"/>
  <c r="J63" i="19"/>
  <c r="I64" i="19"/>
  <c r="AP48" i="19"/>
  <c r="R48" i="19"/>
  <c r="G49" i="19"/>
  <c r="AD48" i="19"/>
  <c r="AJ48" i="19"/>
  <c r="AV48" i="19"/>
  <c r="X48" i="19"/>
  <c r="I47" i="17"/>
  <c r="H48" i="17"/>
  <c r="B22" i="17"/>
  <c r="J46" i="17"/>
  <c r="AI46" i="17"/>
  <c r="BA46" i="17"/>
  <c r="AC46" i="17"/>
  <c r="F48" i="17"/>
  <c r="AO46" i="17"/>
  <c r="AU46" i="17"/>
  <c r="BS46" i="17"/>
  <c r="BM46" i="17"/>
  <c r="W46" i="17"/>
  <c r="Q46" i="17"/>
  <c r="M62" i="19" l="1"/>
  <c r="BB48" i="19" s="1"/>
  <c r="N47" i="20"/>
  <c r="P47" i="20" s="1"/>
  <c r="L48" i="20"/>
  <c r="M48" i="20"/>
  <c r="H49" i="20"/>
  <c r="AE48" i="20"/>
  <c r="AQ48" i="20"/>
  <c r="S48" i="20"/>
  <c r="Y48" i="20"/>
  <c r="AK48" i="20"/>
  <c r="J50" i="20"/>
  <c r="K49" i="20"/>
  <c r="O49" i="20" s="1"/>
  <c r="B49" i="20"/>
  <c r="AJ48" i="20"/>
  <c r="X48" i="20"/>
  <c r="R48" i="20"/>
  <c r="AP48" i="20"/>
  <c r="AD48" i="20"/>
  <c r="N63" i="19"/>
  <c r="L63" i="19"/>
  <c r="K63" i="19"/>
  <c r="BA5" i="19"/>
  <c r="BA4" i="19"/>
  <c r="BA6" i="19"/>
  <c r="BA3" i="19"/>
  <c r="BA7" i="19"/>
  <c r="BA8" i="19"/>
  <c r="BA9" i="19"/>
  <c r="BA10" i="19"/>
  <c r="BA11" i="19"/>
  <c r="BA12" i="19"/>
  <c r="BA13" i="19"/>
  <c r="BA14" i="19"/>
  <c r="BA15" i="19"/>
  <c r="BA16" i="19"/>
  <c r="BA17" i="19"/>
  <c r="BA18" i="19"/>
  <c r="BA19" i="19"/>
  <c r="BA20" i="19"/>
  <c r="BA21" i="19"/>
  <c r="BA22" i="19"/>
  <c r="BA23" i="19"/>
  <c r="BA24" i="19"/>
  <c r="BA25" i="19"/>
  <c r="BA26" i="19"/>
  <c r="BA27" i="19"/>
  <c r="BA28" i="19"/>
  <c r="BA29" i="19"/>
  <c r="BA30" i="19"/>
  <c r="BA31" i="19"/>
  <c r="BA32" i="19"/>
  <c r="BA33" i="19"/>
  <c r="BA34" i="19"/>
  <c r="BA35" i="19"/>
  <c r="BA36" i="19"/>
  <c r="BA37" i="19"/>
  <c r="BA38" i="19"/>
  <c r="BA39" i="19"/>
  <c r="BA40" i="19"/>
  <c r="BA41" i="19"/>
  <c r="BA42" i="19"/>
  <c r="BA43" i="19"/>
  <c r="BA44" i="19"/>
  <c r="BA45" i="19"/>
  <c r="BA46" i="19"/>
  <c r="BA47" i="19"/>
  <c r="B50" i="19"/>
  <c r="BA49" i="19"/>
  <c r="AC49" i="19"/>
  <c r="AO49" i="19"/>
  <c r="Q49" i="19"/>
  <c r="AU49" i="19"/>
  <c r="W49" i="19"/>
  <c r="AI49" i="19"/>
  <c r="O62" i="19"/>
  <c r="BB3" i="19"/>
  <c r="BB4" i="19"/>
  <c r="BB5" i="19"/>
  <c r="BB6" i="19"/>
  <c r="BB7" i="19"/>
  <c r="BB8" i="19"/>
  <c r="BB9" i="19"/>
  <c r="BB10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G50" i="19"/>
  <c r="AV49" i="19"/>
  <c r="X49" i="19"/>
  <c r="AJ49" i="19"/>
  <c r="R49" i="19"/>
  <c r="AP49" i="19"/>
  <c r="BB49" i="19"/>
  <c r="AD49" i="19"/>
  <c r="I65" i="19"/>
  <c r="J64" i="19"/>
  <c r="F49" i="17"/>
  <c r="BA47" i="17"/>
  <c r="AU47" i="17"/>
  <c r="W47" i="17"/>
  <c r="BS47" i="17"/>
  <c r="BM47" i="17"/>
  <c r="AO47" i="17"/>
  <c r="Q47" i="17"/>
  <c r="AC47" i="17"/>
  <c r="AI47" i="17"/>
  <c r="B21" i="17"/>
  <c r="I48" i="17"/>
  <c r="H49" i="17"/>
  <c r="J47" i="17"/>
  <c r="BA48" i="19" l="1"/>
  <c r="M63" i="19"/>
  <c r="O63" i="19" s="1"/>
  <c r="J51" i="20"/>
  <c r="K50" i="20"/>
  <c r="O50" i="20" s="1"/>
  <c r="AK49" i="20"/>
  <c r="Y49" i="20"/>
  <c r="H50" i="20"/>
  <c r="S49" i="20"/>
  <c r="AQ49" i="20"/>
  <c r="AE49" i="20"/>
  <c r="AP49" i="20"/>
  <c r="R49" i="20"/>
  <c r="AD49" i="20"/>
  <c r="AJ49" i="20"/>
  <c r="B50" i="20"/>
  <c r="X49" i="20"/>
  <c r="N48" i="20"/>
  <c r="P48" i="20" s="1"/>
  <c r="M49" i="20"/>
  <c r="L49" i="20"/>
  <c r="K64" i="19"/>
  <c r="L64" i="19"/>
  <c r="N64" i="19"/>
  <c r="AP50" i="19"/>
  <c r="R50" i="19"/>
  <c r="G51" i="19"/>
  <c r="AJ50" i="19"/>
  <c r="AD50" i="19"/>
  <c r="X50" i="19"/>
  <c r="BB50" i="19"/>
  <c r="AV50" i="19"/>
  <c r="J65" i="19"/>
  <c r="I66" i="19"/>
  <c r="AU50" i="19"/>
  <c r="W50" i="19"/>
  <c r="B51" i="19"/>
  <c r="BA50" i="19"/>
  <c r="Q50" i="19"/>
  <c r="AC50" i="19"/>
  <c r="AO50" i="19"/>
  <c r="AI50" i="19"/>
  <c r="H50" i="17"/>
  <c r="I49" i="17"/>
  <c r="B20" i="17"/>
  <c r="J48" i="17"/>
  <c r="BS48" i="17"/>
  <c r="AU48" i="17"/>
  <c r="W48" i="17"/>
  <c r="Q48" i="17"/>
  <c r="F50" i="17"/>
  <c r="AO48" i="17"/>
  <c r="AI48" i="17"/>
  <c r="AC48" i="17"/>
  <c r="BM48" i="17"/>
  <c r="BA48" i="17"/>
  <c r="N49" i="20" l="1"/>
  <c r="P49" i="20" s="1"/>
  <c r="X50" i="20"/>
  <c r="B51" i="20"/>
  <c r="AJ50" i="20"/>
  <c r="R50" i="20"/>
  <c r="AP50" i="20"/>
  <c r="AD50" i="20"/>
  <c r="L50" i="20"/>
  <c r="M50" i="20"/>
  <c r="AQ50" i="20"/>
  <c r="S50" i="20"/>
  <c r="H51" i="20"/>
  <c r="AE50" i="20"/>
  <c r="Y50" i="20"/>
  <c r="AK50" i="20"/>
  <c r="K51" i="20"/>
  <c r="O51" i="20" s="1"/>
  <c r="J52" i="20"/>
  <c r="I67" i="19"/>
  <c r="J66" i="19"/>
  <c r="B52" i="19"/>
  <c r="AI51" i="19"/>
  <c r="AC51" i="19"/>
  <c r="W51" i="19"/>
  <c r="Q51" i="19"/>
  <c r="AU51" i="19"/>
  <c r="BA51" i="19"/>
  <c r="AO51" i="19"/>
  <c r="M64" i="19"/>
  <c r="O64" i="19" s="1"/>
  <c r="N65" i="19"/>
  <c r="L65" i="19"/>
  <c r="K65" i="19"/>
  <c r="BB51" i="19"/>
  <c r="AD51" i="19"/>
  <c r="AV51" i="19"/>
  <c r="AP51" i="19"/>
  <c r="AJ51" i="19"/>
  <c r="G52" i="19"/>
  <c r="BT51" i="19"/>
  <c r="BH51" i="19"/>
  <c r="BN51" i="19"/>
  <c r="X51" i="19"/>
  <c r="R51" i="19"/>
  <c r="F51" i="17"/>
  <c r="AI49" i="17"/>
  <c r="AC49" i="17"/>
  <c r="W49" i="17"/>
  <c r="Q49" i="17"/>
  <c r="BS49" i="17"/>
  <c r="BA49" i="17"/>
  <c r="AO49" i="17"/>
  <c r="AU49" i="17"/>
  <c r="BM49" i="17"/>
  <c r="J49" i="17"/>
  <c r="B19" i="17"/>
  <c r="I50" i="17"/>
  <c r="H51" i="17"/>
  <c r="M65" i="19" l="1"/>
  <c r="O65" i="19" s="1"/>
  <c r="N50" i="20"/>
  <c r="P50" i="20" s="1"/>
  <c r="Y51" i="20"/>
  <c r="AK51" i="20"/>
  <c r="H52" i="20"/>
  <c r="S51" i="20"/>
  <c r="AQ51" i="20"/>
  <c r="AE51" i="20"/>
  <c r="AD51" i="20"/>
  <c r="AP51" i="20"/>
  <c r="R51" i="20"/>
  <c r="AJ51" i="20"/>
  <c r="B52" i="20"/>
  <c r="X51" i="20"/>
  <c r="M51" i="20"/>
  <c r="L51" i="20"/>
  <c r="J53" i="20"/>
  <c r="K52" i="20"/>
  <c r="O52" i="20" s="1"/>
  <c r="K66" i="19"/>
  <c r="L66" i="19"/>
  <c r="N66" i="19"/>
  <c r="AU52" i="19"/>
  <c r="W52" i="19"/>
  <c r="AO52" i="19"/>
  <c r="AI52" i="19"/>
  <c r="AC52" i="19"/>
  <c r="BA52" i="19"/>
  <c r="Q52" i="19"/>
  <c r="B53" i="19"/>
  <c r="BN52" i="19"/>
  <c r="AP52" i="19"/>
  <c r="R52" i="19"/>
  <c r="BH52" i="19"/>
  <c r="BB52" i="19"/>
  <c r="AV52" i="19"/>
  <c r="G53" i="19"/>
  <c r="BT52" i="19"/>
  <c r="AJ52" i="19"/>
  <c r="AD52" i="19"/>
  <c r="X52" i="19"/>
  <c r="I68" i="19"/>
  <c r="J67" i="19"/>
  <c r="H52" i="17"/>
  <c r="I51" i="17"/>
  <c r="J50" i="17"/>
  <c r="B18" i="17"/>
  <c r="BS50" i="17"/>
  <c r="AU50" i="17"/>
  <c r="W50" i="17"/>
  <c r="BM50" i="17"/>
  <c r="AO50" i="17"/>
  <c r="AC50" i="17"/>
  <c r="AI50" i="17"/>
  <c r="Q50" i="17"/>
  <c r="F52" i="17"/>
  <c r="BA50" i="17"/>
  <c r="M66" i="19" l="1"/>
  <c r="O66" i="19" s="1"/>
  <c r="J54" i="20"/>
  <c r="K53" i="20"/>
  <c r="O53" i="20" s="1"/>
  <c r="N51" i="20"/>
  <c r="P51" i="20" s="1"/>
  <c r="B53" i="20"/>
  <c r="AJ52" i="20"/>
  <c r="X52" i="20"/>
  <c r="R52" i="20"/>
  <c r="AP52" i="20"/>
  <c r="AD52" i="20"/>
  <c r="H53" i="20"/>
  <c r="AE52" i="20"/>
  <c r="AQ52" i="20"/>
  <c r="S52" i="20"/>
  <c r="Y52" i="20"/>
  <c r="AK52" i="20"/>
  <c r="L52" i="20"/>
  <c r="M52" i="20"/>
  <c r="B54" i="19"/>
  <c r="AI53" i="19"/>
  <c r="BA53" i="19"/>
  <c r="AU53" i="19"/>
  <c r="AO53" i="19"/>
  <c r="AC53" i="19"/>
  <c r="W53" i="19"/>
  <c r="Q53" i="19"/>
  <c r="N67" i="19"/>
  <c r="L67" i="19"/>
  <c r="K67" i="19"/>
  <c r="BB53" i="19"/>
  <c r="AD53" i="19"/>
  <c r="BT53" i="19"/>
  <c r="BN53" i="19"/>
  <c r="BH53" i="19"/>
  <c r="G54" i="19"/>
  <c r="X53" i="19"/>
  <c r="R53" i="19"/>
  <c r="AJ53" i="19"/>
  <c r="AV53" i="19"/>
  <c r="AP53" i="19"/>
  <c r="I69" i="19"/>
  <c r="J68" i="19"/>
  <c r="F53" i="17"/>
  <c r="AI51" i="17"/>
  <c r="BA51" i="17"/>
  <c r="AC51" i="17"/>
  <c r="AO51" i="17"/>
  <c r="AU51" i="17"/>
  <c r="BS51" i="17"/>
  <c r="BM51" i="17"/>
  <c r="Q51" i="17"/>
  <c r="W51" i="17"/>
  <c r="J51" i="17"/>
  <c r="B17" i="17"/>
  <c r="I52" i="17"/>
  <c r="H53" i="17"/>
  <c r="M53" i="20" l="1"/>
  <c r="L53" i="20"/>
  <c r="N52" i="20"/>
  <c r="AV5" i="20" s="1"/>
  <c r="AP53" i="20"/>
  <c r="R53" i="20"/>
  <c r="AD53" i="20"/>
  <c r="AJ53" i="20"/>
  <c r="B54" i="20"/>
  <c r="X53" i="20"/>
  <c r="AK53" i="20"/>
  <c r="Y53" i="20"/>
  <c r="H54" i="20"/>
  <c r="S53" i="20"/>
  <c r="AQ53" i="20"/>
  <c r="AE53" i="20"/>
  <c r="J55" i="20"/>
  <c r="K54" i="20"/>
  <c r="O54" i="20" s="1"/>
  <c r="G55" i="19"/>
  <c r="BT54" i="19"/>
  <c r="AP54" i="19"/>
  <c r="R54" i="19"/>
  <c r="AJ54" i="19"/>
  <c r="AD54" i="19"/>
  <c r="X54" i="19"/>
  <c r="BN54" i="19"/>
  <c r="BB54" i="19"/>
  <c r="AV54" i="19"/>
  <c r="BH54" i="19"/>
  <c r="I70" i="19"/>
  <c r="J69" i="19"/>
  <c r="K68" i="19"/>
  <c r="L68" i="19"/>
  <c r="N68" i="19"/>
  <c r="M67" i="19"/>
  <c r="O67" i="19" s="1"/>
  <c r="AU54" i="19"/>
  <c r="W54" i="19"/>
  <c r="B55" i="19"/>
  <c r="Q54" i="19"/>
  <c r="BA54" i="19"/>
  <c r="AC54" i="19"/>
  <c r="AO54" i="19"/>
  <c r="AI54" i="19"/>
  <c r="J52" i="17"/>
  <c r="H54" i="17"/>
  <c r="I53" i="17"/>
  <c r="B16" i="17"/>
  <c r="BS52" i="17"/>
  <c r="AU52" i="17"/>
  <c r="W52" i="17"/>
  <c r="BM52" i="17"/>
  <c r="AO52" i="17"/>
  <c r="Q52" i="17"/>
  <c r="F54" i="17"/>
  <c r="BA52" i="17"/>
  <c r="AC52" i="17"/>
  <c r="AI52" i="17"/>
  <c r="AV43" i="20" l="1"/>
  <c r="AV27" i="20"/>
  <c r="AV47" i="20"/>
  <c r="AV15" i="20"/>
  <c r="AW53" i="20"/>
  <c r="AV53" i="20"/>
  <c r="AV31" i="20"/>
  <c r="AV39" i="20"/>
  <c r="AV23" i="20"/>
  <c r="AV7" i="20"/>
  <c r="M68" i="19"/>
  <c r="O68" i="19" s="1"/>
  <c r="AV51" i="20"/>
  <c r="AV35" i="20"/>
  <c r="AV19" i="20"/>
  <c r="AV4" i="20"/>
  <c r="AV11" i="20"/>
  <c r="AV54" i="20"/>
  <c r="X54" i="20"/>
  <c r="B55" i="20"/>
  <c r="AJ54" i="20"/>
  <c r="R54" i="20"/>
  <c r="AP54" i="20"/>
  <c r="AD54" i="20"/>
  <c r="J56" i="20"/>
  <c r="K55" i="20"/>
  <c r="O55" i="20" s="1"/>
  <c r="AV52" i="20"/>
  <c r="AV50" i="20"/>
  <c r="AV46" i="20"/>
  <c r="AV42" i="20"/>
  <c r="AV38" i="20"/>
  <c r="AV34" i="20"/>
  <c r="AV30" i="20"/>
  <c r="AV26" i="20"/>
  <c r="AV22" i="20"/>
  <c r="AV18" i="20"/>
  <c r="AV14" i="20"/>
  <c r="AV10" i="20"/>
  <c r="AV6" i="20"/>
  <c r="AV49" i="20"/>
  <c r="AV45" i="20"/>
  <c r="AV41" i="20"/>
  <c r="AV37" i="20"/>
  <c r="AV33" i="20"/>
  <c r="AV29" i="20"/>
  <c r="AV25" i="20"/>
  <c r="AV21" i="20"/>
  <c r="AV17" i="20"/>
  <c r="AV13" i="20"/>
  <c r="AV9" i="20"/>
  <c r="L54" i="20"/>
  <c r="M54" i="20"/>
  <c r="AQ54" i="20"/>
  <c r="S54" i="20"/>
  <c r="H55" i="20"/>
  <c r="AE54" i="20"/>
  <c r="Y54" i="20"/>
  <c r="AK54" i="20"/>
  <c r="AW54" i="20"/>
  <c r="P52" i="20"/>
  <c r="AW4" i="20"/>
  <c r="AW3" i="20"/>
  <c r="AW5" i="20"/>
  <c r="AW6" i="20"/>
  <c r="AW7" i="20"/>
  <c r="AW8" i="20"/>
  <c r="AW9" i="20"/>
  <c r="AW10" i="20"/>
  <c r="AW11" i="20"/>
  <c r="AW12" i="20"/>
  <c r="AW13" i="20"/>
  <c r="AW14" i="20"/>
  <c r="AW15" i="20"/>
  <c r="AW16" i="20"/>
  <c r="AW17" i="20"/>
  <c r="AW18" i="20"/>
  <c r="AW19" i="20"/>
  <c r="AW20" i="20"/>
  <c r="AW21" i="20"/>
  <c r="AW22" i="20"/>
  <c r="AW23" i="20"/>
  <c r="AW24" i="20"/>
  <c r="AW25" i="20"/>
  <c r="AW26" i="20"/>
  <c r="AW27" i="20"/>
  <c r="AW28" i="20"/>
  <c r="AW29" i="20"/>
  <c r="AW30" i="20"/>
  <c r="AW31" i="20"/>
  <c r="AW32" i="20"/>
  <c r="AW33" i="20"/>
  <c r="AW34" i="20"/>
  <c r="AW35" i="20"/>
  <c r="AW36" i="20"/>
  <c r="AW37" i="20"/>
  <c r="AW38" i="20"/>
  <c r="AW39" i="20"/>
  <c r="AW40" i="20"/>
  <c r="AW41" i="20"/>
  <c r="AW42" i="20"/>
  <c r="AW43" i="20"/>
  <c r="AW44" i="20"/>
  <c r="AW45" i="20"/>
  <c r="AW46" i="20"/>
  <c r="AW47" i="20"/>
  <c r="AW48" i="20"/>
  <c r="AW49" i="20"/>
  <c r="AW50" i="20"/>
  <c r="AW51" i="20"/>
  <c r="AW52" i="20"/>
  <c r="AV48" i="20"/>
  <c r="AV44" i="20"/>
  <c r="AV40" i="20"/>
  <c r="AV36" i="20"/>
  <c r="AV32" i="20"/>
  <c r="AV28" i="20"/>
  <c r="AV24" i="20"/>
  <c r="AV20" i="20"/>
  <c r="AV16" i="20"/>
  <c r="AV12" i="20"/>
  <c r="AV8" i="20"/>
  <c r="AV3" i="20"/>
  <c r="N53" i="20"/>
  <c r="P53" i="20" s="1"/>
  <c r="AO55" i="19"/>
  <c r="Q55" i="19"/>
  <c r="B56" i="19"/>
  <c r="AU55" i="19"/>
  <c r="AC55" i="19"/>
  <c r="W55" i="19"/>
  <c r="AI55" i="19"/>
  <c r="BA55" i="19"/>
  <c r="K69" i="19"/>
  <c r="N69" i="19"/>
  <c r="L69" i="19"/>
  <c r="I71" i="19"/>
  <c r="J70" i="19"/>
  <c r="BH55" i="19"/>
  <c r="AJ55" i="19"/>
  <c r="AD55" i="19"/>
  <c r="X55" i="19"/>
  <c r="R55" i="19"/>
  <c r="BT55" i="19"/>
  <c r="BB55" i="19"/>
  <c r="AP55" i="19"/>
  <c r="G56" i="19"/>
  <c r="BN55" i="19"/>
  <c r="AV55" i="19"/>
  <c r="AI53" i="17"/>
  <c r="BA53" i="17"/>
  <c r="AC53" i="17"/>
  <c r="BS53" i="17"/>
  <c r="W53" i="17"/>
  <c r="F55" i="17"/>
  <c r="AO53" i="17"/>
  <c r="AU53" i="17"/>
  <c r="BM53" i="17"/>
  <c r="Q53" i="17"/>
  <c r="I54" i="17"/>
  <c r="H55" i="17"/>
  <c r="B15" i="17"/>
  <c r="J53" i="17"/>
  <c r="M69" i="19" l="1"/>
  <c r="O69" i="19" s="1"/>
  <c r="N54" i="20"/>
  <c r="P54" i="20" s="1"/>
  <c r="J57" i="20"/>
  <c r="K56" i="20"/>
  <c r="O56" i="20" s="1"/>
  <c r="AW55" i="20"/>
  <c r="Y55" i="20"/>
  <c r="AK55" i="20"/>
  <c r="H56" i="20"/>
  <c r="S55" i="20"/>
  <c r="AE55" i="20"/>
  <c r="AQ55" i="20"/>
  <c r="M55" i="20"/>
  <c r="L55" i="20"/>
  <c r="B56" i="20"/>
  <c r="AV55" i="20"/>
  <c r="AP55" i="20"/>
  <c r="AD55" i="20"/>
  <c r="R55" i="20"/>
  <c r="AJ55" i="20"/>
  <c r="X55" i="20"/>
  <c r="L70" i="19"/>
  <c r="N70" i="19"/>
  <c r="K70" i="19"/>
  <c r="B57" i="19"/>
  <c r="AI56" i="19"/>
  <c r="AU56" i="19"/>
  <c r="W56" i="19"/>
  <c r="Q56" i="19"/>
  <c r="AO56" i="19"/>
  <c r="AC56" i="19"/>
  <c r="BA56" i="19"/>
  <c r="J71" i="19"/>
  <c r="I72" i="19"/>
  <c r="BB56" i="19"/>
  <c r="AD56" i="19"/>
  <c r="BN56" i="19"/>
  <c r="AP56" i="19"/>
  <c r="R56" i="19"/>
  <c r="AJ56" i="19"/>
  <c r="BH56" i="19"/>
  <c r="G57" i="19"/>
  <c r="R57" i="19" s="1"/>
  <c r="AV56" i="19"/>
  <c r="X56" i="19"/>
  <c r="BT56" i="19"/>
  <c r="J54" i="17"/>
  <c r="BS54" i="17"/>
  <c r="AU54" i="17"/>
  <c r="W54" i="17"/>
  <c r="BM54" i="17"/>
  <c r="AO54" i="17"/>
  <c r="Q54" i="17"/>
  <c r="AI54" i="17"/>
  <c r="BA54" i="17"/>
  <c r="AC54" i="17"/>
  <c r="F56" i="17"/>
  <c r="B14" i="17"/>
  <c r="H56" i="17"/>
  <c r="I55" i="17"/>
  <c r="M70" i="19" l="1"/>
  <c r="O70" i="19" s="1"/>
  <c r="AQ56" i="20"/>
  <c r="S56" i="20"/>
  <c r="AE56" i="20"/>
  <c r="AW56" i="20"/>
  <c r="Y56" i="20"/>
  <c r="H57" i="20"/>
  <c r="AK56" i="20"/>
  <c r="AV56" i="20"/>
  <c r="X56" i="20"/>
  <c r="B57" i="20"/>
  <c r="AJ56" i="20"/>
  <c r="AD56" i="20"/>
  <c r="AP56" i="20"/>
  <c r="R56" i="20"/>
  <c r="L56" i="20"/>
  <c r="M56" i="20"/>
  <c r="J58" i="20"/>
  <c r="K57" i="20"/>
  <c r="O57" i="20" s="1"/>
  <c r="N55" i="20"/>
  <c r="P55" i="20" s="1"/>
  <c r="G58" i="19"/>
  <c r="BT57" i="19"/>
  <c r="AV57" i="19"/>
  <c r="X57" i="19"/>
  <c r="BH57" i="19"/>
  <c r="AJ57" i="19"/>
  <c r="AD57" i="19"/>
  <c r="BB57" i="19"/>
  <c r="AP57" i="19"/>
  <c r="BN57" i="19"/>
  <c r="K71" i="19"/>
  <c r="N71" i="19"/>
  <c r="L71" i="19"/>
  <c r="J72" i="19"/>
  <c r="I73" i="19"/>
  <c r="BA57" i="19"/>
  <c r="AC57" i="19"/>
  <c r="AO57" i="19"/>
  <c r="AI57" i="19"/>
  <c r="W57" i="19"/>
  <c r="Q57" i="19"/>
  <c r="AU57" i="19"/>
  <c r="B58" i="19"/>
  <c r="J55" i="17"/>
  <c r="B13" i="17"/>
  <c r="BA55" i="17"/>
  <c r="AC55" i="17"/>
  <c r="AU55" i="17"/>
  <c r="AO55" i="17"/>
  <c r="AI55" i="17"/>
  <c r="F57" i="17"/>
  <c r="BS55" i="17"/>
  <c r="BM55" i="17"/>
  <c r="W55" i="17"/>
  <c r="Q55" i="17"/>
  <c r="H57" i="17"/>
  <c r="I56" i="17"/>
  <c r="M71" i="19" l="1"/>
  <c r="O71" i="19" s="1"/>
  <c r="L57" i="20"/>
  <c r="M57" i="20"/>
  <c r="N56" i="20"/>
  <c r="P56" i="20" s="1"/>
  <c r="BC57" i="20"/>
  <c r="AE57" i="20"/>
  <c r="BO57" i="20"/>
  <c r="AQ57" i="20"/>
  <c r="S57" i="20"/>
  <c r="BI57" i="20"/>
  <c r="H58" i="20"/>
  <c r="BU57" i="20"/>
  <c r="Y57" i="20"/>
  <c r="AW57" i="20"/>
  <c r="AK57" i="20"/>
  <c r="J59" i="20"/>
  <c r="K58" i="20"/>
  <c r="O58" i="20" s="1"/>
  <c r="B58" i="20"/>
  <c r="AJ57" i="20"/>
  <c r="AV57" i="20"/>
  <c r="X57" i="20"/>
  <c r="AP57" i="20"/>
  <c r="AD57" i="20"/>
  <c r="R57" i="20"/>
  <c r="N72" i="19"/>
  <c r="L72" i="19"/>
  <c r="K72" i="19"/>
  <c r="AO58" i="19"/>
  <c r="Q58" i="19"/>
  <c r="BA58" i="19"/>
  <c r="AC58" i="19"/>
  <c r="AI58" i="19"/>
  <c r="B59" i="19"/>
  <c r="AU58" i="19"/>
  <c r="W58" i="19"/>
  <c r="I74" i="19"/>
  <c r="J73" i="19"/>
  <c r="BH58" i="19"/>
  <c r="AJ58" i="19"/>
  <c r="G59" i="19"/>
  <c r="BT58" i="19"/>
  <c r="AV58" i="19"/>
  <c r="X58" i="19"/>
  <c r="AD58" i="19"/>
  <c r="BB58" i="19"/>
  <c r="R58" i="19"/>
  <c r="BN58" i="19"/>
  <c r="AP58" i="19"/>
  <c r="J56" i="17"/>
  <c r="H58" i="17"/>
  <c r="I57" i="17"/>
  <c r="B12" i="17"/>
  <c r="BM56" i="17"/>
  <c r="AO56" i="17"/>
  <c r="Q56" i="17"/>
  <c r="F58" i="17"/>
  <c r="AI56" i="17"/>
  <c r="AC56" i="17"/>
  <c r="W56" i="17"/>
  <c r="AU56" i="17"/>
  <c r="BS56" i="17"/>
  <c r="BA56" i="17"/>
  <c r="M72" i="19" l="1"/>
  <c r="J60" i="20"/>
  <c r="K59" i="20"/>
  <c r="O59" i="20" s="1"/>
  <c r="AV58" i="20"/>
  <c r="X58" i="20"/>
  <c r="B59" i="20"/>
  <c r="AJ58" i="20"/>
  <c r="R58" i="20"/>
  <c r="AP58" i="20"/>
  <c r="AD58" i="20"/>
  <c r="BO58" i="20"/>
  <c r="AQ58" i="20"/>
  <c r="S58" i="20"/>
  <c r="BC58" i="20"/>
  <c r="AE58" i="20"/>
  <c r="H59" i="20"/>
  <c r="BU58" i="20"/>
  <c r="Y58" i="20"/>
  <c r="AK58" i="20"/>
  <c r="BI58" i="20"/>
  <c r="AW58" i="20"/>
  <c r="N57" i="20"/>
  <c r="P57" i="20" s="1"/>
  <c r="L58" i="20"/>
  <c r="M58" i="20"/>
  <c r="O72" i="19"/>
  <c r="BH4" i="19"/>
  <c r="BH3" i="19"/>
  <c r="BH5" i="19"/>
  <c r="BH6" i="19"/>
  <c r="BH7" i="19"/>
  <c r="BH8" i="19"/>
  <c r="BH9" i="19"/>
  <c r="BH10" i="19"/>
  <c r="BH11" i="19"/>
  <c r="BH12" i="19"/>
  <c r="BH13" i="19"/>
  <c r="BH14" i="19"/>
  <c r="BH15" i="19"/>
  <c r="BH16" i="19"/>
  <c r="BH17" i="19"/>
  <c r="BH18" i="19"/>
  <c r="BH19" i="19"/>
  <c r="BH20" i="19"/>
  <c r="BH21" i="19"/>
  <c r="BH22" i="19"/>
  <c r="BH23" i="19"/>
  <c r="BH24" i="19"/>
  <c r="BH25" i="19"/>
  <c r="BH26" i="19"/>
  <c r="BH27" i="19"/>
  <c r="BH28" i="19"/>
  <c r="BH29" i="19"/>
  <c r="BH30" i="19"/>
  <c r="BH31" i="19"/>
  <c r="BH32" i="19"/>
  <c r="BH33" i="19"/>
  <c r="BH34" i="19"/>
  <c r="BH35" i="19"/>
  <c r="BH36" i="19"/>
  <c r="BH37" i="19"/>
  <c r="BH38" i="19"/>
  <c r="BH39" i="19"/>
  <c r="BH40" i="19"/>
  <c r="BH41" i="19"/>
  <c r="BH42" i="19"/>
  <c r="BH43" i="19"/>
  <c r="BH44" i="19"/>
  <c r="BH45" i="19"/>
  <c r="BH46" i="19"/>
  <c r="BH47" i="19"/>
  <c r="BH48" i="19"/>
  <c r="BH49" i="19"/>
  <c r="BH50" i="19"/>
  <c r="K73" i="19"/>
  <c r="L73" i="19"/>
  <c r="N73" i="19"/>
  <c r="BG4" i="19"/>
  <c r="BG5" i="19"/>
  <c r="BG6" i="19"/>
  <c r="BG7" i="19"/>
  <c r="BG3" i="19"/>
  <c r="BG8" i="19"/>
  <c r="BG9" i="19"/>
  <c r="BG10" i="19"/>
  <c r="BG11" i="19"/>
  <c r="BG12" i="19"/>
  <c r="BG13" i="19"/>
  <c r="BG14" i="19"/>
  <c r="BG15" i="19"/>
  <c r="BG16" i="19"/>
  <c r="BG17" i="19"/>
  <c r="BG18" i="19"/>
  <c r="BG19" i="19"/>
  <c r="BG20" i="19"/>
  <c r="BG21" i="19"/>
  <c r="BG22" i="19"/>
  <c r="BG23" i="19"/>
  <c r="BG24" i="19"/>
  <c r="BG25" i="19"/>
  <c r="BG26" i="19"/>
  <c r="BG27" i="19"/>
  <c r="BG28" i="19"/>
  <c r="BG29" i="19"/>
  <c r="BG30" i="19"/>
  <c r="BG31" i="19"/>
  <c r="BG32" i="19"/>
  <c r="BG33" i="19"/>
  <c r="BG34" i="19"/>
  <c r="BG35" i="19"/>
  <c r="BG36" i="19"/>
  <c r="BG37" i="19"/>
  <c r="BG38" i="19"/>
  <c r="BG39" i="19"/>
  <c r="BG40" i="19"/>
  <c r="BG41" i="19"/>
  <c r="BG42" i="19"/>
  <c r="BG43" i="19"/>
  <c r="BG44" i="19"/>
  <c r="BG45" i="19"/>
  <c r="BG46" i="19"/>
  <c r="BG47" i="19"/>
  <c r="BG48" i="19"/>
  <c r="BG49" i="19"/>
  <c r="BG50" i="19"/>
  <c r="BG51" i="19"/>
  <c r="BG52" i="19"/>
  <c r="BG53" i="19"/>
  <c r="BG54" i="19"/>
  <c r="BG55" i="19"/>
  <c r="BG56" i="19"/>
  <c r="BG57" i="19"/>
  <c r="G60" i="19"/>
  <c r="BT59" i="19"/>
  <c r="AV59" i="19"/>
  <c r="X59" i="19"/>
  <c r="BH59" i="19"/>
  <c r="AJ59" i="19"/>
  <c r="AD59" i="19"/>
  <c r="BB59" i="19"/>
  <c r="AP59" i="19"/>
  <c r="BN59" i="19"/>
  <c r="R59" i="19"/>
  <c r="I75" i="19"/>
  <c r="J74" i="19"/>
  <c r="BA59" i="19"/>
  <c r="AC59" i="19"/>
  <c r="AO59" i="19"/>
  <c r="Q59" i="19"/>
  <c r="BG59" i="19"/>
  <c r="AI59" i="19"/>
  <c r="W59" i="19"/>
  <c r="AU59" i="19"/>
  <c r="B60" i="19"/>
  <c r="BG58" i="19"/>
  <c r="H59" i="17"/>
  <c r="I58" i="17"/>
  <c r="BA57" i="17"/>
  <c r="AC57" i="17"/>
  <c r="BS57" i="17"/>
  <c r="AU57" i="17"/>
  <c r="W57" i="17"/>
  <c r="AI57" i="17"/>
  <c r="F59" i="17"/>
  <c r="AO57" i="17"/>
  <c r="BM57" i="17"/>
  <c r="Q57" i="17"/>
  <c r="B11" i="17"/>
  <c r="J57" i="17"/>
  <c r="N58" i="20" l="1"/>
  <c r="P58" i="20" s="1"/>
  <c r="BC59" i="20"/>
  <c r="AE59" i="20"/>
  <c r="BO59" i="20"/>
  <c r="AQ59" i="20"/>
  <c r="S59" i="20"/>
  <c r="AK59" i="20"/>
  <c r="AW59" i="20"/>
  <c r="BU59" i="20"/>
  <c r="Y59" i="20"/>
  <c r="H60" i="20"/>
  <c r="BI59" i="20"/>
  <c r="B60" i="20"/>
  <c r="AJ59" i="20"/>
  <c r="AV59" i="20"/>
  <c r="X59" i="20"/>
  <c r="R59" i="20"/>
  <c r="AD59" i="20"/>
  <c r="AP59" i="20"/>
  <c r="L59" i="20"/>
  <c r="M59" i="20"/>
  <c r="J61" i="20"/>
  <c r="K60" i="20"/>
  <c r="O60" i="20" s="1"/>
  <c r="L74" i="19"/>
  <c r="N74" i="19"/>
  <c r="K74" i="19"/>
  <c r="AO60" i="19"/>
  <c r="Q60" i="19"/>
  <c r="BA60" i="19"/>
  <c r="AC60" i="19"/>
  <c r="BG60" i="19"/>
  <c r="AI60" i="19"/>
  <c r="B61" i="19"/>
  <c r="AU60" i="19"/>
  <c r="W60" i="19"/>
  <c r="M73" i="19"/>
  <c r="O73" i="19" s="1"/>
  <c r="BH60" i="19"/>
  <c r="AJ60" i="19"/>
  <c r="G61" i="19"/>
  <c r="BT60" i="19"/>
  <c r="AV60" i="19"/>
  <c r="X60" i="19"/>
  <c r="AD60" i="19"/>
  <c r="BB60" i="19"/>
  <c r="BN60" i="19"/>
  <c r="R60" i="19"/>
  <c r="AP60" i="19"/>
  <c r="J75" i="19"/>
  <c r="I76" i="19"/>
  <c r="J58" i="17"/>
  <c r="B10" i="17"/>
  <c r="BM58" i="17"/>
  <c r="AO58" i="17"/>
  <c r="Q58" i="17"/>
  <c r="F60" i="17"/>
  <c r="AI58" i="17"/>
  <c r="BA58" i="17"/>
  <c r="BS58" i="17"/>
  <c r="W58" i="17"/>
  <c r="AC58" i="17"/>
  <c r="AU58" i="17"/>
  <c r="H60" i="17"/>
  <c r="I59" i="17"/>
  <c r="M74" i="19" l="1"/>
  <c r="O74" i="19" s="1"/>
  <c r="L60" i="20"/>
  <c r="M60" i="20"/>
  <c r="N60" i="20" s="1"/>
  <c r="P60" i="20" s="1"/>
  <c r="AV60" i="20"/>
  <c r="X60" i="20"/>
  <c r="B61" i="20"/>
  <c r="AJ60" i="20"/>
  <c r="AD60" i="20"/>
  <c r="AP60" i="20"/>
  <c r="R60" i="20"/>
  <c r="N59" i="20"/>
  <c r="P59" i="20" s="1"/>
  <c r="BO60" i="20"/>
  <c r="AQ60" i="20"/>
  <c r="S60" i="20"/>
  <c r="BC60" i="20"/>
  <c r="AE60" i="20"/>
  <c r="AW60" i="20"/>
  <c r="BI60" i="20"/>
  <c r="BU60" i="20"/>
  <c r="Y60" i="20"/>
  <c r="H61" i="20"/>
  <c r="AK60" i="20"/>
  <c r="J62" i="20"/>
  <c r="K61" i="20"/>
  <c r="O61" i="20" s="1"/>
  <c r="K75" i="19"/>
  <c r="N75" i="19"/>
  <c r="L75" i="19"/>
  <c r="M75" i="19" s="1"/>
  <c r="O75" i="19" s="1"/>
  <c r="BA61" i="19"/>
  <c r="AC61" i="19"/>
  <c r="AO61" i="19"/>
  <c r="Q61" i="19"/>
  <c r="BG61" i="19"/>
  <c r="AI61" i="19"/>
  <c r="W61" i="19"/>
  <c r="AU61" i="19"/>
  <c r="B62" i="19"/>
  <c r="G62" i="19"/>
  <c r="BT61" i="19"/>
  <c r="AV61" i="19"/>
  <c r="X61" i="19"/>
  <c r="BH61" i="19"/>
  <c r="AJ61" i="19"/>
  <c r="AD61" i="19"/>
  <c r="BB61" i="19"/>
  <c r="AP61" i="19"/>
  <c r="BN61" i="19"/>
  <c r="R61" i="19"/>
  <c r="J76" i="19"/>
  <c r="I77" i="19"/>
  <c r="I60" i="17"/>
  <c r="H61" i="17"/>
  <c r="J59" i="17"/>
  <c r="BA59" i="17"/>
  <c r="AC59" i="17"/>
  <c r="BS59" i="17"/>
  <c r="AU59" i="17"/>
  <c r="W59" i="17"/>
  <c r="BM59" i="17"/>
  <c r="Q59" i="17"/>
  <c r="AI59" i="17"/>
  <c r="F61" i="17"/>
  <c r="AO59" i="17"/>
  <c r="B9" i="17"/>
  <c r="J63" i="20" l="1"/>
  <c r="K62" i="20"/>
  <c r="O62" i="20" s="1"/>
  <c r="B62" i="20"/>
  <c r="AJ61" i="20"/>
  <c r="AV61" i="20"/>
  <c r="X61" i="20"/>
  <c r="AP61" i="20"/>
  <c r="AD61" i="20"/>
  <c r="R61" i="20"/>
  <c r="BC61" i="20"/>
  <c r="AE61" i="20"/>
  <c r="BO61" i="20"/>
  <c r="AQ61" i="20"/>
  <c r="S61" i="20"/>
  <c r="BI61" i="20"/>
  <c r="H62" i="20"/>
  <c r="BU61" i="20"/>
  <c r="Y61" i="20"/>
  <c r="AW61" i="20"/>
  <c r="AK61" i="20"/>
  <c r="L61" i="20"/>
  <c r="M61" i="20"/>
  <c r="BH62" i="19"/>
  <c r="AJ62" i="19"/>
  <c r="G63" i="19"/>
  <c r="BT62" i="19"/>
  <c r="AV62" i="19"/>
  <c r="X62" i="19"/>
  <c r="AD62" i="19"/>
  <c r="BB62" i="19"/>
  <c r="R62" i="19"/>
  <c r="BN62" i="19"/>
  <c r="AP62" i="19"/>
  <c r="I78" i="19"/>
  <c r="J77" i="19"/>
  <c r="N76" i="19"/>
  <c r="L76" i="19"/>
  <c r="K76" i="19"/>
  <c r="AO62" i="19"/>
  <c r="Q62" i="19"/>
  <c r="BA62" i="19"/>
  <c r="AC62" i="19"/>
  <c r="BG62" i="19"/>
  <c r="AI62" i="19"/>
  <c r="B63" i="19"/>
  <c r="AU62" i="19"/>
  <c r="W62" i="19"/>
  <c r="B8" i="17"/>
  <c r="BM60" i="17"/>
  <c r="AO60" i="17"/>
  <c r="Q60" i="17"/>
  <c r="F62" i="17"/>
  <c r="AI60" i="17"/>
  <c r="AU60" i="17"/>
  <c r="BA60" i="17"/>
  <c r="BS60" i="17"/>
  <c r="AC60" i="17"/>
  <c r="W60" i="17"/>
  <c r="H62" i="17"/>
  <c r="I61" i="17"/>
  <c r="J60" i="17"/>
  <c r="N61" i="20" l="1"/>
  <c r="P61" i="20" s="1"/>
  <c r="AV62" i="20"/>
  <c r="X62" i="20"/>
  <c r="B63" i="20"/>
  <c r="AJ62" i="20"/>
  <c r="R62" i="20"/>
  <c r="AP62" i="20"/>
  <c r="AD62" i="20"/>
  <c r="L62" i="20"/>
  <c r="M62" i="20"/>
  <c r="J64" i="20"/>
  <c r="K63" i="20"/>
  <c r="O63" i="20" s="1"/>
  <c r="BO62" i="20"/>
  <c r="AQ62" i="20"/>
  <c r="S62" i="20"/>
  <c r="BC62" i="20"/>
  <c r="AE62" i="20"/>
  <c r="H63" i="20"/>
  <c r="BU62" i="20"/>
  <c r="Y62" i="20"/>
  <c r="AK62" i="20"/>
  <c r="BI62" i="20"/>
  <c r="AW62" i="20"/>
  <c r="K77" i="19"/>
  <c r="L77" i="19"/>
  <c r="N77" i="19"/>
  <c r="AU63" i="19"/>
  <c r="BA63" i="19"/>
  <c r="BG63" i="19"/>
  <c r="AC63" i="19"/>
  <c r="Q63" i="19"/>
  <c r="AO63" i="19"/>
  <c r="AI63" i="19"/>
  <c r="W63" i="19"/>
  <c r="B64" i="19"/>
  <c r="I79" i="19"/>
  <c r="J78" i="19"/>
  <c r="BN63" i="19"/>
  <c r="AP63" i="19"/>
  <c r="G64" i="19"/>
  <c r="BT63" i="19"/>
  <c r="AV63" i="19"/>
  <c r="X63" i="19"/>
  <c r="BB63" i="19"/>
  <c r="AJ63" i="19"/>
  <c r="BH63" i="19"/>
  <c r="AD63" i="19"/>
  <c r="R63" i="19"/>
  <c r="M76" i="19"/>
  <c r="O76" i="19" s="1"/>
  <c r="J61" i="17"/>
  <c r="BA61" i="17"/>
  <c r="AC61" i="17"/>
  <c r="F63" i="17"/>
  <c r="BS61" i="17"/>
  <c r="AU61" i="17"/>
  <c r="W61" i="17"/>
  <c r="BM61" i="17"/>
  <c r="Q61" i="17"/>
  <c r="AO61" i="17"/>
  <c r="AI61" i="17"/>
  <c r="H63" i="17"/>
  <c r="I62" i="17"/>
  <c r="B7" i="17"/>
  <c r="N62" i="20" l="1"/>
  <c r="P62" i="20" s="1"/>
  <c r="BC7" i="20"/>
  <c r="BC11" i="20"/>
  <c r="BC15" i="20"/>
  <c r="BC23" i="20"/>
  <c r="BC27" i="20"/>
  <c r="BC31" i="20"/>
  <c r="BC39" i="20"/>
  <c r="BC43" i="20"/>
  <c r="BC47" i="20"/>
  <c r="BC55" i="20"/>
  <c r="L63" i="20"/>
  <c r="M63" i="20"/>
  <c r="BB5" i="20"/>
  <c r="BB9" i="20"/>
  <c r="BB13" i="20"/>
  <c r="BB17" i="20"/>
  <c r="BB21" i="20"/>
  <c r="BB25" i="20"/>
  <c r="BB29" i="20"/>
  <c r="BB33" i="20"/>
  <c r="BB37" i="20"/>
  <c r="BB41" i="20"/>
  <c r="BB45" i="20"/>
  <c r="BB49" i="20"/>
  <c r="BB53" i="20"/>
  <c r="BB57" i="20"/>
  <c r="BB61" i="20"/>
  <c r="J65" i="20"/>
  <c r="K64" i="20"/>
  <c r="O64" i="20" s="1"/>
  <c r="AV63" i="20"/>
  <c r="AJ63" i="20"/>
  <c r="X63" i="20"/>
  <c r="R63" i="20"/>
  <c r="AD63" i="20"/>
  <c r="B64" i="20"/>
  <c r="AP63" i="20"/>
  <c r="H64" i="20"/>
  <c r="BU63" i="20"/>
  <c r="AE63" i="20"/>
  <c r="AQ63" i="20"/>
  <c r="S63" i="20"/>
  <c r="BI63" i="20"/>
  <c r="AK63" i="20"/>
  <c r="Y63" i="20"/>
  <c r="BO63" i="20"/>
  <c r="BC63" i="20"/>
  <c r="AW63" i="20"/>
  <c r="BB64" i="19"/>
  <c r="AD64" i="19"/>
  <c r="BH64" i="19"/>
  <c r="AJ64" i="19"/>
  <c r="AV64" i="19"/>
  <c r="G65" i="19"/>
  <c r="BT64" i="19"/>
  <c r="X64" i="19"/>
  <c r="R64" i="19"/>
  <c r="BN64" i="19"/>
  <c r="AP64" i="19"/>
  <c r="J79" i="19"/>
  <c r="I80" i="19"/>
  <c r="B65" i="19"/>
  <c r="BG64" i="19"/>
  <c r="AI64" i="19"/>
  <c r="AO64" i="19"/>
  <c r="Q64" i="19"/>
  <c r="AC64" i="19"/>
  <c r="BA64" i="19"/>
  <c r="AU64" i="19"/>
  <c r="W64" i="19"/>
  <c r="M77" i="19"/>
  <c r="O77" i="19" s="1"/>
  <c r="L78" i="19"/>
  <c r="N78" i="19"/>
  <c r="K78" i="19"/>
  <c r="I63" i="17"/>
  <c r="H64" i="17"/>
  <c r="F64" i="17"/>
  <c r="AO62" i="17"/>
  <c r="Q62" i="17"/>
  <c r="AI62" i="17"/>
  <c r="AC62" i="17"/>
  <c r="BS62" i="17"/>
  <c r="AU62" i="17"/>
  <c r="BM62" i="17"/>
  <c r="W62" i="17"/>
  <c r="BA62" i="17"/>
  <c r="B6" i="17"/>
  <c r="J62" i="17"/>
  <c r="BC51" i="20" l="1"/>
  <c r="BC35" i="20"/>
  <c r="BC19" i="20"/>
  <c r="BC3" i="20"/>
  <c r="BB59" i="20"/>
  <c r="BB55" i="20"/>
  <c r="BB51" i="20"/>
  <c r="BB47" i="20"/>
  <c r="BB43" i="20"/>
  <c r="BB39" i="20"/>
  <c r="BB35" i="20"/>
  <c r="BB31" i="20"/>
  <c r="BB27" i="20"/>
  <c r="BB23" i="20"/>
  <c r="BB19" i="20"/>
  <c r="BB15" i="20"/>
  <c r="BB11" i="20"/>
  <c r="BB7" i="20"/>
  <c r="BB4" i="20"/>
  <c r="BC53" i="20"/>
  <c r="BC49" i="20"/>
  <c r="BC45" i="20"/>
  <c r="BC41" i="20"/>
  <c r="BC37" i="20"/>
  <c r="BC33" i="20"/>
  <c r="BC29" i="20"/>
  <c r="BC25" i="20"/>
  <c r="BC21" i="20"/>
  <c r="BC17" i="20"/>
  <c r="BC13" i="20"/>
  <c r="BC9" i="20"/>
  <c r="BC5" i="20"/>
  <c r="BB58" i="20"/>
  <c r="BB54" i="20"/>
  <c r="BB50" i="20"/>
  <c r="BB46" i="20"/>
  <c r="BB42" i="20"/>
  <c r="BB38" i="20"/>
  <c r="BB34" i="20"/>
  <c r="BB30" i="20"/>
  <c r="BB26" i="20"/>
  <c r="BB22" i="20"/>
  <c r="BB18" i="20"/>
  <c r="BB14" i="20"/>
  <c r="BB10" i="20"/>
  <c r="BB6" i="20"/>
  <c r="N63" i="20"/>
  <c r="P63" i="20" s="1"/>
  <c r="BC56" i="20"/>
  <c r="BC52" i="20"/>
  <c r="BC48" i="20"/>
  <c r="BC44" i="20"/>
  <c r="BC40" i="20"/>
  <c r="BC36" i="20"/>
  <c r="BC32" i="20"/>
  <c r="BC28" i="20"/>
  <c r="BC24" i="20"/>
  <c r="BC20" i="20"/>
  <c r="BC16" i="20"/>
  <c r="BC12" i="20"/>
  <c r="BC8" i="20"/>
  <c r="BC4" i="20"/>
  <c r="BB62" i="20"/>
  <c r="BB63" i="20"/>
  <c r="BB60" i="20"/>
  <c r="BB56" i="20"/>
  <c r="BB52" i="20"/>
  <c r="BB48" i="20"/>
  <c r="BB44" i="20"/>
  <c r="BB40" i="20"/>
  <c r="BB36" i="20"/>
  <c r="BB32" i="20"/>
  <c r="BB28" i="20"/>
  <c r="BB24" i="20"/>
  <c r="BB20" i="20"/>
  <c r="BB16" i="20"/>
  <c r="BB12" i="20"/>
  <c r="BB8" i="20"/>
  <c r="BB3" i="20"/>
  <c r="BC54" i="20"/>
  <c r="BC50" i="20"/>
  <c r="BC46" i="20"/>
  <c r="BC42" i="20"/>
  <c r="BC38" i="20"/>
  <c r="BC34" i="20"/>
  <c r="BC30" i="20"/>
  <c r="BC26" i="20"/>
  <c r="BC22" i="20"/>
  <c r="BC18" i="20"/>
  <c r="BC14" i="20"/>
  <c r="BC10" i="20"/>
  <c r="BC6" i="20"/>
  <c r="AP64" i="20"/>
  <c r="R64" i="20"/>
  <c r="AV64" i="20"/>
  <c r="BB64" i="20"/>
  <c r="AJ64" i="20"/>
  <c r="X64" i="20"/>
  <c r="AD64" i="20"/>
  <c r="B65" i="20"/>
  <c r="K65" i="20"/>
  <c r="O65" i="20" s="1"/>
  <c r="J66" i="20"/>
  <c r="BI64" i="20"/>
  <c r="AK64" i="20"/>
  <c r="BO64" i="20"/>
  <c r="AQ64" i="20"/>
  <c r="H65" i="20"/>
  <c r="BU64" i="20"/>
  <c r="AW64" i="20"/>
  <c r="AE64" i="20"/>
  <c r="Y64" i="20"/>
  <c r="S64" i="20"/>
  <c r="BC64" i="20"/>
  <c r="M64" i="20"/>
  <c r="L64" i="20"/>
  <c r="BN65" i="19"/>
  <c r="AP65" i="19"/>
  <c r="R65" i="19"/>
  <c r="G66" i="19"/>
  <c r="BT65" i="19"/>
  <c r="AV65" i="19"/>
  <c r="X65" i="19"/>
  <c r="BH65" i="19"/>
  <c r="AJ65" i="19"/>
  <c r="BB65" i="19"/>
  <c r="AD65" i="19"/>
  <c r="K79" i="19"/>
  <c r="N79" i="19"/>
  <c r="L79" i="19"/>
  <c r="M78" i="19"/>
  <c r="O78" i="19" s="1"/>
  <c r="AU65" i="19"/>
  <c r="W65" i="19"/>
  <c r="BA65" i="19"/>
  <c r="AC65" i="19"/>
  <c r="B66" i="19"/>
  <c r="AO65" i="19"/>
  <c r="Q65" i="19"/>
  <c r="AI65" i="19"/>
  <c r="BG65" i="19"/>
  <c r="J80" i="19"/>
  <c r="I81" i="19"/>
  <c r="BS63" i="17"/>
  <c r="AU63" i="17"/>
  <c r="W63" i="17"/>
  <c r="BM63" i="17"/>
  <c r="F65" i="17"/>
  <c r="BA63" i="17"/>
  <c r="AI63" i="17"/>
  <c r="Q63" i="17"/>
  <c r="AO63" i="17"/>
  <c r="AC63" i="17"/>
  <c r="H65" i="17"/>
  <c r="I64" i="17"/>
  <c r="B5" i="17"/>
  <c r="J63" i="17"/>
  <c r="M79" i="19" l="1"/>
  <c r="O79" i="19" s="1"/>
  <c r="N64" i="20"/>
  <c r="P64" i="20" s="1"/>
  <c r="H66" i="20"/>
  <c r="BU65" i="20"/>
  <c r="AW65" i="20"/>
  <c r="Y65" i="20"/>
  <c r="BC65" i="20"/>
  <c r="AE65" i="20"/>
  <c r="AK65" i="20"/>
  <c r="BI65" i="20"/>
  <c r="BO65" i="20"/>
  <c r="AQ65" i="20"/>
  <c r="S65" i="20"/>
  <c r="BB65" i="20"/>
  <c r="AD65" i="20"/>
  <c r="B66" i="20"/>
  <c r="AJ65" i="20"/>
  <c r="R65" i="20"/>
  <c r="AP65" i="20"/>
  <c r="AV65" i="20"/>
  <c r="X65" i="20"/>
  <c r="J67" i="20"/>
  <c r="K66" i="20"/>
  <c r="O66" i="20" s="1"/>
  <c r="L65" i="20"/>
  <c r="M65" i="20"/>
  <c r="N80" i="19"/>
  <c r="L80" i="19"/>
  <c r="K80" i="19"/>
  <c r="BB66" i="19"/>
  <c r="AD66" i="19"/>
  <c r="BH66" i="19"/>
  <c r="AJ66" i="19"/>
  <c r="AP66" i="19"/>
  <c r="G67" i="19"/>
  <c r="BN66" i="19"/>
  <c r="R66" i="19"/>
  <c r="BT66" i="19"/>
  <c r="X66" i="19"/>
  <c r="AV66" i="19"/>
  <c r="B67" i="19"/>
  <c r="BG66" i="19"/>
  <c r="AI66" i="19"/>
  <c r="AO66" i="19"/>
  <c r="Q66" i="19"/>
  <c r="W66" i="19"/>
  <c r="AU66" i="19"/>
  <c r="BA66" i="19"/>
  <c r="AC66" i="19"/>
  <c r="I82" i="19"/>
  <c r="J81" i="19"/>
  <c r="J64" i="17"/>
  <c r="I65" i="17"/>
  <c r="H66" i="17"/>
  <c r="B4" i="17"/>
  <c r="F66" i="17"/>
  <c r="AI64" i="17"/>
  <c r="BA64" i="17"/>
  <c r="AC64" i="17"/>
  <c r="BM64" i="17"/>
  <c r="Q64" i="17"/>
  <c r="BS64" i="17"/>
  <c r="W64" i="17"/>
  <c r="AU64" i="17"/>
  <c r="AO64" i="17"/>
  <c r="N65" i="20" l="1"/>
  <c r="P65" i="20" s="1"/>
  <c r="M80" i="19"/>
  <c r="O80" i="19" s="1"/>
  <c r="K67" i="20"/>
  <c r="O67" i="20" s="1"/>
  <c r="J68" i="20"/>
  <c r="BI66" i="20"/>
  <c r="AK66" i="20"/>
  <c r="BO66" i="20"/>
  <c r="AQ66" i="20"/>
  <c r="S66" i="20"/>
  <c r="H67" i="20"/>
  <c r="BC66" i="20"/>
  <c r="AE66" i="20"/>
  <c r="Y66" i="20"/>
  <c r="AW66" i="20"/>
  <c r="BU66" i="20"/>
  <c r="M66" i="20"/>
  <c r="L66" i="20"/>
  <c r="AP66" i="20"/>
  <c r="R66" i="20"/>
  <c r="AV66" i="20"/>
  <c r="X66" i="20"/>
  <c r="AJ66" i="20"/>
  <c r="B67" i="20"/>
  <c r="AD66" i="20"/>
  <c r="BB66" i="20"/>
  <c r="BB67" i="19"/>
  <c r="AD67" i="19"/>
  <c r="BN67" i="19"/>
  <c r="AP67" i="19"/>
  <c r="R67" i="19"/>
  <c r="AV67" i="19"/>
  <c r="BH67" i="19"/>
  <c r="AJ67" i="19"/>
  <c r="G68" i="19"/>
  <c r="X67" i="19"/>
  <c r="BT67" i="19"/>
  <c r="B68" i="19"/>
  <c r="BG67" i="19"/>
  <c r="AI67" i="19"/>
  <c r="AU67" i="19"/>
  <c r="W67" i="19"/>
  <c r="AC67" i="19"/>
  <c r="AO67" i="19"/>
  <c r="Q67" i="19"/>
  <c r="BA67" i="19"/>
  <c r="K81" i="19"/>
  <c r="L81" i="19"/>
  <c r="N81" i="19"/>
  <c r="I83" i="19"/>
  <c r="J82" i="19"/>
  <c r="B3" i="17"/>
  <c r="I66" i="17"/>
  <c r="H67" i="17"/>
  <c r="J65" i="17"/>
  <c r="F67" i="17"/>
  <c r="BS65" i="17"/>
  <c r="AU65" i="17"/>
  <c r="W65" i="17"/>
  <c r="BM65" i="17"/>
  <c r="AO65" i="17"/>
  <c r="Q65" i="17"/>
  <c r="AC65" i="17"/>
  <c r="AI65" i="17"/>
  <c r="BA65" i="17"/>
  <c r="N66" i="20" l="1"/>
  <c r="P66" i="20" s="1"/>
  <c r="M81" i="19"/>
  <c r="O81" i="19" s="1"/>
  <c r="AV67" i="20"/>
  <c r="X67" i="20"/>
  <c r="B68" i="20"/>
  <c r="BB67" i="20"/>
  <c r="AP67" i="20"/>
  <c r="AJ67" i="20"/>
  <c r="AD67" i="20"/>
  <c r="R67" i="20"/>
  <c r="H68" i="20"/>
  <c r="BO67" i="20"/>
  <c r="AQ67" i="20"/>
  <c r="S67" i="20"/>
  <c r="BU67" i="20"/>
  <c r="BI67" i="20"/>
  <c r="BC67" i="20"/>
  <c r="AW67" i="20"/>
  <c r="AE67" i="20"/>
  <c r="AK67" i="20"/>
  <c r="Y67" i="20"/>
  <c r="J69" i="20"/>
  <c r="K68" i="20"/>
  <c r="O68" i="20" s="1"/>
  <c r="L67" i="20"/>
  <c r="M67" i="20"/>
  <c r="AU68" i="19"/>
  <c r="W68" i="19"/>
  <c r="B69" i="19"/>
  <c r="BG68" i="19"/>
  <c r="AI68" i="19"/>
  <c r="AO68" i="19"/>
  <c r="BA68" i="19"/>
  <c r="AC68" i="19"/>
  <c r="Q68" i="19"/>
  <c r="BN68" i="19"/>
  <c r="AP68" i="19"/>
  <c r="R68" i="19"/>
  <c r="BB68" i="19"/>
  <c r="AD68" i="19"/>
  <c r="G69" i="19"/>
  <c r="BH68" i="19"/>
  <c r="BT68" i="19"/>
  <c r="X68" i="19"/>
  <c r="AV68" i="19"/>
  <c r="AJ68" i="19"/>
  <c r="L82" i="19"/>
  <c r="N82" i="19"/>
  <c r="K82" i="19"/>
  <c r="J83" i="19"/>
  <c r="I84" i="19"/>
  <c r="J66" i="17"/>
  <c r="BS66" i="17"/>
  <c r="AU66" i="17"/>
  <c r="W66" i="17"/>
  <c r="BM66" i="17"/>
  <c r="AO66" i="17"/>
  <c r="AI66" i="17"/>
  <c r="AC66" i="17"/>
  <c r="F68" i="17"/>
  <c r="Q66" i="17"/>
  <c r="BA66" i="17"/>
  <c r="H68" i="17"/>
  <c r="I67" i="17"/>
  <c r="J70" i="20" l="1"/>
  <c r="K69" i="20"/>
  <c r="O69" i="20" s="1"/>
  <c r="H69" i="20"/>
  <c r="BI68" i="20"/>
  <c r="AK68" i="20"/>
  <c r="BC68" i="20"/>
  <c r="AE68" i="20"/>
  <c r="AQ68" i="20"/>
  <c r="BU68" i="20"/>
  <c r="Y68" i="20"/>
  <c r="AW68" i="20"/>
  <c r="BO68" i="20"/>
  <c r="S68" i="20"/>
  <c r="AP68" i="20"/>
  <c r="R68" i="20"/>
  <c r="B69" i="20"/>
  <c r="AJ68" i="20"/>
  <c r="X68" i="20"/>
  <c r="BB68" i="20"/>
  <c r="AD68" i="20"/>
  <c r="AV68" i="20"/>
  <c r="N67" i="20"/>
  <c r="P67" i="20" s="1"/>
  <c r="M68" i="20"/>
  <c r="L68" i="20"/>
  <c r="BN69" i="19"/>
  <c r="AP69" i="19"/>
  <c r="R69" i="19"/>
  <c r="BB69" i="19"/>
  <c r="AD69" i="19"/>
  <c r="BT69" i="19"/>
  <c r="AV69" i="19"/>
  <c r="X69" i="19"/>
  <c r="BH69" i="19"/>
  <c r="AJ69" i="19"/>
  <c r="J84" i="19"/>
  <c r="I85" i="19"/>
  <c r="M82" i="19"/>
  <c r="K83" i="19"/>
  <c r="N83" i="19"/>
  <c r="L83" i="19"/>
  <c r="BM5" i="19"/>
  <c r="BM4" i="19"/>
  <c r="BM6" i="19"/>
  <c r="BM3" i="19"/>
  <c r="BM7" i="19"/>
  <c r="BM8" i="19"/>
  <c r="BM9" i="19"/>
  <c r="BM10" i="19"/>
  <c r="BM11" i="19"/>
  <c r="BM12" i="19"/>
  <c r="BM13" i="19"/>
  <c r="BM14" i="19"/>
  <c r="BM15" i="19"/>
  <c r="BM16" i="19"/>
  <c r="BM17" i="19"/>
  <c r="BM18" i="19"/>
  <c r="BM19" i="19"/>
  <c r="BM20" i="19"/>
  <c r="BM21" i="19"/>
  <c r="BM22" i="19"/>
  <c r="BM23" i="19"/>
  <c r="BM24" i="19"/>
  <c r="BM25" i="19"/>
  <c r="BM26" i="19"/>
  <c r="BM27" i="19"/>
  <c r="BM28" i="19"/>
  <c r="BM29" i="19"/>
  <c r="BM30" i="19"/>
  <c r="BM31" i="19"/>
  <c r="BM32" i="19"/>
  <c r="BM33" i="19"/>
  <c r="BM34" i="19"/>
  <c r="BM35" i="19"/>
  <c r="BM36" i="19"/>
  <c r="BM37" i="19"/>
  <c r="BM38" i="19"/>
  <c r="BM39" i="19"/>
  <c r="BM40" i="19"/>
  <c r="BM41" i="19"/>
  <c r="BM42" i="19"/>
  <c r="BM43" i="19"/>
  <c r="BM44" i="19"/>
  <c r="BM45" i="19"/>
  <c r="BM46" i="19"/>
  <c r="BM47" i="19"/>
  <c r="BM48" i="19"/>
  <c r="BM49" i="19"/>
  <c r="BM50" i="19"/>
  <c r="BM51" i="19"/>
  <c r="BM52" i="19"/>
  <c r="BM53" i="19"/>
  <c r="BM54" i="19"/>
  <c r="BM55" i="19"/>
  <c r="BM56" i="19"/>
  <c r="BM57" i="19"/>
  <c r="BM58" i="19"/>
  <c r="BM59" i="19"/>
  <c r="BM60" i="19"/>
  <c r="BM61" i="19"/>
  <c r="BM62" i="19"/>
  <c r="BM63" i="19"/>
  <c r="BM64" i="19"/>
  <c r="BM65" i="19"/>
  <c r="BM66" i="19"/>
  <c r="BM67" i="19"/>
  <c r="BM68" i="19"/>
  <c r="AU69" i="19"/>
  <c r="W69" i="19"/>
  <c r="BG69" i="19"/>
  <c r="AI69" i="19"/>
  <c r="BA69" i="19"/>
  <c r="AC69" i="19"/>
  <c r="BM69" i="19"/>
  <c r="AO69" i="19"/>
  <c r="Q69" i="19"/>
  <c r="J67" i="17"/>
  <c r="AI67" i="17"/>
  <c r="F69" i="17"/>
  <c r="BA67" i="17"/>
  <c r="AC67" i="17"/>
  <c r="AO67" i="17"/>
  <c r="BM67" i="17"/>
  <c r="AU67" i="17"/>
  <c r="W67" i="17"/>
  <c r="BS67" i="17"/>
  <c r="Q67" i="17"/>
  <c r="H69" i="17"/>
  <c r="I68" i="17"/>
  <c r="M83" i="19" l="1"/>
  <c r="O83" i="19" s="1"/>
  <c r="N68" i="20"/>
  <c r="P68" i="20" s="1"/>
  <c r="BI69" i="20"/>
  <c r="AK69" i="20"/>
  <c r="BC69" i="20"/>
  <c r="AE69" i="20"/>
  <c r="BU69" i="20"/>
  <c r="AW69" i="20"/>
  <c r="Y69" i="20"/>
  <c r="BO69" i="20"/>
  <c r="AQ69" i="20"/>
  <c r="S69" i="20"/>
  <c r="AP69" i="20"/>
  <c r="R69" i="20"/>
  <c r="AJ69" i="20"/>
  <c r="BB69" i="20"/>
  <c r="AD69" i="20"/>
  <c r="AV69" i="20"/>
  <c r="X69" i="20"/>
  <c r="M69" i="20"/>
  <c r="L69" i="20"/>
  <c r="K70" i="20"/>
  <c r="O70" i="20" s="1"/>
  <c r="J71" i="20"/>
  <c r="I86" i="19"/>
  <c r="J85" i="19"/>
  <c r="O82" i="19"/>
  <c r="BN3" i="19"/>
  <c r="BN5" i="19"/>
  <c r="BN4" i="19"/>
  <c r="BN6" i="19"/>
  <c r="BN7" i="19"/>
  <c r="BN8" i="19"/>
  <c r="BN9" i="19"/>
  <c r="BN10" i="19"/>
  <c r="BN11" i="19"/>
  <c r="BN12" i="19"/>
  <c r="BN13" i="19"/>
  <c r="BN14" i="19"/>
  <c r="BN15" i="19"/>
  <c r="BN16" i="19"/>
  <c r="BN17" i="19"/>
  <c r="BN18" i="19"/>
  <c r="BN19" i="19"/>
  <c r="BN20" i="19"/>
  <c r="BN21" i="19"/>
  <c r="BN22" i="19"/>
  <c r="BN23" i="19"/>
  <c r="BN24" i="19"/>
  <c r="BN25" i="19"/>
  <c r="BN26" i="19"/>
  <c r="BN27" i="19"/>
  <c r="BN28" i="19"/>
  <c r="BN29" i="19"/>
  <c r="BN30" i="19"/>
  <c r="BN31" i="19"/>
  <c r="BN32" i="19"/>
  <c r="BN33" i="19"/>
  <c r="BN34" i="19"/>
  <c r="BN35" i="19"/>
  <c r="BN36" i="19"/>
  <c r="BN37" i="19"/>
  <c r="BN38" i="19"/>
  <c r="BN39" i="19"/>
  <c r="BN40" i="19"/>
  <c r="BN41" i="19"/>
  <c r="BN42" i="19"/>
  <c r="BN43" i="19"/>
  <c r="BN44" i="19"/>
  <c r="BN45" i="19"/>
  <c r="BN46" i="19"/>
  <c r="BN47" i="19"/>
  <c r="BN48" i="19"/>
  <c r="BN49" i="19"/>
  <c r="BN50" i="19"/>
  <c r="N84" i="19"/>
  <c r="L84" i="19"/>
  <c r="K84" i="19"/>
  <c r="J68" i="17"/>
  <c r="H70" i="17"/>
  <c r="I69" i="17"/>
  <c r="BS68" i="17"/>
  <c r="AU68" i="17"/>
  <c r="W68" i="17"/>
  <c r="BM68" i="17"/>
  <c r="AO68" i="17"/>
  <c r="Q68" i="17"/>
  <c r="AC68" i="17"/>
  <c r="AI68" i="17"/>
  <c r="BG68" i="17"/>
  <c r="BA68" i="17"/>
  <c r="N69" i="20" l="1"/>
  <c r="P69" i="20" s="1"/>
  <c r="J72" i="20"/>
  <c r="K71" i="20"/>
  <c r="O71" i="20" s="1"/>
  <c r="L70" i="20"/>
  <c r="M70" i="20"/>
  <c r="K85" i="19"/>
  <c r="L85" i="19"/>
  <c r="M85" i="19" s="1"/>
  <c r="O85" i="19" s="1"/>
  <c r="N85" i="19"/>
  <c r="M84" i="19"/>
  <c r="O84" i="19" s="1"/>
  <c r="I87" i="19"/>
  <c r="J86" i="19"/>
  <c r="I70" i="17"/>
  <c r="H71" i="17"/>
  <c r="J69" i="17"/>
  <c r="M71" i="20" l="1"/>
  <c r="L71" i="20"/>
  <c r="N70" i="20"/>
  <c r="P70" i="20" s="1"/>
  <c r="J73" i="20"/>
  <c r="K72" i="20"/>
  <c r="O72" i="20" s="1"/>
  <c r="L86" i="19"/>
  <c r="N86" i="19"/>
  <c r="K86" i="19"/>
  <c r="J87" i="19"/>
  <c r="I88" i="19"/>
  <c r="I71" i="17"/>
  <c r="H72" i="17"/>
  <c r="J70" i="17"/>
  <c r="M72" i="20" l="1"/>
  <c r="L72" i="20"/>
  <c r="K73" i="20"/>
  <c r="O73" i="20" s="1"/>
  <c r="J74" i="20"/>
  <c r="N71" i="20"/>
  <c r="P71" i="20" s="1"/>
  <c r="K87" i="19"/>
  <c r="N87" i="19"/>
  <c r="L87" i="19"/>
  <c r="J88" i="19"/>
  <c r="I89" i="19"/>
  <c r="M86" i="19"/>
  <c r="O86" i="19" s="1"/>
  <c r="H73" i="17"/>
  <c r="I72" i="17"/>
  <c r="J71" i="17"/>
  <c r="M87" i="19" l="1"/>
  <c r="O87" i="19" s="1"/>
  <c r="M73" i="20"/>
  <c r="L73" i="20"/>
  <c r="K74" i="20"/>
  <c r="O74" i="20" s="1"/>
  <c r="J75" i="20"/>
  <c r="N72" i="20"/>
  <c r="BH5" i="20" s="1"/>
  <c r="N88" i="19"/>
  <c r="L88" i="19"/>
  <c r="K88" i="19"/>
  <c r="I90" i="19"/>
  <c r="J89" i="19"/>
  <c r="J72" i="17"/>
  <c r="H74" i="17"/>
  <c r="I73" i="17"/>
  <c r="BH64" i="20" l="1"/>
  <c r="BH45" i="20"/>
  <c r="BH25" i="20"/>
  <c r="BH61" i="20"/>
  <c r="BH41" i="20"/>
  <c r="BH13" i="20"/>
  <c r="BH69" i="20"/>
  <c r="BH49" i="20"/>
  <c r="BH29" i="20"/>
  <c r="BH9" i="20"/>
  <c r="BH17" i="20"/>
  <c r="N73" i="20"/>
  <c r="P73" i="20" s="1"/>
  <c r="M88" i="19"/>
  <c r="O88" i="19" s="1"/>
  <c r="BH57" i="20"/>
  <c r="BH33" i="20"/>
  <c r="BH65" i="20"/>
  <c r="BH53" i="20"/>
  <c r="BH37" i="20"/>
  <c r="BH21" i="20"/>
  <c r="P72" i="20"/>
  <c r="BI3" i="20"/>
  <c r="BI4" i="20"/>
  <c r="BI5" i="20"/>
  <c r="BI6" i="20"/>
  <c r="BI7" i="20"/>
  <c r="BI8" i="20"/>
  <c r="BI9" i="20"/>
  <c r="BI10" i="20"/>
  <c r="BI11" i="20"/>
  <c r="BI12" i="20"/>
  <c r="BI13" i="20"/>
  <c r="BI14" i="20"/>
  <c r="BI15" i="20"/>
  <c r="BI16" i="20"/>
  <c r="BI17" i="20"/>
  <c r="BI18" i="20"/>
  <c r="BI19" i="20"/>
  <c r="BI20" i="20"/>
  <c r="BI21" i="20"/>
  <c r="BI22" i="20"/>
  <c r="BI23" i="20"/>
  <c r="BI24" i="20"/>
  <c r="BI25" i="20"/>
  <c r="BI26" i="20"/>
  <c r="BI27" i="20"/>
  <c r="BI28" i="20"/>
  <c r="BI29" i="20"/>
  <c r="BI30" i="20"/>
  <c r="BI31" i="20"/>
  <c r="BI32" i="20"/>
  <c r="BI33" i="20"/>
  <c r="BI34" i="20"/>
  <c r="BI35" i="20"/>
  <c r="BI36" i="20"/>
  <c r="BI37" i="20"/>
  <c r="BI38" i="20"/>
  <c r="BI39" i="20"/>
  <c r="BI40" i="20"/>
  <c r="BI41" i="20"/>
  <c r="BI42" i="20"/>
  <c r="BI43" i="20"/>
  <c r="BI44" i="20"/>
  <c r="BI45" i="20"/>
  <c r="BI46" i="20"/>
  <c r="BI47" i="20"/>
  <c r="BI48" i="20"/>
  <c r="BI49" i="20"/>
  <c r="BI50" i="20"/>
  <c r="BI51" i="20"/>
  <c r="BI52" i="20"/>
  <c r="BI53" i="20"/>
  <c r="BI54" i="20"/>
  <c r="BI55" i="20"/>
  <c r="BI56" i="20"/>
  <c r="BH68" i="20"/>
  <c r="J76" i="20"/>
  <c r="K75" i="20"/>
  <c r="O75" i="20" s="1"/>
  <c r="BH67" i="20"/>
  <c r="BH63" i="20"/>
  <c r="BH59" i="20"/>
  <c r="BH55" i="20"/>
  <c r="BH51" i="20"/>
  <c r="BH47" i="20"/>
  <c r="BH43" i="20"/>
  <c r="BH39" i="20"/>
  <c r="BH35" i="20"/>
  <c r="BH31" i="20"/>
  <c r="BH27" i="20"/>
  <c r="BH23" i="20"/>
  <c r="BH19" i="20"/>
  <c r="BH15" i="20"/>
  <c r="BH11" i="20"/>
  <c r="BH7" i="20"/>
  <c r="BH4" i="20"/>
  <c r="L74" i="20"/>
  <c r="M74" i="20"/>
  <c r="BH66" i="20"/>
  <c r="BH62" i="20"/>
  <c r="BH58" i="20"/>
  <c r="BH54" i="20"/>
  <c r="BH50" i="20"/>
  <c r="BH46" i="20"/>
  <c r="BH42" i="20"/>
  <c r="BH38" i="20"/>
  <c r="BH34" i="20"/>
  <c r="BH30" i="20"/>
  <c r="BH26" i="20"/>
  <c r="BH22" i="20"/>
  <c r="BH18" i="20"/>
  <c r="BH14" i="20"/>
  <c r="BH10" i="20"/>
  <c r="BH6" i="20"/>
  <c r="BH60" i="20"/>
  <c r="BH56" i="20"/>
  <c r="BH52" i="20"/>
  <c r="BH48" i="20"/>
  <c r="BH44" i="20"/>
  <c r="BH40" i="20"/>
  <c r="BH36" i="20"/>
  <c r="BH32" i="20"/>
  <c r="BH28" i="20"/>
  <c r="BH24" i="20"/>
  <c r="BH20" i="20"/>
  <c r="BH16" i="20"/>
  <c r="BH12" i="20"/>
  <c r="BH8" i="20"/>
  <c r="BH3" i="20"/>
  <c r="I91" i="19"/>
  <c r="J90" i="19"/>
  <c r="K89" i="19"/>
  <c r="L89" i="19"/>
  <c r="M89" i="19" s="1"/>
  <c r="O89" i="19" s="1"/>
  <c r="N89" i="19"/>
  <c r="J73" i="17"/>
  <c r="I74" i="17"/>
  <c r="H75" i="17"/>
  <c r="N74" i="20" l="1"/>
  <c r="P74" i="20" s="1"/>
  <c r="M75" i="20"/>
  <c r="L75" i="20"/>
  <c r="J77" i="20"/>
  <c r="K76" i="20"/>
  <c r="O76" i="20" s="1"/>
  <c r="L90" i="19"/>
  <c r="N90" i="19"/>
  <c r="K90" i="19"/>
  <c r="J91" i="19"/>
  <c r="I92" i="19"/>
  <c r="I75" i="17"/>
  <c r="H76" i="17"/>
  <c r="J74" i="17"/>
  <c r="N75" i="20" l="1"/>
  <c r="P75" i="20" s="1"/>
  <c r="K77" i="20"/>
  <c r="O77" i="20" s="1"/>
  <c r="J78" i="20"/>
  <c r="M76" i="20"/>
  <c r="L76" i="20"/>
  <c r="K91" i="19"/>
  <c r="N91" i="19"/>
  <c r="L91" i="19"/>
  <c r="J92" i="19"/>
  <c r="I93" i="19"/>
  <c r="J93" i="19" s="1"/>
  <c r="M90" i="19"/>
  <c r="O90" i="19" s="1"/>
  <c r="H77" i="17"/>
  <c r="I76" i="17"/>
  <c r="J75" i="17"/>
  <c r="M77" i="20" l="1"/>
  <c r="L77" i="20"/>
  <c r="N76" i="20"/>
  <c r="P76" i="20" s="1"/>
  <c r="K78" i="20"/>
  <c r="O78" i="20" s="1"/>
  <c r="J79" i="20"/>
  <c r="N92" i="19"/>
  <c r="L92" i="19"/>
  <c r="K92" i="19"/>
  <c r="M91" i="19"/>
  <c r="O91" i="19" s="1"/>
  <c r="K93" i="19"/>
  <c r="L93" i="19"/>
  <c r="N93" i="19"/>
  <c r="H78" i="17"/>
  <c r="I77" i="17"/>
  <c r="J76" i="17"/>
  <c r="N77" i="20" l="1"/>
  <c r="P77" i="20" s="1"/>
  <c r="M93" i="19"/>
  <c r="O93" i="19" s="1"/>
  <c r="M92" i="19"/>
  <c r="BT3" i="19" s="1"/>
  <c r="J80" i="20"/>
  <c r="K79" i="20"/>
  <c r="O79" i="20" s="1"/>
  <c r="L78" i="20"/>
  <c r="M78" i="20"/>
  <c r="O92" i="19"/>
  <c r="BT4" i="19"/>
  <c r="BT6" i="19"/>
  <c r="BT9" i="19"/>
  <c r="BT10" i="19"/>
  <c r="BT13" i="19"/>
  <c r="BT14" i="19"/>
  <c r="BT17" i="19"/>
  <c r="BT18" i="19"/>
  <c r="BT21" i="19"/>
  <c r="BT22" i="19"/>
  <c r="BT25" i="19"/>
  <c r="BT26" i="19"/>
  <c r="BT29" i="19"/>
  <c r="BT30" i="19"/>
  <c r="BT33" i="19"/>
  <c r="BT34" i="19"/>
  <c r="BT37" i="19"/>
  <c r="BT38" i="19"/>
  <c r="BT41" i="19"/>
  <c r="BT42" i="19"/>
  <c r="BT45" i="19"/>
  <c r="BT46" i="19"/>
  <c r="BT49" i="19"/>
  <c r="BT50" i="19"/>
  <c r="BS51" i="19"/>
  <c r="BS47" i="19"/>
  <c r="BS35" i="19"/>
  <c r="BS31" i="19"/>
  <c r="BS19" i="19"/>
  <c r="BS15" i="19"/>
  <c r="BS5" i="19"/>
  <c r="BS21" i="19"/>
  <c r="BS9" i="19"/>
  <c r="BS4" i="19"/>
  <c r="BS55" i="19"/>
  <c r="BS66" i="19"/>
  <c r="BS54" i="19"/>
  <c r="BS50" i="19"/>
  <c r="BS38" i="19"/>
  <c r="BS34" i="19"/>
  <c r="BS22" i="19"/>
  <c r="BS18" i="19"/>
  <c r="BS7" i="19"/>
  <c r="BS64" i="19"/>
  <c r="BS52" i="19"/>
  <c r="BS48" i="19"/>
  <c r="BS36" i="19"/>
  <c r="BS32" i="19"/>
  <c r="BS20" i="19"/>
  <c r="BS16" i="19"/>
  <c r="BS6" i="19"/>
  <c r="J77" i="17"/>
  <c r="I78" i="17"/>
  <c r="H79" i="17"/>
  <c r="BS8" i="19" l="1"/>
  <c r="BS24" i="19"/>
  <c r="BS40" i="19"/>
  <c r="BS56" i="19"/>
  <c r="BS10" i="19"/>
  <c r="BS26" i="19"/>
  <c r="BS42" i="19"/>
  <c r="BS58" i="19"/>
  <c r="BS63" i="19"/>
  <c r="BS13" i="19"/>
  <c r="BS3" i="19"/>
  <c r="BS23" i="19"/>
  <c r="BS39" i="19"/>
  <c r="BS59" i="19"/>
  <c r="BT48" i="19"/>
  <c r="BT44" i="19"/>
  <c r="BT40" i="19"/>
  <c r="BT36" i="19"/>
  <c r="BT32" i="19"/>
  <c r="BT28" i="19"/>
  <c r="BT24" i="19"/>
  <c r="BT20" i="19"/>
  <c r="BT16" i="19"/>
  <c r="BT12" i="19"/>
  <c r="BT8" i="19"/>
  <c r="BT5" i="19"/>
  <c r="BS12" i="19"/>
  <c r="BS28" i="19"/>
  <c r="BS44" i="19"/>
  <c r="BS60" i="19"/>
  <c r="BS14" i="19"/>
  <c r="BS30" i="19"/>
  <c r="BS46" i="19"/>
  <c r="BS62" i="19"/>
  <c r="BS68" i="19"/>
  <c r="BS17" i="19"/>
  <c r="BS11" i="19"/>
  <c r="BS27" i="19"/>
  <c r="BS43" i="19"/>
  <c r="BS67" i="19"/>
  <c r="BT47" i="19"/>
  <c r="BT43" i="19"/>
  <c r="BT39" i="19"/>
  <c r="BT35" i="19"/>
  <c r="BT31" i="19"/>
  <c r="BT27" i="19"/>
  <c r="BT23" i="19"/>
  <c r="BT19" i="19"/>
  <c r="BT15" i="19"/>
  <c r="BT11" i="19"/>
  <c r="BT7" i="19"/>
  <c r="N78" i="20"/>
  <c r="P78" i="20" s="1"/>
  <c r="BS33" i="19"/>
  <c r="BS49" i="19"/>
  <c r="BS65" i="19"/>
  <c r="BS37" i="19"/>
  <c r="BS53" i="19"/>
  <c r="BS69" i="19"/>
  <c r="BS25" i="19"/>
  <c r="BS41" i="19"/>
  <c r="BS57" i="19"/>
  <c r="BS29" i="19"/>
  <c r="BS45" i="19"/>
  <c r="BS61" i="19"/>
  <c r="M79" i="20"/>
  <c r="L79" i="20"/>
  <c r="J81" i="20"/>
  <c r="K80" i="20"/>
  <c r="O80" i="20" s="1"/>
  <c r="J78" i="17"/>
  <c r="I79" i="17"/>
  <c r="H80" i="17"/>
  <c r="K81" i="20" l="1"/>
  <c r="O81" i="20" s="1"/>
  <c r="J82" i="20"/>
  <c r="M80" i="20"/>
  <c r="L80" i="20"/>
  <c r="N79" i="20"/>
  <c r="P79" i="20" s="1"/>
  <c r="J79" i="17"/>
  <c r="H81" i="17"/>
  <c r="I80" i="17"/>
  <c r="K82" i="20" l="1"/>
  <c r="O82" i="20" s="1"/>
  <c r="J83" i="20"/>
  <c r="N80" i="20"/>
  <c r="P80" i="20" s="1"/>
  <c r="M81" i="20"/>
  <c r="L81" i="20"/>
  <c r="J80" i="17"/>
  <c r="H82" i="17"/>
  <c r="I81" i="17"/>
  <c r="J84" i="20" l="1"/>
  <c r="K83" i="20"/>
  <c r="O83" i="20" s="1"/>
  <c r="N81" i="20"/>
  <c r="P81" i="20" s="1"/>
  <c r="L82" i="20"/>
  <c r="M82" i="20"/>
  <c r="I82" i="17"/>
  <c r="H83" i="17"/>
  <c r="J81" i="17"/>
  <c r="N82" i="20" l="1"/>
  <c r="BO4" i="20" s="1"/>
  <c r="P82" i="20"/>
  <c r="BO3" i="20"/>
  <c r="BO5" i="20"/>
  <c r="BO6" i="20"/>
  <c r="BO7" i="20"/>
  <c r="BO8" i="20"/>
  <c r="BO9" i="20"/>
  <c r="BO10" i="20"/>
  <c r="BO11" i="20"/>
  <c r="BO12" i="20"/>
  <c r="BO13" i="20"/>
  <c r="BO14" i="20"/>
  <c r="BO15" i="20"/>
  <c r="BO16" i="20"/>
  <c r="BO17" i="20"/>
  <c r="BO18" i="20"/>
  <c r="BO19" i="20"/>
  <c r="BO20" i="20"/>
  <c r="BO21" i="20"/>
  <c r="BO22" i="20"/>
  <c r="BO23" i="20"/>
  <c r="BO24" i="20"/>
  <c r="BO25" i="20"/>
  <c r="BO26" i="20"/>
  <c r="BO27" i="20"/>
  <c r="BO28" i="20"/>
  <c r="BO29" i="20"/>
  <c r="BO30" i="20"/>
  <c r="BO31" i="20"/>
  <c r="BO32" i="20"/>
  <c r="BO33" i="20"/>
  <c r="BO34" i="20"/>
  <c r="BO35" i="20"/>
  <c r="BO36" i="20"/>
  <c r="BO37" i="20"/>
  <c r="BO38" i="20"/>
  <c r="BO39" i="20"/>
  <c r="BO40" i="20"/>
  <c r="BO41" i="20"/>
  <c r="BO42" i="20"/>
  <c r="BO43" i="20"/>
  <c r="BO44" i="20"/>
  <c r="BO45" i="20"/>
  <c r="BO46" i="20"/>
  <c r="BO47" i="20"/>
  <c r="BO48" i="20"/>
  <c r="BO49" i="20"/>
  <c r="BO50" i="20"/>
  <c r="BO51" i="20"/>
  <c r="BO52" i="20"/>
  <c r="BO53" i="20"/>
  <c r="BO54" i="20"/>
  <c r="BO55" i="20"/>
  <c r="BO56" i="20"/>
  <c r="M83" i="20"/>
  <c r="L83" i="20"/>
  <c r="BN4" i="20"/>
  <c r="BN5" i="20"/>
  <c r="BN3" i="20"/>
  <c r="BN6" i="20"/>
  <c r="BN7" i="20"/>
  <c r="BN8" i="20"/>
  <c r="BN9" i="20"/>
  <c r="BN10" i="20"/>
  <c r="BN11" i="20"/>
  <c r="BN12" i="20"/>
  <c r="BN13" i="20"/>
  <c r="BN14" i="20"/>
  <c r="BN15" i="20"/>
  <c r="BN16" i="20"/>
  <c r="BN17" i="20"/>
  <c r="BN18" i="20"/>
  <c r="BN19" i="20"/>
  <c r="BN20" i="20"/>
  <c r="BN21" i="20"/>
  <c r="BN22" i="20"/>
  <c r="BN23" i="20"/>
  <c r="BN24" i="20"/>
  <c r="BN25" i="20"/>
  <c r="BN26" i="20"/>
  <c r="BN27" i="20"/>
  <c r="BN28" i="20"/>
  <c r="BN29" i="20"/>
  <c r="BN30" i="20"/>
  <c r="BN31" i="20"/>
  <c r="BN32" i="20"/>
  <c r="BN33" i="20"/>
  <c r="BN34" i="20"/>
  <c r="BN35" i="20"/>
  <c r="BN36" i="20"/>
  <c r="BN37" i="20"/>
  <c r="BN38" i="20"/>
  <c r="BN39" i="20"/>
  <c r="BN40" i="20"/>
  <c r="BN41" i="20"/>
  <c r="BN42" i="20"/>
  <c r="BN43" i="20"/>
  <c r="BN44" i="20"/>
  <c r="BN45" i="20"/>
  <c r="BN46" i="20"/>
  <c r="BN47" i="20"/>
  <c r="BN48" i="20"/>
  <c r="BN49" i="20"/>
  <c r="BN50" i="20"/>
  <c r="BN51" i="20"/>
  <c r="BN52" i="20"/>
  <c r="BN53" i="20"/>
  <c r="BN54" i="20"/>
  <c r="BN55" i="20"/>
  <c r="BN56" i="20"/>
  <c r="BN57" i="20"/>
  <c r="BN58" i="20"/>
  <c r="BN59" i="20"/>
  <c r="BN60" i="20"/>
  <c r="BN61" i="20"/>
  <c r="BN62" i="20"/>
  <c r="BN63" i="20"/>
  <c r="BN64" i="20"/>
  <c r="BN65" i="20"/>
  <c r="BN66" i="20"/>
  <c r="BN67" i="20"/>
  <c r="BN68" i="20"/>
  <c r="BN69" i="20"/>
  <c r="J85" i="20"/>
  <c r="K84" i="20"/>
  <c r="O84" i="20" s="1"/>
  <c r="I83" i="17"/>
  <c r="H84" i="17"/>
  <c r="J82" i="17"/>
  <c r="N83" i="20" l="1"/>
  <c r="P83" i="20" s="1"/>
  <c r="K85" i="20"/>
  <c r="O85" i="20" s="1"/>
  <c r="J86" i="20"/>
  <c r="M84" i="20"/>
  <c r="L84" i="20"/>
  <c r="H85" i="17"/>
  <c r="I84" i="17"/>
  <c r="J83" i="17"/>
  <c r="N84" i="20" l="1"/>
  <c r="P84" i="20" s="1"/>
  <c r="K86" i="20"/>
  <c r="O86" i="20" s="1"/>
  <c r="J87" i="20"/>
  <c r="M85" i="20"/>
  <c r="L85" i="20"/>
  <c r="J84" i="17"/>
  <c r="H86" i="17"/>
  <c r="I85" i="17"/>
  <c r="L86" i="20" l="1"/>
  <c r="M86" i="20"/>
  <c r="N85" i="20"/>
  <c r="P85" i="20" s="1"/>
  <c r="J88" i="20"/>
  <c r="K87" i="20"/>
  <c r="O87" i="20" s="1"/>
  <c r="J85" i="17"/>
  <c r="I86" i="17"/>
  <c r="H87" i="17"/>
  <c r="N86" i="20" l="1"/>
  <c r="P86" i="20" s="1"/>
  <c r="M87" i="20"/>
  <c r="L87" i="20"/>
  <c r="J89" i="20"/>
  <c r="K88" i="20"/>
  <c r="O88" i="20" s="1"/>
  <c r="J86" i="17"/>
  <c r="I87" i="17"/>
  <c r="H88" i="17"/>
  <c r="N87" i="20" l="1"/>
  <c r="P87" i="20" s="1"/>
  <c r="M88" i="20"/>
  <c r="L88" i="20"/>
  <c r="K89" i="20"/>
  <c r="O89" i="20" s="1"/>
  <c r="J90" i="20"/>
  <c r="J87" i="17"/>
  <c r="H89" i="17"/>
  <c r="I88" i="17"/>
  <c r="K90" i="20" l="1"/>
  <c r="O90" i="20" s="1"/>
  <c r="J91" i="20"/>
  <c r="N88" i="20"/>
  <c r="P88" i="20" s="1"/>
  <c r="M89" i="20"/>
  <c r="L89" i="20"/>
  <c r="J88" i="17"/>
  <c r="H90" i="17"/>
  <c r="I89" i="17"/>
  <c r="N89" i="20" l="1"/>
  <c r="P89" i="20" s="1"/>
  <c r="L90" i="20"/>
  <c r="M90" i="20"/>
  <c r="J92" i="20"/>
  <c r="K91" i="20"/>
  <c r="O91" i="20" s="1"/>
  <c r="I90" i="17"/>
  <c r="H91" i="17"/>
  <c r="J89" i="17"/>
  <c r="M91" i="20" l="1"/>
  <c r="L91" i="20"/>
  <c r="J93" i="20"/>
  <c r="K93" i="20" s="1"/>
  <c r="K92" i="20"/>
  <c r="O92" i="20" s="1"/>
  <c r="N90" i="20"/>
  <c r="P90" i="20" s="1"/>
  <c r="I91" i="17"/>
  <c r="H92" i="17"/>
  <c r="J90" i="17"/>
  <c r="O93" i="20" l="1"/>
  <c r="M93" i="20"/>
  <c r="L93" i="20"/>
  <c r="M92" i="20"/>
  <c r="L92" i="20"/>
  <c r="N91" i="20"/>
  <c r="P91" i="20" s="1"/>
  <c r="H93" i="17"/>
  <c r="I93" i="17" s="1"/>
  <c r="I92" i="17"/>
  <c r="J91" i="17"/>
  <c r="N93" i="20" l="1"/>
  <c r="P93" i="20" s="1"/>
  <c r="N92" i="20"/>
  <c r="J92" i="17"/>
  <c r="J93" i="17"/>
  <c r="P92" i="20" l="1"/>
  <c r="BU3" i="20"/>
  <c r="BU4" i="20"/>
  <c r="BU5" i="20"/>
  <c r="BU6" i="20"/>
  <c r="BU7" i="20"/>
  <c r="BU8" i="20"/>
  <c r="BU9" i="20"/>
  <c r="BU10" i="20"/>
  <c r="BU11" i="20"/>
  <c r="BU12" i="20"/>
  <c r="BU13" i="20"/>
  <c r="BU14" i="20"/>
  <c r="BU15" i="20"/>
  <c r="BU16" i="20"/>
  <c r="BU17" i="20"/>
  <c r="BU18" i="20"/>
  <c r="BU19" i="20"/>
  <c r="BU20" i="20"/>
  <c r="BU21" i="20"/>
  <c r="BU22" i="20"/>
  <c r="BU23" i="20"/>
  <c r="BU24" i="20"/>
  <c r="BU25" i="20"/>
  <c r="BU26" i="20"/>
  <c r="BU27" i="20"/>
  <c r="BU28" i="20"/>
  <c r="BU29" i="20"/>
  <c r="BU30" i="20"/>
  <c r="BU31" i="20"/>
  <c r="BU32" i="20"/>
  <c r="BU33" i="20"/>
  <c r="BU34" i="20"/>
  <c r="BU35" i="20"/>
  <c r="BU36" i="20"/>
  <c r="BU37" i="20"/>
  <c r="BU38" i="20"/>
  <c r="BU39" i="20"/>
  <c r="BU40" i="20"/>
  <c r="BU41" i="20"/>
  <c r="BU42" i="20"/>
  <c r="BU43" i="20"/>
  <c r="BU44" i="20"/>
  <c r="BU45" i="20"/>
  <c r="BU46" i="20"/>
  <c r="BU47" i="20"/>
  <c r="BU48" i="20"/>
  <c r="BU49" i="20"/>
  <c r="BU50" i="20"/>
  <c r="BU51" i="20"/>
  <c r="BU52" i="20"/>
  <c r="BU53" i="20"/>
  <c r="BU54" i="20"/>
  <c r="BU55" i="20"/>
  <c r="BU56" i="20"/>
  <c r="BT5" i="20"/>
  <c r="BT8" i="20"/>
  <c r="BT12" i="20"/>
  <c r="BT16" i="20"/>
  <c r="BT20" i="20"/>
  <c r="BT24" i="20"/>
  <c r="BT28" i="20"/>
  <c r="BT32" i="20"/>
  <c r="BT36" i="20"/>
  <c r="BT40" i="20"/>
  <c r="BT44" i="20"/>
  <c r="BT48" i="20"/>
  <c r="BT52" i="20"/>
  <c r="BT56" i="20"/>
  <c r="BT60" i="20"/>
  <c r="BT64" i="20"/>
  <c r="BT68" i="20"/>
  <c r="BT9" i="20"/>
  <c r="BT13" i="20"/>
  <c r="BT17" i="20"/>
  <c r="BT21" i="20"/>
  <c r="BT25" i="20"/>
  <c r="BT29" i="20"/>
  <c r="BT33" i="20"/>
  <c r="BT37" i="20"/>
  <c r="BT41" i="20"/>
  <c r="BT45" i="20"/>
  <c r="BT6" i="20"/>
  <c r="BT10" i="20"/>
  <c r="BT14" i="20"/>
  <c r="BT18" i="20"/>
  <c r="BT22" i="20"/>
  <c r="BT26" i="20"/>
  <c r="BT30" i="20"/>
  <c r="BT34" i="20"/>
  <c r="BT38" i="20"/>
  <c r="BT42" i="20"/>
  <c r="BT46" i="20"/>
  <c r="BT50" i="20"/>
  <c r="BT54" i="20"/>
  <c r="BT58" i="20"/>
  <c r="BT62" i="20"/>
  <c r="BT66" i="20"/>
  <c r="BT4" i="20"/>
  <c r="BT7" i="20"/>
  <c r="BT11" i="20"/>
  <c r="BT15" i="20"/>
  <c r="BT19" i="20"/>
  <c r="BT23" i="20"/>
  <c r="BT27" i="20"/>
  <c r="BT31" i="20"/>
  <c r="BT35" i="20"/>
  <c r="BT39" i="20"/>
  <c r="BT43" i="20"/>
  <c r="BT47" i="20"/>
  <c r="BT51" i="20"/>
  <c r="BT55" i="20"/>
  <c r="BT59" i="20"/>
  <c r="BT63" i="20"/>
  <c r="BT67" i="20"/>
  <c r="BT3" i="20"/>
  <c r="BT49" i="20"/>
  <c r="BT53" i="20"/>
  <c r="BT57" i="20"/>
  <c r="BT61" i="20"/>
  <c r="BT65" i="20"/>
  <c r="BT69" i="20"/>
  <c r="I3" i="5" l="1"/>
  <c r="AU4" i="22" s="1"/>
  <c r="H3" i="5"/>
  <c r="E4" i="5"/>
  <c r="F4" i="5" s="1"/>
  <c r="I3" i="4"/>
  <c r="AF4" i="22" s="1"/>
  <c r="I3" i="3"/>
  <c r="Q4" i="22" s="1"/>
  <c r="S4" i="22" s="1"/>
  <c r="H3" i="4"/>
  <c r="E4" i="4"/>
  <c r="H3" i="3"/>
  <c r="E4" i="3"/>
  <c r="F4" i="3" s="1"/>
  <c r="AJ4" i="13" l="1"/>
  <c r="F4" i="4"/>
  <c r="AD4" i="13" s="1"/>
  <c r="A3" i="25"/>
  <c r="D3" i="25" s="1"/>
  <c r="X4" i="13"/>
  <c r="M3" i="12"/>
  <c r="I4" i="3"/>
  <c r="Q5" i="22" s="1"/>
  <c r="H4" i="3"/>
  <c r="H4" i="4"/>
  <c r="I4" i="4"/>
  <c r="J4" i="4" s="1"/>
  <c r="A3" i="26"/>
  <c r="D3" i="26" s="1"/>
  <c r="I4" i="5"/>
  <c r="J4" i="5" s="1"/>
  <c r="H4" i="5"/>
  <c r="E5" i="5"/>
  <c r="AW4" i="22"/>
  <c r="AH4" i="22"/>
  <c r="E5" i="3"/>
  <c r="F5" i="3" s="1"/>
  <c r="E5" i="4"/>
  <c r="F5" i="4" s="1"/>
  <c r="X3" i="12" l="1"/>
  <c r="G5" i="5"/>
  <c r="F5" i="5"/>
  <c r="I5" i="5" s="1"/>
  <c r="AU6" i="22" s="1"/>
  <c r="A3" i="27"/>
  <c r="D3" i="27" s="1"/>
  <c r="AF5" i="22"/>
  <c r="A4" i="27"/>
  <c r="D4" i="27" s="1"/>
  <c r="AD5" i="13"/>
  <c r="A4" i="25"/>
  <c r="D4" i="25" s="1"/>
  <c r="X5" i="13"/>
  <c r="J4" i="3"/>
  <c r="I5" i="3"/>
  <c r="J5" i="3" s="1"/>
  <c r="M4" i="12"/>
  <c r="X4" i="12"/>
  <c r="I5" i="4"/>
  <c r="AF6" i="22" s="1"/>
  <c r="AU5" i="22"/>
  <c r="AW5" i="22" s="1"/>
  <c r="E6" i="5"/>
  <c r="AH5" i="22"/>
  <c r="S5" i="22"/>
  <c r="E6" i="3"/>
  <c r="F6" i="3" s="1"/>
  <c r="G5" i="3"/>
  <c r="H5" i="3" s="1"/>
  <c r="H5" i="4"/>
  <c r="E6" i="4"/>
  <c r="AJ5" i="13" l="1"/>
  <c r="H5" i="5"/>
  <c r="A4" i="26"/>
  <c r="D4" i="26" s="1"/>
  <c r="E7" i="4"/>
  <c r="E8" i="4" s="1"/>
  <c r="F6" i="4"/>
  <c r="F7" i="4" s="1"/>
  <c r="F6" i="5"/>
  <c r="AH6" i="22"/>
  <c r="Q6" i="22"/>
  <c r="S6" i="22" s="1"/>
  <c r="J5" i="4"/>
  <c r="AG6" i="22" s="1"/>
  <c r="J5" i="5"/>
  <c r="AV6" i="22" s="1"/>
  <c r="E7" i="5"/>
  <c r="G6" i="5"/>
  <c r="AW6" i="22"/>
  <c r="G6" i="4"/>
  <c r="E7" i="3"/>
  <c r="F7" i="3" s="1"/>
  <c r="G6" i="3"/>
  <c r="R6" i="22"/>
  <c r="H6" i="5" l="1"/>
  <c r="F7" i="5"/>
  <c r="F8" i="4"/>
  <c r="I6" i="5"/>
  <c r="J6" i="5" s="1"/>
  <c r="AV7" i="22" s="1"/>
  <c r="AJ6" i="13"/>
  <c r="A5" i="26"/>
  <c r="D5" i="26" s="1"/>
  <c r="AJ7" i="13"/>
  <c r="A6" i="27"/>
  <c r="D6" i="27" s="1"/>
  <c r="AD7" i="13"/>
  <c r="A5" i="27"/>
  <c r="D5" i="27" s="1"/>
  <c r="AD6" i="13"/>
  <c r="A5" i="25"/>
  <c r="D5" i="25" s="1"/>
  <c r="X6" i="13"/>
  <c r="M5" i="12"/>
  <c r="I6" i="3"/>
  <c r="J6" i="3" s="1"/>
  <c r="H6" i="3"/>
  <c r="I7" i="4"/>
  <c r="AF8" i="22" s="1"/>
  <c r="X6" i="12"/>
  <c r="X5" i="12"/>
  <c r="I6" i="4"/>
  <c r="J6" i="4" s="1"/>
  <c r="H6" i="4"/>
  <c r="A6" i="26"/>
  <c r="D6" i="26" s="1"/>
  <c r="I7" i="5"/>
  <c r="AU8" i="22" s="1"/>
  <c r="E8" i="5"/>
  <c r="G7" i="5"/>
  <c r="G7" i="4"/>
  <c r="H7" i="4" s="1"/>
  <c r="K5" i="3"/>
  <c r="E8" i="3"/>
  <c r="F8" i="3" s="1"/>
  <c r="G7" i="3"/>
  <c r="E9" i="4"/>
  <c r="K5" i="4"/>
  <c r="K5" i="5"/>
  <c r="H7" i="5" l="1"/>
  <c r="G8" i="4"/>
  <c r="AU7" i="22"/>
  <c r="AW7" i="22" s="1"/>
  <c r="F9" i="4"/>
  <c r="F8" i="5"/>
  <c r="AL5" i="13"/>
  <c r="AN5" i="13" s="1"/>
  <c r="AJ8" i="13"/>
  <c r="A7" i="27"/>
  <c r="D7" i="27" s="1"/>
  <c r="AD8" i="13"/>
  <c r="AF5" i="13"/>
  <c r="AH5" i="13" s="1"/>
  <c r="A6" i="25"/>
  <c r="D6" i="25" s="1"/>
  <c r="X7" i="13"/>
  <c r="Q7" i="22"/>
  <c r="S7" i="22" s="1"/>
  <c r="AW8" i="22"/>
  <c r="H7" i="3"/>
  <c r="I7" i="3"/>
  <c r="Q8" i="22" s="1"/>
  <c r="M6" i="12"/>
  <c r="AF7" i="22"/>
  <c r="AH8" i="22" s="1"/>
  <c r="J7" i="4"/>
  <c r="AG8" i="22" s="1"/>
  <c r="X7" i="12"/>
  <c r="I8" i="4"/>
  <c r="AF9" i="22" s="1"/>
  <c r="H8" i="4"/>
  <c r="J7" i="5"/>
  <c r="AV8" i="22" s="1"/>
  <c r="A7" i="26"/>
  <c r="D7" i="26" s="1"/>
  <c r="I8" i="5"/>
  <c r="J8" i="5" s="1"/>
  <c r="AG7" i="22"/>
  <c r="AI7" i="22" s="1"/>
  <c r="E9" i="5"/>
  <c r="G8" i="5"/>
  <c r="H8" i="5" s="1"/>
  <c r="AX7" i="22"/>
  <c r="R7" i="22"/>
  <c r="M5" i="3"/>
  <c r="N5" i="3" s="1"/>
  <c r="Z5" i="13"/>
  <c r="E9" i="3"/>
  <c r="F9" i="3" s="1"/>
  <c r="G8" i="3"/>
  <c r="E10" i="4"/>
  <c r="G9" i="4"/>
  <c r="M5" i="5"/>
  <c r="K6" i="4"/>
  <c r="M5" i="4"/>
  <c r="K6" i="5"/>
  <c r="AY7" i="22" l="1"/>
  <c r="AZ7" i="22" s="1"/>
  <c r="F9" i="5"/>
  <c r="F10" i="4"/>
  <c r="AL6" i="13"/>
  <c r="AN6" i="13" s="1"/>
  <c r="N5" i="5"/>
  <c r="AJ9" i="13"/>
  <c r="A8" i="27"/>
  <c r="D8" i="27" s="1"/>
  <c r="AD9" i="13"/>
  <c r="AF6" i="13"/>
  <c r="AH6" i="13" s="1"/>
  <c r="A7" i="25"/>
  <c r="D7" i="25" s="1"/>
  <c r="X8" i="13"/>
  <c r="AH7" i="22"/>
  <c r="AJ7" i="22" s="1"/>
  <c r="AK7" i="22" s="1"/>
  <c r="I8" i="3"/>
  <c r="J8" i="3" s="1"/>
  <c r="M7" i="12"/>
  <c r="H8" i="3"/>
  <c r="J7" i="3"/>
  <c r="R8" i="22" s="1"/>
  <c r="J8" i="4"/>
  <c r="AG9" i="22" s="1"/>
  <c r="H9" i="4"/>
  <c r="X8" i="12"/>
  <c r="I9" i="4"/>
  <c r="J9" i="4" s="1"/>
  <c r="A8" i="26"/>
  <c r="D8" i="26" s="1"/>
  <c r="AU9" i="22"/>
  <c r="AW9" i="22" s="1"/>
  <c r="AI8" i="22"/>
  <c r="AJ8" i="22" s="1"/>
  <c r="AK8" i="22" s="1"/>
  <c r="E10" i="5"/>
  <c r="G9" i="5"/>
  <c r="AX8" i="22"/>
  <c r="AY8" i="22" s="1"/>
  <c r="AZ8" i="22" s="1"/>
  <c r="AH9" i="22"/>
  <c r="T7" i="22"/>
  <c r="U7" i="22" s="1"/>
  <c r="V7" i="22" s="1"/>
  <c r="S8" i="22"/>
  <c r="E10" i="3"/>
  <c r="F10" i="3" s="1"/>
  <c r="G9" i="3"/>
  <c r="E11" i="4"/>
  <c r="G10" i="4"/>
  <c r="K6" i="3"/>
  <c r="M6" i="4"/>
  <c r="M6" i="5"/>
  <c r="K7" i="4"/>
  <c r="N5" i="4"/>
  <c r="K7" i="5"/>
  <c r="AV9" i="22"/>
  <c r="H9" i="5" l="1"/>
  <c r="I9" i="5"/>
  <c r="J9" i="5" s="1"/>
  <c r="F11" i="4"/>
  <c r="F10" i="5"/>
  <c r="AL7" i="13"/>
  <c r="AN7" i="13" s="1"/>
  <c r="N6" i="5"/>
  <c r="A9" i="27"/>
  <c r="D9" i="27" s="1"/>
  <c r="AD10" i="13"/>
  <c r="AF7" i="13"/>
  <c r="AH7" i="13" s="1"/>
  <c r="A8" i="25"/>
  <c r="D8" i="25" s="1"/>
  <c r="X9" i="13"/>
  <c r="M7" i="5"/>
  <c r="Q9" i="22"/>
  <c r="S9" i="22" s="1"/>
  <c r="H9" i="3"/>
  <c r="I9" i="3"/>
  <c r="J9" i="3" s="1"/>
  <c r="M8" i="12"/>
  <c r="AF10" i="22"/>
  <c r="AH10" i="22" s="1"/>
  <c r="X9" i="12"/>
  <c r="I10" i="4"/>
  <c r="J10" i="4" s="1"/>
  <c r="H10" i="4"/>
  <c r="E11" i="5"/>
  <c r="G10" i="5"/>
  <c r="H10" i="5" s="1"/>
  <c r="AX9" i="22"/>
  <c r="AY9" i="22" s="1"/>
  <c r="AZ9" i="22" s="1"/>
  <c r="AI9" i="22"/>
  <c r="AJ9" i="22" s="1"/>
  <c r="AK9" i="22" s="1"/>
  <c r="T8" i="22"/>
  <c r="U8" i="22" s="1"/>
  <c r="V8" i="22" s="1"/>
  <c r="N6" i="4"/>
  <c r="E11" i="3"/>
  <c r="F11" i="3" s="1"/>
  <c r="G10" i="3"/>
  <c r="E12" i="4"/>
  <c r="G11" i="4"/>
  <c r="K7" i="3"/>
  <c r="M6" i="3"/>
  <c r="Z6" i="13"/>
  <c r="R9" i="22"/>
  <c r="M7" i="4"/>
  <c r="K8" i="4"/>
  <c r="AG10" i="22"/>
  <c r="K8" i="5"/>
  <c r="P6" i="5"/>
  <c r="O6" i="5"/>
  <c r="AV10" i="22"/>
  <c r="AX10" i="22" s="1"/>
  <c r="P5" i="5"/>
  <c r="O5" i="5"/>
  <c r="AJ10" i="13" l="1"/>
  <c r="N7" i="5"/>
  <c r="O7" i="5" s="1"/>
  <c r="A9" i="26"/>
  <c r="D9" i="26" s="1"/>
  <c r="P7" i="5"/>
  <c r="AU10" i="22"/>
  <c r="AW10" i="22" s="1"/>
  <c r="I10" i="5"/>
  <c r="AU11" i="22" s="1"/>
  <c r="AW11" i="22" s="1"/>
  <c r="F11" i="5"/>
  <c r="A10" i="26" s="1"/>
  <c r="D10" i="26" s="1"/>
  <c r="F12" i="4"/>
  <c r="AL8" i="13"/>
  <c r="AN8" i="13" s="1"/>
  <c r="AF8" i="13"/>
  <c r="AH8" i="13" s="1"/>
  <c r="A10" i="27"/>
  <c r="D10" i="27" s="1"/>
  <c r="AD11" i="13"/>
  <c r="A9" i="25"/>
  <c r="D9" i="25" s="1"/>
  <c r="X10" i="13"/>
  <c r="Q10" i="22"/>
  <c r="S10" i="22" s="1"/>
  <c r="M9" i="12"/>
  <c r="H10" i="3"/>
  <c r="I10" i="3"/>
  <c r="J10" i="3" s="1"/>
  <c r="I11" i="4"/>
  <c r="AF12" i="22" s="1"/>
  <c r="X10" i="12"/>
  <c r="H11" i="4"/>
  <c r="J10" i="5"/>
  <c r="AV11" i="22" s="1"/>
  <c r="AY10" i="22"/>
  <c r="AZ10" i="22" s="1"/>
  <c r="E12" i="5"/>
  <c r="G11" i="5"/>
  <c r="O5" i="4"/>
  <c r="AF11" i="22"/>
  <c r="N7" i="4"/>
  <c r="O7" i="4" s="1"/>
  <c r="AI10" i="22"/>
  <c r="AJ10" i="22" s="1"/>
  <c r="AK10" i="22" s="1"/>
  <c r="T9" i="22"/>
  <c r="U9" i="22" s="1"/>
  <c r="V9" i="22" s="1"/>
  <c r="K8" i="3"/>
  <c r="M8" i="4"/>
  <c r="N6" i="3"/>
  <c r="O6" i="3" s="1"/>
  <c r="Z7" i="13"/>
  <c r="M7" i="3"/>
  <c r="E12" i="3"/>
  <c r="F12" i="3" s="1"/>
  <c r="G11" i="3"/>
  <c r="P6" i="3"/>
  <c r="R10" i="22"/>
  <c r="T10" i="22" s="1"/>
  <c r="O5" i="3"/>
  <c r="P5" i="3"/>
  <c r="P7" i="3"/>
  <c r="E13" i="4"/>
  <c r="G12" i="4"/>
  <c r="K9" i="4"/>
  <c r="P7" i="4"/>
  <c r="AG11" i="22"/>
  <c r="P8" i="4"/>
  <c r="P5" i="4"/>
  <c r="P6" i="4"/>
  <c r="O6" i="4"/>
  <c r="M8" i="5"/>
  <c r="P8" i="5"/>
  <c r="K9" i="5"/>
  <c r="I11" i="5" l="1"/>
  <c r="J11" i="5" s="1"/>
  <c r="H11" i="5"/>
  <c r="AJ11" i="13"/>
  <c r="F13" i="4"/>
  <c r="F12" i="5"/>
  <c r="AL9" i="13"/>
  <c r="AN9" i="13" s="1"/>
  <c r="AF9" i="13"/>
  <c r="AH9" i="13" s="1"/>
  <c r="A11" i="27"/>
  <c r="D11" i="27" s="1"/>
  <c r="AD12" i="13"/>
  <c r="A10" i="25"/>
  <c r="D10" i="25" s="1"/>
  <c r="X11" i="13"/>
  <c r="M9" i="5"/>
  <c r="N8" i="5"/>
  <c r="O8" i="5" s="1"/>
  <c r="Q11" i="22"/>
  <c r="S11" i="22" s="1"/>
  <c r="I11" i="3"/>
  <c r="J11" i="3" s="1"/>
  <c r="H11" i="3"/>
  <c r="M10" i="12"/>
  <c r="J11" i="4"/>
  <c r="AG12" i="22" s="1"/>
  <c r="X11" i="12"/>
  <c r="I12" i="4"/>
  <c r="AF13" i="22" s="1"/>
  <c r="AH13" i="22" s="1"/>
  <c r="H12" i="4"/>
  <c r="AU12" i="22"/>
  <c r="AW12" i="22" s="1"/>
  <c r="A11" i="26"/>
  <c r="D11" i="26" s="1"/>
  <c r="E13" i="5"/>
  <c r="G12" i="5"/>
  <c r="H12" i="5" s="1"/>
  <c r="N8" i="4"/>
  <c r="O8" i="4" s="1"/>
  <c r="AX11" i="22"/>
  <c r="AY11" i="22" s="1"/>
  <c r="AZ11" i="22" s="1"/>
  <c r="AH12" i="22"/>
  <c r="AH11" i="22"/>
  <c r="AI11" i="22"/>
  <c r="U10" i="22"/>
  <c r="V10" i="22" s="1"/>
  <c r="N7" i="3"/>
  <c r="O7" i="3" s="1"/>
  <c r="R11" i="22"/>
  <c r="T11" i="22" s="1"/>
  <c r="P9" i="4"/>
  <c r="E14" i="4"/>
  <c r="G13" i="4"/>
  <c r="M8" i="3"/>
  <c r="Z8" i="13"/>
  <c r="P8" i="3"/>
  <c r="K9" i="3"/>
  <c r="E13" i="3"/>
  <c r="F13" i="3" s="1"/>
  <c r="G12" i="3"/>
  <c r="K10" i="4"/>
  <c r="M9" i="4"/>
  <c r="K10" i="5"/>
  <c r="P9" i="5"/>
  <c r="AV12" i="22"/>
  <c r="AJ12" i="13" l="1"/>
  <c r="I12" i="5"/>
  <c r="J12" i="5" s="1"/>
  <c r="AV13" i="22" s="1"/>
  <c r="F13" i="5"/>
  <c r="F14" i="4"/>
  <c r="AL10" i="13"/>
  <c r="AN10" i="13" s="1"/>
  <c r="Q12" i="22"/>
  <c r="S12" i="22" s="1"/>
  <c r="AF10" i="13"/>
  <c r="AH10" i="13" s="1"/>
  <c r="A12" i="27"/>
  <c r="D12" i="27" s="1"/>
  <c r="AD13" i="13"/>
  <c r="A11" i="25"/>
  <c r="D11" i="25" s="1"/>
  <c r="X12" i="13"/>
  <c r="M10" i="5"/>
  <c r="N9" i="5"/>
  <c r="O9" i="5" s="1"/>
  <c r="I12" i="3"/>
  <c r="J12" i="3" s="1"/>
  <c r="H12" i="3"/>
  <c r="M11" i="12"/>
  <c r="J12" i="4"/>
  <c r="AG13" i="22" s="1"/>
  <c r="AI13" i="22" s="1"/>
  <c r="AJ13" i="22" s="1"/>
  <c r="AK13" i="22" s="1"/>
  <c r="H13" i="4"/>
  <c r="X12" i="12"/>
  <c r="I13" i="4"/>
  <c r="J13" i="4" s="1"/>
  <c r="E14" i="5"/>
  <c r="G13" i="5"/>
  <c r="AX12" i="22"/>
  <c r="AY12" i="22" s="1"/>
  <c r="AZ12" i="22" s="1"/>
  <c r="AI12" i="22"/>
  <c r="AJ12" i="22" s="1"/>
  <c r="AK12" i="22" s="1"/>
  <c r="AJ11" i="22"/>
  <c r="AK11" i="22" s="1"/>
  <c r="U11" i="22"/>
  <c r="V11" i="22" s="1"/>
  <c r="K10" i="3"/>
  <c r="E15" i="4"/>
  <c r="G14" i="4"/>
  <c r="P9" i="3"/>
  <c r="Z9" i="13"/>
  <c r="M9" i="3"/>
  <c r="R12" i="22"/>
  <c r="E14" i="3"/>
  <c r="F14" i="3" s="1"/>
  <c r="G13" i="3"/>
  <c r="N8" i="3"/>
  <c r="O8" i="3" s="1"/>
  <c r="N10" i="5"/>
  <c r="O10" i="5" s="1"/>
  <c r="N9" i="4"/>
  <c r="O9" i="4" s="1"/>
  <c r="AF14" i="22"/>
  <c r="K11" i="4"/>
  <c r="P10" i="4"/>
  <c r="M10" i="4"/>
  <c r="P10" i="5"/>
  <c r="K11" i="5"/>
  <c r="I13" i="5" l="1"/>
  <c r="J13" i="5" s="1"/>
  <c r="AV14" i="22" s="1"/>
  <c r="AX14" i="22" s="1"/>
  <c r="H13" i="5"/>
  <c r="A12" i="26"/>
  <c r="D12" i="26" s="1"/>
  <c r="AJ13" i="13"/>
  <c r="AU13" i="22"/>
  <c r="AW13" i="22" s="1"/>
  <c r="F15" i="4"/>
  <c r="F14" i="5"/>
  <c r="AL11" i="13"/>
  <c r="AN11" i="13" s="1"/>
  <c r="AJ14" i="13"/>
  <c r="A13" i="27"/>
  <c r="AD14" i="13"/>
  <c r="AF11" i="13"/>
  <c r="AH11" i="13" s="1"/>
  <c r="A12" i="25"/>
  <c r="D12" i="25" s="1"/>
  <c r="X13" i="13"/>
  <c r="P11" i="5"/>
  <c r="D13" i="27"/>
  <c r="Q13" i="22"/>
  <c r="S13" i="22" s="1"/>
  <c r="H13" i="3"/>
  <c r="I13" i="3"/>
  <c r="Q14" i="22" s="1"/>
  <c r="M12" i="12"/>
  <c r="X13" i="12"/>
  <c r="H14" i="4"/>
  <c r="I14" i="4"/>
  <c r="J14" i="4" s="1"/>
  <c r="A13" i="26"/>
  <c r="D13" i="26" s="1"/>
  <c r="E15" i="5"/>
  <c r="G14" i="5"/>
  <c r="H14" i="5" s="1"/>
  <c r="AX13" i="22"/>
  <c r="AY13" i="22" s="1"/>
  <c r="AZ13" i="22" s="1"/>
  <c r="AH14" i="22"/>
  <c r="T12" i="22"/>
  <c r="U12" i="22" s="1"/>
  <c r="V12" i="22" s="1"/>
  <c r="Z10" i="13"/>
  <c r="N9" i="3"/>
  <c r="O9" i="3" s="1"/>
  <c r="P10" i="3"/>
  <c r="M10" i="3"/>
  <c r="N10" i="3" s="1"/>
  <c r="O10" i="3" s="1"/>
  <c r="E16" i="4"/>
  <c r="G15" i="4"/>
  <c r="K11" i="3"/>
  <c r="R13" i="22"/>
  <c r="T13" i="22" s="1"/>
  <c r="E15" i="3"/>
  <c r="F15" i="3" s="1"/>
  <c r="G14" i="3"/>
  <c r="K12" i="4"/>
  <c r="N10" i="4"/>
  <c r="O10" i="4" s="1"/>
  <c r="AG14" i="22"/>
  <c r="P11" i="4"/>
  <c r="M11" i="4"/>
  <c r="M11" i="5"/>
  <c r="K12" i="5"/>
  <c r="I14" i="5" l="1"/>
  <c r="AU15" i="22" s="1"/>
  <c r="AU14" i="22"/>
  <c r="AW14" i="22" s="1"/>
  <c r="AY14" i="22" s="1"/>
  <c r="AZ14" i="22" s="1"/>
  <c r="F15" i="5"/>
  <c r="F16" i="4"/>
  <c r="AL12" i="13"/>
  <c r="AN12" i="13" s="1"/>
  <c r="A14" i="27"/>
  <c r="D14" i="27" s="1"/>
  <c r="AD15" i="13"/>
  <c r="AF12" i="13"/>
  <c r="AH12" i="13" s="1"/>
  <c r="A13" i="25"/>
  <c r="D13" i="25" s="1"/>
  <c r="X14" i="13"/>
  <c r="P12" i="5"/>
  <c r="U13" i="22"/>
  <c r="V13" i="22" s="1"/>
  <c r="J13" i="3"/>
  <c r="R14" i="22" s="1"/>
  <c r="T14" i="22" s="1"/>
  <c r="M13" i="12"/>
  <c r="I14" i="3"/>
  <c r="J14" i="3" s="1"/>
  <c r="H14" i="3"/>
  <c r="AF15" i="22"/>
  <c r="AH15" i="22" s="1"/>
  <c r="I15" i="4"/>
  <c r="AF16" i="22" s="1"/>
  <c r="X14" i="12"/>
  <c r="H15" i="4"/>
  <c r="J14" i="5"/>
  <c r="AV15" i="22" s="1"/>
  <c r="AX15" i="22" s="1"/>
  <c r="A14" i="26"/>
  <c r="D14" i="26" s="1"/>
  <c r="E16" i="5"/>
  <c r="G15" i="5"/>
  <c r="AW15" i="22"/>
  <c r="AI14" i="22"/>
  <c r="AJ14" i="22" s="1"/>
  <c r="AK14" i="22" s="1"/>
  <c r="S14" i="22"/>
  <c r="K12" i="3"/>
  <c r="P12" i="3" s="1"/>
  <c r="P11" i="3"/>
  <c r="Z11" i="13"/>
  <c r="M11" i="3"/>
  <c r="E17" i="4"/>
  <c r="G16" i="4"/>
  <c r="E16" i="3"/>
  <c r="F16" i="3" s="1"/>
  <c r="G15" i="3"/>
  <c r="M12" i="5"/>
  <c r="M12" i="4"/>
  <c r="P12" i="4"/>
  <c r="K13" i="4"/>
  <c r="AG15" i="22"/>
  <c r="N11" i="4"/>
  <c r="O11" i="4" s="1"/>
  <c r="N11" i="5"/>
  <c r="O11" i="5" s="1"/>
  <c r="K13" i="5"/>
  <c r="H15" i="5" l="1"/>
  <c r="I15" i="5"/>
  <c r="AU16" i="22" s="1"/>
  <c r="AW16" i="22" s="1"/>
  <c r="AJ15" i="13"/>
  <c r="F17" i="4"/>
  <c r="F16" i="5"/>
  <c r="AJ16" i="13"/>
  <c r="AL13" i="13"/>
  <c r="AN13" i="13" s="1"/>
  <c r="AF13" i="13"/>
  <c r="AH13" i="13" s="1"/>
  <c r="A15" i="27"/>
  <c r="D15" i="27" s="1"/>
  <c r="AD16" i="13"/>
  <c r="A14" i="25"/>
  <c r="D14" i="25" s="1"/>
  <c r="X15" i="13"/>
  <c r="Q15" i="22"/>
  <c r="S15" i="22" s="1"/>
  <c r="M14" i="12"/>
  <c r="I15" i="3"/>
  <c r="J15" i="3" s="1"/>
  <c r="H15" i="3"/>
  <c r="J15" i="4"/>
  <c r="AG16" i="22" s="1"/>
  <c r="AI16" i="22" s="1"/>
  <c r="X15" i="12"/>
  <c r="I16" i="4"/>
  <c r="AF17" i="22" s="1"/>
  <c r="AH17" i="22" s="1"/>
  <c r="H16" i="4"/>
  <c r="AY15" i="22"/>
  <c r="AZ15" i="22" s="1"/>
  <c r="J15" i="5"/>
  <c r="AV16" i="22" s="1"/>
  <c r="AX16" i="22" s="1"/>
  <c r="AY16" i="22" s="1"/>
  <c r="AZ16" i="22" s="1"/>
  <c r="I16" i="5"/>
  <c r="J16" i="5" s="1"/>
  <c r="U14" i="22"/>
  <c r="V14" i="22" s="1"/>
  <c r="E17" i="5"/>
  <c r="G16" i="5"/>
  <c r="AI15" i="22"/>
  <c r="AJ15" i="22" s="1"/>
  <c r="AK15" i="22" s="1"/>
  <c r="AH16" i="22"/>
  <c r="N12" i="4"/>
  <c r="O12" i="4" s="1"/>
  <c r="Z12" i="13"/>
  <c r="M12" i="3"/>
  <c r="N11" i="3"/>
  <c r="O11" i="3" s="1"/>
  <c r="R15" i="22"/>
  <c r="E18" i="4"/>
  <c r="G17" i="4"/>
  <c r="K13" i="3"/>
  <c r="E17" i="3"/>
  <c r="F17" i="3" s="1"/>
  <c r="G16" i="3"/>
  <c r="N12" i="5"/>
  <c r="O12" i="5" s="1"/>
  <c r="K14" i="4"/>
  <c r="M13" i="4"/>
  <c r="P13" i="4"/>
  <c r="P13" i="5"/>
  <c r="K14" i="5"/>
  <c r="M13" i="5"/>
  <c r="H16" i="5" l="1"/>
  <c r="A15" i="26"/>
  <c r="D15" i="26" s="1"/>
  <c r="F17" i="5"/>
  <c r="AJ17" i="13" s="1"/>
  <c r="F18" i="4"/>
  <c r="AL14" i="13"/>
  <c r="AN14" i="13" s="1"/>
  <c r="AF14" i="13"/>
  <c r="AH14" i="13" s="1"/>
  <c r="A16" i="27"/>
  <c r="D16" i="27" s="1"/>
  <c r="AD17" i="13"/>
  <c r="A15" i="25"/>
  <c r="D15" i="25" s="1"/>
  <c r="X16" i="13"/>
  <c r="N13" i="5"/>
  <c r="O13" i="5" s="1"/>
  <c r="Q16" i="22"/>
  <c r="S16" i="22" s="1"/>
  <c r="I16" i="3"/>
  <c r="J16" i="3" s="1"/>
  <c r="H16" i="3"/>
  <c r="M15" i="12"/>
  <c r="J16" i="4"/>
  <c r="AG17" i="22" s="1"/>
  <c r="H17" i="4"/>
  <c r="I17" i="4"/>
  <c r="AF18" i="22" s="1"/>
  <c r="X16" i="12"/>
  <c r="AU17" i="22"/>
  <c r="AW17" i="22" s="1"/>
  <c r="E18" i="5"/>
  <c r="G17" i="5"/>
  <c r="AJ16" i="22"/>
  <c r="AK16" i="22" s="1"/>
  <c r="T15" i="22"/>
  <c r="U15" i="22" s="1"/>
  <c r="V15" i="22" s="1"/>
  <c r="N12" i="3"/>
  <c r="O12" i="3" s="1"/>
  <c r="R16" i="22"/>
  <c r="M13" i="3"/>
  <c r="Z13" i="13"/>
  <c r="P13" i="3"/>
  <c r="E18" i="3"/>
  <c r="F18" i="3" s="1"/>
  <c r="G17" i="3"/>
  <c r="E19" i="4"/>
  <c r="G18" i="4"/>
  <c r="K14" i="3"/>
  <c r="P14" i="5"/>
  <c r="M14" i="5"/>
  <c r="N14" i="5" s="1"/>
  <c r="O14" i="5" s="1"/>
  <c r="N13" i="4"/>
  <c r="O13" i="4" s="1"/>
  <c r="K15" i="4"/>
  <c r="M14" i="4"/>
  <c r="P14" i="4"/>
  <c r="K15" i="5"/>
  <c r="AV17" i="22"/>
  <c r="AX17" i="22" s="1"/>
  <c r="A16" i="26" l="1"/>
  <c r="D16" i="26" s="1"/>
  <c r="I17" i="5"/>
  <c r="AU18" i="22" s="1"/>
  <c r="H17" i="5"/>
  <c r="F19" i="4"/>
  <c r="F18" i="5"/>
  <c r="AL15" i="13"/>
  <c r="AN15" i="13" s="1"/>
  <c r="A17" i="27"/>
  <c r="AD18" i="13"/>
  <c r="AF15" i="13"/>
  <c r="AH15" i="13" s="1"/>
  <c r="A16" i="25"/>
  <c r="D16" i="25" s="1"/>
  <c r="X17" i="13"/>
  <c r="D17" i="27"/>
  <c r="Q17" i="22"/>
  <c r="S17" i="22" s="1"/>
  <c r="H17" i="3"/>
  <c r="M16" i="12"/>
  <c r="I17" i="3"/>
  <c r="J17" i="3" s="1"/>
  <c r="J17" i="4"/>
  <c r="AG18" i="22" s="1"/>
  <c r="AI18" i="22" s="1"/>
  <c r="X17" i="12"/>
  <c r="H18" i="4"/>
  <c r="I18" i="4"/>
  <c r="J18" i="4" s="1"/>
  <c r="AY17" i="22"/>
  <c r="AZ17" i="22" s="1"/>
  <c r="AW18" i="22"/>
  <c r="E19" i="5"/>
  <c r="G18" i="5"/>
  <c r="AI17" i="22"/>
  <c r="AJ17" i="22" s="1"/>
  <c r="AK17" i="22" s="1"/>
  <c r="AH18" i="22"/>
  <c r="T16" i="22"/>
  <c r="U16" i="22" s="1"/>
  <c r="V16" i="22" s="1"/>
  <c r="N13" i="3"/>
  <c r="O13" i="3" s="1"/>
  <c r="R17" i="22"/>
  <c r="E20" i="4"/>
  <c r="G19" i="4"/>
  <c r="E19" i="3"/>
  <c r="F19" i="3" s="1"/>
  <c r="G18" i="3"/>
  <c r="K15" i="3"/>
  <c r="Z14" i="13"/>
  <c r="P14" i="3"/>
  <c r="M14" i="3"/>
  <c r="K16" i="4"/>
  <c r="M15" i="4"/>
  <c r="P15" i="4"/>
  <c r="N14" i="4"/>
  <c r="O14" i="4" s="1"/>
  <c r="P15" i="5"/>
  <c r="M15" i="5"/>
  <c r="K16" i="5"/>
  <c r="A17" i="26" l="1"/>
  <c r="J17" i="5"/>
  <c r="AV18" i="22" s="1"/>
  <c r="I18" i="5"/>
  <c r="J18" i="5" s="1"/>
  <c r="AV19" i="22" s="1"/>
  <c r="AX19" i="22" s="1"/>
  <c r="AJ18" i="13"/>
  <c r="H18" i="5"/>
  <c r="F19" i="5"/>
  <c r="F20" i="4"/>
  <c r="N15" i="5"/>
  <c r="O15" i="5" s="1"/>
  <c r="AL16" i="13"/>
  <c r="AN16" i="13" s="1"/>
  <c r="AJ19" i="13"/>
  <c r="A18" i="27"/>
  <c r="D18" i="27" s="1"/>
  <c r="AD19" i="13"/>
  <c r="AF16" i="13"/>
  <c r="AH16" i="13" s="1"/>
  <c r="A17" i="25"/>
  <c r="D17" i="25" s="1"/>
  <c r="X18" i="13"/>
  <c r="D17" i="26"/>
  <c r="M16" i="5"/>
  <c r="Q18" i="22"/>
  <c r="S18" i="22" s="1"/>
  <c r="M17" i="12"/>
  <c r="H18" i="3"/>
  <c r="I18" i="3"/>
  <c r="J18" i="3" s="1"/>
  <c r="AF19" i="22"/>
  <c r="AH19" i="22" s="1"/>
  <c r="I19" i="4"/>
  <c r="AF20" i="22" s="1"/>
  <c r="X18" i="12"/>
  <c r="H19" i="4"/>
  <c r="A18" i="26"/>
  <c r="E20" i="5"/>
  <c r="G19" i="5"/>
  <c r="H19" i="5" s="1"/>
  <c r="AX18" i="22"/>
  <c r="AY18" i="22" s="1"/>
  <c r="AZ18" i="22" s="1"/>
  <c r="AJ18" i="22"/>
  <c r="AK18" i="22" s="1"/>
  <c r="T17" i="22"/>
  <c r="U17" i="22" s="1"/>
  <c r="V17" i="22" s="1"/>
  <c r="R18" i="22"/>
  <c r="N14" i="3"/>
  <c r="O14" i="3" s="1"/>
  <c r="E21" i="4"/>
  <c r="G20" i="4"/>
  <c r="Z15" i="13"/>
  <c r="P15" i="3"/>
  <c r="M15" i="3"/>
  <c r="E20" i="3"/>
  <c r="F20" i="3" s="1"/>
  <c r="G19" i="3"/>
  <c r="K16" i="3"/>
  <c r="N15" i="4"/>
  <c r="O15" i="4" s="1"/>
  <c r="P16" i="4"/>
  <c r="M16" i="4"/>
  <c r="AG19" i="22"/>
  <c r="AI19" i="22" s="1"/>
  <c r="K17" i="4"/>
  <c r="P16" i="5"/>
  <c r="K17" i="5"/>
  <c r="AU19" i="22" l="1"/>
  <c r="AW19" i="22" s="1"/>
  <c r="I19" i="5"/>
  <c r="J19" i="5" s="1"/>
  <c r="N16" i="5"/>
  <c r="O16" i="5" s="1"/>
  <c r="F21" i="4"/>
  <c r="F20" i="5"/>
  <c r="AL17" i="13"/>
  <c r="AN17" i="13" s="1"/>
  <c r="A19" i="27"/>
  <c r="D19" i="27" s="1"/>
  <c r="AD20" i="13"/>
  <c r="AF17" i="13"/>
  <c r="AH17" i="13" s="1"/>
  <c r="A18" i="25"/>
  <c r="D18" i="25" s="1"/>
  <c r="X19" i="13"/>
  <c r="D18" i="26"/>
  <c r="AJ19" i="22"/>
  <c r="AK19" i="22" s="1"/>
  <c r="AH20" i="22"/>
  <c r="I19" i="3"/>
  <c r="J19" i="3" s="1"/>
  <c r="H19" i="3"/>
  <c r="M18" i="12"/>
  <c r="Q19" i="22"/>
  <c r="S19" i="22" s="1"/>
  <c r="J19" i="4"/>
  <c r="AG20" i="22" s="1"/>
  <c r="AI20" i="22" s="1"/>
  <c r="X19" i="12"/>
  <c r="I20" i="4"/>
  <c r="AF21" i="22" s="1"/>
  <c r="H20" i="4"/>
  <c r="AY19" i="22"/>
  <c r="AZ19" i="22" s="1"/>
  <c r="AU20" i="22"/>
  <c r="AW20" i="22" s="1"/>
  <c r="E21" i="5"/>
  <c r="G20" i="5"/>
  <c r="N16" i="4"/>
  <c r="O16" i="4" s="1"/>
  <c r="T18" i="22"/>
  <c r="U18" i="22" s="1"/>
  <c r="V18" i="22" s="1"/>
  <c r="K17" i="3"/>
  <c r="N15" i="3"/>
  <c r="O15" i="3" s="1"/>
  <c r="E22" i="4"/>
  <c r="G21" i="4"/>
  <c r="P16" i="3"/>
  <c r="Z16" i="13"/>
  <c r="M16" i="3"/>
  <c r="E21" i="3"/>
  <c r="F21" i="3" s="1"/>
  <c r="G20" i="3"/>
  <c r="R19" i="22"/>
  <c r="T19" i="22" s="1"/>
  <c r="K18" i="4"/>
  <c r="M17" i="4"/>
  <c r="P17" i="4"/>
  <c r="M17" i="5"/>
  <c r="P17" i="5"/>
  <c r="K18" i="5"/>
  <c r="AV20" i="22"/>
  <c r="AX20" i="22" s="1"/>
  <c r="A19" i="26" l="1"/>
  <c r="I20" i="5"/>
  <c r="J20" i="5" s="1"/>
  <c r="AV21" i="22" s="1"/>
  <c r="H20" i="5"/>
  <c r="F21" i="5"/>
  <c r="F22" i="4"/>
  <c r="AJ20" i="13"/>
  <c r="N17" i="5"/>
  <c r="O17" i="5" s="1"/>
  <c r="AL18" i="13"/>
  <c r="AN18" i="13" s="1"/>
  <c r="A20" i="27"/>
  <c r="D20" i="27" s="1"/>
  <c r="AD21" i="13"/>
  <c r="AF18" i="13"/>
  <c r="AH18" i="13" s="1"/>
  <c r="A19" i="25"/>
  <c r="D19" i="25" s="1"/>
  <c r="X20" i="13"/>
  <c r="D19" i="26"/>
  <c r="Q20" i="22"/>
  <c r="S20" i="22" s="1"/>
  <c r="AJ20" i="22"/>
  <c r="AK20" i="22" s="1"/>
  <c r="I20" i="3"/>
  <c r="J20" i="3" s="1"/>
  <c r="M19" i="12"/>
  <c r="H20" i="3"/>
  <c r="J20" i="4"/>
  <c r="AG21" i="22" s="1"/>
  <c r="H21" i="4"/>
  <c r="X20" i="12"/>
  <c r="I21" i="4"/>
  <c r="J21" i="4" s="1"/>
  <c r="AY20" i="22"/>
  <c r="AZ20" i="22" s="1"/>
  <c r="A20" i="26"/>
  <c r="AU21" i="22"/>
  <c r="AW21" i="22" s="1"/>
  <c r="E22" i="5"/>
  <c r="G21" i="5"/>
  <c r="U19" i="22"/>
  <c r="V19" i="22" s="1"/>
  <c r="AH21" i="22"/>
  <c r="P17" i="3"/>
  <c r="Z17" i="13"/>
  <c r="M17" i="3"/>
  <c r="N17" i="3" s="1"/>
  <c r="O17" i="3" s="1"/>
  <c r="E23" i="4"/>
  <c r="G22" i="4"/>
  <c r="K18" i="3"/>
  <c r="E22" i="3"/>
  <c r="F22" i="3" s="1"/>
  <c r="G21" i="3"/>
  <c r="R20" i="22"/>
  <c r="N16" i="3"/>
  <c r="O16" i="3" s="1"/>
  <c r="P18" i="5"/>
  <c r="M18" i="5"/>
  <c r="N18" i="5" s="1"/>
  <c r="O18" i="5" s="1"/>
  <c r="K19" i="4"/>
  <c r="M18" i="4"/>
  <c r="P18" i="4"/>
  <c r="N17" i="4"/>
  <c r="O17" i="4" s="1"/>
  <c r="K19" i="5"/>
  <c r="H21" i="5" l="1"/>
  <c r="AJ21" i="13"/>
  <c r="I21" i="5"/>
  <c r="J21" i="5" s="1"/>
  <c r="F23" i="4"/>
  <c r="F22" i="5"/>
  <c r="AL19" i="13"/>
  <c r="AN19" i="13" s="1"/>
  <c r="A21" i="27"/>
  <c r="D21" i="27" s="1"/>
  <c r="AD22" i="13"/>
  <c r="AF19" i="13"/>
  <c r="AH19" i="13" s="1"/>
  <c r="A20" i="25"/>
  <c r="D20" i="25" s="1"/>
  <c r="X21" i="13"/>
  <c r="D20" i="26"/>
  <c r="M19" i="5"/>
  <c r="Q21" i="22"/>
  <c r="S21" i="22" s="1"/>
  <c r="AF22" i="22"/>
  <c r="AH22" i="22" s="1"/>
  <c r="H21" i="3"/>
  <c r="I21" i="3"/>
  <c r="J21" i="3" s="1"/>
  <c r="M20" i="12"/>
  <c r="X21" i="12"/>
  <c r="I22" i="4"/>
  <c r="J22" i="4" s="1"/>
  <c r="H22" i="4"/>
  <c r="AU22" i="22"/>
  <c r="AW22" i="22" s="1"/>
  <c r="E23" i="5"/>
  <c r="G22" i="5"/>
  <c r="H22" i="5" s="1"/>
  <c r="AX21" i="22"/>
  <c r="AY21" i="22" s="1"/>
  <c r="AZ21" i="22" s="1"/>
  <c r="AI21" i="22"/>
  <c r="AJ21" i="22" s="1"/>
  <c r="AK21" i="22" s="1"/>
  <c r="T20" i="22"/>
  <c r="U20" i="22" s="1"/>
  <c r="V20" i="22" s="1"/>
  <c r="K19" i="3"/>
  <c r="P19" i="3" s="1"/>
  <c r="M19" i="4"/>
  <c r="Z18" i="13"/>
  <c r="M18" i="3"/>
  <c r="P18" i="3"/>
  <c r="R21" i="22"/>
  <c r="T21" i="22" s="1"/>
  <c r="E23" i="3"/>
  <c r="F23" i="3" s="1"/>
  <c r="G22" i="3"/>
  <c r="E24" i="4"/>
  <c r="G23" i="4"/>
  <c r="P19" i="5"/>
  <c r="N18" i="4"/>
  <c r="O18" i="4" s="1"/>
  <c r="P19" i="4"/>
  <c r="K20" i="4"/>
  <c r="AG22" i="22"/>
  <c r="AI22" i="22" s="1"/>
  <c r="K20" i="5"/>
  <c r="AV22" i="22"/>
  <c r="AX22" i="22" s="1"/>
  <c r="AJ22" i="13" l="1"/>
  <c r="A21" i="26"/>
  <c r="D21" i="26" s="1"/>
  <c r="N19" i="5"/>
  <c r="O19" i="5" s="1"/>
  <c r="I22" i="5"/>
  <c r="J22" i="5" s="1"/>
  <c r="F23" i="5"/>
  <c r="I23" i="5" s="1"/>
  <c r="AU24" i="22" s="1"/>
  <c r="F24" i="4"/>
  <c r="AL20" i="13"/>
  <c r="AN20" i="13" s="1"/>
  <c r="AF20" i="13"/>
  <c r="AH20" i="13" s="1"/>
  <c r="A22" i="27"/>
  <c r="D22" i="27" s="1"/>
  <c r="AD23" i="13"/>
  <c r="U21" i="22"/>
  <c r="V21" i="22" s="1"/>
  <c r="A21" i="25"/>
  <c r="D21" i="25" s="1"/>
  <c r="X22" i="13"/>
  <c r="M20" i="5"/>
  <c r="AJ22" i="22"/>
  <c r="AK22" i="22" s="1"/>
  <c r="Q22" i="22"/>
  <c r="S22" i="22" s="1"/>
  <c r="M21" i="12"/>
  <c r="I22" i="3"/>
  <c r="J22" i="3" s="1"/>
  <c r="H22" i="3"/>
  <c r="AF23" i="22"/>
  <c r="AH23" i="22" s="1"/>
  <c r="I23" i="4"/>
  <c r="AF24" i="22" s="1"/>
  <c r="H23" i="4"/>
  <c r="X22" i="12"/>
  <c r="AU23" i="22"/>
  <c r="AW23" i="22" s="1"/>
  <c r="A22" i="26"/>
  <c r="E24" i="5"/>
  <c r="G23" i="5"/>
  <c r="AY22" i="22"/>
  <c r="AZ22" i="22" s="1"/>
  <c r="N19" i="4"/>
  <c r="O19" i="4" s="1"/>
  <c r="Z19" i="13"/>
  <c r="M19" i="3"/>
  <c r="N18" i="3"/>
  <c r="O18" i="3" s="1"/>
  <c r="E25" i="4"/>
  <c r="G24" i="4"/>
  <c r="E24" i="3"/>
  <c r="F24" i="3" s="1"/>
  <c r="G23" i="3"/>
  <c r="K20" i="3"/>
  <c r="R22" i="22"/>
  <c r="AG23" i="22"/>
  <c r="K21" i="4"/>
  <c r="P20" i="4"/>
  <c r="M20" i="4"/>
  <c r="K21" i="5"/>
  <c r="P20" i="5"/>
  <c r="AV23" i="22"/>
  <c r="AX23" i="22" s="1"/>
  <c r="AJ23" i="13" l="1"/>
  <c r="H23" i="5"/>
  <c r="F25" i="4"/>
  <c r="F24" i="5"/>
  <c r="AL21" i="13"/>
  <c r="AN21" i="13" s="1"/>
  <c r="AF21" i="13"/>
  <c r="AH21" i="13" s="1"/>
  <c r="A23" i="27"/>
  <c r="D23" i="27" s="1"/>
  <c r="AD24" i="13"/>
  <c r="A22" i="25"/>
  <c r="D22" i="25" s="1"/>
  <c r="X23" i="13"/>
  <c r="N20" i="5"/>
  <c r="O20" i="5" s="1"/>
  <c r="Q23" i="22"/>
  <c r="S23" i="22" s="1"/>
  <c r="D22" i="26"/>
  <c r="AH24" i="22"/>
  <c r="H23" i="3"/>
  <c r="M22" i="12"/>
  <c r="I23" i="3"/>
  <c r="J23" i="3" s="1"/>
  <c r="J23" i="4"/>
  <c r="AG24" i="22" s="1"/>
  <c r="X23" i="12"/>
  <c r="I24" i="4"/>
  <c r="AF25" i="22" s="1"/>
  <c r="H24" i="4"/>
  <c r="AY23" i="22"/>
  <c r="AZ23" i="22" s="1"/>
  <c r="J23" i="5"/>
  <c r="AV24" i="22" s="1"/>
  <c r="AX24" i="22" s="1"/>
  <c r="E25" i="5"/>
  <c r="G24" i="5"/>
  <c r="AW24" i="22"/>
  <c r="AI23" i="22"/>
  <c r="AJ23" i="22" s="1"/>
  <c r="AK23" i="22" s="1"/>
  <c r="T22" i="22"/>
  <c r="U22" i="22" s="1"/>
  <c r="V22" i="22" s="1"/>
  <c r="N19" i="3"/>
  <c r="O19" i="3" s="1"/>
  <c r="M20" i="3"/>
  <c r="Z20" i="13"/>
  <c r="P20" i="3"/>
  <c r="E25" i="3"/>
  <c r="F25" i="3" s="1"/>
  <c r="G24" i="3"/>
  <c r="K21" i="3"/>
  <c r="R23" i="22"/>
  <c r="E26" i="4"/>
  <c r="G25" i="4"/>
  <c r="M21" i="5"/>
  <c r="N20" i="4"/>
  <c r="O20" i="4" s="1"/>
  <c r="M21" i="4"/>
  <c r="P21" i="4"/>
  <c r="K22" i="4"/>
  <c r="P21" i="5"/>
  <c r="K22" i="5"/>
  <c r="F25" i="5" l="1"/>
  <c r="F26" i="4"/>
  <c r="N21" i="5"/>
  <c r="O21" i="5" s="1"/>
  <c r="AL22" i="13"/>
  <c r="AN22" i="13" s="1"/>
  <c r="AJ24" i="13"/>
  <c r="A24" i="27"/>
  <c r="D24" i="27" s="1"/>
  <c r="AD25" i="13"/>
  <c r="AF22" i="13"/>
  <c r="AH22" i="13" s="1"/>
  <c r="A23" i="25"/>
  <c r="D23" i="25" s="1"/>
  <c r="X24" i="13"/>
  <c r="M22" i="5"/>
  <c r="I24" i="3"/>
  <c r="J24" i="3" s="1"/>
  <c r="H24" i="3"/>
  <c r="M23" i="12"/>
  <c r="Q24" i="22"/>
  <c r="S24" i="22" s="1"/>
  <c r="J24" i="4"/>
  <c r="AG25" i="22" s="1"/>
  <c r="H25" i="4"/>
  <c r="X24" i="12"/>
  <c r="I25" i="4"/>
  <c r="J25" i="4" s="1"/>
  <c r="I25" i="5"/>
  <c r="J25" i="5" s="1"/>
  <c r="A23" i="26"/>
  <c r="H24" i="5"/>
  <c r="I24" i="5"/>
  <c r="AU25" i="22" s="1"/>
  <c r="AW25" i="22" s="1"/>
  <c r="E26" i="5"/>
  <c r="G25" i="5"/>
  <c r="AY24" i="22"/>
  <c r="AZ24" i="22" s="1"/>
  <c r="AH25" i="22"/>
  <c r="AI24" i="22"/>
  <c r="AJ24" i="22" s="1"/>
  <c r="AK24" i="22" s="1"/>
  <c r="T23" i="22"/>
  <c r="U23" i="22" s="1"/>
  <c r="V23" i="22" s="1"/>
  <c r="N20" i="3"/>
  <c r="O20" i="3" s="1"/>
  <c r="R24" i="22"/>
  <c r="T24" i="22" s="1"/>
  <c r="E27" i="4"/>
  <c r="F27" i="4" s="1"/>
  <c r="G26" i="4"/>
  <c r="K22" i="3"/>
  <c r="Z21" i="13"/>
  <c r="P21" i="3"/>
  <c r="M21" i="3"/>
  <c r="E26" i="3"/>
  <c r="F26" i="3" s="1"/>
  <c r="G25" i="3"/>
  <c r="P22" i="5"/>
  <c r="N21" i="4"/>
  <c r="O21" i="4" s="1"/>
  <c r="K23" i="4"/>
  <c r="M22" i="4"/>
  <c r="P22" i="4"/>
  <c r="K23" i="5"/>
  <c r="N22" i="5" l="1"/>
  <c r="O22" i="5" s="1"/>
  <c r="A24" i="26"/>
  <c r="H25" i="5"/>
  <c r="F26" i="5"/>
  <c r="AL23" i="13"/>
  <c r="AN23" i="13" s="1"/>
  <c r="AJ25" i="13"/>
  <c r="AF23" i="13"/>
  <c r="AH23" i="13" s="1"/>
  <c r="A25" i="27"/>
  <c r="D25" i="27" s="1"/>
  <c r="AD26" i="13"/>
  <c r="A24" i="25"/>
  <c r="D24" i="25" s="1"/>
  <c r="X25" i="13"/>
  <c r="D24" i="26"/>
  <c r="P23" i="5"/>
  <c r="D23" i="26"/>
  <c r="Q25" i="22"/>
  <c r="S25" i="22" s="1"/>
  <c r="AF26" i="22"/>
  <c r="AH26" i="22" s="1"/>
  <c r="H25" i="3"/>
  <c r="I25" i="3"/>
  <c r="J25" i="3" s="1"/>
  <c r="M24" i="12"/>
  <c r="X25" i="12"/>
  <c r="I26" i="4"/>
  <c r="AF27" i="22" s="1"/>
  <c r="H26" i="4"/>
  <c r="A25" i="26"/>
  <c r="AU26" i="22"/>
  <c r="AW26" i="22" s="1"/>
  <c r="J24" i="5"/>
  <c r="AV25" i="22" s="1"/>
  <c r="AX25" i="22" s="1"/>
  <c r="AY25" i="22" s="1"/>
  <c r="AZ25" i="22" s="1"/>
  <c r="E27" i="5"/>
  <c r="G26" i="5"/>
  <c r="AI25" i="22"/>
  <c r="AJ25" i="22" s="1"/>
  <c r="AK25" i="22" s="1"/>
  <c r="U24" i="22"/>
  <c r="V24" i="22" s="1"/>
  <c r="R25" i="22"/>
  <c r="T25" i="22" s="1"/>
  <c r="E27" i="3"/>
  <c r="F27" i="3" s="1"/>
  <c r="G26" i="3"/>
  <c r="E28" i="4"/>
  <c r="F28" i="4" s="1"/>
  <c r="G27" i="4"/>
  <c r="M23" i="4"/>
  <c r="N21" i="3"/>
  <c r="O21" i="3" s="1"/>
  <c r="M22" i="3"/>
  <c r="Z22" i="13"/>
  <c r="P22" i="3"/>
  <c r="K23" i="3"/>
  <c r="M23" i="5"/>
  <c r="P23" i="4"/>
  <c r="N22" i="4"/>
  <c r="O22" i="4" s="1"/>
  <c r="K24" i="4"/>
  <c r="AG26" i="22"/>
  <c r="AI26" i="22" s="1"/>
  <c r="AV26" i="22"/>
  <c r="I26" i="5" l="1"/>
  <c r="AU27" i="22" s="1"/>
  <c r="AJ26" i="13"/>
  <c r="H26" i="5"/>
  <c r="F27" i="5"/>
  <c r="AF24" i="13"/>
  <c r="AH24" i="13" s="1"/>
  <c r="A26" i="27"/>
  <c r="D26" i="27" s="1"/>
  <c r="AD27" i="13"/>
  <c r="Q26" i="22"/>
  <c r="S26" i="22" s="1"/>
  <c r="A25" i="25"/>
  <c r="D25" i="25" s="1"/>
  <c r="X26" i="13"/>
  <c r="D25" i="26"/>
  <c r="AH27" i="22"/>
  <c r="I26" i="3"/>
  <c r="J26" i="3" s="1"/>
  <c r="H26" i="3"/>
  <c r="M25" i="12"/>
  <c r="J26" i="4"/>
  <c r="AG27" i="22" s="1"/>
  <c r="AI27" i="22" s="1"/>
  <c r="I27" i="4"/>
  <c r="AF28" i="22" s="1"/>
  <c r="X26" i="12"/>
  <c r="H27" i="4"/>
  <c r="AX26" i="22"/>
  <c r="AY26" i="22" s="1"/>
  <c r="AZ26" i="22" s="1"/>
  <c r="AW27" i="22"/>
  <c r="A26" i="26"/>
  <c r="I27" i="5"/>
  <c r="AU28" i="22" s="1"/>
  <c r="K24" i="5"/>
  <c r="E28" i="5"/>
  <c r="G27" i="5"/>
  <c r="H27" i="5" s="1"/>
  <c r="AJ26" i="22"/>
  <c r="AK26" i="22" s="1"/>
  <c r="N23" i="4"/>
  <c r="O23" i="4" s="1"/>
  <c r="U25" i="22"/>
  <c r="V25" i="22" s="1"/>
  <c r="P23" i="3"/>
  <c r="Z23" i="13"/>
  <c r="M23" i="3"/>
  <c r="E28" i="3"/>
  <c r="F28" i="3" s="1"/>
  <c r="G27" i="3"/>
  <c r="N22" i="3"/>
  <c r="O22" i="3" s="1"/>
  <c r="E29" i="4"/>
  <c r="F29" i="4" s="1"/>
  <c r="G28" i="4"/>
  <c r="K24" i="3"/>
  <c r="R26" i="22"/>
  <c r="T26" i="22" s="1"/>
  <c r="N23" i="5"/>
  <c r="O23" i="5" s="1"/>
  <c r="K25" i="4"/>
  <c r="M24" i="4"/>
  <c r="P24" i="4"/>
  <c r="K25" i="5"/>
  <c r="J27" i="5" l="1"/>
  <c r="J26" i="5"/>
  <c r="AV27" i="22" s="1"/>
  <c r="AX27" i="22" s="1"/>
  <c r="F28" i="5"/>
  <c r="AJ27" i="13"/>
  <c r="AL25" i="13"/>
  <c r="AN25" i="13" s="1"/>
  <c r="AL24" i="13"/>
  <c r="AN24" i="13" s="1"/>
  <c r="A27" i="27"/>
  <c r="AD28" i="13"/>
  <c r="AF25" i="13"/>
  <c r="AH25" i="13" s="1"/>
  <c r="A26" i="25"/>
  <c r="D26" i="25" s="1"/>
  <c r="X27" i="13"/>
  <c r="U26" i="22"/>
  <c r="V26" i="22" s="1"/>
  <c r="D26" i="26"/>
  <c r="D27" i="27"/>
  <c r="Q27" i="22"/>
  <c r="S27" i="22" s="1"/>
  <c r="AJ27" i="22"/>
  <c r="AK27" i="22" s="1"/>
  <c r="AY27" i="22"/>
  <c r="AZ27" i="22" s="1"/>
  <c r="I27" i="3"/>
  <c r="J27" i="3" s="1"/>
  <c r="H27" i="3"/>
  <c r="M26" i="12"/>
  <c r="J27" i="4"/>
  <c r="AG28" i="22" s="1"/>
  <c r="AI28" i="22" s="1"/>
  <c r="X27" i="12"/>
  <c r="I28" i="4"/>
  <c r="AF29" i="22" s="1"/>
  <c r="H28" i="4"/>
  <c r="P24" i="5"/>
  <c r="M24" i="5"/>
  <c r="A27" i="26"/>
  <c r="E29" i="5"/>
  <c r="G28" i="5"/>
  <c r="H28" i="5" s="1"/>
  <c r="AW28" i="22"/>
  <c r="AH28" i="22"/>
  <c r="N23" i="3"/>
  <c r="O23" i="3" s="1"/>
  <c r="M24" i="3"/>
  <c r="Z24" i="13"/>
  <c r="P24" i="3"/>
  <c r="E30" i="4"/>
  <c r="F30" i="4" s="1"/>
  <c r="G29" i="4"/>
  <c r="E29" i="3"/>
  <c r="F29" i="3" s="1"/>
  <c r="G28" i="3"/>
  <c r="K25" i="3"/>
  <c r="R27" i="22"/>
  <c r="P25" i="5"/>
  <c r="M25" i="5"/>
  <c r="N24" i="4"/>
  <c r="O24" i="4" s="1"/>
  <c r="M25" i="4"/>
  <c r="P25" i="4"/>
  <c r="K26" i="4"/>
  <c r="K26" i="5"/>
  <c r="AV28" i="22"/>
  <c r="AX28" i="22" s="1"/>
  <c r="I28" i="5" l="1"/>
  <c r="J28" i="5" s="1"/>
  <c r="F29" i="5"/>
  <c r="AJ28" i="13"/>
  <c r="AL26" i="13"/>
  <c r="AN26" i="13" s="1"/>
  <c r="AJ29" i="13"/>
  <c r="AF26" i="13"/>
  <c r="AH26" i="13" s="1"/>
  <c r="A28" i="27"/>
  <c r="AD29" i="13"/>
  <c r="Q28" i="22"/>
  <c r="S28" i="22" s="1"/>
  <c r="A27" i="25"/>
  <c r="D27" i="25" s="1"/>
  <c r="X28" i="13"/>
  <c r="D27" i="26"/>
  <c r="N24" i="5"/>
  <c r="O24" i="5" s="1"/>
  <c r="M26" i="5"/>
  <c r="N25" i="5"/>
  <c r="O25" i="5" s="1"/>
  <c r="I28" i="3"/>
  <c r="J28" i="3" s="1"/>
  <c r="H28" i="3"/>
  <c r="M27" i="12"/>
  <c r="J28" i="4"/>
  <c r="AG29" i="22" s="1"/>
  <c r="AI29" i="22" s="1"/>
  <c r="H29" i="4"/>
  <c r="X28" i="12"/>
  <c r="I29" i="4"/>
  <c r="J29" i="4" s="1"/>
  <c r="A28" i="26"/>
  <c r="I29" i="5"/>
  <c r="AU30" i="22" s="1"/>
  <c r="AU29" i="22"/>
  <c r="AW29" i="22" s="1"/>
  <c r="AY28" i="22"/>
  <c r="AZ28" i="22" s="1"/>
  <c r="E30" i="5"/>
  <c r="G29" i="5"/>
  <c r="H29" i="5" s="1"/>
  <c r="AJ28" i="22"/>
  <c r="AK28" i="22" s="1"/>
  <c r="AH29" i="22"/>
  <c r="T27" i="22"/>
  <c r="U27" i="22" s="1"/>
  <c r="V27" i="22" s="1"/>
  <c r="N24" i="3"/>
  <c r="O24" i="3" s="1"/>
  <c r="E30" i="3"/>
  <c r="F30" i="3" s="1"/>
  <c r="G29" i="3"/>
  <c r="R28" i="22"/>
  <c r="T28" i="22" s="1"/>
  <c r="P25" i="3"/>
  <c r="Z25" i="13"/>
  <c r="M25" i="3"/>
  <c r="K26" i="3"/>
  <c r="E31" i="4"/>
  <c r="F31" i="4" s="1"/>
  <c r="G30" i="4"/>
  <c r="P26" i="5"/>
  <c r="N25" i="4"/>
  <c r="O25" i="4" s="1"/>
  <c r="K27" i="4"/>
  <c r="M26" i="4"/>
  <c r="P26" i="4"/>
  <c r="K27" i="5"/>
  <c r="AV29" i="22"/>
  <c r="N26" i="5" l="1"/>
  <c r="O26" i="5" s="1"/>
  <c r="F30" i="5"/>
  <c r="AL27" i="13"/>
  <c r="AN27" i="13" s="1"/>
  <c r="U28" i="22"/>
  <c r="V28" i="22" s="1"/>
  <c r="D28" i="27"/>
  <c r="A29" i="27"/>
  <c r="AD30" i="13"/>
  <c r="AF27" i="13"/>
  <c r="AH27" i="13" s="1"/>
  <c r="A28" i="25"/>
  <c r="D28" i="25" s="1"/>
  <c r="X29" i="13"/>
  <c r="D28" i="26"/>
  <c r="J29" i="5"/>
  <c r="AV30" i="22" s="1"/>
  <c r="AX30" i="22" s="1"/>
  <c r="AF30" i="22"/>
  <c r="AH30" i="22" s="1"/>
  <c r="Q29" i="22"/>
  <c r="S29" i="22" s="1"/>
  <c r="H29" i="3"/>
  <c r="M28" i="12"/>
  <c r="I29" i="3"/>
  <c r="J29" i="3" s="1"/>
  <c r="X29" i="12"/>
  <c r="H30" i="4"/>
  <c r="I30" i="4"/>
  <c r="AF31" i="22" s="1"/>
  <c r="AW30" i="22"/>
  <c r="A29" i="26"/>
  <c r="E31" i="5"/>
  <c r="G30" i="5"/>
  <c r="H30" i="5" s="1"/>
  <c r="AX29" i="22"/>
  <c r="AY29" i="22" s="1"/>
  <c r="AZ29" i="22" s="1"/>
  <c r="AJ29" i="22"/>
  <c r="AK29" i="22" s="1"/>
  <c r="N25" i="3"/>
  <c r="O25" i="3" s="1"/>
  <c r="K27" i="3"/>
  <c r="E31" i="3"/>
  <c r="F31" i="3" s="1"/>
  <c r="G30" i="3"/>
  <c r="R29" i="22"/>
  <c r="E32" i="4"/>
  <c r="F32" i="4" s="1"/>
  <c r="G31" i="4"/>
  <c r="M26" i="3"/>
  <c r="Z26" i="13"/>
  <c r="P26" i="3"/>
  <c r="P27" i="4"/>
  <c r="M27" i="5"/>
  <c r="N27" i="5" s="1"/>
  <c r="O27" i="5" s="1"/>
  <c r="M27" i="4"/>
  <c r="N26" i="4"/>
  <c r="O26" i="4" s="1"/>
  <c r="AG30" i="22"/>
  <c r="AI30" i="22" s="1"/>
  <c r="K28" i="4"/>
  <c r="P27" i="5"/>
  <c r="K28" i="5"/>
  <c r="I30" i="5" l="1"/>
  <c r="AU31" i="22" s="1"/>
  <c r="AW31" i="22" s="1"/>
  <c r="F31" i="5"/>
  <c r="AJ30" i="13"/>
  <c r="AL28" i="13"/>
  <c r="AN28" i="13" s="1"/>
  <c r="J30" i="4"/>
  <c r="D29" i="27"/>
  <c r="AF28" i="13"/>
  <c r="AH28" i="13" s="1"/>
  <c r="A30" i="27"/>
  <c r="D30" i="27" s="1"/>
  <c r="AD31" i="13"/>
  <c r="A29" i="25"/>
  <c r="D29" i="25" s="1"/>
  <c r="X30" i="13"/>
  <c r="D29" i="26"/>
  <c r="AH31" i="22"/>
  <c r="I30" i="3"/>
  <c r="J30" i="3" s="1"/>
  <c r="M29" i="12"/>
  <c r="H30" i="3"/>
  <c r="Q30" i="22"/>
  <c r="S30" i="22" s="1"/>
  <c r="I31" i="4"/>
  <c r="AF32" i="22" s="1"/>
  <c r="X30" i="12"/>
  <c r="H31" i="4"/>
  <c r="AY30" i="22"/>
  <c r="AZ30" i="22" s="1"/>
  <c r="I31" i="5"/>
  <c r="J31" i="5" s="1"/>
  <c r="E32" i="5"/>
  <c r="G31" i="5"/>
  <c r="N27" i="4"/>
  <c r="O27" i="4" s="1"/>
  <c r="AJ30" i="22"/>
  <c r="AK30" i="22" s="1"/>
  <c r="T29" i="22"/>
  <c r="U29" i="22" s="1"/>
  <c r="V29" i="22" s="1"/>
  <c r="N26" i="3"/>
  <c r="O26" i="3" s="1"/>
  <c r="E33" i="4"/>
  <c r="F33" i="4" s="1"/>
  <c r="G32" i="4"/>
  <c r="K28" i="3"/>
  <c r="E32" i="3"/>
  <c r="F32" i="3" s="1"/>
  <c r="G31" i="3"/>
  <c r="R30" i="22"/>
  <c r="M27" i="3"/>
  <c r="Z27" i="13"/>
  <c r="P27" i="3"/>
  <c r="P28" i="5"/>
  <c r="K29" i="4"/>
  <c r="M28" i="4"/>
  <c r="P28" i="4"/>
  <c r="AG31" i="22"/>
  <c r="AI31" i="22" s="1"/>
  <c r="M28" i="5"/>
  <c r="N28" i="5" s="1"/>
  <c r="O28" i="5" s="1"/>
  <c r="K29" i="5"/>
  <c r="A30" i="26" l="1"/>
  <c r="H31" i="5"/>
  <c r="J30" i="5"/>
  <c r="AV31" i="22" s="1"/>
  <c r="AX31" i="22" s="1"/>
  <c r="AY31" i="22" s="1"/>
  <c r="AZ31" i="22" s="1"/>
  <c r="AJ31" i="13"/>
  <c r="F32" i="5"/>
  <c r="AL29" i="13"/>
  <c r="AN29" i="13" s="1"/>
  <c r="J31" i="4"/>
  <c r="AG32" i="22" s="1"/>
  <c r="AF29" i="13"/>
  <c r="AH29" i="13" s="1"/>
  <c r="A31" i="27"/>
  <c r="D31" i="27" s="1"/>
  <c r="AD32" i="13"/>
  <c r="A30" i="25"/>
  <c r="D30" i="25" s="1"/>
  <c r="X31" i="13"/>
  <c r="D30" i="26"/>
  <c r="M29" i="5"/>
  <c r="Q31" i="22"/>
  <c r="S31" i="22" s="1"/>
  <c r="AJ31" i="22"/>
  <c r="AK31" i="22" s="1"/>
  <c r="AU32" i="22"/>
  <c r="AW32" i="22" s="1"/>
  <c r="H31" i="3"/>
  <c r="M30" i="12"/>
  <c r="I31" i="3"/>
  <c r="J31" i="3" s="1"/>
  <c r="X31" i="12"/>
  <c r="I32" i="4"/>
  <c r="AF33" i="22" s="1"/>
  <c r="AH33" i="22" s="1"/>
  <c r="H32" i="4"/>
  <c r="E33" i="5"/>
  <c r="G32" i="5"/>
  <c r="H32" i="5" s="1"/>
  <c r="AH32" i="22"/>
  <c r="T30" i="22"/>
  <c r="U30" i="22" s="1"/>
  <c r="V30" i="22" s="1"/>
  <c r="N27" i="3"/>
  <c r="O27" i="3" s="1"/>
  <c r="P28" i="3"/>
  <c r="Z28" i="13"/>
  <c r="M28" i="3"/>
  <c r="R31" i="22"/>
  <c r="K29" i="3"/>
  <c r="E33" i="3"/>
  <c r="F33" i="3" s="1"/>
  <c r="G32" i="3"/>
  <c r="E34" i="4"/>
  <c r="F34" i="4" s="1"/>
  <c r="G33" i="4"/>
  <c r="N28" i="4"/>
  <c r="O28" i="4" s="1"/>
  <c r="K30" i="4"/>
  <c r="M29" i="4"/>
  <c r="P29" i="4"/>
  <c r="P29" i="5"/>
  <c r="K30" i="5"/>
  <c r="AV32" i="22"/>
  <c r="I32" i="5" l="1"/>
  <c r="J32" i="5" s="1"/>
  <c r="AV33" i="22" s="1"/>
  <c r="A31" i="26"/>
  <c r="F33" i="5"/>
  <c r="AJ32" i="13"/>
  <c r="AL30" i="13"/>
  <c r="AN30" i="13" s="1"/>
  <c r="N29" i="5"/>
  <c r="O29" i="5" s="1"/>
  <c r="AF30" i="13"/>
  <c r="AH30" i="13" s="1"/>
  <c r="A32" i="27"/>
  <c r="D32" i="27" s="1"/>
  <c r="AD33" i="13"/>
  <c r="A31" i="25"/>
  <c r="D31" i="25" s="1"/>
  <c r="X32" i="13"/>
  <c r="D31" i="26"/>
  <c r="I32" i="3"/>
  <c r="J32" i="3" s="1"/>
  <c r="H32" i="3"/>
  <c r="M31" i="12"/>
  <c r="Q32" i="22"/>
  <c r="S32" i="22" s="1"/>
  <c r="J32" i="4"/>
  <c r="AG33" i="22" s="1"/>
  <c r="AI33" i="22" s="1"/>
  <c r="AJ33" i="22" s="1"/>
  <c r="AK33" i="22" s="1"/>
  <c r="H33" i="4"/>
  <c r="I33" i="4"/>
  <c r="AF34" i="22" s="1"/>
  <c r="X32" i="12"/>
  <c r="A32" i="26"/>
  <c r="AU33" i="22"/>
  <c r="AW33" i="22" s="1"/>
  <c r="E34" i="5"/>
  <c r="G33" i="5"/>
  <c r="H33" i="5" s="1"/>
  <c r="AX32" i="22"/>
  <c r="AY32" i="22" s="1"/>
  <c r="AZ32" i="22" s="1"/>
  <c r="AI32" i="22"/>
  <c r="AJ32" i="22" s="1"/>
  <c r="AK32" i="22" s="1"/>
  <c r="T31" i="22"/>
  <c r="U31" i="22" s="1"/>
  <c r="V31" i="22" s="1"/>
  <c r="E34" i="3"/>
  <c r="F34" i="3" s="1"/>
  <c r="G33" i="3"/>
  <c r="K30" i="3"/>
  <c r="E35" i="4"/>
  <c r="F35" i="4" s="1"/>
  <c r="G34" i="4"/>
  <c r="M29" i="3"/>
  <c r="Z29" i="13"/>
  <c r="P29" i="3"/>
  <c r="N28" i="3"/>
  <c r="O28" i="3" s="1"/>
  <c r="R32" i="22"/>
  <c r="K31" i="4"/>
  <c r="M30" i="4"/>
  <c r="P30" i="4"/>
  <c r="N29" i="4"/>
  <c r="O29" i="4" s="1"/>
  <c r="P30" i="5"/>
  <c r="M30" i="5"/>
  <c r="N30" i="5" s="1"/>
  <c r="O30" i="5" s="1"/>
  <c r="K31" i="5"/>
  <c r="AJ33" i="13" l="1"/>
  <c r="I33" i="5"/>
  <c r="AU34" i="22" s="1"/>
  <c r="F34" i="5"/>
  <c r="AL31" i="13"/>
  <c r="AN31" i="13" s="1"/>
  <c r="A33" i="27"/>
  <c r="AD34" i="13"/>
  <c r="AF31" i="13"/>
  <c r="AH31" i="13" s="1"/>
  <c r="A32" i="25"/>
  <c r="D32" i="25" s="1"/>
  <c r="X33" i="13"/>
  <c r="D32" i="26"/>
  <c r="J33" i="5"/>
  <c r="AV34" i="22" s="1"/>
  <c r="H33" i="3"/>
  <c r="M32" i="12"/>
  <c r="I33" i="3"/>
  <c r="J33" i="3" s="1"/>
  <c r="Q33" i="22"/>
  <c r="S33" i="22" s="1"/>
  <c r="J33" i="4"/>
  <c r="AG34" i="22" s="1"/>
  <c r="AI34" i="22" s="1"/>
  <c r="X33" i="12"/>
  <c r="H34" i="4"/>
  <c r="I34" i="4"/>
  <c r="J34" i="4" s="1"/>
  <c r="E35" i="5"/>
  <c r="G34" i="5"/>
  <c r="AX33" i="22"/>
  <c r="AY33" i="22" s="1"/>
  <c r="AZ33" i="22" s="1"/>
  <c r="AW34" i="22"/>
  <c r="AH34" i="22"/>
  <c r="T32" i="22"/>
  <c r="U32" i="22" s="1"/>
  <c r="V32" i="22" s="1"/>
  <c r="K31" i="3"/>
  <c r="N29" i="3"/>
  <c r="O29" i="3" s="1"/>
  <c r="P30" i="3"/>
  <c r="Z30" i="13"/>
  <c r="M30" i="3"/>
  <c r="E35" i="3"/>
  <c r="F35" i="3" s="1"/>
  <c r="G34" i="3"/>
  <c r="E36" i="4"/>
  <c r="F36" i="4" s="1"/>
  <c r="G35" i="4"/>
  <c r="R33" i="22"/>
  <c r="P31" i="5"/>
  <c r="M31" i="5"/>
  <c r="N30" i="4"/>
  <c r="O30" i="4" s="1"/>
  <c r="P31" i="4"/>
  <c r="M31" i="4"/>
  <c r="K32" i="4"/>
  <c r="K32" i="5"/>
  <c r="F35" i="5" l="1"/>
  <c r="AJ34" i="13"/>
  <c r="AL32" i="13"/>
  <c r="AN32" i="13" s="1"/>
  <c r="D33" i="27"/>
  <c r="AF32" i="13"/>
  <c r="AH32" i="13" s="1"/>
  <c r="A34" i="27"/>
  <c r="D34" i="27" s="1"/>
  <c r="AD35" i="13"/>
  <c r="A33" i="25"/>
  <c r="D33" i="25" s="1"/>
  <c r="X34" i="13"/>
  <c r="M32" i="5"/>
  <c r="Q34" i="22"/>
  <c r="S34" i="22" s="1"/>
  <c r="N31" i="5"/>
  <c r="O31" i="5" s="1"/>
  <c r="H34" i="3"/>
  <c r="M33" i="12"/>
  <c r="I34" i="3"/>
  <c r="J34" i="3" s="1"/>
  <c r="AF35" i="22"/>
  <c r="AH35" i="22" s="1"/>
  <c r="I35" i="4"/>
  <c r="J35" i="4" s="1"/>
  <c r="X34" i="12"/>
  <c r="H35" i="4"/>
  <c r="A33" i="26"/>
  <c r="I34" i="5"/>
  <c r="AU35" i="22" s="1"/>
  <c r="AW35" i="22" s="1"/>
  <c r="H34" i="5"/>
  <c r="E36" i="5"/>
  <c r="G35" i="5"/>
  <c r="AX34" i="22"/>
  <c r="AY34" i="22" s="1"/>
  <c r="AZ34" i="22" s="1"/>
  <c r="AJ34" i="22"/>
  <c r="AK34" i="22" s="1"/>
  <c r="T33" i="22"/>
  <c r="U33" i="22" s="1"/>
  <c r="V33" i="22" s="1"/>
  <c r="K32" i="3"/>
  <c r="M31" i="3"/>
  <c r="Z31" i="13"/>
  <c r="P31" i="3"/>
  <c r="N30" i="3"/>
  <c r="O30" i="3" s="1"/>
  <c r="E37" i="4"/>
  <c r="F37" i="4" s="1"/>
  <c r="G36" i="4"/>
  <c r="R34" i="22"/>
  <c r="T34" i="22" s="1"/>
  <c r="E36" i="3"/>
  <c r="F36" i="3" s="1"/>
  <c r="G35" i="3"/>
  <c r="M32" i="4"/>
  <c r="P32" i="4"/>
  <c r="N31" i="4"/>
  <c r="O31" i="4" s="1"/>
  <c r="K33" i="4"/>
  <c r="AG35" i="22"/>
  <c r="K33" i="5"/>
  <c r="P32" i="5"/>
  <c r="N32" i="5" l="1"/>
  <c r="O32" i="5" s="1"/>
  <c r="F36" i="5"/>
  <c r="AJ35" i="13"/>
  <c r="AL33" i="13"/>
  <c r="AN33" i="13" s="1"/>
  <c r="AF33" i="13"/>
  <c r="AH33" i="13" s="1"/>
  <c r="A35" i="27"/>
  <c r="AD36" i="13"/>
  <c r="U34" i="22"/>
  <c r="V34" i="22" s="1"/>
  <c r="A34" i="25"/>
  <c r="D34" i="25" s="1"/>
  <c r="X35" i="13"/>
  <c r="D33" i="26"/>
  <c r="P33" i="5"/>
  <c r="AF36" i="22"/>
  <c r="AH36" i="22" s="1"/>
  <c r="J34" i="5"/>
  <c r="AV35" i="22" s="1"/>
  <c r="AX35" i="22" s="1"/>
  <c r="AY35" i="22" s="1"/>
  <c r="AZ35" i="22" s="1"/>
  <c r="Q35" i="22"/>
  <c r="S35" i="22" s="1"/>
  <c r="I35" i="3"/>
  <c r="Q36" i="22" s="1"/>
  <c r="M34" i="12"/>
  <c r="H35" i="3"/>
  <c r="X35" i="12"/>
  <c r="I36" i="4"/>
  <c r="AF37" i="22" s="1"/>
  <c r="H36" i="4"/>
  <c r="A34" i="26"/>
  <c r="H35" i="5"/>
  <c r="I35" i="5"/>
  <c r="AU36" i="22" s="1"/>
  <c r="AW36" i="22" s="1"/>
  <c r="E37" i="5"/>
  <c r="G36" i="5"/>
  <c r="AI35" i="22"/>
  <c r="AJ35" i="22" s="1"/>
  <c r="AK35" i="22" s="1"/>
  <c r="E37" i="3"/>
  <c r="F37" i="3" s="1"/>
  <c r="G36" i="3"/>
  <c r="E38" i="4"/>
  <c r="F38" i="4" s="1"/>
  <c r="G37" i="4"/>
  <c r="N31" i="3"/>
  <c r="O31" i="3" s="1"/>
  <c r="Z32" i="13"/>
  <c r="P32" i="3"/>
  <c r="M32" i="3"/>
  <c r="K33" i="3"/>
  <c r="R35" i="22"/>
  <c r="N32" i="4"/>
  <c r="O32" i="4" s="1"/>
  <c r="K34" i="4"/>
  <c r="AG36" i="22"/>
  <c r="M33" i="4"/>
  <c r="P33" i="4"/>
  <c r="M33" i="5"/>
  <c r="F37" i="5" l="1"/>
  <c r="AJ36" i="13"/>
  <c r="AF34" i="13"/>
  <c r="AH34" i="13" s="1"/>
  <c r="D35" i="27"/>
  <c r="A36" i="27"/>
  <c r="D36" i="27" s="1"/>
  <c r="AD37" i="13"/>
  <c r="A35" i="25"/>
  <c r="D35" i="25" s="1"/>
  <c r="X36" i="13"/>
  <c r="D34" i="26"/>
  <c r="J35" i="3"/>
  <c r="R36" i="22" s="1"/>
  <c r="T36" i="22" s="1"/>
  <c r="K34" i="5"/>
  <c r="J35" i="5"/>
  <c r="AV36" i="22" s="1"/>
  <c r="AX36" i="22" s="1"/>
  <c r="AY36" i="22" s="1"/>
  <c r="AZ36" i="22" s="1"/>
  <c r="I36" i="3"/>
  <c r="J36" i="3" s="1"/>
  <c r="M35" i="12"/>
  <c r="H36" i="3"/>
  <c r="J36" i="4"/>
  <c r="AG37" i="22" s="1"/>
  <c r="AI37" i="22" s="1"/>
  <c r="H37" i="4"/>
  <c r="X36" i="12"/>
  <c r="I37" i="4"/>
  <c r="J37" i="4" s="1"/>
  <c r="A35" i="26"/>
  <c r="H36" i="5"/>
  <c r="I36" i="5"/>
  <c r="AU37" i="22" s="1"/>
  <c r="AW37" i="22" s="1"/>
  <c r="E38" i="5"/>
  <c r="G37" i="5"/>
  <c r="AI36" i="22"/>
  <c r="AJ36" i="22" s="1"/>
  <c r="AK36" i="22" s="1"/>
  <c r="AH37" i="22"/>
  <c r="T35" i="22"/>
  <c r="U35" i="22" s="1"/>
  <c r="V35" i="22" s="1"/>
  <c r="S36" i="22"/>
  <c r="N32" i="3"/>
  <c r="O32" i="3" s="1"/>
  <c r="E38" i="3"/>
  <c r="F38" i="3" s="1"/>
  <c r="G37" i="3"/>
  <c r="K34" i="3"/>
  <c r="P33" i="3"/>
  <c r="Z33" i="13"/>
  <c r="M33" i="3"/>
  <c r="E39" i="4"/>
  <c r="F39" i="4" s="1"/>
  <c r="G38" i="4"/>
  <c r="N33" i="5"/>
  <c r="O33" i="5" s="1"/>
  <c r="K35" i="4"/>
  <c r="M34" i="4"/>
  <c r="P34" i="4"/>
  <c r="N33" i="4"/>
  <c r="O33" i="4" s="1"/>
  <c r="F38" i="5" l="1"/>
  <c r="AJ37" i="13"/>
  <c r="AL34" i="13"/>
  <c r="AN34" i="13" s="1"/>
  <c r="AF35" i="13"/>
  <c r="AH35" i="13" s="1"/>
  <c r="A37" i="27"/>
  <c r="D37" i="27" s="1"/>
  <c r="AD38" i="13"/>
  <c r="A36" i="25"/>
  <c r="D36" i="25" s="1"/>
  <c r="X37" i="13"/>
  <c r="D35" i="26"/>
  <c r="M34" i="5"/>
  <c r="P34" i="5"/>
  <c r="K35" i="5"/>
  <c r="J36" i="5"/>
  <c r="AV37" i="22" s="1"/>
  <c r="AX37" i="22" s="1"/>
  <c r="AY37" i="22" s="1"/>
  <c r="AZ37" i="22" s="1"/>
  <c r="Q37" i="22"/>
  <c r="S37" i="22" s="1"/>
  <c r="H37" i="3"/>
  <c r="M36" i="12"/>
  <c r="I37" i="3"/>
  <c r="Q38" i="22" s="1"/>
  <c r="AF38" i="22"/>
  <c r="AH38" i="22" s="1"/>
  <c r="X37" i="12"/>
  <c r="I38" i="4"/>
  <c r="AF39" i="22" s="1"/>
  <c r="H38" i="4"/>
  <c r="A36" i="26"/>
  <c r="H37" i="5"/>
  <c r="I37" i="5"/>
  <c r="AU38" i="22" s="1"/>
  <c r="AW38" i="22" s="1"/>
  <c r="E39" i="5"/>
  <c r="F39" i="5" s="1"/>
  <c r="G38" i="5"/>
  <c r="AJ37" i="22"/>
  <c r="AK37" i="22" s="1"/>
  <c r="U36" i="22"/>
  <c r="V36" i="22" s="1"/>
  <c r="N33" i="3"/>
  <c r="O33" i="3" s="1"/>
  <c r="E39" i="3"/>
  <c r="F39" i="3" s="1"/>
  <c r="G38" i="3"/>
  <c r="K35" i="3"/>
  <c r="E40" i="4"/>
  <c r="F40" i="4" s="1"/>
  <c r="G39" i="4"/>
  <c r="R37" i="22"/>
  <c r="T37" i="22" s="1"/>
  <c r="Z34" i="13"/>
  <c r="M34" i="3"/>
  <c r="P34" i="3"/>
  <c r="K36" i="4"/>
  <c r="N34" i="4"/>
  <c r="O34" i="4" s="1"/>
  <c r="AG38" i="22"/>
  <c r="M35" i="4"/>
  <c r="P35" i="4"/>
  <c r="N34" i="5" l="1"/>
  <c r="O34" i="5" s="1"/>
  <c r="AJ38" i="13"/>
  <c r="AL35" i="13"/>
  <c r="AN35" i="13" s="1"/>
  <c r="AF36" i="13"/>
  <c r="AH36" i="13" s="1"/>
  <c r="A38" i="27"/>
  <c r="D38" i="27" s="1"/>
  <c r="AD39" i="13"/>
  <c r="A37" i="25"/>
  <c r="D37" i="25" s="1"/>
  <c r="X38" i="13"/>
  <c r="P35" i="5"/>
  <c r="D36" i="26"/>
  <c r="J37" i="3"/>
  <c r="R38" i="22" s="1"/>
  <c r="T38" i="22" s="1"/>
  <c r="M35" i="5"/>
  <c r="K36" i="5"/>
  <c r="J37" i="5"/>
  <c r="AV38" i="22" s="1"/>
  <c r="AX38" i="22" s="1"/>
  <c r="AY38" i="22" s="1"/>
  <c r="AZ38" i="22" s="1"/>
  <c r="H38" i="3"/>
  <c r="I38" i="3"/>
  <c r="J38" i="3" s="1"/>
  <c r="M37" i="12"/>
  <c r="J38" i="4"/>
  <c r="AG39" i="22" s="1"/>
  <c r="I39" i="4"/>
  <c r="AF40" i="22" s="1"/>
  <c r="AH40" i="22" s="1"/>
  <c r="H39" i="4"/>
  <c r="X38" i="12"/>
  <c r="A37" i="26"/>
  <c r="I38" i="5"/>
  <c r="AU39" i="22" s="1"/>
  <c r="AW39" i="22" s="1"/>
  <c r="H38" i="5"/>
  <c r="E40" i="5"/>
  <c r="F40" i="5" s="1"/>
  <c r="G39" i="5"/>
  <c r="AH39" i="22"/>
  <c r="AI38" i="22"/>
  <c r="AJ38" i="22" s="1"/>
  <c r="AK38" i="22" s="1"/>
  <c r="U37" i="22"/>
  <c r="V37" i="22" s="1"/>
  <c r="S38" i="22"/>
  <c r="N34" i="3"/>
  <c r="O34" i="3" s="1"/>
  <c r="Z35" i="13"/>
  <c r="P35" i="3"/>
  <c r="M35" i="3"/>
  <c r="E40" i="3"/>
  <c r="F40" i="3" s="1"/>
  <c r="G39" i="3"/>
  <c r="E41" i="4"/>
  <c r="F41" i="4" s="1"/>
  <c r="G40" i="4"/>
  <c r="K36" i="3"/>
  <c r="P36" i="4"/>
  <c r="N35" i="4"/>
  <c r="O35" i="4" s="1"/>
  <c r="M36" i="4"/>
  <c r="K37" i="4"/>
  <c r="AL36" i="13" l="1"/>
  <c r="AN36" i="13" s="1"/>
  <c r="AJ39" i="13"/>
  <c r="AJ40" i="13"/>
  <c r="J39" i="4"/>
  <c r="AG40" i="22" s="1"/>
  <c r="AI40" i="22" s="1"/>
  <c r="AJ40" i="22" s="1"/>
  <c r="AK40" i="22" s="1"/>
  <c r="AF37" i="13"/>
  <c r="AH37" i="13" s="1"/>
  <c r="A39" i="27"/>
  <c r="AD40" i="13"/>
  <c r="A38" i="25"/>
  <c r="D38" i="25" s="1"/>
  <c r="X39" i="13"/>
  <c r="D37" i="26"/>
  <c r="I39" i="5"/>
  <c r="AU40" i="22" s="1"/>
  <c r="AW40" i="22" s="1"/>
  <c r="A38" i="26"/>
  <c r="J38" i="5"/>
  <c r="AV39" i="22" s="1"/>
  <c r="AX39" i="22" s="1"/>
  <c r="AY39" i="22" s="1"/>
  <c r="AZ39" i="22" s="1"/>
  <c r="N35" i="5"/>
  <c r="O35" i="5" s="1"/>
  <c r="H39" i="5"/>
  <c r="P36" i="5"/>
  <c r="M36" i="5"/>
  <c r="K37" i="5"/>
  <c r="Q39" i="22"/>
  <c r="S39" i="22" s="1"/>
  <c r="H39" i="3"/>
  <c r="I39" i="3"/>
  <c r="Q40" i="22" s="1"/>
  <c r="M38" i="12"/>
  <c r="X39" i="12"/>
  <c r="I40" i="4"/>
  <c r="AF41" i="22" s="1"/>
  <c r="AH41" i="22" s="1"/>
  <c r="H40" i="4"/>
  <c r="A39" i="26"/>
  <c r="H40" i="5"/>
  <c r="I40" i="5"/>
  <c r="AU41" i="22" s="1"/>
  <c r="E41" i="5"/>
  <c r="F41" i="5" s="1"/>
  <c r="G40" i="5"/>
  <c r="AI39" i="22"/>
  <c r="AJ39" i="22" s="1"/>
  <c r="AK39" i="22" s="1"/>
  <c r="U38" i="22"/>
  <c r="V38" i="22" s="1"/>
  <c r="Z36" i="13"/>
  <c r="M36" i="3"/>
  <c r="P36" i="3"/>
  <c r="E41" i="3"/>
  <c r="F41" i="3" s="1"/>
  <c r="G40" i="3"/>
  <c r="E42" i="4"/>
  <c r="F42" i="4" s="1"/>
  <c r="G41" i="4"/>
  <c r="N36" i="4"/>
  <c r="O36" i="4" s="1"/>
  <c r="R39" i="22"/>
  <c r="T39" i="22" s="1"/>
  <c r="K37" i="3"/>
  <c r="N35" i="3"/>
  <c r="O35" i="3" s="1"/>
  <c r="K38" i="4"/>
  <c r="M37" i="4"/>
  <c r="P37" i="4"/>
  <c r="J39" i="5" l="1"/>
  <c r="AV40" i="22" s="1"/>
  <c r="AX40" i="22" s="1"/>
  <c r="AY40" i="22" s="1"/>
  <c r="AZ40" i="22" s="1"/>
  <c r="J40" i="5"/>
  <c r="AV41" i="22" s="1"/>
  <c r="AL37" i="13"/>
  <c r="AN37" i="13" s="1"/>
  <c r="D39" i="27"/>
  <c r="J40" i="4"/>
  <c r="AG41" i="22" s="1"/>
  <c r="AF38" i="13"/>
  <c r="AH38" i="13" s="1"/>
  <c r="A40" i="27"/>
  <c r="AD41" i="13"/>
  <c r="A39" i="25"/>
  <c r="D39" i="25" s="1"/>
  <c r="X40" i="13"/>
  <c r="D39" i="26"/>
  <c r="C39" i="26"/>
  <c r="N36" i="5"/>
  <c r="O36" i="5" s="1"/>
  <c r="AW41" i="22"/>
  <c r="D38" i="26"/>
  <c r="C38" i="26"/>
  <c r="C37" i="26" s="1"/>
  <c r="C36" i="26" s="1"/>
  <c r="C35" i="26" s="1"/>
  <c r="C34" i="26" s="1"/>
  <c r="C33" i="26" s="1"/>
  <c r="C32" i="26" s="1"/>
  <c r="C31" i="26" s="1"/>
  <c r="C30" i="26" s="1"/>
  <c r="C29" i="26" s="1"/>
  <c r="C28" i="26" s="1"/>
  <c r="C27" i="26" s="1"/>
  <c r="C26" i="26" s="1"/>
  <c r="C25" i="26" s="1"/>
  <c r="C24" i="26" s="1"/>
  <c r="C23" i="26" s="1"/>
  <c r="C22" i="26" s="1"/>
  <c r="C21" i="26" s="1"/>
  <c r="C20" i="26" s="1"/>
  <c r="C19" i="26" s="1"/>
  <c r="C18" i="26" s="1"/>
  <c r="C17" i="26" s="1"/>
  <c r="C16" i="26" s="1"/>
  <c r="C15" i="26" s="1"/>
  <c r="C14" i="26" s="1"/>
  <c r="C13" i="26" s="1"/>
  <c r="C12" i="26" s="1"/>
  <c r="C11" i="26" s="1"/>
  <c r="C10" i="26" s="1"/>
  <c r="C9" i="26" s="1"/>
  <c r="C8" i="26" s="1"/>
  <c r="C7" i="26" s="1"/>
  <c r="C6" i="26" s="1"/>
  <c r="C5" i="26" s="1"/>
  <c r="C4" i="26" s="1"/>
  <c r="C3" i="26" s="1"/>
  <c r="K38" i="5"/>
  <c r="M37" i="5"/>
  <c r="P37" i="5"/>
  <c r="J39" i="3"/>
  <c r="R40" i="22" s="1"/>
  <c r="T40" i="22" s="1"/>
  <c r="I40" i="3"/>
  <c r="J40" i="3" s="1"/>
  <c r="H40" i="3"/>
  <c r="M39" i="12"/>
  <c r="H41" i="4"/>
  <c r="X40" i="12"/>
  <c r="I41" i="4"/>
  <c r="AF42" i="22" s="1"/>
  <c r="E42" i="5"/>
  <c r="F42" i="5" s="1"/>
  <c r="G41" i="5"/>
  <c r="U39" i="22"/>
  <c r="V39" i="22" s="1"/>
  <c r="S40" i="22"/>
  <c r="Z37" i="13"/>
  <c r="P37" i="3"/>
  <c r="M37" i="3"/>
  <c r="K38" i="3"/>
  <c r="E43" i="4"/>
  <c r="F43" i="4" s="1"/>
  <c r="G42" i="4"/>
  <c r="N36" i="3"/>
  <c r="O36" i="3" s="1"/>
  <c r="E42" i="3"/>
  <c r="F42" i="3" s="1"/>
  <c r="G41" i="3"/>
  <c r="K39" i="4"/>
  <c r="N37" i="4"/>
  <c r="O37" i="4" s="1"/>
  <c r="M38" i="4"/>
  <c r="P38" i="4"/>
  <c r="K39" i="5"/>
  <c r="AL39" i="13" l="1"/>
  <c r="AN39" i="13" s="1"/>
  <c r="AJ42" i="13"/>
  <c r="AJ41" i="13"/>
  <c r="AL38" i="13"/>
  <c r="AN38" i="13" s="1"/>
  <c r="J41" i="4"/>
  <c r="AG42" i="22" s="1"/>
  <c r="AF39" i="13"/>
  <c r="AH39" i="13" s="1"/>
  <c r="D40" i="27"/>
  <c r="A41" i="27"/>
  <c r="AD42" i="13"/>
  <c r="A40" i="25"/>
  <c r="X41" i="13"/>
  <c r="N37" i="5"/>
  <c r="O37" i="5" s="1"/>
  <c r="P38" i="5"/>
  <c r="Q41" i="22"/>
  <c r="S41" i="22" s="1"/>
  <c r="M38" i="5"/>
  <c r="H41" i="3"/>
  <c r="I41" i="3"/>
  <c r="Q42" i="22" s="1"/>
  <c r="M40" i="12"/>
  <c r="X41" i="12"/>
  <c r="I42" i="4"/>
  <c r="AF43" i="22" s="1"/>
  <c r="AH43" i="22" s="1"/>
  <c r="H42" i="4"/>
  <c r="A40" i="26"/>
  <c r="I41" i="5"/>
  <c r="AU42" i="22" s="1"/>
  <c r="AW42" i="22" s="1"/>
  <c r="H41" i="5"/>
  <c r="A41" i="26"/>
  <c r="I42" i="5"/>
  <c r="J42" i="5" s="1"/>
  <c r="E43" i="5"/>
  <c r="F43" i="5" s="1"/>
  <c r="G42" i="5"/>
  <c r="H42" i="5" s="1"/>
  <c r="AX41" i="22"/>
  <c r="AY41" i="22" s="1"/>
  <c r="AZ41" i="22" s="1"/>
  <c r="AH42" i="22"/>
  <c r="AI41" i="22"/>
  <c r="AJ41" i="22" s="1"/>
  <c r="AK41" i="22" s="1"/>
  <c r="U40" i="22"/>
  <c r="V40" i="22" s="1"/>
  <c r="E44" i="4"/>
  <c r="F44" i="4" s="1"/>
  <c r="G43" i="4"/>
  <c r="R41" i="22"/>
  <c r="T41" i="22" s="1"/>
  <c r="E43" i="3"/>
  <c r="F43" i="3" s="1"/>
  <c r="G42" i="3"/>
  <c r="K39" i="3"/>
  <c r="M38" i="3"/>
  <c r="Z38" i="13"/>
  <c r="P38" i="3"/>
  <c r="N37" i="3"/>
  <c r="O37" i="3" s="1"/>
  <c r="P39" i="5"/>
  <c r="M39" i="5"/>
  <c r="N39" i="5" s="1"/>
  <c r="O39" i="5" s="1"/>
  <c r="P39" i="4"/>
  <c r="M39" i="4"/>
  <c r="N38" i="4"/>
  <c r="O38" i="4" s="1"/>
  <c r="K40" i="4"/>
  <c r="K40" i="5"/>
  <c r="AL40" i="13" l="1"/>
  <c r="AN40" i="13" s="1"/>
  <c r="N38" i="5"/>
  <c r="O38" i="5" s="1"/>
  <c r="J42" i="4"/>
  <c r="AG43" i="22" s="1"/>
  <c r="D41" i="27"/>
  <c r="AF40" i="13"/>
  <c r="AH40" i="13" s="1"/>
  <c r="A42" i="27"/>
  <c r="D42" i="27" s="1"/>
  <c r="AD43" i="13"/>
  <c r="A41" i="25"/>
  <c r="X42" i="13"/>
  <c r="D40" i="25"/>
  <c r="M40" i="5"/>
  <c r="D40" i="26"/>
  <c r="C40" i="26"/>
  <c r="D41" i="26"/>
  <c r="C41" i="26"/>
  <c r="J41" i="3"/>
  <c r="R42" i="22" s="1"/>
  <c r="AU43" i="22"/>
  <c r="AW43" i="22" s="1"/>
  <c r="J41" i="5"/>
  <c r="AV42" i="22" s="1"/>
  <c r="AX42" i="22" s="1"/>
  <c r="AY42" i="22" s="1"/>
  <c r="AZ42" i="22" s="1"/>
  <c r="I42" i="3"/>
  <c r="J42" i="3" s="1"/>
  <c r="H42" i="3"/>
  <c r="M41" i="12"/>
  <c r="I43" i="4"/>
  <c r="AF44" i="22" s="1"/>
  <c r="X42" i="12"/>
  <c r="H43" i="4"/>
  <c r="E44" i="5"/>
  <c r="F44" i="5" s="1"/>
  <c r="G43" i="5"/>
  <c r="N39" i="4"/>
  <c r="O39" i="4" s="1"/>
  <c r="AI42" i="22"/>
  <c r="AJ42" i="22" s="1"/>
  <c r="AK42" i="22" s="1"/>
  <c r="U41" i="22"/>
  <c r="V41" i="22" s="1"/>
  <c r="S42" i="22"/>
  <c r="N38" i="3"/>
  <c r="O38" i="3" s="1"/>
  <c r="M39" i="3"/>
  <c r="Z39" i="13"/>
  <c r="P39" i="3"/>
  <c r="E44" i="3"/>
  <c r="F44" i="3" s="1"/>
  <c r="G43" i="3"/>
  <c r="K40" i="3"/>
  <c r="E45" i="4"/>
  <c r="F45" i="4" s="1"/>
  <c r="G44" i="4"/>
  <c r="P40" i="5"/>
  <c r="K41" i="4"/>
  <c r="M40" i="4"/>
  <c r="P40" i="4"/>
  <c r="AV43" i="22"/>
  <c r="N40" i="5" l="1"/>
  <c r="O40" i="5" s="1"/>
  <c r="AJ43" i="13"/>
  <c r="Q43" i="22"/>
  <c r="S43" i="22" s="1"/>
  <c r="J43" i="4"/>
  <c r="AG44" i="22" s="1"/>
  <c r="AI44" i="22" s="1"/>
  <c r="A43" i="27"/>
  <c r="D43" i="27" s="1"/>
  <c r="AD44" i="13"/>
  <c r="AF41" i="13"/>
  <c r="AH41" i="13" s="1"/>
  <c r="A42" i="25"/>
  <c r="D42" i="25" s="1"/>
  <c r="X43" i="13"/>
  <c r="D41" i="25"/>
  <c r="K41" i="5"/>
  <c r="P41" i="5" s="1"/>
  <c r="AX43" i="22"/>
  <c r="AY43" i="22" s="1"/>
  <c r="AZ43" i="22" s="1"/>
  <c r="I43" i="3"/>
  <c r="Q44" i="22" s="1"/>
  <c r="S44" i="22" s="1"/>
  <c r="H43" i="3"/>
  <c r="M42" i="12"/>
  <c r="X43" i="12"/>
  <c r="I44" i="4"/>
  <c r="AF45" i="22" s="1"/>
  <c r="H44" i="4"/>
  <c r="A42" i="26"/>
  <c r="I43" i="5"/>
  <c r="AU44" i="22" s="1"/>
  <c r="AW44" i="22" s="1"/>
  <c r="H43" i="5"/>
  <c r="E45" i="5"/>
  <c r="F45" i="5" s="1"/>
  <c r="G44" i="5"/>
  <c r="AH44" i="22"/>
  <c r="AI43" i="22"/>
  <c r="AJ43" i="22" s="1"/>
  <c r="AK43" i="22" s="1"/>
  <c r="T42" i="22"/>
  <c r="U42" i="22" s="1"/>
  <c r="V42" i="22" s="1"/>
  <c r="N39" i="3"/>
  <c r="O39" i="3" s="1"/>
  <c r="E46" i="4"/>
  <c r="F46" i="4" s="1"/>
  <c r="G45" i="4"/>
  <c r="R43" i="22"/>
  <c r="K41" i="3"/>
  <c r="Z40" i="13"/>
  <c r="M40" i="3"/>
  <c r="P40" i="3"/>
  <c r="E45" i="3"/>
  <c r="F45" i="3" s="1"/>
  <c r="G44" i="3"/>
  <c r="K42" i="4"/>
  <c r="N40" i="4"/>
  <c r="O40" i="4" s="1"/>
  <c r="M41" i="4"/>
  <c r="P41" i="4"/>
  <c r="K42" i="5"/>
  <c r="AL41" i="13" l="1"/>
  <c r="AN41" i="13" s="1"/>
  <c r="AL42" i="13"/>
  <c r="AN42" i="13" s="1"/>
  <c r="AJ44" i="13"/>
  <c r="J44" i="4"/>
  <c r="AF42" i="13"/>
  <c r="AH42" i="13" s="1"/>
  <c r="A44" i="27"/>
  <c r="D44" i="27" s="1"/>
  <c r="AD45" i="13"/>
  <c r="A43" i="25"/>
  <c r="D43" i="25" s="1"/>
  <c r="X44" i="13"/>
  <c r="M41" i="5"/>
  <c r="N41" i="5" s="1"/>
  <c r="O41" i="5" s="1"/>
  <c r="D42" i="26"/>
  <c r="C42" i="26"/>
  <c r="M42" i="5"/>
  <c r="J43" i="3"/>
  <c r="R44" i="22" s="1"/>
  <c r="J43" i="5"/>
  <c r="AV44" i="22" s="1"/>
  <c r="AX44" i="22" s="1"/>
  <c r="AY44" i="22" s="1"/>
  <c r="AZ44" i="22" s="1"/>
  <c r="I44" i="3"/>
  <c r="J44" i="3" s="1"/>
  <c r="H44" i="3"/>
  <c r="M43" i="12"/>
  <c r="H45" i="4"/>
  <c r="X44" i="12"/>
  <c r="I45" i="4"/>
  <c r="AF46" i="22" s="1"/>
  <c r="AH46" i="22" s="1"/>
  <c r="A43" i="26"/>
  <c r="H44" i="5"/>
  <c r="I44" i="5"/>
  <c r="AU45" i="22" s="1"/>
  <c r="AW45" i="22" s="1"/>
  <c r="E46" i="5"/>
  <c r="F46" i="5" s="1"/>
  <c r="G45" i="5"/>
  <c r="AJ44" i="22"/>
  <c r="AK44" i="22" s="1"/>
  <c r="AH45" i="22"/>
  <c r="T43" i="22"/>
  <c r="U43" i="22" s="1"/>
  <c r="V43" i="22" s="1"/>
  <c r="N40" i="3"/>
  <c r="O40" i="3" s="1"/>
  <c r="E47" i="4"/>
  <c r="F47" i="4" s="1"/>
  <c r="G46" i="4"/>
  <c r="E46" i="3"/>
  <c r="F46" i="3" s="1"/>
  <c r="G45" i="3"/>
  <c r="K42" i="3"/>
  <c r="M41" i="3"/>
  <c r="Z41" i="13"/>
  <c r="P41" i="3"/>
  <c r="N41" i="3"/>
  <c r="O41" i="3" s="1"/>
  <c r="P42" i="5"/>
  <c r="P42" i="4"/>
  <c r="M42" i="4"/>
  <c r="N41" i="4"/>
  <c r="O41" i="4" s="1"/>
  <c r="K43" i="4"/>
  <c r="AG45" i="22"/>
  <c r="AI45" i="22" s="1"/>
  <c r="AJ45" i="13" l="1"/>
  <c r="N42" i="5"/>
  <c r="O42" i="5" s="1"/>
  <c r="J45" i="4"/>
  <c r="AG46" i="22" s="1"/>
  <c r="AI46" i="22" s="1"/>
  <c r="AJ46" i="22" s="1"/>
  <c r="AK46" i="22" s="1"/>
  <c r="A45" i="27"/>
  <c r="D45" i="27" s="1"/>
  <c r="AD46" i="13"/>
  <c r="AF43" i="13"/>
  <c r="AH43" i="13" s="1"/>
  <c r="Q45" i="22"/>
  <c r="S45" i="22" s="1"/>
  <c r="A44" i="25"/>
  <c r="X45" i="13"/>
  <c r="D43" i="26"/>
  <c r="C43" i="26"/>
  <c r="K43" i="5"/>
  <c r="J44" i="5"/>
  <c r="AV45" i="22" s="1"/>
  <c r="AX45" i="22" s="1"/>
  <c r="AY45" i="22" s="1"/>
  <c r="AZ45" i="22" s="1"/>
  <c r="H45" i="3"/>
  <c r="M44" i="12"/>
  <c r="I45" i="3"/>
  <c r="J45" i="3" s="1"/>
  <c r="X45" i="12"/>
  <c r="H46" i="4"/>
  <c r="I46" i="4"/>
  <c r="AF47" i="22" s="1"/>
  <c r="AH47" i="22" s="1"/>
  <c r="A44" i="26"/>
  <c r="I45" i="5"/>
  <c r="AU46" i="22" s="1"/>
  <c r="AW46" i="22" s="1"/>
  <c r="H45" i="5"/>
  <c r="N42" i="4"/>
  <c r="O42" i="4" s="1"/>
  <c r="E47" i="5"/>
  <c r="F47" i="5" s="1"/>
  <c r="G46" i="5"/>
  <c r="AJ45" i="22"/>
  <c r="AK45" i="22" s="1"/>
  <c r="T44" i="22"/>
  <c r="U44" i="22" s="1"/>
  <c r="V44" i="22" s="1"/>
  <c r="E47" i="3"/>
  <c r="F47" i="3" s="1"/>
  <c r="G46" i="3"/>
  <c r="E48" i="4"/>
  <c r="F48" i="4" s="1"/>
  <c r="G47" i="4"/>
  <c r="R45" i="22"/>
  <c r="Z42" i="13"/>
  <c r="P42" i="3"/>
  <c r="M42" i="3"/>
  <c r="K43" i="3"/>
  <c r="K44" i="4"/>
  <c r="M43" i="4"/>
  <c r="P43" i="4"/>
  <c r="AL43" i="13" l="1"/>
  <c r="AN43" i="13" s="1"/>
  <c r="AJ46" i="13"/>
  <c r="J46" i="4"/>
  <c r="AG47" i="22" s="1"/>
  <c r="AI47" i="22" s="1"/>
  <c r="AJ47" i="22" s="1"/>
  <c r="AK47" i="22" s="1"/>
  <c r="A46" i="27"/>
  <c r="D46" i="27" s="1"/>
  <c r="AD47" i="13"/>
  <c r="AF44" i="13"/>
  <c r="AH44" i="13" s="1"/>
  <c r="Q46" i="22"/>
  <c r="S46" i="22" s="1"/>
  <c r="A45" i="25"/>
  <c r="X46" i="13"/>
  <c r="D44" i="25"/>
  <c r="D44" i="26"/>
  <c r="C44" i="26"/>
  <c r="M43" i="5"/>
  <c r="N43" i="5" s="1"/>
  <c r="O43" i="5" s="1"/>
  <c r="N42" i="3"/>
  <c r="O42" i="3" s="1"/>
  <c r="K44" i="5"/>
  <c r="P43" i="5"/>
  <c r="J45" i="5"/>
  <c r="AV46" i="22" s="1"/>
  <c r="AX46" i="22" s="1"/>
  <c r="AY46" i="22" s="1"/>
  <c r="AZ46" i="22" s="1"/>
  <c r="I46" i="3"/>
  <c r="J46" i="3" s="1"/>
  <c r="H46" i="3"/>
  <c r="M45" i="12"/>
  <c r="I47" i="4"/>
  <c r="AF48" i="22" s="1"/>
  <c r="AH48" i="22" s="1"/>
  <c r="X46" i="12"/>
  <c r="H47" i="4"/>
  <c r="A45" i="26"/>
  <c r="I46" i="5"/>
  <c r="AU47" i="22" s="1"/>
  <c r="AW47" i="22" s="1"/>
  <c r="H46" i="5"/>
  <c r="E48" i="5"/>
  <c r="F48" i="5" s="1"/>
  <c r="G47" i="5"/>
  <c r="T45" i="22"/>
  <c r="U45" i="22" s="1"/>
  <c r="V45" i="22" s="1"/>
  <c r="E48" i="3"/>
  <c r="F48" i="3" s="1"/>
  <c r="G47" i="3"/>
  <c r="Z43" i="13"/>
  <c r="M43" i="3"/>
  <c r="P43" i="3"/>
  <c r="K44" i="3"/>
  <c r="R46" i="22"/>
  <c r="T46" i="22" s="1"/>
  <c r="U46" i="22" s="1"/>
  <c r="V46" i="22" s="1"/>
  <c r="E49" i="4"/>
  <c r="F49" i="4" s="1"/>
  <c r="G48" i="4"/>
  <c r="P44" i="4"/>
  <c r="M44" i="4"/>
  <c r="N43" i="4"/>
  <c r="O43" i="4" s="1"/>
  <c r="K45" i="4"/>
  <c r="AL44" i="13" l="1"/>
  <c r="AN44" i="13" s="1"/>
  <c r="AJ47" i="13"/>
  <c r="J47" i="4"/>
  <c r="AG48" i="22" s="1"/>
  <c r="AI48" i="22" s="1"/>
  <c r="AJ48" i="22" s="1"/>
  <c r="AK48" i="22" s="1"/>
  <c r="AF45" i="13"/>
  <c r="AH45" i="13" s="1"/>
  <c r="A47" i="27"/>
  <c r="AD48" i="13"/>
  <c r="D45" i="25"/>
  <c r="A46" i="25"/>
  <c r="D46" i="25" s="1"/>
  <c r="X47" i="13"/>
  <c r="D45" i="26"/>
  <c r="C45" i="26"/>
  <c r="Q47" i="22"/>
  <c r="S47" i="22" s="1"/>
  <c r="M44" i="5"/>
  <c r="P44" i="5"/>
  <c r="K45" i="5"/>
  <c r="J46" i="5"/>
  <c r="AV47" i="22" s="1"/>
  <c r="AX47" i="22" s="1"/>
  <c r="AY47" i="22" s="1"/>
  <c r="AZ47" i="22" s="1"/>
  <c r="I47" i="3"/>
  <c r="Q48" i="22" s="1"/>
  <c r="H47" i="3"/>
  <c r="M46" i="12"/>
  <c r="X47" i="12"/>
  <c r="I48" i="4"/>
  <c r="AF49" i="22" s="1"/>
  <c r="AH49" i="22" s="1"/>
  <c r="H48" i="4"/>
  <c r="A46" i="26"/>
  <c r="I47" i="5"/>
  <c r="AU48" i="22" s="1"/>
  <c r="AW48" i="22" s="1"/>
  <c r="H47" i="5"/>
  <c r="E49" i="5"/>
  <c r="F49" i="5" s="1"/>
  <c r="G48" i="5"/>
  <c r="N44" i="4"/>
  <c r="O44" i="4" s="1"/>
  <c r="N43" i="3"/>
  <c r="O43" i="3" s="1"/>
  <c r="K45" i="3"/>
  <c r="M44" i="3"/>
  <c r="Z44" i="13"/>
  <c r="P44" i="3"/>
  <c r="N44" i="3"/>
  <c r="O44" i="3" s="1"/>
  <c r="R47" i="22"/>
  <c r="E50" i="4"/>
  <c r="F50" i="4" s="1"/>
  <c r="G49" i="4"/>
  <c r="E49" i="3"/>
  <c r="F49" i="3" s="1"/>
  <c r="G48" i="3"/>
  <c r="K46" i="4"/>
  <c r="M45" i="4"/>
  <c r="P45" i="4"/>
  <c r="S48" i="22" l="1"/>
  <c r="N44" i="5"/>
  <c r="O44" i="5" s="1"/>
  <c r="J47" i="5"/>
  <c r="AV48" i="22" s="1"/>
  <c r="AJ48" i="13"/>
  <c r="AL45" i="13"/>
  <c r="AN45" i="13" s="1"/>
  <c r="J48" i="4"/>
  <c r="D47" i="27"/>
  <c r="AF46" i="13"/>
  <c r="AH46" i="13" s="1"/>
  <c r="A48" i="27"/>
  <c r="AD49" i="13"/>
  <c r="A47" i="25"/>
  <c r="D47" i="25" s="1"/>
  <c r="X48" i="13"/>
  <c r="A47" i="26"/>
  <c r="D47" i="26" s="1"/>
  <c r="D46" i="26"/>
  <c r="C46" i="26"/>
  <c r="P45" i="5"/>
  <c r="J47" i="3"/>
  <c r="R48" i="22" s="1"/>
  <c r="K46" i="5"/>
  <c r="M45" i="5"/>
  <c r="N45" i="5" s="1"/>
  <c r="O45" i="5" s="1"/>
  <c r="I48" i="3"/>
  <c r="J48" i="3" s="1"/>
  <c r="H48" i="3"/>
  <c r="M47" i="12"/>
  <c r="H49" i="4"/>
  <c r="I49" i="4"/>
  <c r="AF50" i="22" s="1"/>
  <c r="AH50" i="22" s="1"/>
  <c r="X48" i="12"/>
  <c r="H48" i="5"/>
  <c r="I48" i="5"/>
  <c r="AU49" i="22" s="1"/>
  <c r="AW49" i="22" s="1"/>
  <c r="E50" i="5"/>
  <c r="F50" i="5" s="1"/>
  <c r="G49" i="5"/>
  <c r="AX48" i="22"/>
  <c r="AY48" i="22" s="1"/>
  <c r="AZ48" i="22" s="1"/>
  <c r="T47" i="22"/>
  <c r="U47" i="22" s="1"/>
  <c r="V47" i="22" s="1"/>
  <c r="K46" i="3"/>
  <c r="E50" i="3"/>
  <c r="F50" i="3" s="1"/>
  <c r="G49" i="3"/>
  <c r="Z45" i="13"/>
  <c r="P45" i="3"/>
  <c r="M45" i="3"/>
  <c r="E51" i="4"/>
  <c r="F51" i="4" s="1"/>
  <c r="G50" i="4"/>
  <c r="P46" i="4"/>
  <c r="M46" i="4"/>
  <c r="K47" i="4"/>
  <c r="N45" i="4"/>
  <c r="O45" i="4" s="1"/>
  <c r="AG49" i="22"/>
  <c r="K47" i="5"/>
  <c r="AL47" i="13" l="1"/>
  <c r="AN47" i="13" s="1"/>
  <c r="AJ49" i="13"/>
  <c r="AL46" i="13"/>
  <c r="AN46" i="13" s="1"/>
  <c r="J49" i="4"/>
  <c r="AG50" i="22" s="1"/>
  <c r="D48" i="27"/>
  <c r="AF47" i="13"/>
  <c r="AH47" i="13" s="1"/>
  <c r="A49" i="27"/>
  <c r="D49" i="27" s="1"/>
  <c r="AD50" i="13"/>
  <c r="A48" i="25"/>
  <c r="X49" i="13"/>
  <c r="M46" i="5"/>
  <c r="C47" i="26"/>
  <c r="Q49" i="22"/>
  <c r="S49" i="22" s="1"/>
  <c r="P46" i="5"/>
  <c r="J48" i="5"/>
  <c r="AV49" i="22" s="1"/>
  <c r="AX49" i="22" s="1"/>
  <c r="AY49" i="22" s="1"/>
  <c r="AZ49" i="22" s="1"/>
  <c r="H49" i="3"/>
  <c r="M48" i="12"/>
  <c r="I49" i="3"/>
  <c r="Q50" i="22" s="1"/>
  <c r="X49" i="12"/>
  <c r="H50" i="4"/>
  <c r="I50" i="4"/>
  <c r="AF51" i="22" s="1"/>
  <c r="AH51" i="22" s="1"/>
  <c r="H49" i="5"/>
  <c r="I49" i="5"/>
  <c r="J49" i="5" s="1"/>
  <c r="N46" i="4"/>
  <c r="O46" i="4" s="1"/>
  <c r="N45" i="3"/>
  <c r="O45" i="3" s="1"/>
  <c r="A48" i="26"/>
  <c r="E51" i="5"/>
  <c r="F51" i="5" s="1"/>
  <c r="G50" i="5"/>
  <c r="AI49" i="22"/>
  <c r="AJ49" i="22" s="1"/>
  <c r="AK49" i="22" s="1"/>
  <c r="T48" i="22"/>
  <c r="U48" i="22" s="1"/>
  <c r="V48" i="22" s="1"/>
  <c r="Z46" i="13"/>
  <c r="M46" i="3"/>
  <c r="N46" i="3" s="1"/>
  <c r="O46" i="3" s="1"/>
  <c r="P46" i="3"/>
  <c r="E52" i="4"/>
  <c r="F52" i="4" s="1"/>
  <c r="G51" i="4"/>
  <c r="R49" i="22"/>
  <c r="K47" i="3"/>
  <c r="E51" i="3"/>
  <c r="F51" i="3" s="1"/>
  <c r="G50" i="3"/>
  <c r="P47" i="4"/>
  <c r="M47" i="4"/>
  <c r="K48" i="4"/>
  <c r="P47" i="5"/>
  <c r="M47" i="5"/>
  <c r="N47" i="5" l="1"/>
  <c r="O47" i="5" s="1"/>
  <c r="N46" i="5"/>
  <c r="O46" i="5" s="1"/>
  <c r="AJ50" i="13"/>
  <c r="J50" i="4"/>
  <c r="AG51" i="22" s="1"/>
  <c r="AI51" i="22" s="1"/>
  <c r="AJ51" i="22" s="1"/>
  <c r="AK51" i="22" s="1"/>
  <c r="AF48" i="13"/>
  <c r="AH48" i="13" s="1"/>
  <c r="A50" i="27"/>
  <c r="D50" i="27" s="1"/>
  <c r="AD51" i="13"/>
  <c r="S50" i="22"/>
  <c r="A49" i="25"/>
  <c r="D49" i="25" s="1"/>
  <c r="X50" i="13"/>
  <c r="D48" i="25"/>
  <c r="D48" i="26"/>
  <c r="C48" i="26"/>
  <c r="J49" i="3"/>
  <c r="R50" i="22" s="1"/>
  <c r="K48" i="5"/>
  <c r="H50" i="3"/>
  <c r="M49" i="12"/>
  <c r="I50" i="3"/>
  <c r="Q51" i="22" s="1"/>
  <c r="S51" i="22" s="1"/>
  <c r="I51" i="4"/>
  <c r="AF52" i="22" s="1"/>
  <c r="X50" i="12"/>
  <c r="H51" i="4"/>
  <c r="I50" i="5"/>
  <c r="J50" i="5" s="1"/>
  <c r="H50" i="5"/>
  <c r="A49" i="26"/>
  <c r="E52" i="5"/>
  <c r="F52" i="5" s="1"/>
  <c r="G51" i="5"/>
  <c r="AU50" i="22"/>
  <c r="AW50" i="22" s="1"/>
  <c r="N47" i="4"/>
  <c r="O47" i="4" s="1"/>
  <c r="AI50" i="22"/>
  <c r="AJ50" i="22" s="1"/>
  <c r="AK50" i="22" s="1"/>
  <c r="T49" i="22"/>
  <c r="U49" i="22" s="1"/>
  <c r="V49" i="22" s="1"/>
  <c r="P48" i="4"/>
  <c r="M47" i="3"/>
  <c r="Z47" i="13"/>
  <c r="P47" i="3"/>
  <c r="K48" i="3"/>
  <c r="E53" i="4"/>
  <c r="F53" i="4" s="1"/>
  <c r="G52" i="4"/>
  <c r="E52" i="3"/>
  <c r="F52" i="3" s="1"/>
  <c r="G51" i="3"/>
  <c r="M48" i="4"/>
  <c r="K49" i="4"/>
  <c r="AL48" i="13" l="1"/>
  <c r="AN48" i="13" s="1"/>
  <c r="AJ51" i="13"/>
  <c r="J51" i="4"/>
  <c r="AF49" i="13"/>
  <c r="AH49" i="13" s="1"/>
  <c r="A51" i="27"/>
  <c r="AD52" i="13"/>
  <c r="A50" i="25"/>
  <c r="D50" i="25" s="1"/>
  <c r="X51" i="13"/>
  <c r="D49" i="26"/>
  <c r="C49" i="26"/>
  <c r="P48" i="5"/>
  <c r="J50" i="3"/>
  <c r="R51" i="22" s="1"/>
  <c r="T51" i="22" s="1"/>
  <c r="U51" i="22" s="1"/>
  <c r="V51" i="22" s="1"/>
  <c r="M48" i="5"/>
  <c r="I51" i="3"/>
  <c r="Q52" i="22" s="1"/>
  <c r="S52" i="22" s="1"/>
  <c r="M50" i="12"/>
  <c r="H51" i="3"/>
  <c r="X51" i="12"/>
  <c r="I52" i="4"/>
  <c r="AF53" i="22" s="1"/>
  <c r="H52" i="4"/>
  <c r="I51" i="5"/>
  <c r="J51" i="5" s="1"/>
  <c r="H51" i="5"/>
  <c r="N47" i="3"/>
  <c r="O47" i="3" s="1"/>
  <c r="AU51" i="22"/>
  <c r="AV51" i="22"/>
  <c r="K50" i="5"/>
  <c r="A50" i="26"/>
  <c r="AV50" i="22"/>
  <c r="K49" i="5"/>
  <c r="E53" i="5"/>
  <c r="F53" i="5" s="1"/>
  <c r="G52" i="5"/>
  <c r="AH52" i="22"/>
  <c r="T50" i="22"/>
  <c r="U50" i="22" s="1"/>
  <c r="V50" i="22" s="1"/>
  <c r="E54" i="4"/>
  <c r="F54" i="4" s="1"/>
  <c r="G53" i="4"/>
  <c r="K49" i="3"/>
  <c r="E53" i="3"/>
  <c r="F53" i="3" s="1"/>
  <c r="G52" i="3"/>
  <c r="Z48" i="13"/>
  <c r="M48" i="3"/>
  <c r="P48" i="3"/>
  <c r="N48" i="4"/>
  <c r="O48" i="4" s="1"/>
  <c r="M49" i="4"/>
  <c r="P49" i="4"/>
  <c r="AG52" i="22"/>
  <c r="AI52" i="22" s="1"/>
  <c r="K50" i="4"/>
  <c r="AL50" i="13" l="1"/>
  <c r="AN50" i="13" s="1"/>
  <c r="AL49" i="13"/>
  <c r="AN49" i="13" s="1"/>
  <c r="AJ52" i="13"/>
  <c r="J52" i="4"/>
  <c r="AG53" i="22" s="1"/>
  <c r="AI53" i="22" s="1"/>
  <c r="A52" i="27"/>
  <c r="D52" i="27" s="1"/>
  <c r="AD53" i="13"/>
  <c r="AF50" i="13"/>
  <c r="AH50" i="13" s="1"/>
  <c r="D51" i="27"/>
  <c r="A51" i="25"/>
  <c r="D51" i="25" s="1"/>
  <c r="X52" i="13"/>
  <c r="D50" i="26"/>
  <c r="C50" i="26"/>
  <c r="P50" i="5"/>
  <c r="J51" i="3"/>
  <c r="R52" i="22" s="1"/>
  <c r="T52" i="22" s="1"/>
  <c r="U52" i="22" s="1"/>
  <c r="V52" i="22" s="1"/>
  <c r="N48" i="5"/>
  <c r="O48" i="5" s="1"/>
  <c r="I52" i="3"/>
  <c r="Q53" i="22" s="1"/>
  <c r="S53" i="22" s="1"/>
  <c r="H52" i="3"/>
  <c r="M51" i="12"/>
  <c r="X52" i="12"/>
  <c r="I53" i="4"/>
  <c r="AF54" i="22" s="1"/>
  <c r="H53" i="4"/>
  <c r="H52" i="5"/>
  <c r="I52" i="5"/>
  <c r="J52" i="5" s="1"/>
  <c r="M50" i="5"/>
  <c r="E54" i="5"/>
  <c r="F54" i="5" s="1"/>
  <c r="G53" i="5"/>
  <c r="AX51" i="22"/>
  <c r="AX50" i="22"/>
  <c r="AY50" i="22" s="1"/>
  <c r="AZ50" i="22" s="1"/>
  <c r="M49" i="5"/>
  <c r="P49" i="5"/>
  <c r="A51" i="26"/>
  <c r="AU52" i="22"/>
  <c r="AW52" i="22" s="1"/>
  <c r="AW51" i="22"/>
  <c r="AJ52" i="22"/>
  <c r="AK52" i="22" s="1"/>
  <c r="AH53" i="22"/>
  <c r="K50" i="3"/>
  <c r="P50" i="3" s="1"/>
  <c r="N48" i="3"/>
  <c r="O48" i="3" s="1"/>
  <c r="P49" i="3"/>
  <c r="Z49" i="13"/>
  <c r="M49" i="3"/>
  <c r="E55" i="4"/>
  <c r="F55" i="4" s="1"/>
  <c r="G54" i="4"/>
  <c r="E54" i="3"/>
  <c r="F54" i="3" s="1"/>
  <c r="G53" i="3"/>
  <c r="N49" i="4"/>
  <c r="O49" i="4" s="1"/>
  <c r="K51" i="4"/>
  <c r="M50" i="4"/>
  <c r="P50" i="4"/>
  <c r="AJ53" i="13" l="1"/>
  <c r="J52" i="3"/>
  <c r="J53" i="4"/>
  <c r="AF51" i="13"/>
  <c r="AH51" i="13" s="1"/>
  <c r="A53" i="27"/>
  <c r="D53" i="27" s="1"/>
  <c r="AD54" i="13"/>
  <c r="A52" i="25"/>
  <c r="X53" i="13"/>
  <c r="D51" i="26"/>
  <c r="C51" i="26"/>
  <c r="H53" i="3"/>
  <c r="M52" i="12"/>
  <c r="I53" i="3"/>
  <c r="J53" i="3" s="1"/>
  <c r="X53" i="12"/>
  <c r="I54" i="4"/>
  <c r="AF55" i="22" s="1"/>
  <c r="H54" i="4"/>
  <c r="N50" i="5"/>
  <c r="O50" i="5" s="1"/>
  <c r="H53" i="5"/>
  <c r="I53" i="5"/>
  <c r="J53" i="5" s="1"/>
  <c r="N49" i="5"/>
  <c r="O49" i="5" s="1"/>
  <c r="E55" i="5"/>
  <c r="F55" i="5" s="1"/>
  <c r="G54" i="5"/>
  <c r="AY51" i="22"/>
  <c r="AZ51" i="22" s="1"/>
  <c r="A52" i="26"/>
  <c r="AV52" i="22"/>
  <c r="AX52" i="22" s="1"/>
  <c r="AY52" i="22" s="1"/>
  <c r="AZ52" i="22" s="1"/>
  <c r="K51" i="5"/>
  <c r="AU53" i="22"/>
  <c r="AJ53" i="22"/>
  <c r="AK53" i="22" s="1"/>
  <c r="AH54" i="22"/>
  <c r="M50" i="3"/>
  <c r="Z50" i="13"/>
  <c r="P51" i="4"/>
  <c r="E55" i="3"/>
  <c r="F55" i="3" s="1"/>
  <c r="G54" i="3"/>
  <c r="K51" i="3"/>
  <c r="E56" i="4"/>
  <c r="F56" i="4" s="1"/>
  <c r="G55" i="4"/>
  <c r="N49" i="3"/>
  <c r="O49" i="3" s="1"/>
  <c r="R53" i="22"/>
  <c r="T53" i="22" s="1"/>
  <c r="U53" i="22" s="1"/>
  <c r="V53" i="22" s="1"/>
  <c r="K52" i="4"/>
  <c r="M51" i="4"/>
  <c r="N50" i="4"/>
  <c r="O50" i="4" s="1"/>
  <c r="AG54" i="22"/>
  <c r="AI54" i="22" s="1"/>
  <c r="AL51" i="13" l="1"/>
  <c r="AN51" i="13" s="1"/>
  <c r="AJ54" i="13"/>
  <c r="J54" i="4"/>
  <c r="A54" i="27"/>
  <c r="D54" i="27" s="1"/>
  <c r="AD55" i="13"/>
  <c r="AF52" i="13"/>
  <c r="AH52" i="13" s="1"/>
  <c r="A53" i="25"/>
  <c r="D53" i="25" s="1"/>
  <c r="X54" i="13"/>
  <c r="D52" i="25"/>
  <c r="D52" i="26"/>
  <c r="C52" i="26"/>
  <c r="Q54" i="22"/>
  <c r="S54" i="22" s="1"/>
  <c r="I54" i="3"/>
  <c r="Q55" i="22" s="1"/>
  <c r="H54" i="3"/>
  <c r="M53" i="12"/>
  <c r="I55" i="4"/>
  <c r="AF56" i="22" s="1"/>
  <c r="AH56" i="22" s="1"/>
  <c r="H55" i="4"/>
  <c r="X54" i="12"/>
  <c r="I54" i="5"/>
  <c r="J54" i="5" s="1"/>
  <c r="H54" i="5"/>
  <c r="M51" i="5"/>
  <c r="P51" i="5"/>
  <c r="A53" i="26"/>
  <c r="AV53" i="22"/>
  <c r="K52" i="5"/>
  <c r="AU54" i="22"/>
  <c r="AW54" i="22" s="1"/>
  <c r="AW53" i="22"/>
  <c r="E56" i="5"/>
  <c r="F56" i="5" s="1"/>
  <c r="G55" i="5"/>
  <c r="AJ54" i="22"/>
  <c r="AK54" i="22" s="1"/>
  <c r="AH55" i="22"/>
  <c r="N50" i="3"/>
  <c r="O50" i="3" s="1"/>
  <c r="K52" i="3"/>
  <c r="M52" i="4"/>
  <c r="R54" i="22"/>
  <c r="E56" i="3"/>
  <c r="F56" i="3" s="1"/>
  <c r="G55" i="3"/>
  <c r="E57" i="4"/>
  <c r="F57" i="4" s="1"/>
  <c r="G56" i="4"/>
  <c r="Z51" i="13"/>
  <c r="M51" i="3"/>
  <c r="P51" i="3"/>
  <c r="P52" i="4"/>
  <c r="N51" i="4"/>
  <c r="O51" i="4" s="1"/>
  <c r="AG55" i="22"/>
  <c r="AI55" i="22" s="1"/>
  <c r="K53" i="4"/>
  <c r="AL52" i="13" l="1"/>
  <c r="AN52" i="13" s="1"/>
  <c r="AJ55" i="13"/>
  <c r="J55" i="4"/>
  <c r="AG56" i="22" s="1"/>
  <c r="AI56" i="22" s="1"/>
  <c r="AJ56" i="22" s="1"/>
  <c r="AK56" i="22" s="1"/>
  <c r="A55" i="27"/>
  <c r="AD56" i="13"/>
  <c r="AF53" i="13"/>
  <c r="AH53" i="13" s="1"/>
  <c r="A54" i="25"/>
  <c r="X55" i="13"/>
  <c r="D53" i="26"/>
  <c r="C53" i="26"/>
  <c r="S55" i="22"/>
  <c r="J54" i="3"/>
  <c r="R55" i="22" s="1"/>
  <c r="H55" i="3"/>
  <c r="M54" i="12"/>
  <c r="I55" i="3"/>
  <c r="J55" i="3" s="1"/>
  <c r="X55" i="12"/>
  <c r="I56" i="4"/>
  <c r="AF57" i="22" s="1"/>
  <c r="H56" i="4"/>
  <c r="I55" i="5"/>
  <c r="J55" i="5" s="1"/>
  <c r="H55" i="5"/>
  <c r="AV54" i="22"/>
  <c r="AX54" i="22" s="1"/>
  <c r="AY54" i="22" s="1"/>
  <c r="AZ54" i="22" s="1"/>
  <c r="K53" i="5"/>
  <c r="E57" i="5"/>
  <c r="F57" i="5" s="1"/>
  <c r="G56" i="5"/>
  <c r="P52" i="5"/>
  <c r="M52" i="5"/>
  <c r="N51" i="5"/>
  <c r="O51" i="5" s="1"/>
  <c r="AU55" i="22"/>
  <c r="AW55" i="22" s="1"/>
  <c r="AV55" i="22"/>
  <c r="A54" i="26"/>
  <c r="AX53" i="22"/>
  <c r="AY53" i="22" s="1"/>
  <c r="AZ53" i="22" s="1"/>
  <c r="AJ55" i="22"/>
  <c r="AK55" i="22" s="1"/>
  <c r="T54" i="22"/>
  <c r="U54" i="22" s="1"/>
  <c r="V54" i="22" s="1"/>
  <c r="N52" i="4"/>
  <c r="O52" i="4" s="1"/>
  <c r="N51" i="3"/>
  <c r="O51" i="3" s="1"/>
  <c r="E57" i="3"/>
  <c r="F57" i="3" s="1"/>
  <c r="G56" i="3"/>
  <c r="E58" i="4"/>
  <c r="F58" i="4" s="1"/>
  <c r="G57" i="4"/>
  <c r="K53" i="3"/>
  <c r="M52" i="3"/>
  <c r="Z52" i="13"/>
  <c r="P52" i="3"/>
  <c r="N52" i="3"/>
  <c r="O52" i="3" s="1"/>
  <c r="M53" i="4"/>
  <c r="P53" i="4"/>
  <c r="K54" i="4"/>
  <c r="AL53" i="13" l="1"/>
  <c r="AN53" i="13" s="1"/>
  <c r="AJ56" i="13"/>
  <c r="Q56" i="22"/>
  <c r="J56" i="4"/>
  <c r="AG57" i="22" s="1"/>
  <c r="D55" i="27"/>
  <c r="AF54" i="13"/>
  <c r="AH54" i="13" s="1"/>
  <c r="A56" i="27"/>
  <c r="AD57" i="13"/>
  <c r="D54" i="25"/>
  <c r="A55" i="25"/>
  <c r="D55" i="25" s="1"/>
  <c r="X56" i="13"/>
  <c r="D54" i="26"/>
  <c r="C54" i="26"/>
  <c r="I56" i="3"/>
  <c r="Q57" i="22" s="1"/>
  <c r="M55" i="12"/>
  <c r="H56" i="3"/>
  <c r="X56" i="12"/>
  <c r="H57" i="4"/>
  <c r="I57" i="4"/>
  <c r="AF58" i="22" s="1"/>
  <c r="AH58" i="22" s="1"/>
  <c r="H56" i="5"/>
  <c r="I56" i="5"/>
  <c r="J56" i="5" s="1"/>
  <c r="N52" i="5"/>
  <c r="O52" i="5" s="1"/>
  <c r="K54" i="5"/>
  <c r="E58" i="5"/>
  <c r="F58" i="5" s="1"/>
  <c r="G57" i="5"/>
  <c r="M53" i="5"/>
  <c r="P53" i="5"/>
  <c r="AU56" i="22"/>
  <c r="A55" i="26"/>
  <c r="AX55" i="22"/>
  <c r="AY55" i="22" s="1"/>
  <c r="AZ55" i="22" s="1"/>
  <c r="AH57" i="22"/>
  <c r="S56" i="22"/>
  <c r="T55" i="22"/>
  <c r="U55" i="22" s="1"/>
  <c r="V55" i="22" s="1"/>
  <c r="E59" i="4"/>
  <c r="F59" i="4" s="1"/>
  <c r="G58" i="4"/>
  <c r="E58" i="3"/>
  <c r="F58" i="3" s="1"/>
  <c r="G57" i="3"/>
  <c r="P53" i="3"/>
  <c r="Z53" i="13"/>
  <c r="M53" i="3"/>
  <c r="R56" i="22"/>
  <c r="T56" i="22" s="1"/>
  <c r="K54" i="3"/>
  <c r="N53" i="4"/>
  <c r="O53" i="4" s="1"/>
  <c r="M54" i="4"/>
  <c r="P54" i="4"/>
  <c r="K55" i="4"/>
  <c r="AJ57" i="13" l="1"/>
  <c r="AL54" i="13"/>
  <c r="AN54" i="13" s="1"/>
  <c r="J57" i="4"/>
  <c r="A58" i="27"/>
  <c r="D58" i="27" s="1"/>
  <c r="AD59" i="13"/>
  <c r="A57" i="27"/>
  <c r="AD58" i="13"/>
  <c r="D56" i="27"/>
  <c r="AF55" i="13"/>
  <c r="AH55" i="13" s="1"/>
  <c r="A56" i="25"/>
  <c r="D56" i="25" s="1"/>
  <c r="X57" i="13"/>
  <c r="J56" i="3"/>
  <c r="D55" i="26"/>
  <c r="C55" i="26"/>
  <c r="H57" i="3"/>
  <c r="I57" i="3"/>
  <c r="Q58" i="22" s="1"/>
  <c r="M56" i="12"/>
  <c r="I59" i="4"/>
  <c r="AF60" i="22" s="1"/>
  <c r="X58" i="12"/>
  <c r="X57" i="12"/>
  <c r="H58" i="4"/>
  <c r="I58" i="4"/>
  <c r="AF59" i="22" s="1"/>
  <c r="P54" i="5"/>
  <c r="M54" i="5"/>
  <c r="I57" i="5"/>
  <c r="J57" i="5" s="1"/>
  <c r="H57" i="5"/>
  <c r="N53" i="5"/>
  <c r="O53" i="5" s="1"/>
  <c r="AV56" i="22"/>
  <c r="K55" i="5"/>
  <c r="E59" i="5"/>
  <c r="F59" i="5" s="1"/>
  <c r="G58" i="5"/>
  <c r="AU57" i="22"/>
  <c r="AW57" i="22" s="1"/>
  <c r="AV57" i="22"/>
  <c r="A56" i="26"/>
  <c r="AW56" i="22"/>
  <c r="AI57" i="22"/>
  <c r="AJ57" i="22" s="1"/>
  <c r="AK57" i="22" s="1"/>
  <c r="U56" i="22"/>
  <c r="V56" i="22" s="1"/>
  <c r="S57" i="22"/>
  <c r="M54" i="3"/>
  <c r="Z54" i="13"/>
  <c r="P54" i="3"/>
  <c r="E59" i="3"/>
  <c r="F59" i="3" s="1"/>
  <c r="G58" i="3"/>
  <c r="K55" i="3"/>
  <c r="R57" i="22"/>
  <c r="E60" i="4"/>
  <c r="F60" i="4" s="1"/>
  <c r="G59" i="4"/>
  <c r="H59" i="4" s="1"/>
  <c r="N53" i="3"/>
  <c r="O53" i="3" s="1"/>
  <c r="N54" i="4"/>
  <c r="O54" i="4" s="1"/>
  <c r="AG58" i="22"/>
  <c r="K56" i="4"/>
  <c r="M55" i="4"/>
  <c r="P55" i="4"/>
  <c r="AJ58" i="13" l="1"/>
  <c r="AL55" i="13"/>
  <c r="AN55" i="13" s="1"/>
  <c r="J58" i="4"/>
  <c r="AG59" i="22" s="1"/>
  <c r="AI59" i="22" s="1"/>
  <c r="J59" i="4"/>
  <c r="AG60" i="22" s="1"/>
  <c r="D57" i="27"/>
  <c r="A59" i="27"/>
  <c r="D59" i="27" s="1"/>
  <c r="AD60" i="13"/>
  <c r="AF56" i="13"/>
  <c r="AH56" i="13" s="1"/>
  <c r="A57" i="25"/>
  <c r="D57" i="25" s="1"/>
  <c r="X58" i="13"/>
  <c r="D56" i="26"/>
  <c r="C56" i="26"/>
  <c r="N54" i="5"/>
  <c r="O54" i="5" s="1"/>
  <c r="N54" i="3"/>
  <c r="O54" i="3" s="1"/>
  <c r="J57" i="3"/>
  <c r="R58" i="22" s="1"/>
  <c r="I58" i="3"/>
  <c r="J58" i="3" s="1"/>
  <c r="M57" i="12"/>
  <c r="H58" i="3"/>
  <c r="X59" i="12"/>
  <c r="I60" i="4"/>
  <c r="J60" i="4" s="1"/>
  <c r="I58" i="5"/>
  <c r="J58" i="5" s="1"/>
  <c r="H58" i="5"/>
  <c r="K56" i="5"/>
  <c r="E60" i="5"/>
  <c r="F60" i="5" s="1"/>
  <c r="G59" i="5"/>
  <c r="P55" i="5"/>
  <c r="M55" i="5"/>
  <c r="AU58" i="22"/>
  <c r="AW58" i="22" s="1"/>
  <c r="A57" i="26"/>
  <c r="AX57" i="22"/>
  <c r="AY57" i="22" s="1"/>
  <c r="AZ57" i="22" s="1"/>
  <c r="AX56" i="22"/>
  <c r="AY56" i="22" s="1"/>
  <c r="AZ56" i="22" s="1"/>
  <c r="AI58" i="22"/>
  <c r="AJ58" i="22" s="1"/>
  <c r="AH60" i="22"/>
  <c r="AH59" i="22"/>
  <c r="AL56" i="22"/>
  <c r="AL7" i="22"/>
  <c r="AL6" i="22"/>
  <c r="AL8" i="22"/>
  <c r="AL9" i="22"/>
  <c r="AL10" i="22"/>
  <c r="AL14" i="22"/>
  <c r="AL11" i="22"/>
  <c r="AL12" i="22"/>
  <c r="AL13" i="22"/>
  <c r="AL15" i="22"/>
  <c r="AL16" i="22"/>
  <c r="AL17" i="22"/>
  <c r="AL18" i="22"/>
  <c r="AL19" i="22"/>
  <c r="AL21" i="22"/>
  <c r="AL22" i="22"/>
  <c r="AL20" i="22"/>
  <c r="AL23" i="22"/>
  <c r="AL25" i="22"/>
  <c r="AL24" i="22"/>
  <c r="AL26" i="22"/>
  <c r="AL28" i="22"/>
  <c r="AL29" i="22"/>
  <c r="AL30" i="22"/>
  <c r="AL27" i="22"/>
  <c r="AL33" i="22"/>
  <c r="AL32" i="22"/>
  <c r="AL31" i="22"/>
  <c r="AL34" i="22"/>
  <c r="AL35" i="22"/>
  <c r="AL36" i="22"/>
  <c r="AL41" i="22"/>
  <c r="AL37" i="22"/>
  <c r="AL39" i="22"/>
  <c r="AL38" i="22"/>
  <c r="AL42" i="22"/>
  <c r="AL40" i="22"/>
  <c r="AL43" i="22"/>
  <c r="AL45" i="22"/>
  <c r="AL44" i="22"/>
  <c r="AL46" i="22"/>
  <c r="AL47" i="22"/>
  <c r="AL49" i="22"/>
  <c r="AL53" i="22"/>
  <c r="AL50" i="22"/>
  <c r="AL54" i="22"/>
  <c r="AL55" i="22"/>
  <c r="AL51" i="22"/>
  <c r="AL48" i="22"/>
  <c r="AL52" i="22"/>
  <c r="T57" i="22"/>
  <c r="U57" i="22" s="1"/>
  <c r="V57" i="22" s="1"/>
  <c r="S58" i="22"/>
  <c r="E61" i="4"/>
  <c r="F61" i="4" s="1"/>
  <c r="G60" i="4"/>
  <c r="H60" i="4" s="1"/>
  <c r="Z55" i="13"/>
  <c r="M55" i="3"/>
  <c r="P55" i="3"/>
  <c r="E60" i="3"/>
  <c r="F60" i="3" s="1"/>
  <c r="G59" i="3"/>
  <c r="K56" i="3"/>
  <c r="N55" i="4"/>
  <c r="O55" i="4" s="1"/>
  <c r="K58" i="4"/>
  <c r="M56" i="4"/>
  <c r="P56" i="4"/>
  <c r="K57" i="4"/>
  <c r="AJ59" i="13" l="1"/>
  <c r="AL56" i="13"/>
  <c r="AN56" i="13" s="1"/>
  <c r="Q59" i="22"/>
  <c r="AI60" i="22"/>
  <c r="AJ60" i="22" s="1"/>
  <c r="AF61" i="22"/>
  <c r="AH61" i="22" s="1"/>
  <c r="AF58" i="13"/>
  <c r="AH58" i="13" s="1"/>
  <c r="A60" i="27"/>
  <c r="D60" i="27" s="1"/>
  <c r="AD61" i="13"/>
  <c r="AF57" i="13"/>
  <c r="AH57" i="13" s="1"/>
  <c r="A58" i="25"/>
  <c r="D58" i="25" s="1"/>
  <c r="X59" i="13"/>
  <c r="D57" i="26"/>
  <c r="C57" i="26"/>
  <c r="M56" i="5"/>
  <c r="H59" i="3"/>
  <c r="I59" i="3"/>
  <c r="Q60" i="22" s="1"/>
  <c r="S60" i="22" s="1"/>
  <c r="M58" i="12"/>
  <c r="X60" i="12"/>
  <c r="I61" i="4"/>
  <c r="AF62" i="22" s="1"/>
  <c r="I59" i="5"/>
  <c r="J59" i="5" s="1"/>
  <c r="H59" i="5"/>
  <c r="P56" i="5"/>
  <c r="AJ59" i="22"/>
  <c r="A58" i="26"/>
  <c r="N55" i="5"/>
  <c r="O55" i="5" s="1"/>
  <c r="E61" i="5"/>
  <c r="F61" i="5" s="1"/>
  <c r="G60" i="5"/>
  <c r="AV58" i="22"/>
  <c r="K57" i="5"/>
  <c r="AU59" i="22"/>
  <c r="AW59" i="22" s="1"/>
  <c r="S59" i="22"/>
  <c r="T58" i="22"/>
  <c r="U58" i="22" s="1"/>
  <c r="V58" i="22" s="1"/>
  <c r="K57" i="3"/>
  <c r="Z57" i="13" s="1"/>
  <c r="E62" i="4"/>
  <c r="F62" i="4" s="1"/>
  <c r="G61" i="4"/>
  <c r="H61" i="4" s="1"/>
  <c r="N55" i="3"/>
  <c r="O55" i="3" s="1"/>
  <c r="E61" i="3"/>
  <c r="F61" i="3" s="1"/>
  <c r="G60" i="3"/>
  <c r="R59" i="22"/>
  <c r="P56" i="3"/>
  <c r="Z56" i="13"/>
  <c r="M56" i="3"/>
  <c r="M58" i="4"/>
  <c r="P58" i="4"/>
  <c r="K59" i="4"/>
  <c r="N56" i="4"/>
  <c r="O56" i="4" s="1"/>
  <c r="AG61" i="22"/>
  <c r="M57" i="4"/>
  <c r="P57" i="4"/>
  <c r="AL57" i="13" l="1"/>
  <c r="AN57" i="13" s="1"/>
  <c r="AJ60" i="13"/>
  <c r="J61" i="4"/>
  <c r="AG62" i="22" s="1"/>
  <c r="AI62" i="22" s="1"/>
  <c r="A61" i="27"/>
  <c r="D61" i="27" s="1"/>
  <c r="AD62" i="13"/>
  <c r="AF59" i="13"/>
  <c r="AH59" i="13" s="1"/>
  <c r="A59" i="25"/>
  <c r="X60" i="13"/>
  <c r="D58" i="26"/>
  <c r="C58" i="26"/>
  <c r="N56" i="5"/>
  <c r="O56" i="5" s="1"/>
  <c r="J59" i="3"/>
  <c r="R60" i="22" s="1"/>
  <c r="T60" i="22" s="1"/>
  <c r="U60" i="22" s="1"/>
  <c r="V60" i="22" s="1"/>
  <c r="I60" i="3"/>
  <c r="J60" i="3" s="1"/>
  <c r="H60" i="3"/>
  <c r="M59" i="12"/>
  <c r="X61" i="12"/>
  <c r="I62" i="4"/>
  <c r="AF63" i="22" s="1"/>
  <c r="H60" i="5"/>
  <c r="I60" i="5"/>
  <c r="J60" i="5" s="1"/>
  <c r="N58" i="4"/>
  <c r="O58" i="4" s="1"/>
  <c r="AX58" i="22"/>
  <c r="AY58" i="22" s="1"/>
  <c r="AZ58" i="22" s="1"/>
  <c r="A59" i="26"/>
  <c r="AV59" i="22"/>
  <c r="K58" i="5"/>
  <c r="P57" i="5"/>
  <c r="M57" i="5"/>
  <c r="E62" i="5"/>
  <c r="F62" i="5" s="1"/>
  <c r="G61" i="5"/>
  <c r="AU60" i="22"/>
  <c r="AI61" i="22"/>
  <c r="AJ61" i="22" s="1"/>
  <c r="AH62" i="22"/>
  <c r="T59" i="22"/>
  <c r="U59" i="22" s="1"/>
  <c r="V59" i="22" s="1"/>
  <c r="N56" i="3"/>
  <c r="O56" i="3" s="1"/>
  <c r="P57" i="3"/>
  <c r="M57" i="3"/>
  <c r="P59" i="4"/>
  <c r="E62" i="3"/>
  <c r="F62" i="3" s="1"/>
  <c r="G61" i="3"/>
  <c r="E63" i="4"/>
  <c r="F63" i="4" s="1"/>
  <c r="G62" i="4"/>
  <c r="H62" i="4" s="1"/>
  <c r="K58" i="3"/>
  <c r="M59" i="4"/>
  <c r="K60" i="4"/>
  <c r="N57" i="4"/>
  <c r="O57" i="4" s="1"/>
  <c r="AL58" i="13" l="1"/>
  <c r="AN58" i="13" s="1"/>
  <c r="AJ61" i="13"/>
  <c r="J62" i="4"/>
  <c r="AG63" i="22" s="1"/>
  <c r="A62" i="27"/>
  <c r="AD63" i="13"/>
  <c r="AF60" i="13"/>
  <c r="AH60" i="13" s="1"/>
  <c r="D59" i="25"/>
  <c r="A60" i="25"/>
  <c r="D60" i="25" s="1"/>
  <c r="X61" i="13"/>
  <c r="D59" i="26"/>
  <c r="C59" i="26"/>
  <c r="Q61" i="22"/>
  <c r="S61" i="22" s="1"/>
  <c r="H61" i="3"/>
  <c r="M60" i="12"/>
  <c r="I61" i="3"/>
  <c r="Q62" i="22" s="1"/>
  <c r="I63" i="4"/>
  <c r="AF64" i="22" s="1"/>
  <c r="X62" i="12"/>
  <c r="I61" i="5"/>
  <c r="J61" i="5" s="1"/>
  <c r="H61" i="5"/>
  <c r="AW60" i="22"/>
  <c r="AU61" i="22"/>
  <c r="AW61" i="22" s="1"/>
  <c r="AV61" i="22"/>
  <c r="A60" i="26"/>
  <c r="N57" i="5"/>
  <c r="O57" i="5" s="1"/>
  <c r="AV60" i="22"/>
  <c r="AX60" i="22" s="1"/>
  <c r="K59" i="5"/>
  <c r="E63" i="5"/>
  <c r="F63" i="5" s="1"/>
  <c r="G62" i="5"/>
  <c r="P58" i="5"/>
  <c r="M58" i="5"/>
  <c r="AX59" i="22"/>
  <c r="AY59" i="22" s="1"/>
  <c r="AZ59" i="22" s="1"/>
  <c r="AJ62" i="22"/>
  <c r="AH63" i="22"/>
  <c r="N57" i="3"/>
  <c r="O57" i="3" s="1"/>
  <c r="E64" i="4"/>
  <c r="F64" i="4" s="1"/>
  <c r="G63" i="4"/>
  <c r="H63" i="4" s="1"/>
  <c r="R61" i="22"/>
  <c r="E63" i="3"/>
  <c r="F63" i="3" s="1"/>
  <c r="G62" i="3"/>
  <c r="K59" i="3"/>
  <c r="P58" i="3"/>
  <c r="Z58" i="13"/>
  <c r="M58" i="3"/>
  <c r="N59" i="4"/>
  <c r="O59" i="4" s="1"/>
  <c r="K61" i="4"/>
  <c r="M60" i="4"/>
  <c r="P60" i="4"/>
  <c r="AJ62" i="13" l="1"/>
  <c r="AL59" i="13"/>
  <c r="AN59" i="13" s="1"/>
  <c r="J63" i="4"/>
  <c r="AG64" i="22" s="1"/>
  <c r="D62" i="27"/>
  <c r="AF61" i="13"/>
  <c r="AH61" i="13" s="1"/>
  <c r="A63" i="27"/>
  <c r="D63" i="27" s="1"/>
  <c r="AD64" i="13"/>
  <c r="A61" i="25"/>
  <c r="X62" i="13"/>
  <c r="D60" i="26"/>
  <c r="C60" i="26"/>
  <c r="J61" i="3"/>
  <c r="R62" i="22" s="1"/>
  <c r="I62" i="3"/>
  <c r="Q63" i="22" s="1"/>
  <c r="H62" i="3"/>
  <c r="M61" i="12"/>
  <c r="X63" i="12"/>
  <c r="I64" i="4"/>
  <c r="AF65" i="22" s="1"/>
  <c r="AH65" i="22" s="1"/>
  <c r="I62" i="5"/>
  <c r="J62" i="5" s="1"/>
  <c r="H62" i="5"/>
  <c r="AY60" i="22"/>
  <c r="AZ60" i="22" s="1"/>
  <c r="N58" i="5"/>
  <c r="O58" i="5" s="1"/>
  <c r="K60" i="5"/>
  <c r="E64" i="5"/>
  <c r="F64" i="5" s="1"/>
  <c r="G63" i="5"/>
  <c r="P59" i="5"/>
  <c r="M59" i="5"/>
  <c r="A61" i="26"/>
  <c r="AX61" i="22"/>
  <c r="AY61" i="22" s="1"/>
  <c r="AZ61" i="22" s="1"/>
  <c r="AU62" i="22"/>
  <c r="AI63" i="22"/>
  <c r="AJ63" i="22" s="1"/>
  <c r="AH64" i="22"/>
  <c r="T61" i="22"/>
  <c r="U61" i="22" s="1"/>
  <c r="V61" i="22" s="1"/>
  <c r="S62" i="22"/>
  <c r="N58" i="3"/>
  <c r="O58" i="3" s="1"/>
  <c r="P61" i="4"/>
  <c r="E64" i="3"/>
  <c r="F64" i="3" s="1"/>
  <c r="G63" i="3"/>
  <c r="E65" i="4"/>
  <c r="F65" i="4" s="1"/>
  <c r="G64" i="4"/>
  <c r="H64" i="4" s="1"/>
  <c r="K60" i="3"/>
  <c r="M59" i="3"/>
  <c r="Z59" i="13"/>
  <c r="P59" i="3"/>
  <c r="M61" i="4"/>
  <c r="K62" i="4"/>
  <c r="N60" i="4"/>
  <c r="O60" i="4" s="1"/>
  <c r="AJ63" i="13" l="1"/>
  <c r="AL60" i="13"/>
  <c r="AN60" i="13" s="1"/>
  <c r="J64" i="4"/>
  <c r="A64" i="27"/>
  <c r="AD65" i="13"/>
  <c r="AF62" i="13"/>
  <c r="AH62" i="13" s="1"/>
  <c r="A62" i="25"/>
  <c r="D62" i="25" s="1"/>
  <c r="X63" i="13"/>
  <c r="D61" i="25"/>
  <c r="D61" i="26"/>
  <c r="C61" i="26"/>
  <c r="J62" i="3"/>
  <c r="R63" i="22" s="1"/>
  <c r="I63" i="3"/>
  <c r="J63" i="3" s="1"/>
  <c r="H63" i="3"/>
  <c r="M62" i="12"/>
  <c r="I65" i="4"/>
  <c r="AF66" i="22" s="1"/>
  <c r="AH66" i="22" s="1"/>
  <c r="X64" i="12"/>
  <c r="M60" i="5"/>
  <c r="P60" i="5"/>
  <c r="I63" i="5"/>
  <c r="J63" i="5" s="1"/>
  <c r="H63" i="5"/>
  <c r="AV62" i="22"/>
  <c r="K61" i="5"/>
  <c r="AW62" i="22"/>
  <c r="A62" i="26"/>
  <c r="AU63" i="22"/>
  <c r="AW63" i="22" s="1"/>
  <c r="AV63" i="22"/>
  <c r="N59" i="5"/>
  <c r="O59" i="5" s="1"/>
  <c r="E65" i="5"/>
  <c r="F65" i="5" s="1"/>
  <c r="G64" i="5"/>
  <c r="AI64" i="22"/>
  <c r="AJ64" i="22" s="1"/>
  <c r="T62" i="22"/>
  <c r="U62" i="22" s="1"/>
  <c r="V62" i="22" s="1"/>
  <c r="S63" i="22"/>
  <c r="N59" i="3"/>
  <c r="O59" i="3" s="1"/>
  <c r="K61" i="3"/>
  <c r="Z60" i="13"/>
  <c r="M60" i="3"/>
  <c r="P60" i="3"/>
  <c r="E66" i="4"/>
  <c r="F66" i="4" s="1"/>
  <c r="G65" i="4"/>
  <c r="H65" i="4" s="1"/>
  <c r="E65" i="3"/>
  <c r="F65" i="3" s="1"/>
  <c r="G64" i="3"/>
  <c r="N61" i="4"/>
  <c r="O61" i="4" s="1"/>
  <c r="P62" i="4"/>
  <c r="M62" i="4"/>
  <c r="K63" i="4"/>
  <c r="AG65" i="22"/>
  <c r="AL61" i="13" l="1"/>
  <c r="AN61" i="13" s="1"/>
  <c r="AJ64" i="13"/>
  <c r="N60" i="5"/>
  <c r="O60" i="5" s="1"/>
  <c r="D64" i="27"/>
  <c r="J65" i="4"/>
  <c r="AG66" i="22" s="1"/>
  <c r="AI66" i="22" s="1"/>
  <c r="AJ66" i="22" s="1"/>
  <c r="AF63" i="13"/>
  <c r="AH63" i="13" s="1"/>
  <c r="A65" i="27"/>
  <c r="AD66" i="13"/>
  <c r="A63" i="25"/>
  <c r="D63" i="25" s="1"/>
  <c r="X64" i="13"/>
  <c r="Q64" i="22"/>
  <c r="S64" i="22" s="1"/>
  <c r="D62" i="26"/>
  <c r="C62" i="26"/>
  <c r="I64" i="3"/>
  <c r="J64" i="3" s="1"/>
  <c r="H64" i="3"/>
  <c r="M63" i="12"/>
  <c r="X65" i="12"/>
  <c r="I66" i="4"/>
  <c r="J66" i="4" s="1"/>
  <c r="H64" i="5"/>
  <c r="I64" i="5"/>
  <c r="J64" i="5" s="1"/>
  <c r="E66" i="5"/>
  <c r="F66" i="5" s="1"/>
  <c r="G65" i="5"/>
  <c r="AU64" i="22"/>
  <c r="M61" i="5"/>
  <c r="P61" i="5"/>
  <c r="K62" i="5"/>
  <c r="A63" i="26"/>
  <c r="AX62" i="22"/>
  <c r="AY62" i="22" s="1"/>
  <c r="AZ62" i="22" s="1"/>
  <c r="AX63" i="22"/>
  <c r="AY63" i="22" s="1"/>
  <c r="AZ63" i="22" s="1"/>
  <c r="N62" i="4"/>
  <c r="O62" i="4" s="1"/>
  <c r="AI65" i="22"/>
  <c r="AJ65" i="22" s="1"/>
  <c r="T63" i="22"/>
  <c r="U63" i="22" s="1"/>
  <c r="V63" i="22" s="1"/>
  <c r="R64" i="22"/>
  <c r="E67" i="4"/>
  <c r="F67" i="4" s="1"/>
  <c r="G66" i="4"/>
  <c r="H66" i="4" s="1"/>
  <c r="M63" i="4"/>
  <c r="E66" i="3"/>
  <c r="F66" i="3" s="1"/>
  <c r="G65" i="3"/>
  <c r="N60" i="3"/>
  <c r="O60" i="3" s="1"/>
  <c r="P61" i="3"/>
  <c r="Z61" i="13"/>
  <c r="M61" i="3"/>
  <c r="K62" i="3"/>
  <c r="P63" i="4"/>
  <c r="K64" i="4"/>
  <c r="AJ65" i="13" l="1"/>
  <c r="AL62" i="13"/>
  <c r="AN62" i="13" s="1"/>
  <c r="AF67" i="22"/>
  <c r="N63" i="4"/>
  <c r="O63" i="4" s="1"/>
  <c r="A66" i="27"/>
  <c r="D66" i="27" s="1"/>
  <c r="AD67" i="13"/>
  <c r="D65" i="27"/>
  <c r="AF64" i="13"/>
  <c r="AH64" i="13" s="1"/>
  <c r="A64" i="25"/>
  <c r="X65" i="13"/>
  <c r="D63" i="26"/>
  <c r="C63" i="26"/>
  <c r="Q65" i="22"/>
  <c r="S65" i="22" s="1"/>
  <c r="H65" i="3"/>
  <c r="M64" i="12"/>
  <c r="I65" i="3"/>
  <c r="J65" i="3" s="1"/>
  <c r="I67" i="4"/>
  <c r="AF68" i="22" s="1"/>
  <c r="X66" i="12"/>
  <c r="H65" i="5"/>
  <c r="I65" i="5"/>
  <c r="J65" i="5" s="1"/>
  <c r="N61" i="5"/>
  <c r="O61" i="5" s="1"/>
  <c r="AW64" i="22"/>
  <c r="AU65" i="22"/>
  <c r="AW65" i="22" s="1"/>
  <c r="AV65" i="22"/>
  <c r="A64" i="26"/>
  <c r="M62" i="5"/>
  <c r="P62" i="5"/>
  <c r="AV64" i="22"/>
  <c r="K63" i="5"/>
  <c r="E67" i="5"/>
  <c r="F67" i="5" s="1"/>
  <c r="G66" i="5"/>
  <c r="AH67" i="22"/>
  <c r="T64" i="22"/>
  <c r="U64" i="22" s="1"/>
  <c r="V64" i="22" s="1"/>
  <c r="N61" i="3"/>
  <c r="O61" i="3" s="1"/>
  <c r="R65" i="22"/>
  <c r="M62" i="3"/>
  <c r="Z62" i="13"/>
  <c r="P62" i="3"/>
  <c r="E67" i="3"/>
  <c r="F67" i="3" s="1"/>
  <c r="G66" i="3"/>
  <c r="E68" i="4"/>
  <c r="F68" i="4" s="1"/>
  <c r="G67" i="4"/>
  <c r="H67" i="4" s="1"/>
  <c r="K63" i="3"/>
  <c r="K65" i="4"/>
  <c r="M64" i="4"/>
  <c r="P64" i="4"/>
  <c r="AG67" i="22"/>
  <c r="AI67" i="22" s="1"/>
  <c r="AJ66" i="13" l="1"/>
  <c r="AL63" i="13"/>
  <c r="AN63" i="13" s="1"/>
  <c r="J67" i="4"/>
  <c r="AF65" i="13"/>
  <c r="AH65" i="13" s="1"/>
  <c r="Q66" i="22"/>
  <c r="S66" i="22" s="1"/>
  <c r="A65" i="25"/>
  <c r="D65" i="25" s="1"/>
  <c r="X66" i="13"/>
  <c r="D64" i="25"/>
  <c r="D64" i="26"/>
  <c r="C64" i="26"/>
  <c r="H66" i="3"/>
  <c r="M65" i="12"/>
  <c r="I66" i="3"/>
  <c r="J66" i="3" s="1"/>
  <c r="I66" i="5"/>
  <c r="J66" i="5" s="1"/>
  <c r="H66" i="5"/>
  <c r="E68" i="5"/>
  <c r="F68" i="5" s="1"/>
  <c r="G67" i="5"/>
  <c r="A65" i="26"/>
  <c r="AX65" i="22"/>
  <c r="AY65" i="22" s="1"/>
  <c r="AZ65" i="22" s="1"/>
  <c r="AX64" i="22"/>
  <c r="AY64" i="22" s="1"/>
  <c r="AZ64" i="22" s="1"/>
  <c r="K64" i="5"/>
  <c r="P63" i="5"/>
  <c r="M63" i="5"/>
  <c r="N62" i="5"/>
  <c r="O62" i="5" s="1"/>
  <c r="AU66" i="22"/>
  <c r="AJ67" i="22"/>
  <c r="AH68" i="22"/>
  <c r="T65" i="22"/>
  <c r="U65" i="22" s="1"/>
  <c r="V65" i="22" s="1"/>
  <c r="E69" i="4"/>
  <c r="F69" i="4" s="1"/>
  <c r="G68" i="4"/>
  <c r="K64" i="3"/>
  <c r="P63" i="3"/>
  <c r="Z63" i="13"/>
  <c r="M63" i="3"/>
  <c r="E68" i="3"/>
  <c r="F68" i="3" s="1"/>
  <c r="G67" i="3"/>
  <c r="R66" i="22"/>
  <c r="N62" i="3"/>
  <c r="O62" i="3" s="1"/>
  <c r="P65" i="4"/>
  <c r="M65" i="4"/>
  <c r="N64" i="4"/>
  <c r="O64" i="4" s="1"/>
  <c r="AG68" i="22"/>
  <c r="K66" i="4"/>
  <c r="AJ67" i="13" l="1"/>
  <c r="AL64" i="13"/>
  <c r="AN64" i="13" s="1"/>
  <c r="A68" i="27"/>
  <c r="D68" i="27" s="1"/>
  <c r="AD69" i="13"/>
  <c r="A67" i="27"/>
  <c r="AD68" i="13"/>
  <c r="AF66" i="13"/>
  <c r="AH66" i="13" s="1"/>
  <c r="A66" i="25"/>
  <c r="X67" i="13"/>
  <c r="D65" i="26"/>
  <c r="C65" i="26"/>
  <c r="Q67" i="22"/>
  <c r="S67" i="22" s="1"/>
  <c r="I67" i="3"/>
  <c r="Q68" i="22" s="1"/>
  <c r="H67" i="3"/>
  <c r="M66" i="12"/>
  <c r="X68" i="12"/>
  <c r="I69" i="4"/>
  <c r="AF70" i="22" s="1"/>
  <c r="X67" i="12"/>
  <c r="H68" i="4"/>
  <c r="I68" i="4"/>
  <c r="AF69" i="22" s="1"/>
  <c r="H67" i="5"/>
  <c r="I67" i="5"/>
  <c r="J67" i="5" s="1"/>
  <c r="N63" i="5"/>
  <c r="O63" i="5" s="1"/>
  <c r="N65" i="4"/>
  <c r="O65" i="4" s="1"/>
  <c r="AV66" i="22"/>
  <c r="K65" i="5"/>
  <c r="P64" i="5"/>
  <c r="M64" i="5"/>
  <c r="E69" i="5"/>
  <c r="F69" i="5" s="1"/>
  <c r="G68" i="5"/>
  <c r="AW66" i="22"/>
  <c r="AU67" i="22"/>
  <c r="A66" i="26"/>
  <c r="AI68" i="22"/>
  <c r="AJ68" i="22" s="1"/>
  <c r="T66" i="22"/>
  <c r="U66" i="22" s="1"/>
  <c r="V66" i="22" s="1"/>
  <c r="R67" i="22"/>
  <c r="T67" i="22" s="1"/>
  <c r="K65" i="3"/>
  <c r="Z64" i="13"/>
  <c r="M64" i="3"/>
  <c r="P64" i="3"/>
  <c r="N63" i="3"/>
  <c r="O63" i="3" s="1"/>
  <c r="E69" i="3"/>
  <c r="F69" i="3" s="1"/>
  <c r="G68" i="3"/>
  <c r="E70" i="4"/>
  <c r="F70" i="4" s="1"/>
  <c r="G69" i="4"/>
  <c r="H69" i="4" s="1"/>
  <c r="K67" i="4"/>
  <c r="M66" i="4"/>
  <c r="P66" i="4"/>
  <c r="AJ68" i="13" l="1"/>
  <c r="AL65" i="13"/>
  <c r="AN65" i="13" s="1"/>
  <c r="J69" i="4"/>
  <c r="AG70" i="22" s="1"/>
  <c r="D67" i="27"/>
  <c r="J68" i="4"/>
  <c r="AG69" i="22" s="1"/>
  <c r="A69" i="27"/>
  <c r="AD70" i="13"/>
  <c r="AF67" i="13"/>
  <c r="AH67" i="13" s="1"/>
  <c r="A67" i="25"/>
  <c r="D67" i="25" s="1"/>
  <c r="X68" i="13"/>
  <c r="D66" i="25"/>
  <c r="D66" i="26"/>
  <c r="C66" i="26"/>
  <c r="J67" i="3"/>
  <c r="R68" i="22" s="1"/>
  <c r="T68" i="22" s="1"/>
  <c r="I68" i="3"/>
  <c r="Q69" i="22" s="1"/>
  <c r="H68" i="3"/>
  <c r="M67" i="12"/>
  <c r="X69" i="12"/>
  <c r="I70" i="4"/>
  <c r="J70" i="4" s="1"/>
  <c r="H68" i="5"/>
  <c r="I68" i="5"/>
  <c r="J68" i="5" s="1"/>
  <c r="AX66" i="22"/>
  <c r="AY66" i="22" s="1"/>
  <c r="AZ66" i="22" s="1"/>
  <c r="AV67" i="22"/>
  <c r="AX67" i="22" s="1"/>
  <c r="K66" i="5"/>
  <c r="N64" i="5"/>
  <c r="O64" i="5" s="1"/>
  <c r="A67" i="26"/>
  <c r="AU68" i="22"/>
  <c r="AW67" i="22"/>
  <c r="E70" i="5"/>
  <c r="F70" i="5" s="1"/>
  <c r="G69" i="5"/>
  <c r="M65" i="5"/>
  <c r="P65" i="5"/>
  <c r="AH70" i="22"/>
  <c r="AH69" i="22"/>
  <c r="U67" i="22"/>
  <c r="V67" i="22" s="1"/>
  <c r="S68" i="22"/>
  <c r="K66" i="3"/>
  <c r="E71" i="4"/>
  <c r="F71" i="4" s="1"/>
  <c r="G70" i="4"/>
  <c r="H70" i="4" s="1"/>
  <c r="N64" i="3"/>
  <c r="O64" i="3" s="1"/>
  <c r="Z65" i="13"/>
  <c r="M65" i="3"/>
  <c r="P65" i="3"/>
  <c r="E70" i="3"/>
  <c r="F70" i="3" s="1"/>
  <c r="G69" i="3"/>
  <c r="P67" i="4"/>
  <c r="M67" i="4"/>
  <c r="N66" i="4"/>
  <c r="O66" i="4" s="1"/>
  <c r="AF71" i="22"/>
  <c r="AL66" i="13" l="1"/>
  <c r="AN66" i="13" s="1"/>
  <c r="AJ69" i="13"/>
  <c r="D69" i="27"/>
  <c r="A70" i="27"/>
  <c r="D70" i="27" s="1"/>
  <c r="AD71" i="13"/>
  <c r="A68" i="25"/>
  <c r="X69" i="13"/>
  <c r="D67" i="26"/>
  <c r="C67" i="26"/>
  <c r="J68" i="3"/>
  <c r="R69" i="22" s="1"/>
  <c r="T69" i="22" s="1"/>
  <c r="H69" i="3"/>
  <c r="M68" i="12"/>
  <c r="I69" i="3"/>
  <c r="J69" i="3" s="1"/>
  <c r="I71" i="4"/>
  <c r="AF72" i="22" s="1"/>
  <c r="X70" i="12"/>
  <c r="H69" i="5"/>
  <c r="I69" i="5"/>
  <c r="J69" i="5" s="1"/>
  <c r="N65" i="5"/>
  <c r="O65" i="5" s="1"/>
  <c r="K68" i="4"/>
  <c r="P68" i="4" s="1"/>
  <c r="AU69" i="22"/>
  <c r="AW69" i="22" s="1"/>
  <c r="AV69" i="22"/>
  <c r="AY67" i="22"/>
  <c r="AZ67" i="22" s="1"/>
  <c r="A68" i="26"/>
  <c r="E71" i="5"/>
  <c r="F71" i="5" s="1"/>
  <c r="G70" i="5"/>
  <c r="M66" i="5"/>
  <c r="P66" i="5"/>
  <c r="AV68" i="22"/>
  <c r="K67" i="5"/>
  <c r="AW68" i="22"/>
  <c r="AH71" i="22"/>
  <c r="AI70" i="22"/>
  <c r="AJ70" i="22" s="1"/>
  <c r="AI69" i="22"/>
  <c r="AJ69" i="22" s="1"/>
  <c r="U68" i="22"/>
  <c r="V68" i="22" s="1"/>
  <c r="S69" i="22"/>
  <c r="N67" i="4"/>
  <c r="O67" i="4" s="1"/>
  <c r="E71" i="3"/>
  <c r="F71" i="3" s="1"/>
  <c r="G70" i="3"/>
  <c r="P66" i="3"/>
  <c r="Z66" i="13"/>
  <c r="M66" i="3"/>
  <c r="K67" i="3"/>
  <c r="N65" i="3"/>
  <c r="O65" i="3" s="1"/>
  <c r="E72" i="4"/>
  <c r="F72" i="4" s="1"/>
  <c r="G71" i="4"/>
  <c r="H71" i="4" s="1"/>
  <c r="K69" i="4"/>
  <c r="AG71" i="22"/>
  <c r="AJ70" i="13" l="1"/>
  <c r="AL67" i="13"/>
  <c r="AN67" i="13" s="1"/>
  <c r="J71" i="4"/>
  <c r="AF69" i="13"/>
  <c r="AH69" i="13" s="1"/>
  <c r="M68" i="4"/>
  <c r="AF68" i="13"/>
  <c r="AH68" i="13" s="1"/>
  <c r="A69" i="25"/>
  <c r="D69" i="25" s="1"/>
  <c r="X70" i="13"/>
  <c r="D68" i="25"/>
  <c r="D68" i="26"/>
  <c r="C68" i="26"/>
  <c r="Q70" i="22"/>
  <c r="S70" i="22" s="1"/>
  <c r="I70" i="3"/>
  <c r="Q71" i="22" s="1"/>
  <c r="H70" i="3"/>
  <c r="M69" i="12"/>
  <c r="I70" i="5"/>
  <c r="J70" i="5" s="1"/>
  <c r="H70" i="5"/>
  <c r="N68" i="4"/>
  <c r="O68" i="4" s="1"/>
  <c r="N66" i="5"/>
  <c r="O66" i="5" s="1"/>
  <c r="K68" i="5"/>
  <c r="E72" i="5"/>
  <c r="F72" i="5" s="1"/>
  <c r="G71" i="5"/>
  <c r="P67" i="5"/>
  <c r="M67" i="5"/>
  <c r="AU70" i="22"/>
  <c r="A69" i="26"/>
  <c r="AX68" i="22"/>
  <c r="AY68" i="22" s="1"/>
  <c r="AZ68" i="22" s="1"/>
  <c r="AX69" i="22"/>
  <c r="AY69" i="22" s="1"/>
  <c r="AZ69" i="22" s="1"/>
  <c r="M70" i="10"/>
  <c r="AG72" i="22"/>
  <c r="AI72" i="22" s="1"/>
  <c r="AH72" i="22"/>
  <c r="AI71" i="22"/>
  <c r="AJ71" i="22" s="1"/>
  <c r="U69" i="22"/>
  <c r="V69" i="22" s="1"/>
  <c r="N66" i="3"/>
  <c r="O66" i="3" s="1"/>
  <c r="E73" i="4"/>
  <c r="F73" i="4" s="1"/>
  <c r="G72" i="4"/>
  <c r="K68" i="3"/>
  <c r="E72" i="3"/>
  <c r="F72" i="3" s="1"/>
  <c r="G71" i="3"/>
  <c r="Z67" i="13"/>
  <c r="P67" i="3"/>
  <c r="M67" i="3"/>
  <c r="R70" i="22"/>
  <c r="T70" i="22" s="1"/>
  <c r="K70" i="4"/>
  <c r="P69" i="4"/>
  <c r="M69" i="4"/>
  <c r="AL68" i="13" l="1"/>
  <c r="AN68" i="13" s="1"/>
  <c r="AJ71" i="13"/>
  <c r="A71" i="27"/>
  <c r="D71" i="27" s="1"/>
  <c r="AD72" i="13"/>
  <c r="AF70" i="13"/>
  <c r="AH70" i="13" s="1"/>
  <c r="A70" i="25"/>
  <c r="X71" i="13"/>
  <c r="C69" i="26"/>
  <c r="J70" i="3"/>
  <c r="R71" i="22" s="1"/>
  <c r="T71" i="22" s="1"/>
  <c r="H71" i="3"/>
  <c r="M70" i="12"/>
  <c r="I71" i="3"/>
  <c r="J71" i="3" s="1"/>
  <c r="X71" i="12"/>
  <c r="I72" i="4"/>
  <c r="AF73" i="22" s="1"/>
  <c r="H72" i="4"/>
  <c r="AI70" i="12"/>
  <c r="H71" i="5"/>
  <c r="I71" i="5"/>
  <c r="J71" i="5" s="1"/>
  <c r="N67" i="5"/>
  <c r="O67" i="5" s="1"/>
  <c r="P68" i="5"/>
  <c r="M68" i="5"/>
  <c r="AV70" i="22"/>
  <c r="K69" i="5"/>
  <c r="R70" i="10"/>
  <c r="AU71" i="22"/>
  <c r="AW71" i="22" s="1"/>
  <c r="G72" i="5"/>
  <c r="E73" i="5"/>
  <c r="F73" i="5" s="1"/>
  <c r="AW70" i="22"/>
  <c r="D69" i="26"/>
  <c r="A70" i="26"/>
  <c r="K71" i="4"/>
  <c r="M71" i="10"/>
  <c r="H70" i="10"/>
  <c r="AJ72" i="22"/>
  <c r="U70" i="22"/>
  <c r="V70" i="22" s="1"/>
  <c r="S71" i="22"/>
  <c r="N67" i="3"/>
  <c r="O67" i="3" s="1"/>
  <c r="N69" i="4"/>
  <c r="O69" i="4" s="1"/>
  <c r="Z68" i="13"/>
  <c r="P68" i="3"/>
  <c r="M68" i="3"/>
  <c r="P70" i="4"/>
  <c r="E73" i="3"/>
  <c r="F73" i="3" s="1"/>
  <c r="G72" i="3"/>
  <c r="K69" i="3"/>
  <c r="E74" i="4"/>
  <c r="F74" i="4" s="1"/>
  <c r="G73" i="4"/>
  <c r="M70" i="4"/>
  <c r="AJ72" i="13" l="1"/>
  <c r="AL69" i="13"/>
  <c r="AN69" i="13" s="1"/>
  <c r="J72" i="4"/>
  <c r="AG73" i="22" s="1"/>
  <c r="AI73" i="22" s="1"/>
  <c r="A72" i="27"/>
  <c r="D72" i="27" s="1"/>
  <c r="AD73" i="13"/>
  <c r="M71" i="4"/>
  <c r="AE70" i="12" s="1"/>
  <c r="AF71" i="13"/>
  <c r="AH71" i="13" s="1"/>
  <c r="Q72" i="22"/>
  <c r="S72" i="22" s="1"/>
  <c r="D70" i="25"/>
  <c r="A71" i="25"/>
  <c r="X72" i="13"/>
  <c r="D70" i="26"/>
  <c r="C70" i="26"/>
  <c r="I72" i="3"/>
  <c r="Q73" i="22" s="1"/>
  <c r="M71" i="12"/>
  <c r="H72" i="3"/>
  <c r="X72" i="12"/>
  <c r="H73" i="4"/>
  <c r="I73" i="4"/>
  <c r="J73" i="4" s="1"/>
  <c r="AI71" i="12"/>
  <c r="I72" i="5"/>
  <c r="J72" i="5" s="1"/>
  <c r="H72" i="5"/>
  <c r="N68" i="5"/>
  <c r="O68" i="5" s="1"/>
  <c r="E74" i="5"/>
  <c r="F74" i="5" s="1"/>
  <c r="G73" i="5"/>
  <c r="AX70" i="22"/>
  <c r="AY70" i="22" s="1"/>
  <c r="AZ70" i="22" s="1"/>
  <c r="R71" i="10"/>
  <c r="A71" i="26"/>
  <c r="AU72" i="22"/>
  <c r="AW72" i="22" s="1"/>
  <c r="AV72" i="22"/>
  <c r="AV71" i="22"/>
  <c r="K70" i="5"/>
  <c r="M69" i="5"/>
  <c r="P69" i="5"/>
  <c r="P71" i="4"/>
  <c r="M72" i="10"/>
  <c r="H71" i="10"/>
  <c r="AH73" i="22"/>
  <c r="U71" i="22"/>
  <c r="V71" i="22" s="1"/>
  <c r="N68" i="3"/>
  <c r="O68" i="3" s="1"/>
  <c r="R72" i="22"/>
  <c r="K70" i="3"/>
  <c r="M69" i="3"/>
  <c r="Z69" i="13"/>
  <c r="P69" i="3"/>
  <c r="E74" i="3"/>
  <c r="F74" i="3" s="1"/>
  <c r="G73" i="3"/>
  <c r="E75" i="4"/>
  <c r="F75" i="4" s="1"/>
  <c r="G74" i="4"/>
  <c r="N70" i="4"/>
  <c r="O70" i="4" s="1"/>
  <c r="AJ73" i="13" l="1"/>
  <c r="AL70" i="13"/>
  <c r="AN70" i="13" s="1"/>
  <c r="N71" i="4"/>
  <c r="O71" i="4" s="1"/>
  <c r="A73" i="27"/>
  <c r="AD74" i="13"/>
  <c r="S73" i="22"/>
  <c r="A72" i="25"/>
  <c r="D72" i="25" s="1"/>
  <c r="X73" i="13"/>
  <c r="D71" i="25"/>
  <c r="D71" i="26"/>
  <c r="C71" i="26"/>
  <c r="J72" i="3"/>
  <c r="R73" i="22" s="1"/>
  <c r="H73" i="3"/>
  <c r="I73" i="3"/>
  <c r="J73" i="3" s="1"/>
  <c r="M72" i="12"/>
  <c r="X73" i="12"/>
  <c r="H74" i="4"/>
  <c r="I74" i="4"/>
  <c r="J74" i="4" s="1"/>
  <c r="AI72" i="12"/>
  <c r="I73" i="5"/>
  <c r="J73" i="5" s="1"/>
  <c r="H73" i="5"/>
  <c r="AX72" i="22"/>
  <c r="AY72" i="22" s="1"/>
  <c r="AZ72" i="22" s="1"/>
  <c r="N69" i="5"/>
  <c r="O69" i="5" s="1"/>
  <c r="K71" i="5"/>
  <c r="K72" i="4"/>
  <c r="AJ73" i="22"/>
  <c r="AX71" i="22"/>
  <c r="AY71" i="22" s="1"/>
  <c r="AZ71" i="22" s="1"/>
  <c r="E75" i="5"/>
  <c r="F75" i="5" s="1"/>
  <c r="G74" i="5"/>
  <c r="A72" i="26"/>
  <c r="M70" i="5"/>
  <c r="P70" i="5"/>
  <c r="AU73" i="22"/>
  <c r="AW73" i="22" s="1"/>
  <c r="AV73" i="22"/>
  <c r="AX73" i="22" s="1"/>
  <c r="K72" i="5"/>
  <c r="R72" i="10"/>
  <c r="M73" i="10"/>
  <c r="H72" i="10"/>
  <c r="AF74" i="22"/>
  <c r="T72" i="22"/>
  <c r="U72" i="22" s="1"/>
  <c r="V72" i="22" s="1"/>
  <c r="N69" i="3"/>
  <c r="O69" i="3" s="1"/>
  <c r="E76" i="4"/>
  <c r="F76" i="4" s="1"/>
  <c r="G75" i="4"/>
  <c r="Z70" i="13"/>
  <c r="M70" i="3"/>
  <c r="P70" i="3"/>
  <c r="E75" i="3"/>
  <c r="F75" i="3" s="1"/>
  <c r="G74" i="3"/>
  <c r="K71" i="3"/>
  <c r="AJ74" i="13" l="1"/>
  <c r="AL72" i="13"/>
  <c r="AN72" i="13" s="1"/>
  <c r="P71" i="5"/>
  <c r="AL71" i="13"/>
  <c r="AN71" i="13" s="1"/>
  <c r="A74" i="27"/>
  <c r="D74" i="27" s="1"/>
  <c r="AD75" i="13"/>
  <c r="AF72" i="13"/>
  <c r="AH72" i="13" s="1"/>
  <c r="D73" i="27"/>
  <c r="Z71" i="13"/>
  <c r="AB71" i="13" s="1"/>
  <c r="A73" i="25"/>
  <c r="D73" i="25" s="1"/>
  <c r="X74" i="13"/>
  <c r="D72" i="26"/>
  <c r="C72" i="26"/>
  <c r="Q74" i="22"/>
  <c r="S74" i="22" s="1"/>
  <c r="H74" i="3"/>
  <c r="M73" i="12"/>
  <c r="I74" i="3"/>
  <c r="J74" i="3" s="1"/>
  <c r="I75" i="4"/>
  <c r="J75" i="4" s="1"/>
  <c r="X74" i="12"/>
  <c r="H75" i="4"/>
  <c r="M71" i="5"/>
  <c r="AP70" i="12" s="1"/>
  <c r="AI73" i="12"/>
  <c r="I74" i="5"/>
  <c r="J74" i="5" s="1"/>
  <c r="H74" i="5"/>
  <c r="N70" i="5"/>
  <c r="O70" i="5" s="1"/>
  <c r="AY73" i="22"/>
  <c r="AZ73" i="22" s="1"/>
  <c r="P72" i="4"/>
  <c r="M72" i="4"/>
  <c r="AU74" i="22"/>
  <c r="AW74" i="22" s="1"/>
  <c r="AV74" i="22"/>
  <c r="AX74" i="22" s="1"/>
  <c r="M72" i="5"/>
  <c r="AP71" i="12" s="1"/>
  <c r="P72" i="5"/>
  <c r="A73" i="26"/>
  <c r="R73" i="10"/>
  <c r="E76" i="5"/>
  <c r="F76" i="5" s="1"/>
  <c r="G75" i="5"/>
  <c r="M74" i="10"/>
  <c r="H73" i="10"/>
  <c r="AH74" i="22"/>
  <c r="AG74" i="22"/>
  <c r="K73" i="4"/>
  <c r="AF75" i="22"/>
  <c r="T73" i="22"/>
  <c r="U73" i="22" s="1"/>
  <c r="V73" i="22" s="1"/>
  <c r="N70" i="3"/>
  <c r="O70" i="3" s="1"/>
  <c r="E77" i="4"/>
  <c r="F77" i="4" s="1"/>
  <c r="G76" i="4"/>
  <c r="P71" i="3"/>
  <c r="M71" i="3"/>
  <c r="T70" i="12" s="1"/>
  <c r="E76" i="3"/>
  <c r="F76" i="3" s="1"/>
  <c r="G75" i="3"/>
  <c r="K72" i="3"/>
  <c r="R74" i="22"/>
  <c r="AJ75" i="13" l="1"/>
  <c r="AF73" i="13"/>
  <c r="AH73" i="13" s="1"/>
  <c r="A75" i="27"/>
  <c r="D75" i="27" s="1"/>
  <c r="AD76" i="13"/>
  <c r="Z72" i="13"/>
  <c r="AB72" i="13" s="1"/>
  <c r="A74" i="25"/>
  <c r="D74" i="25" s="1"/>
  <c r="X75" i="13"/>
  <c r="Q75" i="22"/>
  <c r="S75" i="22" s="1"/>
  <c r="D73" i="26"/>
  <c r="C73" i="26"/>
  <c r="I75" i="3"/>
  <c r="J75" i="3" s="1"/>
  <c r="H75" i="3"/>
  <c r="M74" i="12"/>
  <c r="X75" i="12"/>
  <c r="I76" i="4"/>
  <c r="AF77" i="22" s="1"/>
  <c r="H76" i="4"/>
  <c r="N72" i="4"/>
  <c r="O72" i="4" s="1"/>
  <c r="AE71" i="12"/>
  <c r="N71" i="5"/>
  <c r="O71" i="5" s="1"/>
  <c r="AI74" i="12"/>
  <c r="I75" i="5"/>
  <c r="J75" i="5" s="1"/>
  <c r="H75" i="5"/>
  <c r="N72" i="5"/>
  <c r="O72" i="5" s="1"/>
  <c r="K73" i="5"/>
  <c r="AY74" i="22"/>
  <c r="AZ74" i="22" s="1"/>
  <c r="A74" i="26"/>
  <c r="G76" i="5"/>
  <c r="E77" i="5"/>
  <c r="F77" i="5" s="1"/>
  <c r="AU75" i="22"/>
  <c r="AV75" i="22"/>
  <c r="AX75" i="22" s="1"/>
  <c r="R74" i="10"/>
  <c r="M75" i="10"/>
  <c r="H74" i="10"/>
  <c r="M73" i="4"/>
  <c r="AE72" i="12" s="1"/>
  <c r="P73" i="4"/>
  <c r="AF76" i="22"/>
  <c r="AH76" i="22" s="1"/>
  <c r="AI74" i="22"/>
  <c r="AJ74" i="22" s="1"/>
  <c r="AG75" i="22"/>
  <c r="AI75" i="22" s="1"/>
  <c r="K74" i="4"/>
  <c r="AH75" i="22"/>
  <c r="T74" i="22"/>
  <c r="U74" i="22" s="1"/>
  <c r="V74" i="22" s="1"/>
  <c r="E78" i="4"/>
  <c r="F78" i="4" s="1"/>
  <c r="G77" i="4"/>
  <c r="R75" i="22"/>
  <c r="N71" i="3"/>
  <c r="O71" i="3" s="1"/>
  <c r="E77" i="3"/>
  <c r="F77" i="3" s="1"/>
  <c r="G76" i="3"/>
  <c r="K73" i="3"/>
  <c r="P72" i="3"/>
  <c r="M72" i="3"/>
  <c r="T71" i="12" s="1"/>
  <c r="AJ76" i="13" l="1"/>
  <c r="M73" i="5"/>
  <c r="AP72" i="12" s="1"/>
  <c r="AL73" i="13"/>
  <c r="AN73" i="13" s="1"/>
  <c r="Q76" i="22"/>
  <c r="J76" i="4"/>
  <c r="AG77" i="22" s="1"/>
  <c r="A76" i="27"/>
  <c r="D76" i="27" s="1"/>
  <c r="AD77" i="13"/>
  <c r="AF74" i="13"/>
  <c r="AH74" i="13" s="1"/>
  <c r="Z73" i="13"/>
  <c r="AB73" i="13" s="1"/>
  <c r="A75" i="25"/>
  <c r="D75" i="25" s="1"/>
  <c r="X76" i="13"/>
  <c r="D74" i="26"/>
  <c r="C74" i="26"/>
  <c r="I76" i="3"/>
  <c r="Q77" i="22" s="1"/>
  <c r="H76" i="3"/>
  <c r="M75" i="12"/>
  <c r="X76" i="12"/>
  <c r="I77" i="4"/>
  <c r="AF78" i="22" s="1"/>
  <c r="H77" i="4"/>
  <c r="AI75" i="12"/>
  <c r="H76" i="5"/>
  <c r="I76" i="5"/>
  <c r="J76" i="5" s="1"/>
  <c r="P73" i="5"/>
  <c r="K74" i="5"/>
  <c r="A75" i="26"/>
  <c r="E78" i="5"/>
  <c r="F78" i="5" s="1"/>
  <c r="G77" i="5"/>
  <c r="AW75" i="22"/>
  <c r="AY75" i="22" s="1"/>
  <c r="AZ75" i="22" s="1"/>
  <c r="R75" i="10"/>
  <c r="AU76" i="22"/>
  <c r="AW76" i="22" s="1"/>
  <c r="AV76" i="22"/>
  <c r="M76" i="10"/>
  <c r="H75" i="10"/>
  <c r="AJ75" i="22"/>
  <c r="AG76" i="22"/>
  <c r="AI77" i="22" s="1"/>
  <c r="K75" i="4"/>
  <c r="N73" i="4"/>
  <c r="O73" i="4" s="1"/>
  <c r="AH77" i="22"/>
  <c r="AI76" i="22"/>
  <c r="AJ76" i="22" s="1"/>
  <c r="M74" i="4"/>
  <c r="AE73" i="12" s="1"/>
  <c r="P74" i="4"/>
  <c r="S76" i="22"/>
  <c r="T75" i="22"/>
  <c r="U75" i="22" s="1"/>
  <c r="V75" i="22" s="1"/>
  <c r="K76" i="4"/>
  <c r="K74" i="3"/>
  <c r="N72" i="3"/>
  <c r="O72" i="3" s="1"/>
  <c r="R76" i="22"/>
  <c r="P73" i="3"/>
  <c r="M73" i="3"/>
  <c r="T72" i="12" s="1"/>
  <c r="E78" i="3"/>
  <c r="F78" i="3" s="1"/>
  <c r="G77" i="3"/>
  <c r="E79" i="4"/>
  <c r="F79" i="4" s="1"/>
  <c r="G78" i="4"/>
  <c r="N73" i="5" l="1"/>
  <c r="O73" i="5" s="1"/>
  <c r="S77" i="22"/>
  <c r="AJ77" i="13"/>
  <c r="M74" i="5"/>
  <c r="AP73" i="12" s="1"/>
  <c r="AL74" i="13"/>
  <c r="AN74" i="13" s="1"/>
  <c r="J77" i="4"/>
  <c r="AF76" i="13"/>
  <c r="AH76" i="13" s="1"/>
  <c r="A77" i="27"/>
  <c r="AD78" i="13"/>
  <c r="AF75" i="13"/>
  <c r="AH75" i="13" s="1"/>
  <c r="P74" i="3"/>
  <c r="Z74" i="13"/>
  <c r="AB74" i="13" s="1"/>
  <c r="A76" i="25"/>
  <c r="D76" i="25" s="1"/>
  <c r="X77" i="13"/>
  <c r="D75" i="26"/>
  <c r="C75" i="26"/>
  <c r="J76" i="3"/>
  <c r="R77" i="22" s="1"/>
  <c r="T77" i="22" s="1"/>
  <c r="U77" i="22" s="1"/>
  <c r="V77" i="22" s="1"/>
  <c r="H77" i="3"/>
  <c r="M76" i="12"/>
  <c r="I77" i="3"/>
  <c r="Q78" i="22" s="1"/>
  <c r="X77" i="12"/>
  <c r="H78" i="4"/>
  <c r="I78" i="4"/>
  <c r="J78" i="4" s="1"/>
  <c r="P74" i="5"/>
  <c r="AI76" i="12"/>
  <c r="H77" i="5"/>
  <c r="I77" i="5"/>
  <c r="J77" i="5" s="1"/>
  <c r="K75" i="5"/>
  <c r="N74" i="4"/>
  <c r="O74" i="4" s="1"/>
  <c r="R76" i="10"/>
  <c r="E79" i="5"/>
  <c r="F79" i="5" s="1"/>
  <c r="G78" i="5"/>
  <c r="A76" i="26"/>
  <c r="AU77" i="22"/>
  <c r="AV77" i="22"/>
  <c r="AX77" i="22" s="1"/>
  <c r="K76" i="5"/>
  <c r="AX76" i="22"/>
  <c r="AY76" i="22" s="1"/>
  <c r="AZ76" i="22" s="1"/>
  <c r="AJ77" i="22"/>
  <c r="M77" i="10"/>
  <c r="H76" i="10"/>
  <c r="M75" i="4"/>
  <c r="AE74" i="12" s="1"/>
  <c r="P75" i="4"/>
  <c r="AG78" i="22"/>
  <c r="AH78" i="22"/>
  <c r="T76" i="22"/>
  <c r="U76" i="22" s="1"/>
  <c r="V76" i="22" s="1"/>
  <c r="M76" i="4"/>
  <c r="AE75" i="12" s="1"/>
  <c r="P76" i="4"/>
  <c r="M74" i="3"/>
  <c r="T73" i="12" s="1"/>
  <c r="E80" i="4"/>
  <c r="F80" i="4" s="1"/>
  <c r="G79" i="4"/>
  <c r="E79" i="3"/>
  <c r="F79" i="3" s="1"/>
  <c r="G78" i="3"/>
  <c r="K75" i="3"/>
  <c r="N73" i="3"/>
  <c r="O73" i="3" s="1"/>
  <c r="AL76" i="13" l="1"/>
  <c r="AN76" i="13" s="1"/>
  <c r="AJ78" i="13"/>
  <c r="P75" i="5"/>
  <c r="AL75" i="13"/>
  <c r="AN75" i="13" s="1"/>
  <c r="N74" i="5"/>
  <c r="O74" i="5" s="1"/>
  <c r="D77" i="27"/>
  <c r="A78" i="27"/>
  <c r="D78" i="27" s="1"/>
  <c r="AD79" i="13"/>
  <c r="Z75" i="13"/>
  <c r="AB75" i="13" s="1"/>
  <c r="A77" i="25"/>
  <c r="X78" i="13"/>
  <c r="D76" i="26"/>
  <c r="C76" i="26"/>
  <c r="J77" i="3"/>
  <c r="R78" i="22" s="1"/>
  <c r="T78" i="22" s="1"/>
  <c r="I78" i="3"/>
  <c r="Q79" i="22" s="1"/>
  <c r="M77" i="12"/>
  <c r="H78" i="3"/>
  <c r="I79" i="4"/>
  <c r="J79" i="4" s="1"/>
  <c r="H79" i="4"/>
  <c r="X78" i="12"/>
  <c r="M75" i="5"/>
  <c r="AP74" i="12" s="1"/>
  <c r="AI77" i="12"/>
  <c r="I78" i="5"/>
  <c r="J78" i="5"/>
  <c r="H78" i="5"/>
  <c r="K77" i="4"/>
  <c r="N76" i="4"/>
  <c r="O76" i="4" s="1"/>
  <c r="N75" i="4"/>
  <c r="O75" i="4" s="1"/>
  <c r="A77" i="26"/>
  <c r="M76" i="5"/>
  <c r="AP75" i="12" s="1"/>
  <c r="P76" i="5"/>
  <c r="R77" i="10"/>
  <c r="AW77" i="22"/>
  <c r="AY77" i="22" s="1"/>
  <c r="AZ77" i="22" s="1"/>
  <c r="AU78" i="22"/>
  <c r="AV78" i="22"/>
  <c r="E80" i="5"/>
  <c r="F80" i="5" s="1"/>
  <c r="G79" i="5"/>
  <c r="M78" i="10"/>
  <c r="H77" i="10"/>
  <c r="AI78" i="22"/>
  <c r="AJ78" i="22" s="1"/>
  <c r="AF79" i="22"/>
  <c r="S78" i="22"/>
  <c r="N74" i="3"/>
  <c r="O74" i="3" s="1"/>
  <c r="M75" i="3"/>
  <c r="T74" i="12" s="1"/>
  <c r="P75" i="3"/>
  <c r="E80" i="3"/>
  <c r="F80" i="3" s="1"/>
  <c r="G79" i="3"/>
  <c r="E81" i="4"/>
  <c r="F81" i="4" s="1"/>
  <c r="G80" i="4"/>
  <c r="K76" i="3"/>
  <c r="AJ79" i="13" l="1"/>
  <c r="A79" i="27"/>
  <c r="D79" i="27" s="1"/>
  <c r="AD80" i="13"/>
  <c r="P77" i="4"/>
  <c r="AF77" i="13"/>
  <c r="AH77" i="13" s="1"/>
  <c r="Z76" i="13"/>
  <c r="AB76" i="13" s="1"/>
  <c r="A78" i="25"/>
  <c r="D78" i="25" s="1"/>
  <c r="X79" i="13"/>
  <c r="D77" i="25"/>
  <c r="J78" i="3"/>
  <c r="R79" i="22" s="1"/>
  <c r="D77" i="26"/>
  <c r="C77" i="26"/>
  <c r="M78" i="12"/>
  <c r="I79" i="3"/>
  <c r="J79" i="3" s="1"/>
  <c r="H79" i="3"/>
  <c r="M77" i="4"/>
  <c r="AE76" i="12" s="1"/>
  <c r="X79" i="12"/>
  <c r="I80" i="4"/>
  <c r="J80" i="4" s="1"/>
  <c r="H80" i="4"/>
  <c r="N75" i="5"/>
  <c r="O75" i="5" s="1"/>
  <c r="AI78" i="12"/>
  <c r="I79" i="5"/>
  <c r="J79" i="5" s="1"/>
  <c r="H79" i="5"/>
  <c r="N76" i="5"/>
  <c r="O76" i="5" s="1"/>
  <c r="K77" i="5"/>
  <c r="R78" i="10"/>
  <c r="AX78" i="22"/>
  <c r="AU79" i="22"/>
  <c r="AW79" i="22" s="1"/>
  <c r="AV79" i="22"/>
  <c r="AX79" i="22" s="1"/>
  <c r="A78" i="26"/>
  <c r="G80" i="5"/>
  <c r="E81" i="5"/>
  <c r="F81" i="5" s="1"/>
  <c r="AW78" i="22"/>
  <c r="M79" i="10"/>
  <c r="H78" i="10"/>
  <c r="AG79" i="22"/>
  <c r="K78" i="4"/>
  <c r="AH79" i="22"/>
  <c r="AF80" i="22"/>
  <c r="AH80" i="22" s="1"/>
  <c r="S79" i="22"/>
  <c r="U78" i="22"/>
  <c r="V78" i="22" s="1"/>
  <c r="N75" i="3"/>
  <c r="O75" i="3" s="1"/>
  <c r="M76" i="3"/>
  <c r="T75" i="12" s="1"/>
  <c r="P76" i="3"/>
  <c r="K77" i="3"/>
  <c r="E82" i="4"/>
  <c r="F82" i="4" s="1"/>
  <c r="G81" i="4"/>
  <c r="E81" i="3"/>
  <c r="F81" i="3" s="1"/>
  <c r="G80" i="3"/>
  <c r="P77" i="5" l="1"/>
  <c r="AL77" i="13"/>
  <c r="AN77" i="13" s="1"/>
  <c r="AJ80" i="13"/>
  <c r="A80" i="27"/>
  <c r="D80" i="27" s="1"/>
  <c r="AD81" i="13"/>
  <c r="AF78" i="13"/>
  <c r="AH78" i="13" s="1"/>
  <c r="Z77" i="13"/>
  <c r="AB77" i="13" s="1"/>
  <c r="Q80" i="22"/>
  <c r="S80" i="22" s="1"/>
  <c r="A79" i="25"/>
  <c r="D79" i="25" s="1"/>
  <c r="X80" i="13"/>
  <c r="D78" i="26"/>
  <c r="C78" i="26"/>
  <c r="N77" i="4"/>
  <c r="O77" i="4" s="1"/>
  <c r="I80" i="3"/>
  <c r="J80" i="3" s="1"/>
  <c r="H80" i="3"/>
  <c r="M79" i="12"/>
  <c r="I81" i="4"/>
  <c r="AF82" i="22" s="1"/>
  <c r="X80" i="12"/>
  <c r="H81" i="4"/>
  <c r="AI79" i="12"/>
  <c r="I80" i="5"/>
  <c r="J80" i="5" s="1"/>
  <c r="H80" i="5"/>
  <c r="K78" i="5"/>
  <c r="AY78" i="22"/>
  <c r="AZ78" i="22" s="1"/>
  <c r="AY79" i="22"/>
  <c r="AZ79" i="22" s="1"/>
  <c r="M77" i="5"/>
  <c r="AP76" i="12" s="1"/>
  <c r="A79" i="26"/>
  <c r="AU80" i="22"/>
  <c r="AW80" i="22" s="1"/>
  <c r="AV80" i="22"/>
  <c r="AX80" i="22" s="1"/>
  <c r="R79" i="10"/>
  <c r="E82" i="5"/>
  <c r="F82" i="5" s="1"/>
  <c r="G81" i="5"/>
  <c r="M80" i="10"/>
  <c r="H79" i="10"/>
  <c r="AF81" i="22"/>
  <c r="AH81" i="22" s="1"/>
  <c r="AG80" i="22"/>
  <c r="AI80" i="22" s="1"/>
  <c r="AJ80" i="22" s="1"/>
  <c r="K79" i="4"/>
  <c r="M78" i="4"/>
  <c r="AE77" i="12" s="1"/>
  <c r="P78" i="4"/>
  <c r="AI79" i="22"/>
  <c r="AJ79" i="22" s="1"/>
  <c r="T79" i="22"/>
  <c r="U79" i="22" s="1"/>
  <c r="V79" i="22" s="1"/>
  <c r="E82" i="3"/>
  <c r="F82" i="3" s="1"/>
  <c r="G81" i="3"/>
  <c r="R80" i="22"/>
  <c r="K78" i="3"/>
  <c r="E83" i="4"/>
  <c r="F83" i="4" s="1"/>
  <c r="G82" i="4"/>
  <c r="N76" i="3"/>
  <c r="O76" i="3" s="1"/>
  <c r="M77" i="3"/>
  <c r="T76" i="12" s="1"/>
  <c r="P77" i="3"/>
  <c r="AJ81" i="13" l="1"/>
  <c r="M78" i="5"/>
  <c r="AP77" i="12" s="1"/>
  <c r="AL78" i="13"/>
  <c r="AN78" i="13" s="1"/>
  <c r="J81" i="4"/>
  <c r="AG82" i="22" s="1"/>
  <c r="A81" i="27"/>
  <c r="AD82" i="13"/>
  <c r="AF79" i="13"/>
  <c r="AH79" i="13" s="1"/>
  <c r="Z78" i="13"/>
  <c r="AB78" i="13" s="1"/>
  <c r="A80" i="25"/>
  <c r="D80" i="25" s="1"/>
  <c r="X81" i="13"/>
  <c r="D79" i="26"/>
  <c r="C79" i="26"/>
  <c r="D81" i="27"/>
  <c r="Q81" i="22"/>
  <c r="S81" i="22" s="1"/>
  <c r="H81" i="3"/>
  <c r="M80" i="12"/>
  <c r="I81" i="3"/>
  <c r="Q82" i="22" s="1"/>
  <c r="X81" i="12"/>
  <c r="H82" i="4"/>
  <c r="I82" i="4"/>
  <c r="J82" i="4" s="1"/>
  <c r="P78" i="5"/>
  <c r="AI80" i="12"/>
  <c r="H81" i="5"/>
  <c r="I81" i="5"/>
  <c r="J81" i="5" s="1"/>
  <c r="AY80" i="22"/>
  <c r="AZ80" i="22" s="1"/>
  <c r="K79" i="5"/>
  <c r="M79" i="5" s="1"/>
  <c r="AP78" i="12" s="1"/>
  <c r="N77" i="5"/>
  <c r="O77" i="5" s="1"/>
  <c r="N78" i="4"/>
  <c r="O78" i="4" s="1"/>
  <c r="R80" i="10"/>
  <c r="AU81" i="22"/>
  <c r="AV81" i="22"/>
  <c r="AX81" i="22" s="1"/>
  <c r="K80" i="5"/>
  <c r="A80" i="26"/>
  <c r="E83" i="5"/>
  <c r="F83" i="5" s="1"/>
  <c r="G82" i="5"/>
  <c r="M81" i="10"/>
  <c r="H80" i="10"/>
  <c r="AH82" i="22"/>
  <c r="M79" i="4"/>
  <c r="AE78" i="12" s="1"/>
  <c r="P79" i="4"/>
  <c r="AG81" i="22"/>
  <c r="K80" i="4"/>
  <c r="T80" i="22"/>
  <c r="U80" i="22" s="1"/>
  <c r="V80" i="22" s="1"/>
  <c r="N77" i="3"/>
  <c r="O77" i="3" s="1"/>
  <c r="E83" i="3"/>
  <c r="F83" i="3" s="1"/>
  <c r="G82" i="3"/>
  <c r="R81" i="22"/>
  <c r="K79" i="3"/>
  <c r="M78" i="3"/>
  <c r="T77" i="12" s="1"/>
  <c r="P78" i="3"/>
  <c r="E84" i="4"/>
  <c r="F84" i="4" s="1"/>
  <c r="G83" i="4"/>
  <c r="P79" i="5" l="1"/>
  <c r="AL79" i="13"/>
  <c r="AN79" i="13" s="1"/>
  <c r="AJ82" i="13"/>
  <c r="AL80" i="13"/>
  <c r="AN80" i="13" s="1"/>
  <c r="N78" i="5"/>
  <c r="O78" i="5" s="1"/>
  <c r="AF80" i="13"/>
  <c r="AH80" i="13" s="1"/>
  <c r="A82" i="27"/>
  <c r="AD83" i="13"/>
  <c r="Z79" i="13"/>
  <c r="AB79" i="13" s="1"/>
  <c r="A81" i="25"/>
  <c r="D81" i="25" s="1"/>
  <c r="X82" i="13"/>
  <c r="D80" i="26"/>
  <c r="C80" i="26"/>
  <c r="J81" i="3"/>
  <c r="R82" i="22" s="1"/>
  <c r="H82" i="3"/>
  <c r="M81" i="12"/>
  <c r="I82" i="3"/>
  <c r="J82" i="3" s="1"/>
  <c r="I83" i="4"/>
  <c r="AF84" i="22" s="1"/>
  <c r="X82" i="12"/>
  <c r="H83" i="4"/>
  <c r="N79" i="5"/>
  <c r="O79" i="5" s="1"/>
  <c r="AI81" i="12"/>
  <c r="I82" i="5"/>
  <c r="J82" i="5" s="1"/>
  <c r="H82" i="5"/>
  <c r="K81" i="4"/>
  <c r="AI82" i="22"/>
  <c r="AJ82" i="22" s="1"/>
  <c r="N79" i="4"/>
  <c r="O79" i="4" s="1"/>
  <c r="R81" i="10"/>
  <c r="M80" i="5"/>
  <c r="AP79" i="12" s="1"/>
  <c r="P80" i="5"/>
  <c r="AU82" i="22"/>
  <c r="AW82" i="22" s="1"/>
  <c r="AV82" i="22"/>
  <c r="AX82" i="22" s="1"/>
  <c r="AW81" i="22"/>
  <c r="AY81" i="22" s="1"/>
  <c r="AZ81" i="22" s="1"/>
  <c r="A81" i="26"/>
  <c r="G83" i="5"/>
  <c r="E84" i="5"/>
  <c r="F84" i="5" s="1"/>
  <c r="M82" i="10"/>
  <c r="H81" i="10"/>
  <c r="M80" i="4"/>
  <c r="AE79" i="12" s="1"/>
  <c r="P80" i="4"/>
  <c r="AI81" i="22"/>
  <c r="AJ81" i="22" s="1"/>
  <c r="AF83" i="22"/>
  <c r="T81" i="22"/>
  <c r="U81" i="22" s="1"/>
  <c r="V81" i="22" s="1"/>
  <c r="S82" i="22"/>
  <c r="N78" i="3"/>
  <c r="O78" i="3" s="1"/>
  <c r="K80" i="3"/>
  <c r="E85" i="4"/>
  <c r="F85" i="4" s="1"/>
  <c r="G84" i="4"/>
  <c r="M79" i="3"/>
  <c r="T78" i="12" s="1"/>
  <c r="P79" i="3"/>
  <c r="E84" i="3"/>
  <c r="F84" i="3" s="1"/>
  <c r="G83" i="3"/>
  <c r="J83" i="4" l="1"/>
  <c r="AJ83" i="13"/>
  <c r="D82" i="27"/>
  <c r="AF81" i="13"/>
  <c r="AH81" i="13" s="1"/>
  <c r="A83" i="27"/>
  <c r="D83" i="27" s="1"/>
  <c r="AD84" i="13"/>
  <c r="Z80" i="13"/>
  <c r="AB80" i="13" s="1"/>
  <c r="A82" i="25"/>
  <c r="D82" i="25" s="1"/>
  <c r="X83" i="13"/>
  <c r="D81" i="26"/>
  <c r="C81" i="26"/>
  <c r="Q83" i="22"/>
  <c r="S83" i="22" s="1"/>
  <c r="P81" i="4"/>
  <c r="M82" i="12"/>
  <c r="I83" i="3"/>
  <c r="J83" i="3" s="1"/>
  <c r="H83" i="3"/>
  <c r="X83" i="12"/>
  <c r="H84" i="4"/>
  <c r="I84" i="4"/>
  <c r="AF85" i="22" s="1"/>
  <c r="AI82" i="12"/>
  <c r="I83" i="5"/>
  <c r="J83" i="5" s="1"/>
  <c r="H83" i="5"/>
  <c r="M81" i="4"/>
  <c r="AE80" i="12" s="1"/>
  <c r="N80" i="5"/>
  <c r="O80" i="5" s="1"/>
  <c r="A82" i="26"/>
  <c r="AU83" i="22"/>
  <c r="AV83" i="22"/>
  <c r="AX83" i="22" s="1"/>
  <c r="K81" i="5"/>
  <c r="R82" i="10"/>
  <c r="AY82" i="22"/>
  <c r="AZ82" i="22" s="1"/>
  <c r="E85" i="5"/>
  <c r="F85" i="5" s="1"/>
  <c r="G84" i="5"/>
  <c r="M83" i="10"/>
  <c r="H82" i="10"/>
  <c r="AH84" i="22"/>
  <c r="AH83" i="22"/>
  <c r="AG83" i="22"/>
  <c r="K82" i="4"/>
  <c r="N80" i="4"/>
  <c r="O80" i="4" s="1"/>
  <c r="T82" i="22"/>
  <c r="U82" i="22" s="1"/>
  <c r="V82" i="22" s="1"/>
  <c r="N79" i="3"/>
  <c r="O79" i="3" s="1"/>
  <c r="E86" i="4"/>
  <c r="F86" i="4" s="1"/>
  <c r="G85" i="4"/>
  <c r="R83" i="22"/>
  <c r="E85" i="3"/>
  <c r="F85" i="3" s="1"/>
  <c r="G84" i="3"/>
  <c r="P80" i="3"/>
  <c r="M80" i="3"/>
  <c r="T79" i="12" s="1"/>
  <c r="AG84" i="22"/>
  <c r="K81" i="3"/>
  <c r="AL81" i="13" l="1"/>
  <c r="AN81" i="13" s="1"/>
  <c r="AJ84" i="13"/>
  <c r="J84" i="4"/>
  <c r="AF82" i="13"/>
  <c r="AH82" i="13" s="1"/>
  <c r="A84" i="27"/>
  <c r="AD85" i="13"/>
  <c r="Z81" i="13"/>
  <c r="AB81" i="13" s="1"/>
  <c r="A83" i="25"/>
  <c r="D83" i="25" s="1"/>
  <c r="X84" i="13"/>
  <c r="D82" i="26"/>
  <c r="C82" i="26"/>
  <c r="Q84" i="22"/>
  <c r="S84" i="22" s="1"/>
  <c r="I84" i="3"/>
  <c r="Q85" i="22" s="1"/>
  <c r="M83" i="12"/>
  <c r="H84" i="3"/>
  <c r="N81" i="4"/>
  <c r="O81" i="4" s="1"/>
  <c r="X84" i="12"/>
  <c r="I85" i="4"/>
  <c r="AF86" i="22" s="1"/>
  <c r="H85" i="4"/>
  <c r="AI83" i="12"/>
  <c r="J84" i="5"/>
  <c r="I84" i="5"/>
  <c r="H84" i="5"/>
  <c r="K82" i="5"/>
  <c r="R83" i="10"/>
  <c r="A83" i="26"/>
  <c r="M81" i="5"/>
  <c r="AP80" i="12" s="1"/>
  <c r="P81" i="5"/>
  <c r="AU84" i="22"/>
  <c r="AW84" i="22" s="1"/>
  <c r="AV84" i="22"/>
  <c r="G85" i="5"/>
  <c r="E86" i="5"/>
  <c r="F86" i="5" s="1"/>
  <c r="AW83" i="22"/>
  <c r="AY83" i="22" s="1"/>
  <c r="AZ83" i="22" s="1"/>
  <c r="M84" i="10"/>
  <c r="H83" i="10"/>
  <c r="AH85" i="22"/>
  <c r="P82" i="4"/>
  <c r="M82" i="4"/>
  <c r="AE81" i="12" s="1"/>
  <c r="AI84" i="22"/>
  <c r="AJ84" i="22" s="1"/>
  <c r="AI83" i="22"/>
  <c r="AJ83" i="22" s="1"/>
  <c r="T83" i="22"/>
  <c r="U83" i="22" s="1"/>
  <c r="V83" i="22" s="1"/>
  <c r="N80" i="3"/>
  <c r="O80" i="3" s="1"/>
  <c r="M81" i="3"/>
  <c r="T80" i="12" s="1"/>
  <c r="P81" i="3"/>
  <c r="E86" i="3"/>
  <c r="F86" i="3" s="1"/>
  <c r="G85" i="3"/>
  <c r="R84" i="22"/>
  <c r="AG85" i="22"/>
  <c r="K83" i="4"/>
  <c r="K82" i="3"/>
  <c r="G86" i="4"/>
  <c r="E87" i="4"/>
  <c r="F87" i="4" s="1"/>
  <c r="AL82" i="13" l="1"/>
  <c r="AN82" i="13" s="1"/>
  <c r="AJ85" i="13"/>
  <c r="J85" i="4"/>
  <c r="AG86" i="22" s="1"/>
  <c r="D84" i="27"/>
  <c r="AF83" i="13"/>
  <c r="AH83" i="13" s="1"/>
  <c r="A85" i="27"/>
  <c r="AD86" i="13"/>
  <c r="Z82" i="13"/>
  <c r="AB82" i="13" s="1"/>
  <c r="A84" i="25"/>
  <c r="X85" i="13"/>
  <c r="D83" i="26"/>
  <c r="C83" i="26"/>
  <c r="J84" i="3"/>
  <c r="R85" i="22" s="1"/>
  <c r="H85" i="3"/>
  <c r="I85" i="3"/>
  <c r="Q86" i="22" s="1"/>
  <c r="M84" i="12"/>
  <c r="X85" i="12"/>
  <c r="I86" i="4"/>
  <c r="AF87" i="22" s="1"/>
  <c r="H86" i="4"/>
  <c r="P82" i="5"/>
  <c r="M82" i="5"/>
  <c r="AP81" i="12" s="1"/>
  <c r="AI84" i="12"/>
  <c r="H85" i="5"/>
  <c r="I85" i="5"/>
  <c r="J85" i="5" s="1"/>
  <c r="K83" i="5"/>
  <c r="N81" i="5"/>
  <c r="O81" i="5" s="1"/>
  <c r="A84" i="26"/>
  <c r="E87" i="5"/>
  <c r="F87" i="5" s="1"/>
  <c r="G86" i="5"/>
  <c r="AX84" i="22"/>
  <c r="AY84" i="22" s="1"/>
  <c r="AZ84" i="22" s="1"/>
  <c r="R84" i="10"/>
  <c r="AU85" i="22"/>
  <c r="AV85" i="22"/>
  <c r="AX85" i="22" s="1"/>
  <c r="M85" i="10"/>
  <c r="H84" i="10"/>
  <c r="N82" i="4"/>
  <c r="O82" i="4" s="1"/>
  <c r="AI85" i="22"/>
  <c r="AJ85" i="22" s="1"/>
  <c r="AH86" i="22"/>
  <c r="T84" i="22"/>
  <c r="U84" i="22" s="1"/>
  <c r="V84" i="22" s="1"/>
  <c r="S85" i="22"/>
  <c r="N81" i="3"/>
  <c r="O81" i="3" s="1"/>
  <c r="K83" i="3"/>
  <c r="G87" i="4"/>
  <c r="E88" i="4"/>
  <c r="F88" i="4" s="1"/>
  <c r="P82" i="3"/>
  <c r="M82" i="3"/>
  <c r="T81" i="12" s="1"/>
  <c r="M83" i="4"/>
  <c r="AE82" i="12" s="1"/>
  <c r="P83" i="4"/>
  <c r="K84" i="4"/>
  <c r="E87" i="3"/>
  <c r="F87" i="3" s="1"/>
  <c r="G86" i="3"/>
  <c r="N82" i="5" l="1"/>
  <c r="O82" i="5" s="1"/>
  <c r="AL83" i="13"/>
  <c r="AN83" i="13" s="1"/>
  <c r="AJ86" i="13"/>
  <c r="J86" i="4"/>
  <c r="AG87" i="22" s="1"/>
  <c r="D85" i="27"/>
  <c r="A86" i="27"/>
  <c r="D86" i="27" s="1"/>
  <c r="AD87" i="13"/>
  <c r="AF84" i="13"/>
  <c r="AH84" i="13" s="1"/>
  <c r="Z83" i="13"/>
  <c r="AB83" i="13" s="1"/>
  <c r="A85" i="25"/>
  <c r="D85" i="25" s="1"/>
  <c r="X86" i="13"/>
  <c r="D84" i="25"/>
  <c r="D84" i="26"/>
  <c r="C84" i="26"/>
  <c r="J85" i="3"/>
  <c r="R86" i="22" s="1"/>
  <c r="I86" i="3"/>
  <c r="Q87" i="22" s="1"/>
  <c r="M85" i="12"/>
  <c r="H86" i="3"/>
  <c r="I87" i="4"/>
  <c r="AF88" i="22" s="1"/>
  <c r="AH88" i="22" s="1"/>
  <c r="H87" i="4"/>
  <c r="X86" i="12"/>
  <c r="P83" i="5"/>
  <c r="AI85" i="12"/>
  <c r="I86" i="5"/>
  <c r="J86" i="5" s="1"/>
  <c r="H86" i="5"/>
  <c r="M83" i="5"/>
  <c r="AP82" i="12" s="1"/>
  <c r="K84" i="5"/>
  <c r="R85" i="10"/>
  <c r="G87" i="5"/>
  <c r="E88" i="5"/>
  <c r="F88" i="5" s="1"/>
  <c r="AU86" i="22"/>
  <c r="AV86" i="22"/>
  <c r="A85" i="26"/>
  <c r="AW85" i="22"/>
  <c r="AY85" i="22" s="1"/>
  <c r="AZ85" i="22" s="1"/>
  <c r="AW86" i="22"/>
  <c r="M86" i="10"/>
  <c r="H85" i="10"/>
  <c r="K85" i="4"/>
  <c r="N83" i="4"/>
  <c r="O83" i="4" s="1"/>
  <c r="AH87" i="22"/>
  <c r="AI86" i="22"/>
  <c r="AJ86" i="22" s="1"/>
  <c r="S86" i="22"/>
  <c r="T85" i="22"/>
  <c r="U85" i="22" s="1"/>
  <c r="V85" i="22" s="1"/>
  <c r="K84" i="3"/>
  <c r="M83" i="3"/>
  <c r="T82" i="12" s="1"/>
  <c r="P83" i="3"/>
  <c r="M84" i="4"/>
  <c r="AE83" i="12" s="1"/>
  <c r="P84" i="4"/>
  <c r="N82" i="3"/>
  <c r="O82" i="3" s="1"/>
  <c r="E88" i="3"/>
  <c r="F88" i="3" s="1"/>
  <c r="G87" i="3"/>
  <c r="E89" i="4"/>
  <c r="F89" i="4" s="1"/>
  <c r="G88" i="4"/>
  <c r="AJ87" i="13" l="1"/>
  <c r="P84" i="5"/>
  <c r="AL84" i="13"/>
  <c r="AN84" i="13" s="1"/>
  <c r="J87" i="4"/>
  <c r="AG88" i="22" s="1"/>
  <c r="AI88" i="22" s="1"/>
  <c r="AJ88" i="22" s="1"/>
  <c r="A87" i="27"/>
  <c r="D87" i="27" s="1"/>
  <c r="AD88" i="13"/>
  <c r="AF85" i="13"/>
  <c r="AH85" i="13" s="1"/>
  <c r="Z84" i="13"/>
  <c r="AB84" i="13" s="1"/>
  <c r="A86" i="25"/>
  <c r="D86" i="25" s="1"/>
  <c r="X87" i="13"/>
  <c r="D85" i="26"/>
  <c r="C85" i="26"/>
  <c r="M85" i="4"/>
  <c r="AE84" i="12" s="1"/>
  <c r="J86" i="3"/>
  <c r="R87" i="22" s="1"/>
  <c r="T87" i="22" s="1"/>
  <c r="M86" i="12"/>
  <c r="H87" i="3"/>
  <c r="I87" i="3"/>
  <c r="J87" i="3" s="1"/>
  <c r="X87" i="12"/>
  <c r="I88" i="4"/>
  <c r="AF89" i="22" s="1"/>
  <c r="H88" i="4"/>
  <c r="M84" i="5"/>
  <c r="AP83" i="12" s="1"/>
  <c r="AI86" i="12"/>
  <c r="I87" i="5"/>
  <c r="J87" i="5" s="1"/>
  <c r="H87" i="5"/>
  <c r="N83" i="5"/>
  <c r="O83" i="5" s="1"/>
  <c r="K86" i="4"/>
  <c r="P85" i="4"/>
  <c r="N84" i="4"/>
  <c r="O84" i="4" s="1"/>
  <c r="AU87" i="22"/>
  <c r="AW87" i="22" s="1"/>
  <c r="AV87" i="22"/>
  <c r="AX87" i="22" s="1"/>
  <c r="K86" i="5"/>
  <c r="AX86" i="22"/>
  <c r="AY86" i="22" s="1"/>
  <c r="AZ86" i="22" s="1"/>
  <c r="R86" i="10"/>
  <c r="A86" i="26"/>
  <c r="K85" i="5"/>
  <c r="E89" i="5"/>
  <c r="F89" i="5" s="1"/>
  <c r="G88" i="5"/>
  <c r="M87" i="10"/>
  <c r="H86" i="10"/>
  <c r="AI87" i="22"/>
  <c r="AJ87" i="22" s="1"/>
  <c r="T86" i="22"/>
  <c r="U86" i="22" s="1"/>
  <c r="V86" i="22" s="1"/>
  <c r="S87" i="22"/>
  <c r="P84" i="3"/>
  <c r="M84" i="3"/>
  <c r="T83" i="12" s="1"/>
  <c r="N83" i="3"/>
  <c r="O83" i="3" s="1"/>
  <c r="E90" i="4"/>
  <c r="F90" i="4" s="1"/>
  <c r="G89" i="4"/>
  <c r="E89" i="3"/>
  <c r="F89" i="3" s="1"/>
  <c r="G88" i="3"/>
  <c r="K85" i="3"/>
  <c r="AJ88" i="13" l="1"/>
  <c r="AL85" i="13"/>
  <c r="AN85" i="13" s="1"/>
  <c r="AL86" i="13"/>
  <c r="AN86" i="13" s="1"/>
  <c r="J88" i="4"/>
  <c r="M86" i="4"/>
  <c r="AE85" i="12" s="1"/>
  <c r="AF86" i="13"/>
  <c r="AH86" i="13" s="1"/>
  <c r="A88" i="27"/>
  <c r="D88" i="27" s="1"/>
  <c r="AD89" i="13"/>
  <c r="Z85" i="13"/>
  <c r="AB85" i="13" s="1"/>
  <c r="A87" i="25"/>
  <c r="D87" i="25" s="1"/>
  <c r="X88" i="13"/>
  <c r="D86" i="26"/>
  <c r="C86" i="26"/>
  <c r="N85" i="4"/>
  <c r="O85" i="4" s="1"/>
  <c r="Q88" i="22"/>
  <c r="S88" i="22" s="1"/>
  <c r="N84" i="5"/>
  <c r="O84" i="5" s="1"/>
  <c r="I88" i="3"/>
  <c r="Q89" i="22" s="1"/>
  <c r="M87" i="12"/>
  <c r="H88" i="3"/>
  <c r="X88" i="12"/>
  <c r="H89" i="4"/>
  <c r="I89" i="4"/>
  <c r="AF90" i="22" s="1"/>
  <c r="AI87" i="12"/>
  <c r="I88" i="5"/>
  <c r="J88" i="5" s="1"/>
  <c r="H88" i="5"/>
  <c r="AY87" i="22"/>
  <c r="AZ87" i="22" s="1"/>
  <c r="P86" i="4"/>
  <c r="M86" i="5"/>
  <c r="AP85" i="12" s="1"/>
  <c r="P86" i="5"/>
  <c r="M85" i="5"/>
  <c r="AP84" i="12" s="1"/>
  <c r="P85" i="5"/>
  <c r="R87" i="10"/>
  <c r="AU88" i="22"/>
  <c r="AV88" i="22"/>
  <c r="E90" i="5"/>
  <c r="F90" i="5" s="1"/>
  <c r="G89" i="5"/>
  <c r="A87" i="26"/>
  <c r="M88" i="10"/>
  <c r="H87" i="10"/>
  <c r="AH89" i="22"/>
  <c r="U87" i="22"/>
  <c r="V87" i="22" s="1"/>
  <c r="K87" i="4"/>
  <c r="N84" i="3"/>
  <c r="O84" i="3" s="1"/>
  <c r="P85" i="3"/>
  <c r="M85" i="3"/>
  <c r="T84" i="12" s="1"/>
  <c r="E90" i="3"/>
  <c r="F90" i="3" s="1"/>
  <c r="G89" i="3"/>
  <c r="R88" i="22"/>
  <c r="K86" i="3"/>
  <c r="G90" i="4"/>
  <c r="E91" i="4"/>
  <c r="F91" i="4" s="1"/>
  <c r="AG89" i="22"/>
  <c r="AJ89" i="13" l="1"/>
  <c r="J89" i="4"/>
  <c r="M87" i="4"/>
  <c r="AE86" i="12" s="1"/>
  <c r="AF87" i="13"/>
  <c r="AH87" i="13" s="1"/>
  <c r="N86" i="4"/>
  <c r="O86" i="4" s="1"/>
  <c r="A89" i="27"/>
  <c r="AD90" i="13"/>
  <c r="Z86" i="13"/>
  <c r="AB86" i="13" s="1"/>
  <c r="A88" i="25"/>
  <c r="D88" i="25" s="1"/>
  <c r="X89" i="13"/>
  <c r="D87" i="26"/>
  <c r="C87" i="26"/>
  <c r="J88" i="3"/>
  <c r="R89" i="22" s="1"/>
  <c r="H89" i="3"/>
  <c r="I89" i="3"/>
  <c r="J89" i="3" s="1"/>
  <c r="M88" i="12"/>
  <c r="X89" i="12"/>
  <c r="H90" i="4"/>
  <c r="I90" i="4"/>
  <c r="AF91" i="22" s="1"/>
  <c r="AI88" i="12"/>
  <c r="I89" i="5"/>
  <c r="J89" i="5" s="1"/>
  <c r="H89" i="5"/>
  <c r="N85" i="5"/>
  <c r="O85" i="5" s="1"/>
  <c r="N87" i="4"/>
  <c r="O87" i="4" s="1"/>
  <c r="A88" i="26"/>
  <c r="E91" i="5"/>
  <c r="F91" i="5" s="1"/>
  <c r="G90" i="5"/>
  <c r="N86" i="5"/>
  <c r="O86" i="5" s="1"/>
  <c r="AX88" i="22"/>
  <c r="R88" i="10"/>
  <c r="AW88" i="22"/>
  <c r="AU89" i="22"/>
  <c r="AV89" i="22"/>
  <c r="K87" i="5"/>
  <c r="M89" i="10"/>
  <c r="P87" i="4"/>
  <c r="H88" i="10"/>
  <c r="AI89" i="22"/>
  <c r="AJ89" i="22" s="1"/>
  <c r="AH90" i="22"/>
  <c r="T88" i="22"/>
  <c r="U88" i="22" s="1"/>
  <c r="V88" i="22" s="1"/>
  <c r="S89" i="22"/>
  <c r="N85" i="3"/>
  <c r="O85" i="3" s="1"/>
  <c r="M86" i="3"/>
  <c r="T85" i="12" s="1"/>
  <c r="P86" i="3"/>
  <c r="K88" i="4"/>
  <c r="K87" i="3"/>
  <c r="E91" i="3"/>
  <c r="F91" i="3" s="1"/>
  <c r="G90" i="3"/>
  <c r="AG90" i="22"/>
  <c r="AI90" i="22" s="1"/>
  <c r="G91" i="4"/>
  <c r="E92" i="4"/>
  <c r="F92" i="4" s="1"/>
  <c r="AL87" i="13" l="1"/>
  <c r="AN87" i="13" s="1"/>
  <c r="AJ90" i="13"/>
  <c r="Q90" i="22"/>
  <c r="S90" i="22" s="1"/>
  <c r="J90" i="4"/>
  <c r="AG91" i="22" s="1"/>
  <c r="AI91" i="22" s="1"/>
  <c r="D89" i="27"/>
  <c r="A90" i="27"/>
  <c r="D90" i="27" s="1"/>
  <c r="AD91" i="13"/>
  <c r="AF88" i="13"/>
  <c r="AH88" i="13" s="1"/>
  <c r="Z87" i="13"/>
  <c r="AB87" i="13" s="1"/>
  <c r="A89" i="25"/>
  <c r="D89" i="25" s="1"/>
  <c r="X90" i="13"/>
  <c r="D88" i="26"/>
  <c r="C88" i="26"/>
  <c r="I90" i="3"/>
  <c r="Q91" i="22" s="1"/>
  <c r="M89" i="12"/>
  <c r="H90" i="3"/>
  <c r="I91" i="4"/>
  <c r="AF92" i="22" s="1"/>
  <c r="X90" i="12"/>
  <c r="H91" i="4"/>
  <c r="AI89" i="12"/>
  <c r="I90" i="5"/>
  <c r="J90" i="5" s="1"/>
  <c r="H90" i="5"/>
  <c r="AY88" i="22"/>
  <c r="AZ88" i="22" s="1"/>
  <c r="A89" i="26"/>
  <c r="AW89" i="22"/>
  <c r="R89" i="10"/>
  <c r="AU90" i="22"/>
  <c r="AW90" i="22" s="1"/>
  <c r="AV90" i="22"/>
  <c r="AX90" i="22" s="1"/>
  <c r="M87" i="5"/>
  <c r="AP86" i="12" s="1"/>
  <c r="P87" i="5"/>
  <c r="K88" i="5"/>
  <c r="AX89" i="22"/>
  <c r="E92" i="5"/>
  <c r="F92" i="5" s="1"/>
  <c r="G91" i="5"/>
  <c r="M90" i="10"/>
  <c r="H89" i="10"/>
  <c r="AH91" i="22"/>
  <c r="K89" i="4"/>
  <c r="AJ90" i="22"/>
  <c r="T89" i="22"/>
  <c r="U89" i="22" s="1"/>
  <c r="V89" i="22" s="1"/>
  <c r="N86" i="3"/>
  <c r="O86" i="3" s="1"/>
  <c r="K88" i="3"/>
  <c r="M87" i="3"/>
  <c r="T86" i="12" s="1"/>
  <c r="P87" i="3"/>
  <c r="G92" i="4"/>
  <c r="E93" i="4"/>
  <c r="F93" i="4" s="1"/>
  <c r="E92" i="3"/>
  <c r="F92" i="3" s="1"/>
  <c r="G91" i="3"/>
  <c r="M88" i="4"/>
  <c r="AE87" i="12" s="1"/>
  <c r="P88" i="4"/>
  <c r="R90" i="22"/>
  <c r="T90" i="22" s="1"/>
  <c r="AJ91" i="13" l="1"/>
  <c r="AL88" i="13"/>
  <c r="AN88" i="13" s="1"/>
  <c r="J91" i="4"/>
  <c r="AG92" i="22" s="1"/>
  <c r="A91" i="27"/>
  <c r="D91" i="27" s="1"/>
  <c r="AD92" i="13"/>
  <c r="P89" i="4"/>
  <c r="AF89" i="13"/>
  <c r="AH89" i="13" s="1"/>
  <c r="Z88" i="13"/>
  <c r="AB88" i="13" s="1"/>
  <c r="A90" i="25"/>
  <c r="D90" i="25" s="1"/>
  <c r="X91" i="13"/>
  <c r="D89" i="26"/>
  <c r="C89" i="26"/>
  <c r="J90" i="3"/>
  <c r="R91" i="22" s="1"/>
  <c r="M90" i="12"/>
  <c r="H91" i="3"/>
  <c r="I91" i="3"/>
  <c r="Q92" i="22" s="1"/>
  <c r="X91" i="12"/>
  <c r="I92" i="4"/>
  <c r="AF93" i="22" s="1"/>
  <c r="AH93" i="22" s="1"/>
  <c r="H92" i="4"/>
  <c r="AI90" i="12"/>
  <c r="I91" i="5"/>
  <c r="J91" i="5" s="1"/>
  <c r="H91" i="5"/>
  <c r="K89" i="5"/>
  <c r="N87" i="5"/>
  <c r="O87" i="5" s="1"/>
  <c r="M89" i="4"/>
  <c r="AE88" i="12" s="1"/>
  <c r="R90" i="10"/>
  <c r="M88" i="5"/>
  <c r="AP87" i="12" s="1"/>
  <c r="P88" i="5"/>
  <c r="G92" i="5"/>
  <c r="E93" i="5"/>
  <c r="F93" i="5" s="1"/>
  <c r="AU91" i="22"/>
  <c r="AV91" i="22"/>
  <c r="AX91" i="22" s="1"/>
  <c r="A90" i="26"/>
  <c r="AY90" i="22"/>
  <c r="AZ90" i="22" s="1"/>
  <c r="AY89" i="22"/>
  <c r="AZ89" i="22" s="1"/>
  <c r="M91" i="10"/>
  <c r="H90" i="10"/>
  <c r="K90" i="4"/>
  <c r="AJ91" i="22"/>
  <c r="AH92" i="22"/>
  <c r="U90" i="22"/>
  <c r="V90" i="22" s="1"/>
  <c r="S91" i="22"/>
  <c r="N87" i="3"/>
  <c r="O87" i="3" s="1"/>
  <c r="M88" i="3"/>
  <c r="T87" i="12" s="1"/>
  <c r="P88" i="3"/>
  <c r="K89" i="3"/>
  <c r="G93" i="4"/>
  <c r="N88" i="4"/>
  <c r="O88" i="4" s="1"/>
  <c r="E93" i="3"/>
  <c r="F93" i="3" s="1"/>
  <c r="G92" i="3"/>
  <c r="P89" i="5" l="1"/>
  <c r="AL89" i="13"/>
  <c r="AN89" i="13" s="1"/>
  <c r="AJ92" i="13"/>
  <c r="J92" i="4"/>
  <c r="AG93" i="22" s="1"/>
  <c r="AF90" i="13"/>
  <c r="AH90" i="13" s="1"/>
  <c r="A92" i="27"/>
  <c r="C92" i="27" s="1"/>
  <c r="C91" i="27" s="1"/>
  <c r="C90" i="27" s="1"/>
  <c r="C89" i="27" s="1"/>
  <c r="C88" i="27" s="1"/>
  <c r="C87" i="27" s="1"/>
  <c r="C86" i="27" s="1"/>
  <c r="C85" i="27" s="1"/>
  <c r="C84" i="27" s="1"/>
  <c r="C83" i="27" s="1"/>
  <c r="C82" i="27" s="1"/>
  <c r="C81" i="27" s="1"/>
  <c r="C80" i="27" s="1"/>
  <c r="C79" i="27" s="1"/>
  <c r="C78" i="27" s="1"/>
  <c r="C77" i="27" s="1"/>
  <c r="C76" i="27" s="1"/>
  <c r="C75" i="27" s="1"/>
  <c r="C74" i="27" s="1"/>
  <c r="C73" i="27" s="1"/>
  <c r="C72" i="27" s="1"/>
  <c r="C71" i="27" s="1"/>
  <c r="C70" i="27" s="1"/>
  <c r="C69" i="27" s="1"/>
  <c r="C68" i="27" s="1"/>
  <c r="C67" i="27" s="1"/>
  <c r="C66" i="27" s="1"/>
  <c r="C65" i="27" s="1"/>
  <c r="C64" i="27" s="1"/>
  <c r="C63" i="27" s="1"/>
  <c r="C62" i="27" s="1"/>
  <c r="C61" i="27" s="1"/>
  <c r="C60" i="27" s="1"/>
  <c r="C59" i="27" s="1"/>
  <c r="C58" i="27" s="1"/>
  <c r="C57" i="27" s="1"/>
  <c r="C56" i="27" s="1"/>
  <c r="C55" i="27" s="1"/>
  <c r="C54" i="27" s="1"/>
  <c r="C53" i="27" s="1"/>
  <c r="C52" i="27" s="1"/>
  <c r="C51" i="27" s="1"/>
  <c r="C50" i="27" s="1"/>
  <c r="C49" i="27" s="1"/>
  <c r="C48" i="27" s="1"/>
  <c r="C47" i="27" s="1"/>
  <c r="C46" i="27" s="1"/>
  <c r="C45" i="27" s="1"/>
  <c r="C44" i="27" s="1"/>
  <c r="C43" i="27" s="1"/>
  <c r="C42" i="27" s="1"/>
  <c r="C41" i="27" s="1"/>
  <c r="C40" i="27" s="1"/>
  <c r="C39" i="27" s="1"/>
  <c r="C38" i="27" s="1"/>
  <c r="C37" i="27" s="1"/>
  <c r="C36" i="27" s="1"/>
  <c r="C35" i="27" s="1"/>
  <c r="C34" i="27" s="1"/>
  <c r="C33" i="27" s="1"/>
  <c r="C32" i="27" s="1"/>
  <c r="C31" i="27" s="1"/>
  <c r="C30" i="27" s="1"/>
  <c r="C29" i="27" s="1"/>
  <c r="C28" i="27" s="1"/>
  <c r="C27" i="27" s="1"/>
  <c r="C26" i="27" s="1"/>
  <c r="C25" i="27" s="1"/>
  <c r="C24" i="27" s="1"/>
  <c r="C23" i="27" s="1"/>
  <c r="C22" i="27" s="1"/>
  <c r="C21" i="27" s="1"/>
  <c r="C20" i="27" s="1"/>
  <c r="C19" i="27" s="1"/>
  <c r="C18" i="27" s="1"/>
  <c r="C17" i="27" s="1"/>
  <c r="C16" i="27" s="1"/>
  <c r="C15" i="27" s="1"/>
  <c r="C14" i="27" s="1"/>
  <c r="C13" i="27" s="1"/>
  <c r="C12" i="27" s="1"/>
  <c r="C11" i="27" s="1"/>
  <c r="C10" i="27" s="1"/>
  <c r="C9" i="27" s="1"/>
  <c r="C8" i="27" s="1"/>
  <c r="C7" i="27" s="1"/>
  <c r="C6" i="27" s="1"/>
  <c r="C5" i="27" s="1"/>
  <c r="C4" i="27" s="1"/>
  <c r="C3" i="27" s="1"/>
  <c r="AD93" i="13"/>
  <c r="Z89" i="13"/>
  <c r="AB89" i="13" s="1"/>
  <c r="A91" i="25"/>
  <c r="D91" i="25" s="1"/>
  <c r="X92" i="13"/>
  <c r="D90" i="26"/>
  <c r="C90" i="26"/>
  <c r="J91" i="3"/>
  <c r="R92" i="22" s="1"/>
  <c r="T92" i="22" s="1"/>
  <c r="I92" i="3"/>
  <c r="J92" i="3" s="1"/>
  <c r="H92" i="3"/>
  <c r="M91" i="12"/>
  <c r="X92" i="12"/>
  <c r="I93" i="4"/>
  <c r="AF94" i="22" s="1"/>
  <c r="AH94" i="22" s="1"/>
  <c r="H93" i="4"/>
  <c r="N89" i="4"/>
  <c r="O89" i="4" s="1"/>
  <c r="M89" i="5"/>
  <c r="AP88" i="12" s="1"/>
  <c r="AI91" i="12"/>
  <c r="J92" i="5"/>
  <c r="H92" i="5"/>
  <c r="I92" i="5"/>
  <c r="K90" i="5"/>
  <c r="P90" i="4"/>
  <c r="M90" i="4"/>
  <c r="AU92" i="22"/>
  <c r="AW92" i="22" s="1"/>
  <c r="AV92" i="22"/>
  <c r="AX92" i="22" s="1"/>
  <c r="AW91" i="22"/>
  <c r="AY91" i="22" s="1"/>
  <c r="AZ91" i="22" s="1"/>
  <c r="G93" i="5"/>
  <c r="R91" i="10"/>
  <c r="A91" i="26"/>
  <c r="N88" i="5"/>
  <c r="O88" i="5" s="1"/>
  <c r="M92" i="10"/>
  <c r="K91" i="4"/>
  <c r="H91" i="10"/>
  <c r="AI92" i="22"/>
  <c r="AJ92" i="22" s="1"/>
  <c r="T91" i="22"/>
  <c r="U91" i="22" s="1"/>
  <c r="V91" i="22" s="1"/>
  <c r="S92" i="22"/>
  <c r="N88" i="3"/>
  <c r="O88" i="3" s="1"/>
  <c r="G93" i="3"/>
  <c r="M89" i="3"/>
  <c r="T88" i="12" s="1"/>
  <c r="P89" i="3"/>
  <c r="K90" i="3"/>
  <c r="P90" i="5" l="1"/>
  <c r="AL90" i="13"/>
  <c r="AN90" i="13" s="1"/>
  <c r="AJ93" i="13"/>
  <c r="Q93" i="22"/>
  <c r="S93" i="22" s="1"/>
  <c r="D92" i="27"/>
  <c r="J93" i="4"/>
  <c r="AG94" i="22" s="1"/>
  <c r="AI94" i="22" s="1"/>
  <c r="AJ94" i="22" s="1"/>
  <c r="AF91" i="13"/>
  <c r="AH91" i="13" s="1"/>
  <c r="Z90" i="13"/>
  <c r="AB90" i="13" s="1"/>
  <c r="A92" i="25"/>
  <c r="C92" i="25" s="1"/>
  <c r="C91" i="25" s="1"/>
  <c r="C90" i="25" s="1"/>
  <c r="C89" i="25" s="1"/>
  <c r="C88" i="25" s="1"/>
  <c r="C87" i="25" s="1"/>
  <c r="C86" i="25" s="1"/>
  <c r="C85" i="25" s="1"/>
  <c r="C84" i="25" s="1"/>
  <c r="C83" i="25" s="1"/>
  <c r="C82" i="25" s="1"/>
  <c r="C81" i="25" s="1"/>
  <c r="C80" i="25" s="1"/>
  <c r="C79" i="25" s="1"/>
  <c r="C78" i="25" s="1"/>
  <c r="C77" i="25" s="1"/>
  <c r="C76" i="25" s="1"/>
  <c r="C75" i="25" s="1"/>
  <c r="C74" i="25" s="1"/>
  <c r="C73" i="25" s="1"/>
  <c r="C72" i="25" s="1"/>
  <c r="C71" i="25" s="1"/>
  <c r="C70" i="25" s="1"/>
  <c r="C69" i="25" s="1"/>
  <c r="C68" i="25" s="1"/>
  <c r="C67" i="25" s="1"/>
  <c r="C66" i="25" s="1"/>
  <c r="C65" i="25" s="1"/>
  <c r="C64" i="25" s="1"/>
  <c r="C63" i="25" s="1"/>
  <c r="C62" i="25" s="1"/>
  <c r="C61" i="25" s="1"/>
  <c r="C60" i="25" s="1"/>
  <c r="C59" i="25" s="1"/>
  <c r="C58" i="25" s="1"/>
  <c r="C57" i="25" s="1"/>
  <c r="C56" i="25" s="1"/>
  <c r="C55" i="25" s="1"/>
  <c r="C54" i="25" s="1"/>
  <c r="C53" i="25" s="1"/>
  <c r="C52" i="25" s="1"/>
  <c r="C51" i="25" s="1"/>
  <c r="C50" i="25" s="1"/>
  <c r="C49" i="25" s="1"/>
  <c r="C48" i="25" s="1"/>
  <c r="C47" i="25" s="1"/>
  <c r="C46" i="25" s="1"/>
  <c r="C45" i="25" s="1"/>
  <c r="C44" i="25" s="1"/>
  <c r="C43" i="25" s="1"/>
  <c r="C42" i="25" s="1"/>
  <c r="C41" i="25" s="1"/>
  <c r="C40" i="25" s="1"/>
  <c r="C39" i="25" s="1"/>
  <c r="C38" i="25" s="1"/>
  <c r="C37" i="25" s="1"/>
  <c r="C36" i="25" s="1"/>
  <c r="C35" i="25" s="1"/>
  <c r="C34" i="25" s="1"/>
  <c r="C33" i="25" s="1"/>
  <c r="C32" i="25" s="1"/>
  <c r="C31" i="25" s="1"/>
  <c r="C30" i="25" s="1"/>
  <c r="C29" i="25" s="1"/>
  <c r="C28" i="25" s="1"/>
  <c r="C27" i="25" s="1"/>
  <c r="C26" i="25" s="1"/>
  <c r="C25" i="25" s="1"/>
  <c r="C24" i="25" s="1"/>
  <c r="C23" i="25" s="1"/>
  <c r="C22" i="25" s="1"/>
  <c r="C21" i="25" s="1"/>
  <c r="C20" i="25" s="1"/>
  <c r="C19" i="25" s="1"/>
  <c r="C18" i="25" s="1"/>
  <c r="C17" i="25" s="1"/>
  <c r="C16" i="25" s="1"/>
  <c r="C15" i="25" s="1"/>
  <c r="C14" i="25" s="1"/>
  <c r="C13" i="25" s="1"/>
  <c r="C12" i="25" s="1"/>
  <c r="C11" i="25" s="1"/>
  <c r="C10" i="25" s="1"/>
  <c r="C9" i="25" s="1"/>
  <c r="C8" i="25" s="1"/>
  <c r="C7" i="25" s="1"/>
  <c r="C6" i="25" s="1"/>
  <c r="C5" i="25" s="1"/>
  <c r="C4" i="25" s="1"/>
  <c r="C3" i="25" s="1"/>
  <c r="X93" i="13"/>
  <c r="D91" i="26"/>
  <c r="C91" i="26"/>
  <c r="I93" i="3"/>
  <c r="Q94" i="22" s="1"/>
  <c r="H93" i="3"/>
  <c r="M92" i="12"/>
  <c r="N90" i="4"/>
  <c r="O90" i="4" s="1"/>
  <c r="AE89" i="12"/>
  <c r="N89" i="5"/>
  <c r="O89" i="5" s="1"/>
  <c r="M90" i="5"/>
  <c r="AP89" i="12" s="1"/>
  <c r="AI92" i="12"/>
  <c r="H93" i="5"/>
  <c r="I93" i="5"/>
  <c r="J93" i="5" s="1"/>
  <c r="AY92" i="22"/>
  <c r="AZ92" i="22" s="1"/>
  <c r="K91" i="5"/>
  <c r="A92" i="26"/>
  <c r="R92" i="10"/>
  <c r="AU93" i="22"/>
  <c r="AW93" i="22" s="1"/>
  <c r="AV93" i="22"/>
  <c r="AX93" i="22" s="1"/>
  <c r="P91" i="4"/>
  <c r="M91" i="4"/>
  <c r="H92" i="10"/>
  <c r="AI93" i="22"/>
  <c r="AJ93" i="22" s="1"/>
  <c r="K92" i="4"/>
  <c r="U92" i="22"/>
  <c r="V92" i="22" s="1"/>
  <c r="N89" i="3"/>
  <c r="O89" i="3" s="1"/>
  <c r="K91" i="3"/>
  <c r="M90" i="3"/>
  <c r="T89" i="12" s="1"/>
  <c r="P90" i="3"/>
  <c r="R93" i="22"/>
  <c r="T93" i="22" s="1"/>
  <c r="D92" i="25" l="1"/>
  <c r="S94" i="22"/>
  <c r="M91" i="5"/>
  <c r="AP90" i="12" s="1"/>
  <c r="AL91" i="13"/>
  <c r="AN91" i="13" s="1"/>
  <c r="P92" i="4"/>
  <c r="AF92" i="13"/>
  <c r="AH92" i="13" s="1"/>
  <c r="M91" i="3"/>
  <c r="T90" i="12" s="1"/>
  <c r="Z91" i="13"/>
  <c r="AB91" i="13" s="1"/>
  <c r="C92" i="26"/>
  <c r="J93" i="3"/>
  <c r="R94" i="22" s="1"/>
  <c r="T94" i="22" s="1"/>
  <c r="N91" i="4"/>
  <c r="O91" i="4" s="1"/>
  <c r="AE90" i="12"/>
  <c r="N90" i="5"/>
  <c r="O90" i="5" s="1"/>
  <c r="P91" i="5"/>
  <c r="K92" i="5"/>
  <c r="AY93" i="22"/>
  <c r="AZ93" i="22" s="1"/>
  <c r="AU94" i="22"/>
  <c r="AW94" i="22" s="1"/>
  <c r="AV94" i="22"/>
  <c r="AX94" i="22" s="1"/>
  <c r="K93" i="5"/>
  <c r="D92" i="26"/>
  <c r="K93" i="4"/>
  <c r="M92" i="4"/>
  <c r="AE91" i="12" s="1"/>
  <c r="U93" i="22"/>
  <c r="V93" i="22" s="1"/>
  <c r="N90" i="3"/>
  <c r="O90" i="3" s="1"/>
  <c r="N91" i="3"/>
  <c r="O91" i="3" s="1"/>
  <c r="P91" i="3"/>
  <c r="K92" i="3"/>
  <c r="U94" i="22" l="1"/>
  <c r="V94" i="22" s="1"/>
  <c r="W88" i="22" s="1"/>
  <c r="N91" i="5"/>
  <c r="O91" i="5" s="1"/>
  <c r="AL93" i="13"/>
  <c r="AN93" i="13" s="1"/>
  <c r="AL92" i="13"/>
  <c r="AN92" i="13" s="1"/>
  <c r="M93" i="4"/>
  <c r="AE92" i="12" s="1"/>
  <c r="AF93" i="13"/>
  <c r="AH93" i="13" s="1"/>
  <c r="Z92" i="13"/>
  <c r="AB92" i="13" s="1"/>
  <c r="P92" i="5"/>
  <c r="AY94" i="22"/>
  <c r="AZ94" i="22" s="1"/>
  <c r="BA93" i="22" s="1"/>
  <c r="M92" i="5"/>
  <c r="AP91" i="12" s="1"/>
  <c r="P93" i="4"/>
  <c r="N92" i="4"/>
  <c r="O92" i="4" s="1"/>
  <c r="M93" i="5"/>
  <c r="AP92" i="12" s="1"/>
  <c r="P93" i="5"/>
  <c r="W92" i="22"/>
  <c r="W86" i="22"/>
  <c r="W58" i="22"/>
  <c r="W63" i="22"/>
  <c r="W71" i="22"/>
  <c r="W60" i="22"/>
  <c r="W51" i="22"/>
  <c r="W9" i="22"/>
  <c r="W66" i="22"/>
  <c r="W14" i="22"/>
  <c r="W30" i="22"/>
  <c r="W55" i="22"/>
  <c r="W16" i="22"/>
  <c r="W6" i="22"/>
  <c r="W76" i="22"/>
  <c r="W13" i="22"/>
  <c r="W48" i="22"/>
  <c r="W10" i="22"/>
  <c r="W27" i="22"/>
  <c r="W57" i="22"/>
  <c r="W78" i="22"/>
  <c r="W82" i="22"/>
  <c r="P92" i="3"/>
  <c r="M92" i="3"/>
  <c r="T91" i="12" s="1"/>
  <c r="K93" i="3"/>
  <c r="W90" i="22" l="1"/>
  <c r="W81" i="22"/>
  <c r="W77" i="22"/>
  <c r="W8" i="22"/>
  <c r="W15" i="22"/>
  <c r="W49" i="22"/>
  <c r="W19" i="22"/>
  <c r="W37" i="22"/>
  <c r="W7" i="22"/>
  <c r="W12" i="22"/>
  <c r="W69" i="22"/>
  <c r="W52" i="22"/>
  <c r="W21" i="22"/>
  <c r="W44" i="22"/>
  <c r="W34" i="22"/>
  <c r="W23" i="22"/>
  <c r="W70" i="22"/>
  <c r="W42" i="22"/>
  <c r="W56" i="22"/>
  <c r="W50" i="22"/>
  <c r="W93" i="22"/>
  <c r="W85" i="22"/>
  <c r="W87" i="22"/>
  <c r="W83" i="22"/>
  <c r="W80" i="22"/>
  <c r="W74" i="22"/>
  <c r="W25" i="22"/>
  <c r="W28" i="22"/>
  <c r="W39" i="22"/>
  <c r="W35" i="22"/>
  <c r="W54" i="22"/>
  <c r="W53" i="22"/>
  <c r="W40" i="22"/>
  <c r="W64" i="22"/>
  <c r="W73" i="22"/>
  <c r="W43" i="22"/>
  <c r="W72" i="22"/>
  <c r="W47" i="22"/>
  <c r="W45" i="22"/>
  <c r="W68" i="22"/>
  <c r="W26" i="22"/>
  <c r="W65" i="22"/>
  <c r="W22" i="22"/>
  <c r="W94" i="22"/>
  <c r="W89" i="22"/>
  <c r="N93" i="4"/>
  <c r="O93" i="4" s="1"/>
  <c r="W84" i="22"/>
  <c r="W79" i="22"/>
  <c r="W75" i="22"/>
  <c r="W32" i="22"/>
  <c r="W17" i="22"/>
  <c r="W59" i="22"/>
  <c r="W11" i="22"/>
  <c r="W67" i="22"/>
  <c r="W36" i="22"/>
  <c r="W61" i="22"/>
  <c r="W33" i="22"/>
  <c r="W29" i="22"/>
  <c r="W46" i="22"/>
  <c r="W18" i="22"/>
  <c r="W41" i="22"/>
  <c r="W24" i="22"/>
  <c r="W20" i="22"/>
  <c r="W38" i="22"/>
  <c r="W31" i="22"/>
  <c r="W62" i="22"/>
  <c r="W91" i="22"/>
  <c r="Z93" i="13"/>
  <c r="AB93" i="13" s="1"/>
  <c r="BA90" i="22"/>
  <c r="BA13" i="22"/>
  <c r="BA70" i="22"/>
  <c r="BA38" i="22"/>
  <c r="BA18" i="22"/>
  <c r="BA26" i="22"/>
  <c r="BA66" i="22"/>
  <c r="BA39" i="22"/>
  <c r="BA78" i="22"/>
  <c r="BA8" i="22"/>
  <c r="BA27" i="22"/>
  <c r="BA84" i="22"/>
  <c r="BA61" i="22"/>
  <c r="BA31" i="22"/>
  <c r="BA21" i="22"/>
  <c r="BA54" i="22"/>
  <c r="BA91" i="22"/>
  <c r="BA72" i="22"/>
  <c r="BA16" i="22"/>
  <c r="BA20" i="22"/>
  <c r="BA50" i="22"/>
  <c r="BA56" i="22"/>
  <c r="BA85" i="22"/>
  <c r="BA83" i="22"/>
  <c r="BA79" i="22"/>
  <c r="BA67" i="22"/>
  <c r="BA42" i="22"/>
  <c r="BA14" i="22"/>
  <c r="BA23" i="22"/>
  <c r="BA53" i="22"/>
  <c r="BA32" i="22"/>
  <c r="BA40" i="22"/>
  <c r="BA35" i="22"/>
  <c r="BA88" i="22"/>
  <c r="BA81" i="22"/>
  <c r="BA73" i="22"/>
  <c r="BA65" i="22"/>
  <c r="BA33" i="22"/>
  <c r="BA30" i="22"/>
  <c r="BA49" i="22"/>
  <c r="BA9" i="22"/>
  <c r="BA7" i="22"/>
  <c r="BA55" i="22"/>
  <c r="BA15" i="22"/>
  <c r="BA94" i="22"/>
  <c r="BA89" i="22"/>
  <c r="BA92" i="22"/>
  <c r="BA82" i="22"/>
  <c r="BA77" i="22"/>
  <c r="BA75" i="22"/>
  <c r="BA69" i="22"/>
  <c r="BA68" i="22"/>
  <c r="BA63" i="22"/>
  <c r="BA17" i="22"/>
  <c r="BA12" i="22"/>
  <c r="BA24" i="22"/>
  <c r="BA43" i="22"/>
  <c r="BA44" i="22"/>
  <c r="BA60" i="22"/>
  <c r="BA34" i="22"/>
  <c r="BA41" i="22"/>
  <c r="BA45" i="22"/>
  <c r="BA22" i="22"/>
  <c r="BA46" i="22"/>
  <c r="BA58" i="22"/>
  <c r="BA47" i="22"/>
  <c r="BA37" i="22"/>
  <c r="BA87" i="22"/>
  <c r="BA86" i="22"/>
  <c r="BA80" i="22"/>
  <c r="BA76" i="22"/>
  <c r="BA74" i="22"/>
  <c r="BA71" i="22"/>
  <c r="BA64" i="22"/>
  <c r="BA62" i="22"/>
  <c r="BA48" i="22"/>
  <c r="BA10" i="22"/>
  <c r="BA19" i="22"/>
  <c r="BA59" i="22"/>
  <c r="BA28" i="22"/>
  <c r="BA57" i="22"/>
  <c r="BA51" i="22"/>
  <c r="BA6" i="22"/>
  <c r="BA11" i="22"/>
  <c r="BA36" i="22"/>
  <c r="BA25" i="22"/>
  <c r="BA29" i="22"/>
  <c r="BA52" i="22"/>
  <c r="N92" i="5"/>
  <c r="O92" i="5" s="1"/>
  <c r="N93" i="5"/>
  <c r="O93" i="5" s="1"/>
  <c r="P93" i="3"/>
  <c r="M93" i="3"/>
  <c r="T92" i="12" s="1"/>
  <c r="N92" i="3"/>
  <c r="O92" i="3" s="1"/>
  <c r="N93" i="3" l="1"/>
  <c r="O93" i="3" s="1"/>
  <c r="B5" i="4" l="1"/>
  <c r="B3" i="4"/>
  <c r="J3" i="5"/>
  <c r="AV4" i="22" s="1"/>
  <c r="AV5" i="22"/>
  <c r="AX6" i="22" s="1"/>
  <c r="AY6" i="22" s="1"/>
  <c r="AZ6" i="22" s="1"/>
  <c r="BA5" i="22" s="1"/>
  <c r="J3" i="4"/>
  <c r="AG4" i="22" s="1"/>
  <c r="AG5" i="22"/>
  <c r="AI6" i="22" s="1"/>
  <c r="AJ6" i="22" s="1"/>
  <c r="AK6" i="22" s="1"/>
  <c r="AL5" i="22" s="1"/>
  <c r="G4" i="2"/>
  <c r="R5" i="22"/>
  <c r="I4" i="2"/>
  <c r="B5" i="22" s="1"/>
  <c r="I5" i="2"/>
  <c r="B6" i="22" s="1"/>
  <c r="I6" i="2"/>
  <c r="B7" i="22" s="1"/>
  <c r="I7" i="2"/>
  <c r="B8" i="22" s="1"/>
  <c r="I8" i="2"/>
  <c r="B9" i="22" s="1"/>
  <c r="I9" i="2"/>
  <c r="B10" i="22" s="1"/>
  <c r="I10" i="2"/>
  <c r="B11" i="22" s="1"/>
  <c r="I11" i="2"/>
  <c r="B12" i="22" s="1"/>
  <c r="I12" i="2"/>
  <c r="B13" i="22" s="1"/>
  <c r="I13" i="2"/>
  <c r="B14" i="22" s="1"/>
  <c r="I14" i="2"/>
  <c r="B15" i="22" s="1"/>
  <c r="I15" i="2"/>
  <c r="B16" i="22" s="1"/>
  <c r="I16" i="2"/>
  <c r="B17" i="22" s="1"/>
  <c r="I17" i="2"/>
  <c r="B18" i="22" s="1"/>
  <c r="I18" i="2"/>
  <c r="B19" i="22" s="1"/>
  <c r="I19" i="2"/>
  <c r="B20" i="22" s="1"/>
  <c r="I20" i="2"/>
  <c r="B21" i="22" s="1"/>
  <c r="I21" i="2"/>
  <c r="B22" i="22" s="1"/>
  <c r="I22" i="2"/>
  <c r="B23" i="22" s="1"/>
  <c r="I23" i="2"/>
  <c r="B24" i="22" s="1"/>
  <c r="I24" i="2"/>
  <c r="B25" i="22" s="1"/>
  <c r="I25" i="2"/>
  <c r="B26" i="22" s="1"/>
  <c r="I26" i="2"/>
  <c r="B27" i="22" s="1"/>
  <c r="I27" i="2"/>
  <c r="B28" i="22" s="1"/>
  <c r="I28" i="2"/>
  <c r="B29" i="22" s="1"/>
  <c r="I29" i="2"/>
  <c r="B30" i="22" s="1"/>
  <c r="I30" i="2"/>
  <c r="B31" i="22" s="1"/>
  <c r="I31" i="2"/>
  <c r="B32" i="22" s="1"/>
  <c r="I32" i="2"/>
  <c r="B33" i="22" s="1"/>
  <c r="I33" i="2"/>
  <c r="B34" i="22" s="1"/>
  <c r="I34" i="2"/>
  <c r="B35" i="22" s="1"/>
  <c r="I35" i="2"/>
  <c r="B36" i="22" s="1"/>
  <c r="I36" i="2"/>
  <c r="B37" i="22" s="1"/>
  <c r="I37" i="2"/>
  <c r="B38" i="22" s="1"/>
  <c r="I38" i="2"/>
  <c r="B39" i="22" s="1"/>
  <c r="I39" i="2"/>
  <c r="B40" i="22" s="1"/>
  <c r="I40" i="2"/>
  <c r="B41" i="22" s="1"/>
  <c r="I41" i="2"/>
  <c r="B42" i="22" s="1"/>
  <c r="I42" i="2"/>
  <c r="B43" i="22" s="1"/>
  <c r="I43" i="2"/>
  <c r="B44" i="22" s="1"/>
  <c r="I44" i="2"/>
  <c r="B45" i="22" s="1"/>
  <c r="I45" i="2"/>
  <c r="B46" i="22" s="1"/>
  <c r="I46" i="2"/>
  <c r="B47" i="22" s="1"/>
  <c r="I47" i="2"/>
  <c r="B48" i="22" s="1"/>
  <c r="I48" i="2"/>
  <c r="B49" i="22" s="1"/>
  <c r="I49" i="2"/>
  <c r="B50" i="22" s="1"/>
  <c r="I50" i="2"/>
  <c r="B51" i="22" s="1"/>
  <c r="I51" i="2"/>
  <c r="B52" i="22" s="1"/>
  <c r="I52" i="2"/>
  <c r="B53" i="22" s="1"/>
  <c r="I53" i="2"/>
  <c r="B54" i="22" s="1"/>
  <c r="I54" i="2"/>
  <c r="B55" i="22" s="1"/>
  <c r="I55" i="2"/>
  <c r="B56" i="22" s="1"/>
  <c r="I56" i="2"/>
  <c r="B57" i="22" s="1"/>
  <c r="I57" i="2"/>
  <c r="B58" i="22" s="1"/>
  <c r="I58" i="2"/>
  <c r="B59" i="22" s="1"/>
  <c r="I59" i="2"/>
  <c r="B60" i="22" s="1"/>
  <c r="I60" i="2"/>
  <c r="B61" i="22" s="1"/>
  <c r="I61" i="2"/>
  <c r="B62" i="22" s="1"/>
  <c r="I62" i="2"/>
  <c r="B63" i="22" s="1"/>
  <c r="I63" i="2"/>
  <c r="B64" i="22" s="1"/>
  <c r="I64" i="2"/>
  <c r="B65" i="22" s="1"/>
  <c r="I65" i="2"/>
  <c r="B66" i="22" s="1"/>
  <c r="I66" i="2"/>
  <c r="B67" i="22" s="1"/>
  <c r="I67" i="2"/>
  <c r="B68" i="22" s="1"/>
  <c r="I68" i="2"/>
  <c r="B69" i="22" s="1"/>
  <c r="I69" i="2"/>
  <c r="B70" i="22" s="1"/>
  <c r="I70" i="2"/>
  <c r="B71" i="22" s="1"/>
  <c r="I3" i="2"/>
  <c r="B4" i="22" s="1"/>
  <c r="D69" i="22" l="1"/>
  <c r="D65" i="22"/>
  <c r="D61" i="22"/>
  <c r="D57" i="22"/>
  <c r="D53" i="22"/>
  <c r="D49" i="22"/>
  <c r="D45" i="22"/>
  <c r="D41" i="22"/>
  <c r="D37" i="22"/>
  <c r="D33" i="22"/>
  <c r="D25" i="22"/>
  <c r="D71" i="22"/>
  <c r="D64" i="22"/>
  <c r="D56" i="22"/>
  <c r="D52" i="22"/>
  <c r="D44" i="22"/>
  <c r="D36" i="22"/>
  <c r="D28" i="22"/>
  <c r="D24" i="22"/>
  <c r="D20" i="22"/>
  <c r="D8" i="22"/>
  <c r="D68" i="22"/>
  <c r="D60" i="22"/>
  <c r="D48" i="22"/>
  <c r="D40" i="22"/>
  <c r="D32" i="22"/>
  <c r="D16" i="22"/>
  <c r="D12" i="22"/>
  <c r="D67" i="22"/>
  <c r="D51" i="22"/>
  <c r="D47" i="22"/>
  <c r="D35" i="22"/>
  <c r="D31" i="22"/>
  <c r="D27" i="22"/>
  <c r="D23" i="22"/>
  <c r="D19" i="22"/>
  <c r="D15" i="22"/>
  <c r="D11" i="22"/>
  <c r="D7" i="22"/>
  <c r="D70" i="22"/>
  <c r="D66" i="22"/>
  <c r="D58" i="22"/>
  <c r="D54" i="22"/>
  <c r="D50" i="22"/>
  <c r="D46" i="22"/>
  <c r="D42" i="22"/>
  <c r="D38" i="22"/>
  <c r="D34" i="22"/>
  <c r="D30" i="22"/>
  <c r="D26" i="22"/>
  <c r="D22" i="22"/>
  <c r="D18" i="22"/>
  <c r="D14" i="22"/>
  <c r="D10" i="22"/>
  <c r="D6" i="22"/>
  <c r="D62" i="22"/>
  <c r="D63" i="22"/>
  <c r="D59" i="22"/>
  <c r="D55" i="22"/>
  <c r="D43" i="22"/>
  <c r="D39" i="22"/>
  <c r="D4" i="22"/>
  <c r="D5" i="22"/>
  <c r="D29" i="22"/>
  <c r="D21" i="22"/>
  <c r="D17" i="22"/>
  <c r="D13" i="22"/>
  <c r="D9" i="22"/>
  <c r="AX4" i="22"/>
  <c r="AY4" i="22" s="1"/>
  <c r="AZ4" i="22" s="1"/>
  <c r="AX5" i="22"/>
  <c r="AY5" i="22" s="1"/>
  <c r="AZ5" i="22" s="1"/>
  <c r="AI4" i="22"/>
  <c r="AJ4" i="22" s="1"/>
  <c r="AK4" i="22" s="1"/>
  <c r="AI5" i="22"/>
  <c r="AJ5" i="22" s="1"/>
  <c r="AK5" i="22" s="1"/>
  <c r="T6" i="22"/>
  <c r="U6" i="22" s="1"/>
  <c r="V6" i="22" s="1"/>
  <c r="W5" i="22" s="1"/>
  <c r="K3" i="5"/>
  <c r="L3" i="5" s="1"/>
  <c r="Y16" i="29" s="1"/>
  <c r="Y17" i="29" s="1"/>
  <c r="Y18" i="29" s="1"/>
  <c r="Y19" i="29" s="1"/>
  <c r="Y20" i="29" s="1"/>
  <c r="J3" i="3"/>
  <c r="R4" i="22" s="1"/>
  <c r="T4" i="22" s="1"/>
  <c r="U4" i="22" s="1"/>
  <c r="V4" i="22" s="1"/>
  <c r="X4" i="22" s="1"/>
  <c r="B27" i="2"/>
  <c r="B26" i="2"/>
  <c r="T5" i="22" l="1"/>
  <c r="U5" i="22" s="1"/>
  <c r="V5" i="22" s="1"/>
  <c r="X5" i="22" s="1"/>
  <c r="Y5" i="22" s="1"/>
  <c r="BF6" i="22"/>
  <c r="B13" i="5" s="1"/>
  <c r="BB4" i="22"/>
  <c r="BB6" i="22"/>
  <c r="BC6" i="22" s="1"/>
  <c r="BB5" i="22"/>
  <c r="BC5" i="22" s="1"/>
  <c r="BB7" i="22"/>
  <c r="BC7" i="22" s="1"/>
  <c r="BB8" i="22"/>
  <c r="BC8" i="22" s="1"/>
  <c r="BB9" i="22"/>
  <c r="BC9" i="22" s="1"/>
  <c r="BB10" i="22"/>
  <c r="BC10" i="22" s="1"/>
  <c r="BB11" i="22"/>
  <c r="BC11" i="22" s="1"/>
  <c r="BB12" i="22"/>
  <c r="BC12" i="22" s="1"/>
  <c r="BB13" i="22"/>
  <c r="BC13" i="22" s="1"/>
  <c r="BB14" i="22"/>
  <c r="BC14" i="22" s="1"/>
  <c r="BB15" i="22"/>
  <c r="BC15" i="22" s="1"/>
  <c r="BB16" i="22"/>
  <c r="BC16" i="22" s="1"/>
  <c r="BB17" i="22"/>
  <c r="BC17" i="22" s="1"/>
  <c r="BB18" i="22"/>
  <c r="BC18" i="22" s="1"/>
  <c r="BB19" i="22"/>
  <c r="BC19" i="22" s="1"/>
  <c r="BB20" i="22"/>
  <c r="BC20" i="22" s="1"/>
  <c r="BB21" i="22"/>
  <c r="BC21" i="22" s="1"/>
  <c r="BB22" i="22"/>
  <c r="BC22" i="22" s="1"/>
  <c r="BB23" i="22"/>
  <c r="BC23" i="22" s="1"/>
  <c r="BB24" i="22"/>
  <c r="BC24" i="22" s="1"/>
  <c r="BB25" i="22"/>
  <c r="BC25" i="22" s="1"/>
  <c r="BB26" i="22"/>
  <c r="BC26" i="22" s="1"/>
  <c r="BB27" i="22"/>
  <c r="BC27" i="22" s="1"/>
  <c r="BB28" i="22"/>
  <c r="BC28" i="22" s="1"/>
  <c r="BB29" i="22"/>
  <c r="BC29" i="22" s="1"/>
  <c r="BB30" i="22"/>
  <c r="BC30" i="22" s="1"/>
  <c r="BB31" i="22"/>
  <c r="BC31" i="22" s="1"/>
  <c r="BB32" i="22"/>
  <c r="BC32" i="22" s="1"/>
  <c r="BB33" i="22"/>
  <c r="BC33" i="22" s="1"/>
  <c r="BB34" i="22"/>
  <c r="BC34" i="22" s="1"/>
  <c r="BB35" i="22"/>
  <c r="BC35" i="22" s="1"/>
  <c r="BB36" i="22"/>
  <c r="BC36" i="22" s="1"/>
  <c r="BB37" i="22"/>
  <c r="BC37" i="22" s="1"/>
  <c r="BB38" i="22"/>
  <c r="BC38" i="22" s="1"/>
  <c r="BB39" i="22"/>
  <c r="BC39" i="22" s="1"/>
  <c r="BB40" i="22"/>
  <c r="BC40" i="22" s="1"/>
  <c r="BB41" i="22"/>
  <c r="BC41" i="22" s="1"/>
  <c r="BB42" i="22"/>
  <c r="BC42" i="22" s="1"/>
  <c r="BB43" i="22"/>
  <c r="BC43" i="22" s="1"/>
  <c r="BB44" i="22"/>
  <c r="BC44" i="22" s="1"/>
  <c r="BB45" i="22"/>
  <c r="BC45" i="22" s="1"/>
  <c r="BB46" i="22"/>
  <c r="BC46" i="22" s="1"/>
  <c r="BB47" i="22"/>
  <c r="BC47" i="22" s="1"/>
  <c r="BB48" i="22"/>
  <c r="BC48" i="22" s="1"/>
  <c r="BB49" i="22"/>
  <c r="BC49" i="22" s="1"/>
  <c r="BB50" i="22"/>
  <c r="BC50" i="22" s="1"/>
  <c r="BB51" i="22"/>
  <c r="BC51" i="22" s="1"/>
  <c r="BB52" i="22"/>
  <c r="BC52" i="22" s="1"/>
  <c r="BB53" i="22"/>
  <c r="BC53" i="22" s="1"/>
  <c r="BB54" i="22"/>
  <c r="BC54" i="22" s="1"/>
  <c r="BB55" i="22"/>
  <c r="BC55" i="22" s="1"/>
  <c r="BB56" i="22"/>
  <c r="BC56" i="22" s="1"/>
  <c r="BB57" i="22"/>
  <c r="BC57" i="22" s="1"/>
  <c r="BB58" i="22"/>
  <c r="BC58" i="22" s="1"/>
  <c r="BB59" i="22"/>
  <c r="BC59" i="22" s="1"/>
  <c r="BB60" i="22"/>
  <c r="BC60" i="22" s="1"/>
  <c r="BB61" i="22"/>
  <c r="BC61" i="22" s="1"/>
  <c r="BB62" i="22"/>
  <c r="BC62" i="22" s="1"/>
  <c r="BB63" i="22"/>
  <c r="BC63" i="22" s="1"/>
  <c r="BB64" i="22"/>
  <c r="BC64" i="22" s="1"/>
  <c r="BB65" i="22"/>
  <c r="BC65" i="22" s="1"/>
  <c r="BB66" i="22"/>
  <c r="BC66" i="22" s="1"/>
  <c r="BB67" i="22"/>
  <c r="BC67" i="22" s="1"/>
  <c r="BB68" i="22"/>
  <c r="BC68" i="22" s="1"/>
  <c r="BB69" i="22"/>
  <c r="BC69" i="22" s="1"/>
  <c r="BB70" i="22"/>
  <c r="BC70" i="22" s="1"/>
  <c r="BB71" i="22"/>
  <c r="BC71" i="22" s="1"/>
  <c r="BB72" i="22"/>
  <c r="BC72" i="22" s="1"/>
  <c r="BB73" i="22"/>
  <c r="BC73" i="22" s="1"/>
  <c r="BB74" i="22"/>
  <c r="BC74" i="22" s="1"/>
  <c r="BB75" i="22"/>
  <c r="BC75" i="22" s="1"/>
  <c r="BB76" i="22"/>
  <c r="BC76" i="22" s="1"/>
  <c r="BB77" i="22"/>
  <c r="BC77" i="22" s="1"/>
  <c r="BB78" i="22"/>
  <c r="BC78" i="22" s="1"/>
  <c r="BB79" i="22"/>
  <c r="BC79" i="22" s="1"/>
  <c r="BB80" i="22"/>
  <c r="BC80" i="22" s="1"/>
  <c r="BB81" i="22"/>
  <c r="BC81" i="22" s="1"/>
  <c r="BB82" i="22"/>
  <c r="BC82" i="22" s="1"/>
  <c r="BB83" i="22"/>
  <c r="BC83" i="22" s="1"/>
  <c r="BB84" i="22"/>
  <c r="BC84" i="22" s="1"/>
  <c r="BB85" i="22"/>
  <c r="BC85" i="22" s="1"/>
  <c r="BB86" i="22"/>
  <c r="BC86" i="22" s="1"/>
  <c r="BB87" i="22"/>
  <c r="BC87" i="22" s="1"/>
  <c r="BB88" i="22"/>
  <c r="BC88" i="22" s="1"/>
  <c r="BB89" i="22"/>
  <c r="BC89" i="22" s="1"/>
  <c r="BB90" i="22"/>
  <c r="BC90" i="22" s="1"/>
  <c r="BB91" i="22"/>
  <c r="BC91" i="22" s="1"/>
  <c r="BB92" i="22"/>
  <c r="BC92" i="22" s="1"/>
  <c r="BB93" i="22"/>
  <c r="BC93" i="22" s="1"/>
  <c r="BB94" i="22"/>
  <c r="BC94" i="22" s="1"/>
  <c r="BA4" i="22"/>
  <c r="AQ6" i="22"/>
  <c r="B13" i="4" s="1"/>
  <c r="B38" i="4" s="1"/>
  <c r="AM4" i="22"/>
  <c r="AM6" i="22"/>
  <c r="AN6" i="22" s="1"/>
  <c r="AM5" i="22"/>
  <c r="AN5" i="22" s="1"/>
  <c r="AM7" i="22"/>
  <c r="AN7" i="22" s="1"/>
  <c r="AM8" i="22"/>
  <c r="AN8" i="22" s="1"/>
  <c r="AM9" i="22"/>
  <c r="AN9" i="22" s="1"/>
  <c r="AM10" i="22"/>
  <c r="AN10" i="22" s="1"/>
  <c r="AM11" i="22"/>
  <c r="AN11" i="22" s="1"/>
  <c r="AM12" i="22"/>
  <c r="AN12" i="22" s="1"/>
  <c r="AM13" i="22"/>
  <c r="AN13" i="22" s="1"/>
  <c r="AM14" i="22"/>
  <c r="AN14" i="22" s="1"/>
  <c r="AM15" i="22"/>
  <c r="AN15" i="22" s="1"/>
  <c r="AM16" i="22"/>
  <c r="AN16" i="22" s="1"/>
  <c r="AM17" i="22"/>
  <c r="AN17" i="22" s="1"/>
  <c r="AM18" i="22"/>
  <c r="AN18" i="22" s="1"/>
  <c r="AM19" i="22"/>
  <c r="AN19" i="22" s="1"/>
  <c r="AM20" i="22"/>
  <c r="AN20" i="22" s="1"/>
  <c r="AM21" i="22"/>
  <c r="AN21" i="22" s="1"/>
  <c r="AM22" i="22"/>
  <c r="AN22" i="22" s="1"/>
  <c r="AM23" i="22"/>
  <c r="AN23" i="22" s="1"/>
  <c r="AM24" i="22"/>
  <c r="AN24" i="22" s="1"/>
  <c r="AM25" i="22"/>
  <c r="AN25" i="22" s="1"/>
  <c r="AM26" i="22"/>
  <c r="AN26" i="22" s="1"/>
  <c r="AM27" i="22"/>
  <c r="AN27" i="22" s="1"/>
  <c r="AM28" i="22"/>
  <c r="AN28" i="22" s="1"/>
  <c r="AM29" i="22"/>
  <c r="AN29" i="22" s="1"/>
  <c r="AM30" i="22"/>
  <c r="AN30" i="22" s="1"/>
  <c r="AM31" i="22"/>
  <c r="AN31" i="22" s="1"/>
  <c r="AM32" i="22"/>
  <c r="AN32" i="22" s="1"/>
  <c r="AM33" i="22"/>
  <c r="AN33" i="22" s="1"/>
  <c r="AM34" i="22"/>
  <c r="AN34" i="22" s="1"/>
  <c r="AM35" i="22"/>
  <c r="AN35" i="22" s="1"/>
  <c r="AM36" i="22"/>
  <c r="AN36" i="22" s="1"/>
  <c r="AM37" i="22"/>
  <c r="AN37" i="22" s="1"/>
  <c r="AM38" i="22"/>
  <c r="AN38" i="22" s="1"/>
  <c r="AM39" i="22"/>
  <c r="AN39" i="22" s="1"/>
  <c r="AM40" i="22"/>
  <c r="AN40" i="22" s="1"/>
  <c r="AM41" i="22"/>
  <c r="AN41" i="22" s="1"/>
  <c r="AM42" i="22"/>
  <c r="AN42" i="22" s="1"/>
  <c r="AM43" i="22"/>
  <c r="AN43" i="22" s="1"/>
  <c r="AM44" i="22"/>
  <c r="AN44" i="22" s="1"/>
  <c r="AM45" i="22"/>
  <c r="AN45" i="22" s="1"/>
  <c r="AM46" i="22"/>
  <c r="AN46" i="22" s="1"/>
  <c r="AM47" i="22"/>
  <c r="AN47" i="22" s="1"/>
  <c r="AM48" i="22"/>
  <c r="AN48" i="22" s="1"/>
  <c r="AM49" i="22"/>
  <c r="AN49" i="22" s="1"/>
  <c r="AM50" i="22"/>
  <c r="AN50" i="22" s="1"/>
  <c r="AM51" i="22"/>
  <c r="AN51" i="22" s="1"/>
  <c r="AM52" i="22"/>
  <c r="AN52" i="22" s="1"/>
  <c r="AM53" i="22"/>
  <c r="AN53" i="22" s="1"/>
  <c r="AM54" i="22"/>
  <c r="AN54" i="22" s="1"/>
  <c r="AM55" i="22"/>
  <c r="AN55" i="22" s="1"/>
  <c r="AM56" i="22"/>
  <c r="AN56" i="22" s="1"/>
  <c r="AM57" i="22"/>
  <c r="AN57" i="22" s="1"/>
  <c r="AM58" i="22"/>
  <c r="AN58" i="22" s="1"/>
  <c r="AM59" i="22"/>
  <c r="AN59" i="22" s="1"/>
  <c r="AM60" i="22"/>
  <c r="AN60" i="22" s="1"/>
  <c r="AM61" i="22"/>
  <c r="AN61" i="22" s="1"/>
  <c r="AM62" i="22"/>
  <c r="AN62" i="22" s="1"/>
  <c r="AM63" i="22"/>
  <c r="AN63" i="22" s="1"/>
  <c r="AM64" i="22"/>
  <c r="AN64" i="22" s="1"/>
  <c r="AM65" i="22"/>
  <c r="AN65" i="22" s="1"/>
  <c r="AM66" i="22"/>
  <c r="AN66" i="22" s="1"/>
  <c r="AM67" i="22"/>
  <c r="AN67" i="22" s="1"/>
  <c r="AM68" i="22"/>
  <c r="AN68" i="22" s="1"/>
  <c r="AM69" i="22"/>
  <c r="AN69" i="22" s="1"/>
  <c r="AM70" i="22"/>
  <c r="AN70" i="22" s="1"/>
  <c r="AM71" i="22"/>
  <c r="AN71" i="22" s="1"/>
  <c r="AM72" i="22"/>
  <c r="AN72" i="22" s="1"/>
  <c r="AM73" i="22"/>
  <c r="AN73" i="22" s="1"/>
  <c r="AM74" i="22"/>
  <c r="AN74" i="22" s="1"/>
  <c r="AM75" i="22"/>
  <c r="AN75" i="22" s="1"/>
  <c r="AM76" i="22"/>
  <c r="AN76" i="22" s="1"/>
  <c r="AM77" i="22"/>
  <c r="AN77" i="22" s="1"/>
  <c r="AM78" i="22"/>
  <c r="AN78" i="22" s="1"/>
  <c r="AM79" i="22"/>
  <c r="AN79" i="22" s="1"/>
  <c r="AM80" i="22"/>
  <c r="AN80" i="22" s="1"/>
  <c r="AM81" i="22"/>
  <c r="AN81" i="22" s="1"/>
  <c r="AM82" i="22"/>
  <c r="AN82" i="22" s="1"/>
  <c r="AM83" i="22"/>
  <c r="AN83" i="22" s="1"/>
  <c r="AM84" i="22"/>
  <c r="AN84" i="22" s="1"/>
  <c r="AM85" i="22"/>
  <c r="AN85" i="22" s="1"/>
  <c r="AM86" i="22"/>
  <c r="AN86" i="22" s="1"/>
  <c r="AM87" i="22"/>
  <c r="AN87" i="22" s="1"/>
  <c r="AM88" i="22"/>
  <c r="AN88" i="22" s="1"/>
  <c r="AM89" i="22"/>
  <c r="AN89" i="22" s="1"/>
  <c r="AM90" i="22"/>
  <c r="AN90" i="22" s="1"/>
  <c r="AM91" i="22"/>
  <c r="AN91" i="22" s="1"/>
  <c r="AM92" i="22"/>
  <c r="AN92" i="22" s="1"/>
  <c r="AL4" i="22"/>
  <c r="AM93" i="22"/>
  <c r="AN93" i="22" s="1"/>
  <c r="AM94" i="22"/>
  <c r="AN94" i="22" s="1"/>
  <c r="M3" i="17"/>
  <c r="K3" i="17"/>
  <c r="L3" i="17" s="1"/>
  <c r="N3" i="17" s="1"/>
  <c r="K4" i="17"/>
  <c r="L4" i="17" s="1"/>
  <c r="N4" i="17" s="1"/>
  <c r="M4" i="17"/>
  <c r="M5" i="17"/>
  <c r="K5" i="17"/>
  <c r="L5" i="17" s="1"/>
  <c r="K6" i="17"/>
  <c r="L6" i="17" s="1"/>
  <c r="N6" i="17" s="1"/>
  <c r="M6" i="17"/>
  <c r="M7" i="17"/>
  <c r="K7" i="17"/>
  <c r="L7" i="17" s="1"/>
  <c r="N7" i="17" s="1"/>
  <c r="M8" i="17"/>
  <c r="K8" i="17"/>
  <c r="L8" i="17" s="1"/>
  <c r="N8" i="17" s="1"/>
  <c r="M9" i="17"/>
  <c r="K9" i="17"/>
  <c r="L9" i="17" s="1"/>
  <c r="N9" i="17" s="1"/>
  <c r="K10" i="17"/>
  <c r="L10" i="17" s="1"/>
  <c r="N10" i="17" s="1"/>
  <c r="M10" i="17"/>
  <c r="M11" i="17"/>
  <c r="K11" i="17"/>
  <c r="L11" i="17" s="1"/>
  <c r="N11" i="17" s="1"/>
  <c r="M12" i="17"/>
  <c r="K12" i="17"/>
  <c r="L12" i="17" s="1"/>
  <c r="K13" i="17"/>
  <c r="L13" i="17" s="1"/>
  <c r="N13" i="17" s="1"/>
  <c r="M13" i="17"/>
  <c r="K14" i="17"/>
  <c r="L14" i="17" s="1"/>
  <c r="N14" i="17" s="1"/>
  <c r="M14" i="17"/>
  <c r="K15" i="17"/>
  <c r="L15" i="17" s="1"/>
  <c r="N15" i="17" s="1"/>
  <c r="M15" i="17"/>
  <c r="K16" i="17"/>
  <c r="L16" i="17" s="1"/>
  <c r="N16" i="17" s="1"/>
  <c r="M16" i="17"/>
  <c r="K17" i="17"/>
  <c r="L17" i="17" s="1"/>
  <c r="N17" i="17" s="1"/>
  <c r="M17" i="17"/>
  <c r="K18" i="17"/>
  <c r="L18" i="17" s="1"/>
  <c r="N18" i="17" s="1"/>
  <c r="M18" i="17"/>
  <c r="K19" i="17"/>
  <c r="L19" i="17" s="1"/>
  <c r="N19" i="17" s="1"/>
  <c r="M19" i="17"/>
  <c r="K20" i="17"/>
  <c r="L20" i="17" s="1"/>
  <c r="N20" i="17" s="1"/>
  <c r="M20" i="17"/>
  <c r="M21" i="17"/>
  <c r="K21" i="17"/>
  <c r="L21" i="17" s="1"/>
  <c r="N21" i="17" s="1"/>
  <c r="M22" i="17"/>
  <c r="K22" i="17"/>
  <c r="L22" i="17" s="1"/>
  <c r="M23" i="17"/>
  <c r="K23" i="17"/>
  <c r="L23" i="17" s="1"/>
  <c r="N23" i="17" s="1"/>
  <c r="M24" i="17"/>
  <c r="K24" i="17"/>
  <c r="L24" i="17" s="1"/>
  <c r="N24" i="17" s="1"/>
  <c r="M25" i="17"/>
  <c r="K25" i="17"/>
  <c r="L25" i="17" s="1"/>
  <c r="N25" i="17" s="1"/>
  <c r="M26" i="17"/>
  <c r="K26" i="17"/>
  <c r="L26" i="17" s="1"/>
  <c r="N26" i="17" s="1"/>
  <c r="K27" i="17"/>
  <c r="L27" i="17" s="1"/>
  <c r="N27" i="17" s="1"/>
  <c r="M27" i="17"/>
  <c r="M28" i="17"/>
  <c r="K28" i="17"/>
  <c r="L28" i="17" s="1"/>
  <c r="N28" i="17" s="1"/>
  <c r="K29" i="17"/>
  <c r="L29" i="17" s="1"/>
  <c r="N29" i="17" s="1"/>
  <c r="M29" i="17"/>
  <c r="M30" i="17"/>
  <c r="K30" i="17"/>
  <c r="L30" i="17" s="1"/>
  <c r="N30" i="17" s="1"/>
  <c r="K31" i="17"/>
  <c r="L31" i="17" s="1"/>
  <c r="N31" i="17" s="1"/>
  <c r="M31" i="17"/>
  <c r="M32" i="17"/>
  <c r="K32" i="17"/>
  <c r="L32" i="17" s="1"/>
  <c r="M33" i="17"/>
  <c r="K33" i="17"/>
  <c r="L33" i="17" s="1"/>
  <c r="N33" i="17" s="1"/>
  <c r="K34" i="17"/>
  <c r="L34" i="17" s="1"/>
  <c r="N34" i="17" s="1"/>
  <c r="M34" i="17"/>
  <c r="M35" i="17"/>
  <c r="K35" i="17"/>
  <c r="L35" i="17" s="1"/>
  <c r="N35" i="17" s="1"/>
  <c r="M36" i="17"/>
  <c r="K36" i="17"/>
  <c r="L36" i="17" s="1"/>
  <c r="N36" i="17" s="1"/>
  <c r="M37" i="17"/>
  <c r="K37" i="17"/>
  <c r="L37" i="17" s="1"/>
  <c r="N37" i="17" s="1"/>
  <c r="K38" i="17"/>
  <c r="L38" i="17" s="1"/>
  <c r="N38" i="17" s="1"/>
  <c r="M38" i="17"/>
  <c r="K39" i="17"/>
  <c r="L39" i="17" s="1"/>
  <c r="N39" i="17" s="1"/>
  <c r="M39" i="17"/>
  <c r="K40" i="17"/>
  <c r="L40" i="17" s="1"/>
  <c r="N40" i="17" s="1"/>
  <c r="M40" i="17"/>
  <c r="K41" i="17"/>
  <c r="L41" i="17" s="1"/>
  <c r="N41" i="17" s="1"/>
  <c r="M41" i="17"/>
  <c r="K42" i="17"/>
  <c r="L42" i="17" s="1"/>
  <c r="M42" i="17"/>
  <c r="M43" i="17"/>
  <c r="K43" i="17"/>
  <c r="L43" i="17" s="1"/>
  <c r="N43" i="17" s="1"/>
  <c r="K44" i="17"/>
  <c r="L44" i="17" s="1"/>
  <c r="N44" i="17" s="1"/>
  <c r="M44" i="17"/>
  <c r="M45" i="17"/>
  <c r="K45" i="17"/>
  <c r="L45" i="17" s="1"/>
  <c r="N45" i="17" s="1"/>
  <c r="K46" i="17"/>
  <c r="L46" i="17" s="1"/>
  <c r="N46" i="17" s="1"/>
  <c r="M46" i="17"/>
  <c r="M47" i="17"/>
  <c r="K47" i="17"/>
  <c r="L47" i="17" s="1"/>
  <c r="N47" i="17" s="1"/>
  <c r="M48" i="17"/>
  <c r="K48" i="17"/>
  <c r="L48" i="17" s="1"/>
  <c r="N48" i="17" s="1"/>
  <c r="K49" i="17"/>
  <c r="L49" i="17" s="1"/>
  <c r="N49" i="17" s="1"/>
  <c r="M49" i="17"/>
  <c r="M50" i="17"/>
  <c r="K50" i="17"/>
  <c r="L50" i="17" s="1"/>
  <c r="N50" i="17" s="1"/>
  <c r="K51" i="17"/>
  <c r="L51" i="17" s="1"/>
  <c r="N51" i="17" s="1"/>
  <c r="M51" i="17"/>
  <c r="M52" i="17"/>
  <c r="K52" i="17"/>
  <c r="L52" i="17" s="1"/>
  <c r="K53" i="17"/>
  <c r="L53" i="17" s="1"/>
  <c r="N53" i="17" s="1"/>
  <c r="M53" i="17"/>
  <c r="K54" i="17"/>
  <c r="L54" i="17" s="1"/>
  <c r="N54" i="17" s="1"/>
  <c r="M54" i="17"/>
  <c r="M55" i="17"/>
  <c r="K55" i="17"/>
  <c r="L55" i="17" s="1"/>
  <c r="N55" i="17" s="1"/>
  <c r="K56" i="17"/>
  <c r="L56" i="17" s="1"/>
  <c r="N56" i="17" s="1"/>
  <c r="M56" i="17"/>
  <c r="K57" i="17"/>
  <c r="L57" i="17" s="1"/>
  <c r="N57" i="17" s="1"/>
  <c r="M57" i="17"/>
  <c r="K58" i="17"/>
  <c r="L58" i="17" s="1"/>
  <c r="N58" i="17" s="1"/>
  <c r="M58" i="17"/>
  <c r="M59" i="17"/>
  <c r="K59" i="17"/>
  <c r="L59" i="17" s="1"/>
  <c r="N59" i="17" s="1"/>
  <c r="K60" i="17"/>
  <c r="L60" i="17" s="1"/>
  <c r="N60" i="17" s="1"/>
  <c r="M60" i="17"/>
  <c r="M61" i="17"/>
  <c r="K61" i="17"/>
  <c r="L61" i="17" s="1"/>
  <c r="N61" i="17" s="1"/>
  <c r="M62" i="17"/>
  <c r="K62" i="17"/>
  <c r="L62" i="17" s="1"/>
  <c r="M63" i="17"/>
  <c r="K63" i="17"/>
  <c r="L63" i="17" s="1"/>
  <c r="N63" i="17" s="1"/>
  <c r="M64" i="17"/>
  <c r="K64" i="17"/>
  <c r="L64" i="17" s="1"/>
  <c r="N64" i="17" s="1"/>
  <c r="M65" i="17"/>
  <c r="K65" i="17"/>
  <c r="L65" i="17" s="1"/>
  <c r="N65" i="17" s="1"/>
  <c r="M66" i="17"/>
  <c r="K66" i="17"/>
  <c r="L66" i="17" s="1"/>
  <c r="N66" i="17" s="1"/>
  <c r="M67" i="17"/>
  <c r="K67" i="17"/>
  <c r="L67" i="17" s="1"/>
  <c r="N67" i="17" s="1"/>
  <c r="K68" i="17"/>
  <c r="L68" i="17" s="1"/>
  <c r="N68" i="17" s="1"/>
  <c r="M68" i="17"/>
  <c r="M69" i="17"/>
  <c r="K69" i="17"/>
  <c r="L69" i="17" s="1"/>
  <c r="N69" i="17" s="1"/>
  <c r="K70" i="17"/>
  <c r="L70" i="17" s="1"/>
  <c r="N70" i="17" s="1"/>
  <c r="M70" i="17"/>
  <c r="K71" i="17"/>
  <c r="L71" i="17" s="1"/>
  <c r="N71" i="17" s="1"/>
  <c r="M71" i="17"/>
  <c r="K72" i="17"/>
  <c r="L72" i="17" s="1"/>
  <c r="M72" i="17"/>
  <c r="K73" i="17"/>
  <c r="L73" i="17" s="1"/>
  <c r="N73" i="17" s="1"/>
  <c r="M73" i="17"/>
  <c r="M74" i="17"/>
  <c r="K74" i="17"/>
  <c r="L74" i="17" s="1"/>
  <c r="N74" i="17" s="1"/>
  <c r="M75" i="17"/>
  <c r="K75" i="17"/>
  <c r="L75" i="17" s="1"/>
  <c r="N75" i="17" s="1"/>
  <c r="K76" i="17"/>
  <c r="L76" i="17" s="1"/>
  <c r="N76" i="17" s="1"/>
  <c r="M76" i="17"/>
  <c r="K77" i="17"/>
  <c r="L77" i="17" s="1"/>
  <c r="N77" i="17" s="1"/>
  <c r="M77" i="17"/>
  <c r="M78" i="17"/>
  <c r="K78" i="17"/>
  <c r="L78" i="17" s="1"/>
  <c r="N78" i="17" s="1"/>
  <c r="K79" i="17"/>
  <c r="L79" i="17" s="1"/>
  <c r="N79" i="17" s="1"/>
  <c r="M79" i="17"/>
  <c r="K80" i="17"/>
  <c r="L80" i="17" s="1"/>
  <c r="N80" i="17" s="1"/>
  <c r="M80" i="17"/>
  <c r="M81" i="17"/>
  <c r="K81" i="17"/>
  <c r="L81" i="17" s="1"/>
  <c r="N81" i="17" s="1"/>
  <c r="M82" i="17"/>
  <c r="K82" i="17"/>
  <c r="L82" i="17" s="1"/>
  <c r="K83" i="17"/>
  <c r="L83" i="17" s="1"/>
  <c r="N83" i="17" s="1"/>
  <c r="M83" i="17"/>
  <c r="M84" i="17"/>
  <c r="K84" i="17"/>
  <c r="L84" i="17" s="1"/>
  <c r="N84" i="17" s="1"/>
  <c r="M85" i="17"/>
  <c r="K85" i="17"/>
  <c r="L85" i="17" s="1"/>
  <c r="N85" i="17" s="1"/>
  <c r="M86" i="17"/>
  <c r="K86" i="17"/>
  <c r="L86" i="17" s="1"/>
  <c r="N86" i="17" s="1"/>
  <c r="K87" i="17"/>
  <c r="L87" i="17" s="1"/>
  <c r="N87" i="17" s="1"/>
  <c r="M87" i="17"/>
  <c r="M88" i="17"/>
  <c r="K88" i="17"/>
  <c r="L88" i="17" s="1"/>
  <c r="N88" i="17" s="1"/>
  <c r="K89" i="17"/>
  <c r="L89" i="17" s="1"/>
  <c r="N89" i="17" s="1"/>
  <c r="M89" i="17"/>
  <c r="M90" i="17"/>
  <c r="K90" i="17"/>
  <c r="L90" i="17" s="1"/>
  <c r="N90" i="17" s="1"/>
  <c r="M91" i="17"/>
  <c r="K91" i="17"/>
  <c r="L91" i="17" s="1"/>
  <c r="N91" i="17" s="1"/>
  <c r="M92" i="17"/>
  <c r="M93" i="17"/>
  <c r="K92" i="17"/>
  <c r="L92" i="17" s="1"/>
  <c r="K93" i="17"/>
  <c r="L93" i="17" s="1"/>
  <c r="N93" i="17" s="1"/>
  <c r="M3" i="5"/>
  <c r="K3" i="3"/>
  <c r="P3" i="5"/>
  <c r="B25" i="5" l="1"/>
  <c r="B38" i="5"/>
  <c r="B14" i="5"/>
  <c r="B39" i="5" s="1"/>
  <c r="X36" i="22"/>
  <c r="Y36" i="22" s="1"/>
  <c r="AB6" i="22"/>
  <c r="B13" i="3" s="1"/>
  <c r="B38" i="3" s="1"/>
  <c r="X68" i="22"/>
  <c r="Y68" i="22" s="1"/>
  <c r="X88" i="22"/>
  <c r="Y88" i="22" s="1"/>
  <c r="X56" i="22"/>
  <c r="Y56" i="22" s="1"/>
  <c r="X24" i="22"/>
  <c r="Y24" i="22" s="1"/>
  <c r="X84" i="22"/>
  <c r="Y84" i="22" s="1"/>
  <c r="X52" i="22"/>
  <c r="Y52" i="22" s="1"/>
  <c r="X20" i="22"/>
  <c r="Y20" i="22" s="1"/>
  <c r="X72" i="22"/>
  <c r="Y72" i="22" s="1"/>
  <c r="X40" i="22"/>
  <c r="Y40" i="22" s="1"/>
  <c r="X8" i="22"/>
  <c r="Y8" i="22" s="1"/>
  <c r="X80" i="22"/>
  <c r="Y80" i="22" s="1"/>
  <c r="X64" i="22"/>
  <c r="Y64" i="22" s="1"/>
  <c r="X48" i="22"/>
  <c r="Y48" i="22" s="1"/>
  <c r="X32" i="22"/>
  <c r="Y32" i="22" s="1"/>
  <c r="X16" i="22"/>
  <c r="Y16" i="22" s="1"/>
  <c r="X92" i="22"/>
  <c r="Y92" i="22" s="1"/>
  <c r="X76" i="22"/>
  <c r="Y76" i="22" s="1"/>
  <c r="X60" i="22"/>
  <c r="Y60" i="22" s="1"/>
  <c r="X44" i="22"/>
  <c r="Y44" i="22" s="1"/>
  <c r="X28" i="22"/>
  <c r="Y28" i="22" s="1"/>
  <c r="X12" i="22"/>
  <c r="Y12" i="22" s="1"/>
  <c r="BC4" i="22"/>
  <c r="BE4" i="22" s="1"/>
  <c r="BF4" i="22" s="1"/>
  <c r="B27" i="5" s="1"/>
  <c r="AN4" i="22"/>
  <c r="AP4" i="22" s="1"/>
  <c r="AQ4" i="22" s="1"/>
  <c r="B27" i="4" s="1"/>
  <c r="X91" i="22"/>
  <c r="Y91" i="22" s="1"/>
  <c r="X83" i="22"/>
  <c r="Y83" i="22" s="1"/>
  <c r="X75" i="22"/>
  <c r="Y75" i="22" s="1"/>
  <c r="X67" i="22"/>
  <c r="Y67" i="22" s="1"/>
  <c r="X59" i="22"/>
  <c r="Y59" i="22" s="1"/>
  <c r="X51" i="22"/>
  <c r="Y51" i="22" s="1"/>
  <c r="X43" i="22"/>
  <c r="Y43" i="22" s="1"/>
  <c r="X35" i="22"/>
  <c r="Y35" i="22" s="1"/>
  <c r="X23" i="22"/>
  <c r="Y23" i="22" s="1"/>
  <c r="X94" i="22"/>
  <c r="Y94" i="22" s="1"/>
  <c r="X90" i="22"/>
  <c r="Y90" i="22" s="1"/>
  <c r="X86" i="22"/>
  <c r="Y86" i="22" s="1"/>
  <c r="X82" i="22"/>
  <c r="Y82" i="22" s="1"/>
  <c r="X78" i="22"/>
  <c r="Y78" i="22" s="1"/>
  <c r="X74" i="22"/>
  <c r="Y74" i="22" s="1"/>
  <c r="X73" i="22"/>
  <c r="Y73" i="22" s="1"/>
  <c r="X66" i="22"/>
  <c r="Y66" i="22" s="1"/>
  <c r="X62" i="22"/>
  <c r="Y62" i="22" s="1"/>
  <c r="X58" i="22"/>
  <c r="Y58" i="22" s="1"/>
  <c r="X54" i="22"/>
  <c r="Y54" i="22" s="1"/>
  <c r="X50" i="22"/>
  <c r="Y50" i="22" s="1"/>
  <c r="X46" i="22"/>
  <c r="Y46" i="22" s="1"/>
  <c r="X42" i="22"/>
  <c r="Y42" i="22" s="1"/>
  <c r="X38" i="22"/>
  <c r="Y38" i="22" s="1"/>
  <c r="X34" i="22"/>
  <c r="Y34" i="22" s="1"/>
  <c r="X30" i="22"/>
  <c r="Y30" i="22" s="1"/>
  <c r="X26" i="22"/>
  <c r="Y26" i="22" s="1"/>
  <c r="X22" i="22"/>
  <c r="Y22" i="22" s="1"/>
  <c r="X18" i="22"/>
  <c r="Y18" i="22" s="1"/>
  <c r="X14" i="22"/>
  <c r="Y14" i="22" s="1"/>
  <c r="X10" i="22"/>
  <c r="Y10" i="22" s="1"/>
  <c r="X6" i="22"/>
  <c r="Y6" i="22" s="1"/>
  <c r="X93" i="22"/>
  <c r="Y93" i="22" s="1"/>
  <c r="X87" i="22"/>
  <c r="Y87" i="22" s="1"/>
  <c r="X79" i="22"/>
  <c r="Y79" i="22" s="1"/>
  <c r="X70" i="22"/>
  <c r="Y70" i="22" s="1"/>
  <c r="X63" i="22"/>
  <c r="Y63" i="22" s="1"/>
  <c r="X55" i="22"/>
  <c r="Y55" i="22" s="1"/>
  <c r="X47" i="22"/>
  <c r="Y47" i="22" s="1"/>
  <c r="X39" i="22"/>
  <c r="Y39" i="22" s="1"/>
  <c r="X31" i="22"/>
  <c r="Y31" i="22" s="1"/>
  <c r="X27" i="22"/>
  <c r="Y27" i="22" s="1"/>
  <c r="X19" i="22"/>
  <c r="Y19" i="22" s="1"/>
  <c r="X15" i="22"/>
  <c r="Y15" i="22" s="1"/>
  <c r="X11" i="22"/>
  <c r="Y11" i="22" s="1"/>
  <c r="X7" i="22"/>
  <c r="Y7" i="22" s="1"/>
  <c r="W4" i="22"/>
  <c r="Y4" i="22" s="1"/>
  <c r="X89" i="22"/>
  <c r="Y89" i="22" s="1"/>
  <c r="X85" i="22"/>
  <c r="Y85" i="22" s="1"/>
  <c r="X81" i="22"/>
  <c r="Y81" i="22" s="1"/>
  <c r="X77" i="22"/>
  <c r="Y77" i="22" s="1"/>
  <c r="X71" i="22"/>
  <c r="Y71" i="22" s="1"/>
  <c r="X69" i="22"/>
  <c r="Y69" i="22" s="1"/>
  <c r="X65" i="22"/>
  <c r="Y65" i="22" s="1"/>
  <c r="X61" i="22"/>
  <c r="Y61" i="22" s="1"/>
  <c r="X57" i="22"/>
  <c r="Y57" i="22" s="1"/>
  <c r="X53" i="22"/>
  <c r="Y53" i="22" s="1"/>
  <c r="X49" i="22"/>
  <c r="Y49" i="22" s="1"/>
  <c r="X45" i="22"/>
  <c r="Y45" i="22" s="1"/>
  <c r="X41" i="22"/>
  <c r="Y41" i="22" s="1"/>
  <c r="X37" i="22"/>
  <c r="Y37" i="22" s="1"/>
  <c r="X33" i="22"/>
  <c r="Y33" i="22" s="1"/>
  <c r="X29" i="22"/>
  <c r="Y29" i="22" s="1"/>
  <c r="X25" i="22"/>
  <c r="Y25" i="22" s="1"/>
  <c r="X21" i="22"/>
  <c r="Y21" i="22" s="1"/>
  <c r="X17" i="22"/>
  <c r="Y17" i="22" s="1"/>
  <c r="X13" i="22"/>
  <c r="Y13" i="22" s="1"/>
  <c r="X9" i="22"/>
  <c r="Y9" i="22" s="1"/>
  <c r="B25" i="4"/>
  <c r="B14" i="4"/>
  <c r="B39" i="4" s="1"/>
  <c r="BS4" i="17"/>
  <c r="BS8" i="17"/>
  <c r="BS12" i="17"/>
  <c r="BS16" i="17"/>
  <c r="BS20" i="17"/>
  <c r="BS24" i="17"/>
  <c r="BS28" i="17"/>
  <c r="BR59" i="17"/>
  <c r="BR43" i="17"/>
  <c r="BR27" i="17"/>
  <c r="BR11" i="17"/>
  <c r="BR62" i="17"/>
  <c r="BR46" i="17"/>
  <c r="BR30" i="17"/>
  <c r="BR14" i="17"/>
  <c r="BR53" i="17"/>
  <c r="BR37" i="17"/>
  <c r="BR21" i="17"/>
  <c r="BR5" i="17"/>
  <c r="BR56" i="17"/>
  <c r="BR40" i="17"/>
  <c r="BR24" i="17"/>
  <c r="BR8" i="17"/>
  <c r="BS5" i="17"/>
  <c r="BS9" i="17"/>
  <c r="BS13" i="17"/>
  <c r="BS17" i="17"/>
  <c r="BS21" i="17"/>
  <c r="BS25" i="17"/>
  <c r="BS29" i="17"/>
  <c r="BR55" i="17"/>
  <c r="BR39" i="17"/>
  <c r="BR23" i="17"/>
  <c r="BR7" i="17"/>
  <c r="BR58" i="17"/>
  <c r="BR42" i="17"/>
  <c r="BR26" i="17"/>
  <c r="BR63" i="17"/>
  <c r="BR49" i="17"/>
  <c r="BR33" i="17"/>
  <c r="BR17" i="17"/>
  <c r="BR65" i="17"/>
  <c r="BR52" i="17"/>
  <c r="BR36" i="17"/>
  <c r="BR20" i="17"/>
  <c r="BR4" i="17"/>
  <c r="N92" i="17"/>
  <c r="BS6" i="17"/>
  <c r="BS10" i="17"/>
  <c r="BS14" i="17"/>
  <c r="BS18" i="17"/>
  <c r="BS22" i="17"/>
  <c r="BS26" i="17"/>
  <c r="BR66" i="17"/>
  <c r="BR51" i="17"/>
  <c r="BR35" i="17"/>
  <c r="BR19" i="17"/>
  <c r="BR3" i="17"/>
  <c r="BR54" i="17"/>
  <c r="BR38" i="17"/>
  <c r="BR22" i="17"/>
  <c r="BR61" i="17"/>
  <c r="BR45" i="17"/>
  <c r="BR29" i="17"/>
  <c r="BR13" i="17"/>
  <c r="BR67" i="17"/>
  <c r="BR48" i="17"/>
  <c r="BR32" i="17"/>
  <c r="BR16" i="17"/>
  <c r="BR10" i="17"/>
  <c r="BS3" i="17"/>
  <c r="BS7" i="17"/>
  <c r="BS11" i="17"/>
  <c r="BS15" i="17"/>
  <c r="BS19" i="17"/>
  <c r="BS23" i="17"/>
  <c r="BS27" i="17"/>
  <c r="BR68" i="17"/>
  <c r="BR47" i="17"/>
  <c r="BR31" i="17"/>
  <c r="BR15" i="17"/>
  <c r="BR64" i="17"/>
  <c r="BR50" i="17"/>
  <c r="BR34" i="17"/>
  <c r="BR18" i="17"/>
  <c r="BR57" i="17"/>
  <c r="BR41" i="17"/>
  <c r="BR25" i="17"/>
  <c r="BR9" i="17"/>
  <c r="BR60" i="17"/>
  <c r="BR44" i="17"/>
  <c r="BR28" i="17"/>
  <c r="BR12" i="17"/>
  <c r="BR6" i="17"/>
  <c r="N82" i="17"/>
  <c r="BM6" i="17"/>
  <c r="BM10" i="17"/>
  <c r="BM14" i="17"/>
  <c r="BM18" i="17"/>
  <c r="BM22" i="17"/>
  <c r="BM26" i="17"/>
  <c r="BL63" i="17"/>
  <c r="BL61" i="17"/>
  <c r="BL57" i="17"/>
  <c r="BL53" i="17"/>
  <c r="BL49" i="17"/>
  <c r="BL45" i="17"/>
  <c r="BL41" i="17"/>
  <c r="BL37" i="17"/>
  <c r="BL33" i="17"/>
  <c r="BL29" i="17"/>
  <c r="BL25" i="17"/>
  <c r="BL21" i="17"/>
  <c r="BL17" i="17"/>
  <c r="BL13" i="17"/>
  <c r="BL9" i="17"/>
  <c r="BL5" i="17"/>
  <c r="BM4" i="17"/>
  <c r="BM12" i="17"/>
  <c r="BM20" i="17"/>
  <c r="BM28" i="17"/>
  <c r="BL64" i="17"/>
  <c r="BL68" i="17"/>
  <c r="BL55" i="17"/>
  <c r="BL47" i="17"/>
  <c r="BL39" i="17"/>
  <c r="BL31" i="17"/>
  <c r="BL23" i="17"/>
  <c r="BL15" i="17"/>
  <c r="BM3" i="17"/>
  <c r="BM7" i="17"/>
  <c r="BM11" i="17"/>
  <c r="BM15" i="17"/>
  <c r="BM19" i="17"/>
  <c r="BM23" i="17"/>
  <c r="BM27" i="17"/>
  <c r="BL65" i="17"/>
  <c r="BL67" i="17"/>
  <c r="BL60" i="17"/>
  <c r="BL56" i="17"/>
  <c r="BL52" i="17"/>
  <c r="BL48" i="17"/>
  <c r="BL44" i="17"/>
  <c r="BL40" i="17"/>
  <c r="BL36" i="17"/>
  <c r="BL32" i="17"/>
  <c r="BL28" i="17"/>
  <c r="BL24" i="17"/>
  <c r="BL20" i="17"/>
  <c r="BL16" i="17"/>
  <c r="BL12" i="17"/>
  <c r="BL8" i="17"/>
  <c r="BL4" i="17"/>
  <c r="BM8" i="17"/>
  <c r="BM16" i="17"/>
  <c r="BM24" i="17"/>
  <c r="BL59" i="17"/>
  <c r="BL51" i="17"/>
  <c r="BL43" i="17"/>
  <c r="BL35" i="17"/>
  <c r="BL27" i="17"/>
  <c r="BL19" i="17"/>
  <c r="BM13" i="17"/>
  <c r="BM29" i="17"/>
  <c r="BL54" i="17"/>
  <c r="BL38" i="17"/>
  <c r="BL22" i="17"/>
  <c r="BL10" i="17"/>
  <c r="BM17" i="17"/>
  <c r="BL66" i="17"/>
  <c r="BL50" i="17"/>
  <c r="BL34" i="17"/>
  <c r="BL18" i="17"/>
  <c r="BL7" i="17"/>
  <c r="BM5" i="17"/>
  <c r="BM21" i="17"/>
  <c r="BL62" i="17"/>
  <c r="BL46" i="17"/>
  <c r="BL30" i="17"/>
  <c r="BL14" i="17"/>
  <c r="BL6" i="17"/>
  <c r="BM9" i="17"/>
  <c r="BM25" i="17"/>
  <c r="BL58" i="17"/>
  <c r="BL42" i="17"/>
  <c r="BL26" i="17"/>
  <c r="BL11" i="17"/>
  <c r="BL3" i="17"/>
  <c r="AZ66" i="17"/>
  <c r="AZ60" i="17"/>
  <c r="AZ52" i="17"/>
  <c r="AZ20" i="17"/>
  <c r="AZ28" i="17"/>
  <c r="AZ44" i="17"/>
  <c r="AZ12" i="17"/>
  <c r="AZ5" i="17"/>
  <c r="AZ65" i="17"/>
  <c r="AZ36" i="17"/>
  <c r="AZ24" i="17"/>
  <c r="AZ16" i="17"/>
  <c r="AZ9" i="17"/>
  <c r="AZ25" i="17"/>
  <c r="AZ41" i="17"/>
  <c r="AZ57" i="17"/>
  <c r="AZ14" i="17"/>
  <c r="AZ30" i="17"/>
  <c r="AZ46" i="17"/>
  <c r="AZ62" i="17"/>
  <c r="AZ15" i="17"/>
  <c r="AZ31" i="17"/>
  <c r="AZ47" i="17"/>
  <c r="AZ68" i="17"/>
  <c r="AZ40" i="17"/>
  <c r="AZ13" i="17"/>
  <c r="AZ45" i="17"/>
  <c r="AZ18" i="17"/>
  <c r="AZ50" i="17"/>
  <c r="AZ19" i="17"/>
  <c r="AZ51" i="17"/>
  <c r="N62" i="17"/>
  <c r="AZ56" i="17"/>
  <c r="AZ48" i="17"/>
  <c r="AZ17" i="17"/>
  <c r="AZ33" i="17"/>
  <c r="AZ49" i="17"/>
  <c r="AZ67" i="17"/>
  <c r="AZ22" i="17"/>
  <c r="AZ38" i="17"/>
  <c r="AZ54" i="17"/>
  <c r="AZ7" i="17"/>
  <c r="AZ23" i="17"/>
  <c r="AZ39" i="17"/>
  <c r="AZ55" i="17"/>
  <c r="AZ4" i="17"/>
  <c r="BA3" i="17"/>
  <c r="BA7" i="17"/>
  <c r="BA11" i="17"/>
  <c r="BA15" i="17"/>
  <c r="BA19" i="17"/>
  <c r="BA23" i="17"/>
  <c r="BA27" i="17"/>
  <c r="AZ32" i="17"/>
  <c r="AZ29" i="17"/>
  <c r="AZ61" i="17"/>
  <c r="AZ34" i="17"/>
  <c r="AZ64" i="17"/>
  <c r="AZ35" i="17"/>
  <c r="BA6" i="17"/>
  <c r="AZ8" i="17"/>
  <c r="AZ63" i="17"/>
  <c r="AZ21" i="17"/>
  <c r="AZ37" i="17"/>
  <c r="AZ53" i="17"/>
  <c r="AZ10" i="17"/>
  <c r="AZ26" i="17"/>
  <c r="AZ42" i="17"/>
  <c r="AZ58" i="17"/>
  <c r="AZ11" i="17"/>
  <c r="AZ27" i="17"/>
  <c r="AZ43" i="17"/>
  <c r="AZ59" i="17"/>
  <c r="BA4" i="17"/>
  <c r="BA8" i="17"/>
  <c r="BA12" i="17"/>
  <c r="BA16" i="17"/>
  <c r="BA20" i="17"/>
  <c r="BA24" i="17"/>
  <c r="BA28" i="17"/>
  <c r="BA5" i="17"/>
  <c r="BA9" i="17"/>
  <c r="BA13" i="17"/>
  <c r="BA17" i="17"/>
  <c r="BA21" i="17"/>
  <c r="BA25" i="17"/>
  <c r="BA29" i="17"/>
  <c r="BA22" i="17"/>
  <c r="BA10" i="17"/>
  <c r="BA26" i="17"/>
  <c r="BA14" i="17"/>
  <c r="AZ6" i="17"/>
  <c r="BA18" i="17"/>
  <c r="AZ3" i="17"/>
  <c r="AT16" i="17"/>
  <c r="AU5" i="17"/>
  <c r="AU9" i="17"/>
  <c r="AU13" i="17"/>
  <c r="AU17" i="17"/>
  <c r="AU21" i="17"/>
  <c r="AU6" i="17"/>
  <c r="AU14" i="17"/>
  <c r="AU22" i="17"/>
  <c r="AT62" i="17"/>
  <c r="AT55" i="17"/>
  <c r="AT47" i="17"/>
  <c r="AT39" i="17"/>
  <c r="AT15" i="17"/>
  <c r="AU3" i="17"/>
  <c r="AU7" i="17"/>
  <c r="AU11" i="17"/>
  <c r="AU15" i="17"/>
  <c r="AU19" i="17"/>
  <c r="AU23" i="17"/>
  <c r="AU27" i="17"/>
  <c r="AT64" i="17"/>
  <c r="AT68" i="17"/>
  <c r="AT58" i="17"/>
  <c r="AT54" i="17"/>
  <c r="AT50" i="17"/>
  <c r="AT46" i="17"/>
  <c r="AT42" i="17"/>
  <c r="AT38" i="17"/>
  <c r="AT34" i="17"/>
  <c r="AT30" i="17"/>
  <c r="AT26" i="17"/>
  <c r="AT22" i="17"/>
  <c r="AT18" i="17"/>
  <c r="N52" i="17"/>
  <c r="AU10" i="17"/>
  <c r="AU18" i="17"/>
  <c r="AU26" i="17"/>
  <c r="AT66" i="17"/>
  <c r="AT59" i="17"/>
  <c r="AT51" i="17"/>
  <c r="AT43" i="17"/>
  <c r="AU4" i="17"/>
  <c r="AU8" i="17"/>
  <c r="AU12" i="17"/>
  <c r="AU16" i="17"/>
  <c r="AU20" i="17"/>
  <c r="AU24" i="17"/>
  <c r="AU28" i="17"/>
  <c r="AT63" i="17"/>
  <c r="AT61" i="17"/>
  <c r="AT57" i="17"/>
  <c r="AT53" i="17"/>
  <c r="AT49" i="17"/>
  <c r="AT45" i="17"/>
  <c r="AT41" i="17"/>
  <c r="AT37" i="17"/>
  <c r="AT33" i="17"/>
  <c r="AT29" i="17"/>
  <c r="AT25" i="17"/>
  <c r="AT21" i="17"/>
  <c r="AT17" i="17"/>
  <c r="AU25" i="17"/>
  <c r="AU29" i="17"/>
  <c r="AT65" i="17"/>
  <c r="AT67" i="17"/>
  <c r="AT60" i="17"/>
  <c r="AT56" i="17"/>
  <c r="AT52" i="17"/>
  <c r="AT48" i="17"/>
  <c r="AT44" i="17"/>
  <c r="AT40" i="17"/>
  <c r="AT36" i="17"/>
  <c r="AT32" i="17"/>
  <c r="AT28" i="17"/>
  <c r="AT24" i="17"/>
  <c r="AT20" i="17"/>
  <c r="AT23" i="17"/>
  <c r="AT35" i="17"/>
  <c r="AT19" i="17"/>
  <c r="AT31" i="17"/>
  <c r="AT27" i="17"/>
  <c r="AT14" i="17"/>
  <c r="AT13" i="17"/>
  <c r="AT12" i="17"/>
  <c r="AT11" i="17"/>
  <c r="AT10" i="17"/>
  <c r="AT9" i="17"/>
  <c r="AT8" i="17"/>
  <c r="AT7" i="17"/>
  <c r="AT6" i="17"/>
  <c r="AT5" i="17"/>
  <c r="AT4" i="17"/>
  <c r="AT3" i="17"/>
  <c r="AH65" i="17"/>
  <c r="AH37" i="17"/>
  <c r="AH66" i="17"/>
  <c r="AH42" i="17"/>
  <c r="AH63" i="17"/>
  <c r="AH57" i="17"/>
  <c r="AH49" i="17"/>
  <c r="AH41" i="17"/>
  <c r="AH58" i="17"/>
  <c r="AH62" i="17"/>
  <c r="AH54" i="17"/>
  <c r="AH46" i="17"/>
  <c r="AH38" i="17"/>
  <c r="AH35" i="17"/>
  <c r="AH61" i="17"/>
  <c r="AH53" i="17"/>
  <c r="AH45" i="17"/>
  <c r="AH50" i="17"/>
  <c r="AH51" i="17"/>
  <c r="AH64" i="17"/>
  <c r="AH52" i="17"/>
  <c r="AI3" i="17"/>
  <c r="AI7" i="17"/>
  <c r="AI11" i="17"/>
  <c r="AI15" i="17"/>
  <c r="AI19" i="17"/>
  <c r="AI23" i="17"/>
  <c r="AI27" i="17"/>
  <c r="AH34" i="17"/>
  <c r="AH56" i="17"/>
  <c r="AI12" i="17"/>
  <c r="AI20" i="17"/>
  <c r="AI28" i="17"/>
  <c r="AH43" i="17"/>
  <c r="AH59" i="17"/>
  <c r="AH44" i="17"/>
  <c r="AH60" i="17"/>
  <c r="AI5" i="17"/>
  <c r="AI9" i="17"/>
  <c r="AI13" i="17"/>
  <c r="AI17" i="17"/>
  <c r="AI21" i="17"/>
  <c r="AI25" i="17"/>
  <c r="AI29" i="17"/>
  <c r="AI10" i="17"/>
  <c r="AI14" i="17"/>
  <c r="AI18" i="17"/>
  <c r="AI22" i="17"/>
  <c r="AI26" i="17"/>
  <c r="AH36" i="17"/>
  <c r="AH39" i="17"/>
  <c r="AH55" i="17"/>
  <c r="AH40" i="17"/>
  <c r="AI4" i="17"/>
  <c r="AI8" i="17"/>
  <c r="AI16" i="17"/>
  <c r="AI24" i="17"/>
  <c r="AH47" i="17"/>
  <c r="AH68" i="17"/>
  <c r="AH48" i="17"/>
  <c r="AH67" i="17"/>
  <c r="N32" i="17"/>
  <c r="AI6" i="17"/>
  <c r="AH33" i="17"/>
  <c r="AH32" i="17"/>
  <c r="AH31" i="17"/>
  <c r="AH30" i="17"/>
  <c r="AH29" i="17"/>
  <c r="AH28" i="17"/>
  <c r="AH27" i="17"/>
  <c r="AH26" i="17"/>
  <c r="AH25" i="17"/>
  <c r="AH24" i="17"/>
  <c r="AH23" i="17"/>
  <c r="AH22" i="17"/>
  <c r="AH21" i="17"/>
  <c r="AH20" i="17"/>
  <c r="AH19" i="17"/>
  <c r="AH18" i="17"/>
  <c r="AH17" i="17"/>
  <c r="AH16" i="17"/>
  <c r="AH15" i="17"/>
  <c r="AH14" i="17"/>
  <c r="AH13" i="17"/>
  <c r="AH12" i="17"/>
  <c r="AH11" i="17"/>
  <c r="AH10" i="17"/>
  <c r="AH9" i="17"/>
  <c r="AH8" i="17"/>
  <c r="AH7" i="17"/>
  <c r="AH6" i="17"/>
  <c r="AH5" i="17"/>
  <c r="AH4" i="17"/>
  <c r="AH3" i="17"/>
  <c r="AB64" i="17"/>
  <c r="AB62" i="17"/>
  <c r="AB58" i="17"/>
  <c r="AB54" i="17"/>
  <c r="AB50" i="17"/>
  <c r="AC4" i="17"/>
  <c r="AC8" i="17"/>
  <c r="AC12" i="17"/>
  <c r="AC16" i="17"/>
  <c r="AC20" i="17"/>
  <c r="AB63" i="17"/>
  <c r="AB61" i="17"/>
  <c r="AB57" i="17"/>
  <c r="AB53" i="17"/>
  <c r="AB49" i="17"/>
  <c r="AC5" i="17"/>
  <c r="AC9" i="17"/>
  <c r="AC13" i="17"/>
  <c r="AC17" i="17"/>
  <c r="AC21" i="17"/>
  <c r="AB65" i="17"/>
  <c r="AB68" i="17"/>
  <c r="AB59" i="17"/>
  <c r="AB55" i="17"/>
  <c r="AB51" i="17"/>
  <c r="AB47" i="17"/>
  <c r="AC3" i="17"/>
  <c r="AC7" i="17"/>
  <c r="AC11" i="17"/>
  <c r="AC15" i="17"/>
  <c r="AC19" i="17"/>
  <c r="AC23" i="17"/>
  <c r="AB66" i="17"/>
  <c r="AB67" i="17"/>
  <c r="AB60" i="17"/>
  <c r="AB56" i="17"/>
  <c r="AB52" i="17"/>
  <c r="AB48" i="17"/>
  <c r="N22" i="17"/>
  <c r="AC6" i="17"/>
  <c r="AC10" i="17"/>
  <c r="AC14" i="17"/>
  <c r="AC18" i="17"/>
  <c r="AB45" i="17"/>
  <c r="AB46" i="17"/>
  <c r="AC24" i="17"/>
  <c r="AC22" i="17"/>
  <c r="AB44" i="17"/>
  <c r="AB43" i="17"/>
  <c r="AC25" i="17"/>
  <c r="AC26" i="17"/>
  <c r="AB42" i="17"/>
  <c r="AC27" i="17"/>
  <c r="AB41" i="17"/>
  <c r="AB40" i="17"/>
  <c r="AC28" i="17"/>
  <c r="AC29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4" i="17"/>
  <c r="AB23" i="17"/>
  <c r="AB22" i="17"/>
  <c r="AB21" i="17"/>
  <c r="AB20" i="17"/>
  <c r="AB19" i="17"/>
  <c r="AB18" i="17"/>
  <c r="AB17" i="17"/>
  <c r="AB16" i="17"/>
  <c r="AB15" i="17"/>
  <c r="AB14" i="17"/>
  <c r="AB13" i="17"/>
  <c r="AB12" i="17"/>
  <c r="AB11" i="17"/>
  <c r="AB10" i="17"/>
  <c r="AB9" i="17"/>
  <c r="AB8" i="17"/>
  <c r="AB7" i="17"/>
  <c r="AB6" i="17"/>
  <c r="AB5" i="17"/>
  <c r="AB4" i="17"/>
  <c r="AB3" i="17"/>
  <c r="V61" i="17"/>
  <c r="V57" i="17"/>
  <c r="W4" i="17"/>
  <c r="W8" i="17"/>
  <c r="W12" i="17"/>
  <c r="V58" i="17"/>
  <c r="V67" i="17"/>
  <c r="V54" i="17"/>
  <c r="V59" i="17"/>
  <c r="V63" i="17"/>
  <c r="W5" i="17"/>
  <c r="W9" i="17"/>
  <c r="V62" i="17"/>
  <c r="V65" i="17"/>
  <c r="V68" i="17"/>
  <c r="V56" i="17"/>
  <c r="N12" i="17"/>
  <c r="W6" i="17"/>
  <c r="W10" i="17"/>
  <c r="W14" i="17"/>
  <c r="V66" i="17"/>
  <c r="V64" i="17"/>
  <c r="W13" i="17"/>
  <c r="W3" i="17"/>
  <c r="W7" i="17"/>
  <c r="W11" i="17"/>
  <c r="V55" i="17"/>
  <c r="V60" i="17"/>
  <c r="V53" i="17"/>
  <c r="W15" i="17"/>
  <c r="W16" i="17"/>
  <c r="V52" i="17"/>
  <c r="W17" i="17"/>
  <c r="V51" i="17"/>
  <c r="V50" i="17"/>
  <c r="W18" i="17"/>
  <c r="V49" i="17"/>
  <c r="W19" i="17"/>
  <c r="V48" i="17"/>
  <c r="W20" i="17"/>
  <c r="V47" i="17"/>
  <c r="W21" i="17"/>
  <c r="V46" i="17"/>
  <c r="W22" i="17"/>
  <c r="W23" i="17"/>
  <c r="V45" i="17"/>
  <c r="V44" i="17"/>
  <c r="W24" i="17"/>
  <c r="V43" i="17"/>
  <c r="W25" i="17"/>
  <c r="W26" i="17"/>
  <c r="V42" i="17"/>
  <c r="V41" i="17"/>
  <c r="W27" i="17"/>
  <c r="V40" i="17"/>
  <c r="W28" i="17"/>
  <c r="V39" i="17"/>
  <c r="W2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V14" i="17"/>
  <c r="V13" i="17"/>
  <c r="V12" i="17"/>
  <c r="V11" i="17"/>
  <c r="V10" i="17"/>
  <c r="V9" i="17"/>
  <c r="V8" i="17"/>
  <c r="V7" i="17"/>
  <c r="V6" i="17"/>
  <c r="V5" i="17"/>
  <c r="V4" i="17"/>
  <c r="V3" i="17"/>
  <c r="BF67" i="17"/>
  <c r="BF13" i="17"/>
  <c r="BF29" i="17"/>
  <c r="BF45" i="17"/>
  <c r="BF61" i="17"/>
  <c r="BG27" i="17"/>
  <c r="BG23" i="17"/>
  <c r="BG19" i="17"/>
  <c r="BG15" i="17"/>
  <c r="BG11" i="17"/>
  <c r="BG7" i="17"/>
  <c r="BG3" i="17"/>
  <c r="BF16" i="17"/>
  <c r="BF32" i="17"/>
  <c r="BF48" i="17"/>
  <c r="BF63" i="17"/>
  <c r="BF6" i="17"/>
  <c r="BF22" i="17"/>
  <c r="BF38" i="17"/>
  <c r="BF54" i="17"/>
  <c r="BF3" i="17"/>
  <c r="BF19" i="17"/>
  <c r="BF35" i="17"/>
  <c r="BF51" i="17"/>
  <c r="BF33" i="17"/>
  <c r="N72" i="17"/>
  <c r="BG22" i="17"/>
  <c r="BG14" i="17"/>
  <c r="BG6" i="17"/>
  <c r="BF65" i="17"/>
  <c r="BF5" i="17"/>
  <c r="BF9" i="17"/>
  <c r="BF25" i="17"/>
  <c r="BF41" i="17"/>
  <c r="BF57" i="17"/>
  <c r="BG28" i="17"/>
  <c r="BG24" i="17"/>
  <c r="BG20" i="17"/>
  <c r="BG16" i="17"/>
  <c r="BG12" i="17"/>
  <c r="BG8" i="17"/>
  <c r="BG4" i="17"/>
  <c r="BF12" i="17"/>
  <c r="BF28" i="17"/>
  <c r="BF44" i="17"/>
  <c r="BF60" i="17"/>
  <c r="BF18" i="17"/>
  <c r="BF34" i="17"/>
  <c r="BF50" i="17"/>
  <c r="BF64" i="17"/>
  <c r="BF15" i="17"/>
  <c r="BF31" i="17"/>
  <c r="BF47" i="17"/>
  <c r="BF68" i="17"/>
  <c r="BF66" i="17"/>
  <c r="BF17" i="17"/>
  <c r="BF49" i="17"/>
  <c r="BG26" i="17"/>
  <c r="BG18" i="17"/>
  <c r="BG10" i="17"/>
  <c r="BF4" i="17"/>
  <c r="BF20" i="17"/>
  <c r="BF36" i="17"/>
  <c r="BF52" i="17"/>
  <c r="BF10" i="17"/>
  <c r="BF26" i="17"/>
  <c r="BF42" i="17"/>
  <c r="BF58" i="17"/>
  <c r="BF7" i="17"/>
  <c r="BF23" i="17"/>
  <c r="BF39" i="17"/>
  <c r="BF55" i="17"/>
  <c r="BF21" i="17"/>
  <c r="BF37" i="17"/>
  <c r="BF53" i="17"/>
  <c r="BG29" i="17"/>
  <c r="BG25" i="17"/>
  <c r="BG21" i="17"/>
  <c r="BG17" i="17"/>
  <c r="BG13" i="17"/>
  <c r="BG9" i="17"/>
  <c r="BG5" i="17"/>
  <c r="BF8" i="17"/>
  <c r="BF24" i="17"/>
  <c r="BF40" i="17"/>
  <c r="BF56" i="17"/>
  <c r="BF14" i="17"/>
  <c r="BF30" i="17"/>
  <c r="BF46" i="17"/>
  <c r="BF62" i="17"/>
  <c r="BF11" i="17"/>
  <c r="BF27" i="17"/>
  <c r="BF43" i="17"/>
  <c r="BF59" i="17"/>
  <c r="AN64" i="17"/>
  <c r="AN43" i="17"/>
  <c r="AN42" i="17"/>
  <c r="AN58" i="17"/>
  <c r="AO6" i="17"/>
  <c r="AO10" i="17"/>
  <c r="AO14" i="17"/>
  <c r="AO18" i="17"/>
  <c r="AO22" i="17"/>
  <c r="AO26" i="17"/>
  <c r="AN24" i="17"/>
  <c r="AN47" i="17"/>
  <c r="AN25" i="17"/>
  <c r="AN40" i="17"/>
  <c r="AN56" i="17"/>
  <c r="AN30" i="17"/>
  <c r="AN62" i="17"/>
  <c r="AO3" i="17"/>
  <c r="AO15" i="17"/>
  <c r="AN27" i="17"/>
  <c r="AN65" i="17"/>
  <c r="AN34" i="17"/>
  <c r="AN50" i="17"/>
  <c r="AN66" i="17"/>
  <c r="AO4" i="17"/>
  <c r="AO8" i="17"/>
  <c r="AO12" i="17"/>
  <c r="AO16" i="17"/>
  <c r="AO20" i="17"/>
  <c r="AO24" i="17"/>
  <c r="AO28" i="17"/>
  <c r="AN31" i="17"/>
  <c r="AN68" i="17"/>
  <c r="AN32" i="17"/>
  <c r="AN48" i="17"/>
  <c r="AN67" i="17"/>
  <c r="AN29" i="17"/>
  <c r="AN45" i="17"/>
  <c r="AN61" i="17"/>
  <c r="AN55" i="17"/>
  <c r="AN46" i="17"/>
  <c r="AO7" i="17"/>
  <c r="AN35" i="17"/>
  <c r="AN38" i="17"/>
  <c r="AN54" i="17"/>
  <c r="AN59" i="17"/>
  <c r="AO5" i="17"/>
  <c r="AO9" i="17"/>
  <c r="AO13" i="17"/>
  <c r="AO17" i="17"/>
  <c r="AO21" i="17"/>
  <c r="AO25" i="17"/>
  <c r="AO29" i="17"/>
  <c r="AN39" i="17"/>
  <c r="AN26" i="17"/>
  <c r="AN36" i="17"/>
  <c r="AN52" i="17"/>
  <c r="AN33" i="17"/>
  <c r="AN49" i="17"/>
  <c r="AN63" i="17"/>
  <c r="N42" i="17"/>
  <c r="AN37" i="17"/>
  <c r="AN53" i="17"/>
  <c r="AO11" i="17"/>
  <c r="AO19" i="17"/>
  <c r="AO23" i="17"/>
  <c r="AO27" i="17"/>
  <c r="AN51" i="17"/>
  <c r="AN28" i="17"/>
  <c r="AN44" i="17"/>
  <c r="AN60" i="17"/>
  <c r="AN41" i="17"/>
  <c r="AN57" i="17"/>
  <c r="AN23" i="17"/>
  <c r="AN22" i="17"/>
  <c r="AN21" i="17"/>
  <c r="AN20" i="17"/>
  <c r="AN19" i="17"/>
  <c r="AN18" i="17"/>
  <c r="AN17" i="17"/>
  <c r="AN16" i="17"/>
  <c r="AN15" i="17"/>
  <c r="AN14" i="17"/>
  <c r="AN13" i="17"/>
  <c r="AN12" i="17"/>
  <c r="AN11" i="17"/>
  <c r="AN10" i="17"/>
  <c r="AN9" i="17"/>
  <c r="AN8" i="17"/>
  <c r="AN7" i="17"/>
  <c r="AN6" i="17"/>
  <c r="AN5" i="17"/>
  <c r="AN4" i="17"/>
  <c r="AN3" i="17"/>
  <c r="P68" i="17"/>
  <c r="P64" i="17"/>
  <c r="Q5" i="17"/>
  <c r="Q7" i="17"/>
  <c r="P61" i="17"/>
  <c r="P66" i="17"/>
  <c r="N5" i="17"/>
  <c r="P65" i="17"/>
  <c r="P63" i="17"/>
  <c r="Q3" i="17"/>
  <c r="P67" i="17"/>
  <c r="Q6" i="17"/>
  <c r="P62" i="17"/>
  <c r="Q4" i="17"/>
  <c r="P60" i="17"/>
  <c r="Q8" i="17"/>
  <c r="Q9" i="17"/>
  <c r="P59" i="17"/>
  <c r="P58" i="17"/>
  <c r="Q10" i="17"/>
  <c r="Q11" i="17"/>
  <c r="P57" i="17"/>
  <c r="Q12" i="17"/>
  <c r="P56" i="17"/>
  <c r="Q13" i="17"/>
  <c r="P55" i="17"/>
  <c r="Q14" i="17"/>
  <c r="P54" i="17"/>
  <c r="P53" i="17"/>
  <c r="Q15" i="17"/>
  <c r="P52" i="17"/>
  <c r="Q16" i="17"/>
  <c r="Q17" i="17"/>
  <c r="P51" i="17"/>
  <c r="Q18" i="17"/>
  <c r="P50" i="17"/>
  <c r="Q19" i="17"/>
  <c r="P49" i="17"/>
  <c r="Q20" i="17"/>
  <c r="P48" i="17"/>
  <c r="Q21" i="17"/>
  <c r="P47" i="17"/>
  <c r="P46" i="17"/>
  <c r="Q22" i="17"/>
  <c r="Q23" i="17"/>
  <c r="P45" i="17"/>
  <c r="P44" i="17"/>
  <c r="Q24" i="17"/>
  <c r="P43" i="17"/>
  <c r="Q25" i="17"/>
  <c r="P42" i="17"/>
  <c r="Q26" i="17"/>
  <c r="P41" i="17"/>
  <c r="Q27" i="17"/>
  <c r="Q28" i="17"/>
  <c r="P40" i="17"/>
  <c r="Q29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4" i="17"/>
  <c r="P23" i="17"/>
  <c r="P22" i="17"/>
  <c r="P21" i="17"/>
  <c r="P20" i="17"/>
  <c r="P19" i="17"/>
  <c r="P18" i="17"/>
  <c r="P17" i="17"/>
  <c r="P16" i="17"/>
  <c r="P15" i="17"/>
  <c r="P14" i="17"/>
  <c r="P13" i="17"/>
  <c r="P12" i="17"/>
  <c r="P11" i="17"/>
  <c r="P10" i="17"/>
  <c r="P9" i="17"/>
  <c r="P8" i="17"/>
  <c r="P7" i="17"/>
  <c r="P6" i="17"/>
  <c r="P5" i="17"/>
  <c r="P4" i="17"/>
  <c r="P3" i="17"/>
  <c r="N3" i="5"/>
  <c r="O3" i="5" s="1"/>
  <c r="P3" i="3"/>
  <c r="M3" i="3"/>
  <c r="J3" i="2"/>
  <c r="C4" i="22" s="1"/>
  <c r="H4" i="2"/>
  <c r="H5" i="2" s="1"/>
  <c r="H6" i="2" s="1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7" i="2" s="1"/>
  <c r="H18" i="2" s="1"/>
  <c r="H19" i="2" s="1"/>
  <c r="H20" i="2" s="1"/>
  <c r="H21" i="2" s="1"/>
  <c r="H22" i="2" s="1"/>
  <c r="H23" i="2" s="1"/>
  <c r="H24" i="2" s="1"/>
  <c r="H25" i="2" s="1"/>
  <c r="H26" i="2" s="1"/>
  <c r="H27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3" i="2" s="1"/>
  <c r="H44" i="2" s="1"/>
  <c r="H45" i="2" s="1"/>
  <c r="H46" i="2" s="1"/>
  <c r="H47" i="2" s="1"/>
  <c r="H48" i="2" s="1"/>
  <c r="H49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H62" i="2" s="1"/>
  <c r="H63" i="2" s="1"/>
  <c r="H64" i="2" s="1"/>
  <c r="H65" i="2" s="1"/>
  <c r="H66" i="2" s="1"/>
  <c r="H67" i="2" s="1"/>
  <c r="H68" i="2" s="1"/>
  <c r="H69" i="2" s="1"/>
  <c r="H70" i="2" s="1"/>
  <c r="B28" i="5" l="1"/>
  <c r="B29" i="5"/>
  <c r="E18" i="26"/>
  <c r="E17" i="26" s="1"/>
  <c r="E16" i="26" s="1"/>
  <c r="E15" i="26" s="1"/>
  <c r="E14" i="26" s="1"/>
  <c r="E13" i="26" s="1"/>
  <c r="E12" i="26" s="1"/>
  <c r="E11" i="26" s="1"/>
  <c r="E10" i="26" s="1"/>
  <c r="E9" i="26" s="1"/>
  <c r="E8" i="26" s="1"/>
  <c r="E7" i="26" s="1"/>
  <c r="E6" i="26" s="1"/>
  <c r="E5" i="26" s="1"/>
  <c r="E4" i="26" s="1"/>
  <c r="E3" i="26" s="1"/>
  <c r="E19" i="26"/>
  <c r="E20" i="26"/>
  <c r="E21" i="26"/>
  <c r="E22" i="26"/>
  <c r="E24" i="26"/>
  <c r="E23" i="26"/>
  <c r="E25" i="26"/>
  <c r="E26" i="26"/>
  <c r="E27" i="26"/>
  <c r="E28" i="26"/>
  <c r="E29" i="26"/>
  <c r="E30" i="26"/>
  <c r="E31" i="26"/>
  <c r="E32" i="26"/>
  <c r="E33" i="26"/>
  <c r="E34" i="26"/>
  <c r="E35" i="26"/>
  <c r="E36" i="26"/>
  <c r="E37" i="26"/>
  <c r="E39" i="26"/>
  <c r="E38" i="26"/>
  <c r="E40" i="26"/>
  <c r="E41" i="26"/>
  <c r="E42" i="26"/>
  <c r="E43" i="26"/>
  <c r="E44" i="26"/>
  <c r="E45" i="26"/>
  <c r="E46" i="26"/>
  <c r="E47" i="26"/>
  <c r="E48" i="26"/>
  <c r="E49" i="26"/>
  <c r="E50" i="26"/>
  <c r="E51" i="26"/>
  <c r="E52" i="26"/>
  <c r="E53" i="26"/>
  <c r="E54" i="26"/>
  <c r="E55" i="26"/>
  <c r="E56" i="26"/>
  <c r="E57" i="26"/>
  <c r="E58" i="26"/>
  <c r="E59" i="26"/>
  <c r="E60" i="26"/>
  <c r="E61" i="26"/>
  <c r="E62" i="26"/>
  <c r="E63" i="26"/>
  <c r="E64" i="26"/>
  <c r="E65" i="26"/>
  <c r="E66" i="26"/>
  <c r="E67" i="26"/>
  <c r="E68" i="26"/>
  <c r="E69" i="26"/>
  <c r="E70" i="26"/>
  <c r="E71" i="26"/>
  <c r="E72" i="26"/>
  <c r="E73" i="26"/>
  <c r="E74" i="26"/>
  <c r="E75" i="26"/>
  <c r="E76" i="26"/>
  <c r="E77" i="26"/>
  <c r="E78" i="26"/>
  <c r="E79" i="26"/>
  <c r="E80" i="26"/>
  <c r="E81" i="26"/>
  <c r="E82" i="26"/>
  <c r="E83" i="26"/>
  <c r="E84" i="26"/>
  <c r="E85" i="26"/>
  <c r="E86" i="26"/>
  <c r="E87" i="26"/>
  <c r="E88" i="26"/>
  <c r="E89" i="26"/>
  <c r="E90" i="26"/>
  <c r="E91" i="26"/>
  <c r="E92" i="26"/>
  <c r="E12" i="27"/>
  <c r="E11" i="27" s="1"/>
  <c r="E10" i="27" s="1"/>
  <c r="E9" i="27" s="1"/>
  <c r="E8" i="27" s="1"/>
  <c r="E7" i="27" s="1"/>
  <c r="E6" i="27" s="1"/>
  <c r="E5" i="27" s="1"/>
  <c r="E4" i="27" s="1"/>
  <c r="E3" i="27" s="1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8" i="27"/>
  <c r="E67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BT93" i="27"/>
  <c r="BV93" i="27" s="1"/>
  <c r="B25" i="3"/>
  <c r="B14" i="3"/>
  <c r="B39" i="3" s="1"/>
  <c r="S66" i="12" s="1"/>
  <c r="S49" i="12"/>
  <c r="S52" i="12"/>
  <c r="S82" i="12"/>
  <c r="U82" i="12" s="1"/>
  <c r="S65" i="12"/>
  <c r="S91" i="12"/>
  <c r="U91" i="12" s="1"/>
  <c r="S43" i="12"/>
  <c r="S76" i="12"/>
  <c r="U76" i="12" s="1"/>
  <c r="S46" i="12"/>
  <c r="S73" i="12"/>
  <c r="U73" i="12" s="1"/>
  <c r="S67" i="12"/>
  <c r="S92" i="12"/>
  <c r="U92" i="12" s="1"/>
  <c r="S45" i="12"/>
  <c r="S80" i="12"/>
  <c r="U80" i="12" s="1"/>
  <c r="S74" i="12"/>
  <c r="U74" i="12" s="1"/>
  <c r="S50" i="12"/>
  <c r="S87" i="12"/>
  <c r="U87" i="12" s="1"/>
  <c r="S71" i="12"/>
  <c r="U71" i="12" s="1"/>
  <c r="S86" i="12"/>
  <c r="U86" i="12" s="1"/>
  <c r="S41" i="12"/>
  <c r="S85" i="12"/>
  <c r="U85" i="12" s="1"/>
  <c r="S88" i="12"/>
  <c r="U88" i="12" s="1"/>
  <c r="S40" i="12"/>
  <c r="S62" i="12"/>
  <c r="S53" i="12"/>
  <c r="S79" i="12"/>
  <c r="U79" i="12" s="1"/>
  <c r="S42" i="12"/>
  <c r="S60" i="12"/>
  <c r="AD70" i="12"/>
  <c r="AF70" i="12" s="1"/>
  <c r="AD74" i="12"/>
  <c r="AF74" i="12" s="1"/>
  <c r="AD78" i="12"/>
  <c r="AF78" i="12" s="1"/>
  <c r="AD82" i="12"/>
  <c r="AF82" i="12" s="1"/>
  <c r="AD86" i="12"/>
  <c r="AF86" i="12" s="1"/>
  <c r="AD90" i="12"/>
  <c r="AF90" i="12" s="1"/>
  <c r="AO72" i="12"/>
  <c r="AO88" i="12"/>
  <c r="AO79" i="12"/>
  <c r="AO75" i="12"/>
  <c r="AO83" i="12"/>
  <c r="AO87" i="12"/>
  <c r="AO89" i="12"/>
  <c r="AD71" i="12"/>
  <c r="AF71" i="12" s="1"/>
  <c r="AD75" i="12"/>
  <c r="AF75" i="12" s="1"/>
  <c r="AD79" i="12"/>
  <c r="AF79" i="12" s="1"/>
  <c r="AD83" i="12"/>
  <c r="AF83" i="12" s="1"/>
  <c r="AD87" i="12"/>
  <c r="AF87" i="12" s="1"/>
  <c r="AD91" i="12"/>
  <c r="AF91" i="12" s="1"/>
  <c r="AO76" i="12"/>
  <c r="AO92" i="12"/>
  <c r="AO85" i="12"/>
  <c r="AO81" i="12"/>
  <c r="AD72" i="12"/>
  <c r="AF72" i="12" s="1"/>
  <c r="AD76" i="12"/>
  <c r="AF76" i="12" s="1"/>
  <c r="AD80" i="12"/>
  <c r="AF80" i="12" s="1"/>
  <c r="AD84" i="12"/>
  <c r="AF84" i="12" s="1"/>
  <c r="AD88" i="12"/>
  <c r="AF88" i="12" s="1"/>
  <c r="AD92" i="12"/>
  <c r="AF92" i="12" s="1"/>
  <c r="AO80" i="12"/>
  <c r="AO69" i="12"/>
  <c r="AO90" i="12"/>
  <c r="AO86" i="12"/>
  <c r="AO71" i="12"/>
  <c r="AD73" i="12"/>
  <c r="AF73" i="12" s="1"/>
  <c r="AD77" i="12"/>
  <c r="AF77" i="12" s="1"/>
  <c r="AD81" i="12"/>
  <c r="AF81" i="12" s="1"/>
  <c r="AD85" i="12"/>
  <c r="AF85" i="12" s="1"/>
  <c r="AD89" i="12"/>
  <c r="AF89" i="12" s="1"/>
  <c r="AO84" i="12"/>
  <c r="AO74" i="12"/>
  <c r="AO70" i="12"/>
  <c r="AO91" i="12"/>
  <c r="AO82" i="12"/>
  <c r="AO73" i="12"/>
  <c r="AO77" i="12"/>
  <c r="AO78" i="12"/>
  <c r="E4" i="22"/>
  <c r="F4" i="22" s="1"/>
  <c r="G4" i="22" s="1"/>
  <c r="AA4" i="22"/>
  <c r="AB4" i="22" s="1"/>
  <c r="B27" i="3" s="1"/>
  <c r="B29" i="4"/>
  <c r="B28" i="4"/>
  <c r="N3" i="3"/>
  <c r="O3" i="3" s="1"/>
  <c r="J4" i="2"/>
  <c r="C5" i="22" s="1"/>
  <c r="S47" i="12" l="1"/>
  <c r="S69" i="12"/>
  <c r="S56" i="12"/>
  <c r="S78" i="12"/>
  <c r="U78" i="12" s="1"/>
  <c r="S39" i="12"/>
  <c r="S61" i="12"/>
  <c r="S48" i="12"/>
  <c r="S58" i="12"/>
  <c r="S83" i="12"/>
  <c r="U83" i="12" s="1"/>
  <c r="S70" i="12"/>
  <c r="U70" i="12" s="1"/>
  <c r="S59" i="12"/>
  <c r="S81" i="12"/>
  <c r="U81" i="12" s="1"/>
  <c r="S68" i="12"/>
  <c r="S63" i="12"/>
  <c r="S89" i="12"/>
  <c r="U89" i="12" s="1"/>
  <c r="S72" i="12"/>
  <c r="U72" i="12" s="1"/>
  <c r="S51" i="12"/>
  <c r="S55" i="12"/>
  <c r="S77" i="12"/>
  <c r="U77" i="12" s="1"/>
  <c r="S64" i="12"/>
  <c r="S90" i="12"/>
  <c r="U90" i="12" s="1"/>
  <c r="S57" i="12"/>
  <c r="S44" i="12"/>
  <c r="S75" i="12"/>
  <c r="U75" i="12" s="1"/>
  <c r="S54" i="12"/>
  <c r="S84" i="12"/>
  <c r="U84" i="12" s="1"/>
  <c r="E41" i="25"/>
  <c r="E40" i="25" s="1"/>
  <c r="E39" i="25" s="1"/>
  <c r="E38" i="25" s="1"/>
  <c r="E37" i="25" s="1"/>
  <c r="E36" i="25" s="1"/>
  <c r="E35" i="25" s="1"/>
  <c r="E34" i="25" s="1"/>
  <c r="E33" i="25" s="1"/>
  <c r="E32" i="25" s="1"/>
  <c r="E31" i="25" s="1"/>
  <c r="E30" i="25" s="1"/>
  <c r="E29" i="25" s="1"/>
  <c r="E28" i="25" s="1"/>
  <c r="E27" i="25" s="1"/>
  <c r="E26" i="25" s="1"/>
  <c r="E25" i="25" s="1"/>
  <c r="E24" i="25" s="1"/>
  <c r="E23" i="25" s="1"/>
  <c r="E22" i="25" s="1"/>
  <c r="E21" i="25" s="1"/>
  <c r="E20" i="25" s="1"/>
  <c r="E19" i="25" s="1"/>
  <c r="E18" i="25" s="1"/>
  <c r="E17" i="25" s="1"/>
  <c r="E16" i="25" s="1"/>
  <c r="E15" i="25" s="1"/>
  <c r="E14" i="25" s="1"/>
  <c r="E13" i="25" s="1"/>
  <c r="E12" i="25" s="1"/>
  <c r="E11" i="25" s="1"/>
  <c r="E10" i="25" s="1"/>
  <c r="E9" i="25" s="1"/>
  <c r="E8" i="25" s="1"/>
  <c r="E7" i="25" s="1"/>
  <c r="E6" i="25" s="1"/>
  <c r="E5" i="25" s="1"/>
  <c r="E4" i="25" s="1"/>
  <c r="E3" i="25" s="1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G30" i="26"/>
  <c r="G29" i="26" s="1"/>
  <c r="G28" i="26" s="1"/>
  <c r="G27" i="26" s="1"/>
  <c r="G26" i="26" s="1"/>
  <c r="G25" i="26" s="1"/>
  <c r="G24" i="26" s="1"/>
  <c r="G23" i="26" s="1"/>
  <c r="G22" i="26" s="1"/>
  <c r="G21" i="26" s="1"/>
  <c r="G20" i="26" s="1"/>
  <c r="G19" i="26" s="1"/>
  <c r="G18" i="26" s="1"/>
  <c r="G17" i="26" s="1"/>
  <c r="G16" i="26" s="1"/>
  <c r="G15" i="26" s="1"/>
  <c r="G14" i="26" s="1"/>
  <c r="G13" i="26" s="1"/>
  <c r="G12" i="26" s="1"/>
  <c r="G11" i="26" s="1"/>
  <c r="G10" i="26" s="1"/>
  <c r="G9" i="26" s="1"/>
  <c r="G8" i="26" s="1"/>
  <c r="G7" i="26" s="1"/>
  <c r="G6" i="26" s="1"/>
  <c r="G5" i="26" s="1"/>
  <c r="G4" i="26" s="1"/>
  <c r="G3" i="26" s="1"/>
  <c r="G31" i="26"/>
  <c r="G32" i="26"/>
  <c r="G33" i="26"/>
  <c r="G34" i="26"/>
  <c r="G35" i="26"/>
  <c r="G36" i="26"/>
  <c r="G37" i="26"/>
  <c r="G38" i="26"/>
  <c r="G39" i="26"/>
  <c r="G41" i="26"/>
  <c r="G40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F24" i="26"/>
  <c r="F23" i="26" s="1"/>
  <c r="F22" i="26" s="1"/>
  <c r="F21" i="26" s="1"/>
  <c r="F20" i="26" s="1"/>
  <c r="F19" i="26" s="1"/>
  <c r="F18" i="26" s="1"/>
  <c r="F17" i="26" s="1"/>
  <c r="F16" i="26" s="1"/>
  <c r="F15" i="26" s="1"/>
  <c r="F14" i="26" s="1"/>
  <c r="F13" i="26" s="1"/>
  <c r="F12" i="26" s="1"/>
  <c r="F11" i="26" s="1"/>
  <c r="F10" i="26" s="1"/>
  <c r="F9" i="26" s="1"/>
  <c r="F8" i="26" s="1"/>
  <c r="F7" i="26" s="1"/>
  <c r="F6" i="26" s="1"/>
  <c r="F5" i="26" s="1"/>
  <c r="F4" i="26" s="1"/>
  <c r="F3" i="26" s="1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9" i="26"/>
  <c r="F38" i="26"/>
  <c r="F41" i="26"/>
  <c r="F40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BT84" i="26" s="1"/>
  <c r="BV84" i="26" s="1"/>
  <c r="F85" i="26"/>
  <c r="F86" i="26"/>
  <c r="F87" i="26"/>
  <c r="F88" i="26"/>
  <c r="F89" i="26"/>
  <c r="F90" i="26"/>
  <c r="F91" i="26"/>
  <c r="F92" i="26"/>
  <c r="F16" i="27"/>
  <c r="F15" i="27" s="1"/>
  <c r="F14" i="27" s="1"/>
  <c r="F13" i="27" s="1"/>
  <c r="F12" i="27" s="1"/>
  <c r="F11" i="27" s="1"/>
  <c r="F10" i="27" s="1"/>
  <c r="F9" i="27" s="1"/>
  <c r="F8" i="27" s="1"/>
  <c r="F7" i="27" s="1"/>
  <c r="F6" i="27" s="1"/>
  <c r="F5" i="27" s="1"/>
  <c r="F4" i="27" s="1"/>
  <c r="F3" i="27" s="1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8" i="27"/>
  <c r="F57" i="27"/>
  <c r="F59" i="27"/>
  <c r="F60" i="27"/>
  <c r="F61" i="27"/>
  <c r="F62" i="27"/>
  <c r="F63" i="27"/>
  <c r="F64" i="27"/>
  <c r="F65" i="27"/>
  <c r="F66" i="27"/>
  <c r="F68" i="27"/>
  <c r="F67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BC51" i="27"/>
  <c r="BE51" i="27" s="1"/>
  <c r="G20" i="27"/>
  <c r="G19" i="27" s="1"/>
  <c r="G18" i="27" s="1"/>
  <c r="G17" i="27" s="1"/>
  <c r="G16" i="27" s="1"/>
  <c r="G15" i="27" s="1"/>
  <c r="G14" i="27" s="1"/>
  <c r="G13" i="27" s="1"/>
  <c r="G12" i="27" s="1"/>
  <c r="G11" i="27" s="1"/>
  <c r="G10" i="27" s="1"/>
  <c r="G9" i="27" s="1"/>
  <c r="G8" i="27" s="1"/>
  <c r="G7" i="27" s="1"/>
  <c r="G6" i="27" s="1"/>
  <c r="G5" i="27" s="1"/>
  <c r="G4" i="27" s="1"/>
  <c r="G3" i="27" s="1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G61" i="27"/>
  <c r="G62" i="27"/>
  <c r="G63" i="27"/>
  <c r="G64" i="27"/>
  <c r="G65" i="27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BU37" i="27"/>
  <c r="BW37" i="27" s="1"/>
  <c r="AQ81" i="27"/>
  <c r="AS81" i="27" s="1"/>
  <c r="AK23" i="27"/>
  <c r="AM23" i="27" s="1"/>
  <c r="Y90" i="27"/>
  <c r="AA90" i="27" s="1"/>
  <c r="S84" i="27"/>
  <c r="U84" i="27" s="1"/>
  <c r="BU78" i="27"/>
  <c r="BW78" i="27" s="1"/>
  <c r="BC71" i="27"/>
  <c r="BE71" i="27" s="1"/>
  <c r="AE65" i="27"/>
  <c r="AG65" i="27" s="1"/>
  <c r="BU56" i="27"/>
  <c r="BW56" i="27" s="1"/>
  <c r="BU68" i="27"/>
  <c r="BW68" i="27" s="1"/>
  <c r="S61" i="27"/>
  <c r="U61" i="27" s="1"/>
  <c r="AQ25" i="27"/>
  <c r="AS25" i="27" s="1"/>
  <c r="S89" i="27"/>
  <c r="U89" i="27" s="1"/>
  <c r="AW83" i="27"/>
  <c r="AY83" i="27" s="1"/>
  <c r="BO76" i="27"/>
  <c r="BQ76" i="27" s="1"/>
  <c r="AQ69" i="27"/>
  <c r="AS69" i="27" s="1"/>
  <c r="AK62" i="27"/>
  <c r="AM62" i="27" s="1"/>
  <c r="BC53" i="27"/>
  <c r="BE53" i="27" s="1"/>
  <c r="BI30" i="27"/>
  <c r="BK30" i="27" s="1"/>
  <c r="M3" i="27"/>
  <c r="AK87" i="27"/>
  <c r="AM87" i="27" s="1"/>
  <c r="BO75" i="27"/>
  <c r="BQ75" i="27" s="1"/>
  <c r="Y92" i="27"/>
  <c r="AA92" i="27" s="1"/>
  <c r="AK86" i="27"/>
  <c r="AM86" i="27" s="1"/>
  <c r="AE79" i="27"/>
  <c r="AG79" i="27" s="1"/>
  <c r="BO73" i="27"/>
  <c r="BQ73" i="27" s="1"/>
  <c r="S66" i="27"/>
  <c r="U66" i="27" s="1"/>
  <c r="BI59" i="27"/>
  <c r="BK59" i="27" s="1"/>
  <c r="AE45" i="27"/>
  <c r="AG45" i="27" s="1"/>
  <c r="BO92" i="27"/>
  <c r="BQ92" i="27" s="1"/>
  <c r="BU90" i="27"/>
  <c r="BW90" i="27" s="1"/>
  <c r="AQ88" i="27"/>
  <c r="AS88" i="27" s="1"/>
  <c r="Y87" i="27"/>
  <c r="AA87" i="27" s="1"/>
  <c r="AK85" i="27"/>
  <c r="AM85" i="27" s="1"/>
  <c r="BI84" i="27"/>
  <c r="BK84" i="27" s="1"/>
  <c r="BO82" i="27"/>
  <c r="BQ82" i="27" s="1"/>
  <c r="BC81" i="27"/>
  <c r="BE81" i="27" s="1"/>
  <c r="BU79" i="27"/>
  <c r="BW79" i="27" s="1"/>
  <c r="Y77" i="27"/>
  <c r="AA77" i="27" s="1"/>
  <c r="BC76" i="27"/>
  <c r="BE76" i="27" s="1"/>
  <c r="Y74" i="27"/>
  <c r="AA74" i="27" s="1"/>
  <c r="AW72" i="27"/>
  <c r="AY72" i="27" s="1"/>
  <c r="AQ71" i="27"/>
  <c r="AS71" i="27" s="1"/>
  <c r="AW69" i="27"/>
  <c r="AY69" i="27" s="1"/>
  <c r="S67" i="27"/>
  <c r="U67" i="27" s="1"/>
  <c r="BO66" i="27"/>
  <c r="BQ66" i="27" s="1"/>
  <c r="AE64" i="27"/>
  <c r="AG64" i="27" s="1"/>
  <c r="AW62" i="27"/>
  <c r="AY62" i="27" s="1"/>
  <c r="BU60" i="27"/>
  <c r="BW60" i="27" s="1"/>
  <c r="BU59" i="27"/>
  <c r="BW59" i="27" s="1"/>
  <c r="BU55" i="27"/>
  <c r="BW55" i="27" s="1"/>
  <c r="AK53" i="27"/>
  <c r="AM53" i="27" s="1"/>
  <c r="AK50" i="27"/>
  <c r="AM50" i="27" s="1"/>
  <c r="BO42" i="27"/>
  <c r="BQ42" i="27" s="1"/>
  <c r="Y36" i="27"/>
  <c r="AA36" i="27" s="1"/>
  <c r="AW28" i="27"/>
  <c r="AY28" i="27" s="1"/>
  <c r="AK22" i="27"/>
  <c r="AM22" i="27" s="1"/>
  <c r="S91" i="27"/>
  <c r="U91" i="27" s="1"/>
  <c r="BI90" i="27"/>
  <c r="BK90" i="27" s="1"/>
  <c r="S88" i="27"/>
  <c r="U88" i="27" s="1"/>
  <c r="BC86" i="27"/>
  <c r="BE86" i="27" s="1"/>
  <c r="AQ85" i="27"/>
  <c r="AS85" i="27" s="1"/>
  <c r="BU83" i="27"/>
  <c r="BW83" i="27" s="1"/>
  <c r="S82" i="27"/>
  <c r="U82" i="27" s="1"/>
  <c r="BU80" i="27"/>
  <c r="BW80" i="27" s="1"/>
  <c r="AK79" i="27"/>
  <c r="AM79" i="27" s="1"/>
  <c r="BC77" i="27"/>
  <c r="BE77" i="27" s="1"/>
  <c r="BI75" i="27"/>
  <c r="BK75" i="27" s="1"/>
  <c r="BI74" i="27"/>
  <c r="BK74" i="27" s="1"/>
  <c r="BO72" i="27"/>
  <c r="BQ72" i="27" s="1"/>
  <c r="BU70" i="27"/>
  <c r="BW70" i="27" s="1"/>
  <c r="BO69" i="27"/>
  <c r="BQ69" i="27" s="1"/>
  <c r="BU67" i="27"/>
  <c r="BW67" i="27" s="1"/>
  <c r="BI65" i="27"/>
  <c r="BK65" i="27" s="1"/>
  <c r="S64" i="27"/>
  <c r="U64" i="27" s="1"/>
  <c r="S62" i="27"/>
  <c r="U62" i="27" s="1"/>
  <c r="BI60" i="27"/>
  <c r="BK60" i="27" s="1"/>
  <c r="Y58" i="27"/>
  <c r="AA58" i="27" s="1"/>
  <c r="AW55" i="27"/>
  <c r="AY55" i="27" s="1"/>
  <c r="AW53" i="27"/>
  <c r="AY53" i="27" s="1"/>
  <c r="AK48" i="27"/>
  <c r="AM48" i="27" s="1"/>
  <c r="BC40" i="27"/>
  <c r="BE40" i="27" s="1"/>
  <c r="BU34" i="27"/>
  <c r="BW34" i="27" s="1"/>
  <c r="S26" i="27"/>
  <c r="U26" i="27" s="1"/>
  <c r="L44" i="27"/>
  <c r="S92" i="27"/>
  <c r="U92" i="27" s="1"/>
  <c r="AE91" i="27"/>
  <c r="AG91" i="27" s="1"/>
  <c r="BI89" i="27"/>
  <c r="BK89" i="27" s="1"/>
  <c r="BO88" i="27"/>
  <c r="BQ88" i="27" s="1"/>
  <c r="BO86" i="27"/>
  <c r="BQ86" i="27" s="1"/>
  <c r="BO84" i="27"/>
  <c r="BQ84" i="27" s="1"/>
  <c r="S83" i="27"/>
  <c r="U83" i="27" s="1"/>
  <c r="BI81" i="27"/>
  <c r="BK81" i="27" s="1"/>
  <c r="AE80" i="27"/>
  <c r="AG80" i="27" s="1"/>
  <c r="Y78" i="27"/>
  <c r="AA78" i="27" s="1"/>
  <c r="BU77" i="27"/>
  <c r="BW77" i="27" s="1"/>
  <c r="AW75" i="27"/>
  <c r="AY75" i="27" s="1"/>
  <c r="AE73" i="27"/>
  <c r="AG73" i="27" s="1"/>
  <c r="Y71" i="27"/>
  <c r="AA71" i="27" s="1"/>
  <c r="BI70" i="27"/>
  <c r="BK70" i="27" s="1"/>
  <c r="AQ68" i="27"/>
  <c r="AS68" i="27" s="1"/>
  <c r="BC67" i="27"/>
  <c r="BE67" i="27" s="1"/>
  <c r="AQ65" i="27"/>
  <c r="AS65" i="27" s="1"/>
  <c r="BO63" i="27"/>
  <c r="BQ63" i="27" s="1"/>
  <c r="AW61" i="27"/>
  <c r="AY61" i="27" s="1"/>
  <c r="AW60" i="27"/>
  <c r="AY60" i="27" s="1"/>
  <c r="Y57" i="27"/>
  <c r="AA57" i="27" s="1"/>
  <c r="AW54" i="27"/>
  <c r="AY54" i="27" s="1"/>
  <c r="BU52" i="27"/>
  <c r="BW52" i="27" s="1"/>
  <c r="AQ47" i="27"/>
  <c r="AS47" i="27" s="1"/>
  <c r="BI39" i="27"/>
  <c r="BK39" i="27" s="1"/>
  <c r="AE31" i="27"/>
  <c r="AG31" i="27" s="1"/>
  <c r="O91" i="27"/>
  <c r="O89" i="27"/>
  <c r="O88" i="27"/>
  <c r="O86" i="27"/>
  <c r="O64" i="27"/>
  <c r="O60" i="27"/>
  <c r="O56" i="27"/>
  <c r="O51" i="27"/>
  <c r="O47" i="27"/>
  <c r="O43" i="27"/>
  <c r="O39" i="27"/>
  <c r="O35" i="27"/>
  <c r="O31" i="27"/>
  <c r="O27" i="27"/>
  <c r="O23" i="27"/>
  <c r="O87" i="27"/>
  <c r="O85" i="27"/>
  <c r="O79" i="27"/>
  <c r="O78" i="27"/>
  <c r="O77" i="27"/>
  <c r="O75" i="27"/>
  <c r="O69" i="27"/>
  <c r="O68" i="27"/>
  <c r="O67" i="27"/>
  <c r="O65" i="27"/>
  <c r="O61" i="27"/>
  <c r="O57" i="27"/>
  <c r="O54" i="27"/>
  <c r="O50" i="27"/>
  <c r="O46" i="27"/>
  <c r="O42" i="27"/>
  <c r="O38" i="27"/>
  <c r="O34" i="27"/>
  <c r="O30" i="27"/>
  <c r="O26" i="27"/>
  <c r="O22" i="27"/>
  <c r="O92" i="27"/>
  <c r="O83" i="27"/>
  <c r="O82" i="27"/>
  <c r="O81" i="27"/>
  <c r="O80" i="27"/>
  <c r="O76" i="27"/>
  <c r="O73" i="27"/>
  <c r="O72" i="27"/>
  <c r="O71" i="27"/>
  <c r="O70" i="27"/>
  <c r="O66" i="27"/>
  <c r="O62" i="27"/>
  <c r="O58" i="27"/>
  <c r="O53" i="27"/>
  <c r="O49" i="27"/>
  <c r="O45" i="27"/>
  <c r="O41" i="27"/>
  <c r="O37" i="27"/>
  <c r="O33" i="27"/>
  <c r="O29" i="27"/>
  <c r="O25" i="27"/>
  <c r="O93" i="27"/>
  <c r="O90" i="27"/>
  <c r="O84" i="27"/>
  <c r="O74" i="27"/>
  <c r="O63" i="27"/>
  <c r="O59" i="27"/>
  <c r="O55" i="27"/>
  <c r="O52" i="27"/>
  <c r="O48" i="27"/>
  <c r="O44" i="27"/>
  <c r="O40" i="27"/>
  <c r="O36" i="27"/>
  <c r="O32" i="27"/>
  <c r="O28" i="27"/>
  <c r="O24" i="27"/>
  <c r="O11" i="27"/>
  <c r="O10" i="27"/>
  <c r="O9" i="27"/>
  <c r="O8" i="27"/>
  <c r="O7" i="27"/>
  <c r="O6" i="27"/>
  <c r="O5" i="27"/>
  <c r="O4" i="27"/>
  <c r="O3" i="27"/>
  <c r="O21" i="27"/>
  <c r="O20" i="27"/>
  <c r="O19" i="27"/>
  <c r="O18" i="27"/>
  <c r="O17" i="27"/>
  <c r="O16" i="27"/>
  <c r="O15" i="27"/>
  <c r="O14" i="27"/>
  <c r="O13" i="27"/>
  <c r="O12" i="27"/>
  <c r="M84" i="27"/>
  <c r="L81" i="27"/>
  <c r="L70" i="27"/>
  <c r="L62" i="27"/>
  <c r="M55" i="27"/>
  <c r="M48" i="27"/>
  <c r="M40" i="27"/>
  <c r="M32" i="27"/>
  <c r="M24" i="27"/>
  <c r="L90" i="27"/>
  <c r="L84" i="27"/>
  <c r="L63" i="27"/>
  <c r="M56" i="27"/>
  <c r="M51" i="27"/>
  <c r="M43" i="27"/>
  <c r="M35" i="27"/>
  <c r="M27" i="27"/>
  <c r="L89" i="27"/>
  <c r="L86" i="27"/>
  <c r="M77" i="27"/>
  <c r="M67" i="27"/>
  <c r="M61" i="27"/>
  <c r="M50" i="27"/>
  <c r="M42" i="27"/>
  <c r="M34" i="27"/>
  <c r="M26" i="27"/>
  <c r="L87" i="27"/>
  <c r="M82" i="27"/>
  <c r="L79" i="27"/>
  <c r="M71" i="27"/>
  <c r="L68" i="27"/>
  <c r="L65" i="27"/>
  <c r="M58" i="27"/>
  <c r="L54" i="27"/>
  <c r="L46" i="27"/>
  <c r="L38" i="27"/>
  <c r="L30" i="27"/>
  <c r="L22" i="27"/>
  <c r="L17" i="27"/>
  <c r="M13" i="27"/>
  <c r="L14" i="27"/>
  <c r="M10" i="27"/>
  <c r="M6" i="27"/>
  <c r="L21" i="27"/>
  <c r="L10" i="27"/>
  <c r="L6" i="27"/>
  <c r="L20" i="27"/>
  <c r="M16" i="27"/>
  <c r="M93" i="27"/>
  <c r="L80" i="27"/>
  <c r="L73" i="27"/>
  <c r="L66" i="27"/>
  <c r="M59" i="27"/>
  <c r="L53" i="27"/>
  <c r="L45" i="27"/>
  <c r="L37" i="27"/>
  <c r="L29" i="27"/>
  <c r="L93" i="27"/>
  <c r="M89" i="27"/>
  <c r="L74" i="27"/>
  <c r="M60" i="27"/>
  <c r="L48" i="27"/>
  <c r="L40" i="27"/>
  <c r="L32" i="27"/>
  <c r="L24" i="27"/>
  <c r="L88" i="27"/>
  <c r="M85" i="27"/>
  <c r="M75" i="27"/>
  <c r="M65" i="27"/>
  <c r="L56" i="27"/>
  <c r="L47" i="27"/>
  <c r="L39" i="27"/>
  <c r="L31" i="27"/>
  <c r="L23" i="27"/>
  <c r="M81" i="27"/>
  <c r="L78" i="27"/>
  <c r="L75" i="27"/>
  <c r="M70" i="27"/>
  <c r="L67" i="27"/>
  <c r="M62" i="27"/>
  <c r="N62" i="27" s="1"/>
  <c r="BC14" i="27" s="1"/>
  <c r="BE14" i="27" s="1"/>
  <c r="M53" i="27"/>
  <c r="M45" i="27"/>
  <c r="M37" i="27"/>
  <c r="M29" i="27"/>
  <c r="M21" i="27"/>
  <c r="L16" i="27"/>
  <c r="M12" i="27"/>
  <c r="L13" i="27"/>
  <c r="M9" i="27"/>
  <c r="M5" i="27"/>
  <c r="M20" i="27"/>
  <c r="N20" i="27" s="1"/>
  <c r="P20" i="27" s="1"/>
  <c r="L9" i="27"/>
  <c r="L5" i="27"/>
  <c r="M19" i="27"/>
  <c r="L92" i="27"/>
  <c r="L83" i="27"/>
  <c r="L76" i="27"/>
  <c r="L72" i="27"/>
  <c r="M63" i="27"/>
  <c r="M52" i="27"/>
  <c r="M44" i="27"/>
  <c r="M36" i="27"/>
  <c r="M28" i="27"/>
  <c r="M91" i="27"/>
  <c r="M88" i="27"/>
  <c r="M64" i="27"/>
  <c r="L55" i="27"/>
  <c r="M47" i="27"/>
  <c r="M39" i="27"/>
  <c r="M31" i="27"/>
  <c r="M23" i="27"/>
  <c r="M87" i="27"/>
  <c r="M79" i="27"/>
  <c r="M69" i="27"/>
  <c r="L60" i="27"/>
  <c r="M54" i="27"/>
  <c r="M46" i="27"/>
  <c r="M38" i="27"/>
  <c r="M30" i="27"/>
  <c r="M22" i="27"/>
  <c r="L85" i="27"/>
  <c r="M80" i="27"/>
  <c r="L77" i="27"/>
  <c r="M73" i="27"/>
  <c r="M66" i="27"/>
  <c r="L57" i="27"/>
  <c r="L50" i="27"/>
  <c r="L42" i="27"/>
  <c r="L34" i="27"/>
  <c r="L26" i="27"/>
  <c r="L19" i="27"/>
  <c r="M15" i="27"/>
  <c r="L12" i="27"/>
  <c r="M8" i="27"/>
  <c r="M4" i="27"/>
  <c r="L8" i="27"/>
  <c r="L4" i="27"/>
  <c r="M18" i="27"/>
  <c r="L71" i="27"/>
  <c r="L49" i="27"/>
  <c r="L59" i="27"/>
  <c r="L36" i="27"/>
  <c r="M78" i="27"/>
  <c r="L43" i="27"/>
  <c r="M25" i="27"/>
  <c r="L15" i="27"/>
  <c r="M17" i="27"/>
  <c r="N17" i="27" s="1"/>
  <c r="P17" i="27" s="1"/>
  <c r="AW21" i="27"/>
  <c r="AY21" i="27" s="1"/>
  <c r="BU21" i="27"/>
  <c r="BW21" i="27" s="1"/>
  <c r="BI22" i="27"/>
  <c r="BK22" i="27" s="1"/>
  <c r="AQ22" i="27"/>
  <c r="AS22" i="27" s="1"/>
  <c r="S22" i="27"/>
  <c r="U22" i="27" s="1"/>
  <c r="AW23" i="27"/>
  <c r="AY23" i="27" s="1"/>
  <c r="S23" i="27"/>
  <c r="U23" i="27" s="1"/>
  <c r="Y24" i="27"/>
  <c r="AA24" i="27" s="1"/>
  <c r="AQ24" i="27"/>
  <c r="AS24" i="27" s="1"/>
  <c r="BC24" i="27"/>
  <c r="BE24" i="27" s="1"/>
  <c r="BI25" i="27"/>
  <c r="BK25" i="27" s="1"/>
  <c r="BO25" i="27"/>
  <c r="BQ25" i="27" s="1"/>
  <c r="Y26" i="27"/>
  <c r="AA26" i="27" s="1"/>
  <c r="BO26" i="27"/>
  <c r="BQ26" i="27" s="1"/>
  <c r="BC26" i="27"/>
  <c r="BE26" i="27" s="1"/>
  <c r="BO27" i="27"/>
  <c r="BQ27" i="27" s="1"/>
  <c r="BU27" i="27"/>
  <c r="BW27" i="27" s="1"/>
  <c r="Y28" i="27"/>
  <c r="AA28" i="27" s="1"/>
  <c r="AQ28" i="27"/>
  <c r="AS28" i="27" s="1"/>
  <c r="AK28" i="27"/>
  <c r="AM28" i="27" s="1"/>
  <c r="S29" i="27"/>
  <c r="U29" i="27" s="1"/>
  <c r="AE29" i="27"/>
  <c r="AG29" i="27" s="1"/>
  <c r="Y30" i="27"/>
  <c r="AA30" i="27" s="1"/>
  <c r="AE30" i="27"/>
  <c r="AG30" i="27" s="1"/>
  <c r="BU30" i="27"/>
  <c r="BW30" i="27" s="1"/>
  <c r="Y31" i="27"/>
  <c r="AA31" i="27" s="1"/>
  <c r="BU31" i="27"/>
  <c r="BW31" i="27" s="1"/>
  <c r="Y32" i="27"/>
  <c r="AA32" i="27" s="1"/>
  <c r="AE32" i="27"/>
  <c r="AG32" i="27" s="1"/>
  <c r="BU32" i="27"/>
  <c r="BW32" i="27" s="1"/>
  <c r="AW33" i="27"/>
  <c r="AY33" i="27" s="1"/>
  <c r="AK33" i="27"/>
  <c r="AM33" i="27" s="1"/>
  <c r="AW34" i="27"/>
  <c r="AY34" i="27" s="1"/>
  <c r="S34" i="27"/>
  <c r="U34" i="27" s="1"/>
  <c r="AQ35" i="27"/>
  <c r="AS35" i="27" s="1"/>
  <c r="AW35" i="27"/>
  <c r="AY35" i="27" s="1"/>
  <c r="BI35" i="27"/>
  <c r="BK35" i="27" s="1"/>
  <c r="BI36" i="27"/>
  <c r="BK36" i="27" s="1"/>
  <c r="AE36" i="27"/>
  <c r="AG36" i="27" s="1"/>
  <c r="S37" i="27"/>
  <c r="U37" i="27" s="1"/>
  <c r="BI37" i="27"/>
  <c r="BK37" i="27" s="1"/>
  <c r="BC37" i="27"/>
  <c r="BE37" i="27" s="1"/>
  <c r="BU38" i="27"/>
  <c r="BW38" i="27" s="1"/>
  <c r="Y38" i="27"/>
  <c r="AA38" i="27" s="1"/>
  <c r="S39" i="27"/>
  <c r="U39" i="27" s="1"/>
  <c r="BC39" i="27"/>
  <c r="BE39" i="27" s="1"/>
  <c r="AW39" i="27"/>
  <c r="AY39" i="27" s="1"/>
  <c r="BI40" i="27"/>
  <c r="BK40" i="27" s="1"/>
  <c r="AE40" i="27"/>
  <c r="AG40" i="27" s="1"/>
  <c r="AK41" i="27"/>
  <c r="AM41" i="27" s="1"/>
  <c r="BC41" i="27"/>
  <c r="BE41" i="27" s="1"/>
  <c r="BI41" i="27"/>
  <c r="BK41" i="27" s="1"/>
  <c r="AK42" i="27"/>
  <c r="AM42" i="27" s="1"/>
  <c r="AE42" i="27"/>
  <c r="AG42" i="27" s="1"/>
  <c r="AQ43" i="27"/>
  <c r="AS43" i="27" s="1"/>
  <c r="AK43" i="27"/>
  <c r="AM43" i="27" s="1"/>
  <c r="AE43" i="27"/>
  <c r="AG43" i="27" s="1"/>
  <c r="AK44" i="27"/>
  <c r="AM44" i="27" s="1"/>
  <c r="BI44" i="27"/>
  <c r="BK44" i="27" s="1"/>
  <c r="BI45" i="27"/>
  <c r="BK45" i="27" s="1"/>
  <c r="BU45" i="27"/>
  <c r="BW45" i="27" s="1"/>
  <c r="Y45" i="27"/>
  <c r="AA45" i="27" s="1"/>
  <c r="BU46" i="27"/>
  <c r="BW46" i="27" s="1"/>
  <c r="BC46" i="27"/>
  <c r="BE46" i="27" s="1"/>
  <c r="Y47" i="27"/>
  <c r="AA47" i="27" s="1"/>
  <c r="S47" i="27"/>
  <c r="U47" i="27" s="1"/>
  <c r="BC47" i="27"/>
  <c r="BE47" i="27" s="1"/>
  <c r="AQ48" i="27"/>
  <c r="AS48" i="27" s="1"/>
  <c r="BC48" i="27"/>
  <c r="BE48" i="27" s="1"/>
  <c r="Y49" i="27"/>
  <c r="AA49" i="27" s="1"/>
  <c r="AE49" i="27"/>
  <c r="AG49" i="27" s="1"/>
  <c r="BU49" i="27"/>
  <c r="BW49" i="27" s="1"/>
  <c r="AQ50" i="27"/>
  <c r="AS50" i="27" s="1"/>
  <c r="BU50" i="27"/>
  <c r="BW50" i="27" s="1"/>
  <c r="Y51" i="27"/>
  <c r="AA51" i="27" s="1"/>
  <c r="S51" i="27"/>
  <c r="U51" i="27" s="1"/>
  <c r="AE51" i="27"/>
  <c r="AG51" i="27" s="1"/>
  <c r="S52" i="27"/>
  <c r="U52" i="27" s="1"/>
  <c r="AK52" i="27"/>
  <c r="AM52" i="27" s="1"/>
  <c r="Y53" i="27"/>
  <c r="AA53" i="27" s="1"/>
  <c r="AQ53" i="27"/>
  <c r="AS53" i="27" s="1"/>
  <c r="BU53" i="27"/>
  <c r="BW53" i="27" s="1"/>
  <c r="AK54" i="27"/>
  <c r="AM54" i="27" s="1"/>
  <c r="AE54" i="27"/>
  <c r="AG54" i="27" s="1"/>
  <c r="BI54" i="27"/>
  <c r="BK54" i="27" s="1"/>
  <c r="Y55" i="27"/>
  <c r="AA55" i="27" s="1"/>
  <c r="AQ55" i="27"/>
  <c r="AS55" i="27" s="1"/>
  <c r="AQ56" i="27"/>
  <c r="AS56" i="27" s="1"/>
  <c r="AE56" i="27"/>
  <c r="AG56" i="27" s="1"/>
  <c r="S56" i="27"/>
  <c r="U56" i="27" s="1"/>
  <c r="BU57" i="27"/>
  <c r="BW57" i="27" s="1"/>
  <c r="S57" i="27"/>
  <c r="U57" i="27" s="1"/>
  <c r="BC58" i="27"/>
  <c r="BE58" i="27" s="1"/>
  <c r="AQ58" i="27"/>
  <c r="AS58" i="27" s="1"/>
  <c r="BI58" i="27"/>
  <c r="BK58" i="27" s="1"/>
  <c r="S59" i="27"/>
  <c r="U59" i="27" s="1"/>
  <c r="AW59" i="27"/>
  <c r="AY59" i="27" s="1"/>
  <c r="L82" i="27"/>
  <c r="L41" i="27"/>
  <c r="M86" i="27"/>
  <c r="N86" i="27" s="1"/>
  <c r="P86" i="27" s="1"/>
  <c r="L28" i="27"/>
  <c r="M68" i="27"/>
  <c r="M57" i="27"/>
  <c r="L35" i="27"/>
  <c r="M83" i="27"/>
  <c r="M72" i="27"/>
  <c r="M49" i="27"/>
  <c r="L18" i="27"/>
  <c r="M11" i="27"/>
  <c r="L11" i="27"/>
  <c r="AQ21" i="27"/>
  <c r="AS21" i="27" s="1"/>
  <c r="AK21" i="27"/>
  <c r="AM21" i="27" s="1"/>
  <c r="Y22" i="27"/>
  <c r="AA22" i="27" s="1"/>
  <c r="AE22" i="27"/>
  <c r="AG22" i="27" s="1"/>
  <c r="BC22" i="27"/>
  <c r="BE22" i="27" s="1"/>
  <c r="BI23" i="27"/>
  <c r="BK23" i="27" s="1"/>
  <c r="AE23" i="27"/>
  <c r="AG23" i="27" s="1"/>
  <c r="BI24" i="27"/>
  <c r="BK24" i="27" s="1"/>
  <c r="AE24" i="27"/>
  <c r="AG24" i="27" s="1"/>
  <c r="S25" i="27"/>
  <c r="U25" i="27" s="1"/>
  <c r="AW25" i="27"/>
  <c r="AY25" i="27" s="1"/>
  <c r="BC25" i="27"/>
  <c r="BE25" i="27" s="1"/>
  <c r="AK26" i="27"/>
  <c r="AM26" i="27" s="1"/>
  <c r="AE26" i="27"/>
  <c r="AG26" i="27" s="1"/>
  <c r="AQ27" i="27"/>
  <c r="AS27" i="27" s="1"/>
  <c r="AW27" i="27"/>
  <c r="AY27" i="27" s="1"/>
  <c r="BI27" i="27"/>
  <c r="BK27" i="27" s="1"/>
  <c r="BI28" i="27"/>
  <c r="BK28" i="27" s="1"/>
  <c r="AE28" i="27"/>
  <c r="AG28" i="27" s="1"/>
  <c r="BO29" i="27"/>
  <c r="BQ29" i="27" s="1"/>
  <c r="Y29" i="27"/>
  <c r="AA29" i="27" s="1"/>
  <c r="BU29" i="27"/>
  <c r="BW29" i="27" s="1"/>
  <c r="AK30" i="27"/>
  <c r="AM30" i="27" s="1"/>
  <c r="BO30" i="27"/>
  <c r="BQ30" i="27" s="1"/>
  <c r="BI31" i="27"/>
  <c r="BK31" i="27" s="1"/>
  <c r="BO31" i="27"/>
  <c r="BQ31" i="27" s="1"/>
  <c r="AK31" i="27"/>
  <c r="AM31" i="27" s="1"/>
  <c r="BI32" i="27"/>
  <c r="BK32" i="27" s="1"/>
  <c r="AK32" i="27"/>
  <c r="AM32" i="27" s="1"/>
  <c r="S33" i="27"/>
  <c r="U33" i="27" s="1"/>
  <c r="AE33" i="27"/>
  <c r="AG33" i="27" s="1"/>
  <c r="BO33" i="27"/>
  <c r="BQ33" i="27" s="1"/>
  <c r="BO34" i="27"/>
  <c r="BQ34" i="27" s="1"/>
  <c r="BC34" i="27"/>
  <c r="BE34" i="27" s="1"/>
  <c r="Y35" i="27"/>
  <c r="AA35" i="27" s="1"/>
  <c r="S35" i="27"/>
  <c r="U35" i="27" s="1"/>
  <c r="BC35" i="27"/>
  <c r="BE35" i="27" s="1"/>
  <c r="S36" i="27"/>
  <c r="U36" i="27" s="1"/>
  <c r="BU36" i="27"/>
  <c r="BW36" i="27" s="1"/>
  <c r="Y37" i="27"/>
  <c r="AA37" i="27" s="1"/>
  <c r="AK37" i="27"/>
  <c r="AM37" i="27" s="1"/>
  <c r="BO37" i="27"/>
  <c r="BQ37" i="27" s="1"/>
  <c r="S38" i="27"/>
  <c r="U38" i="27" s="1"/>
  <c r="AW38" i="27"/>
  <c r="AY38" i="27" s="1"/>
  <c r="AE39" i="27"/>
  <c r="AG39" i="27" s="1"/>
  <c r="Y39" i="27"/>
  <c r="AA39" i="27" s="1"/>
  <c r="AQ39" i="27"/>
  <c r="AS39" i="27" s="1"/>
  <c r="S40" i="27"/>
  <c r="U40" i="27" s="1"/>
  <c r="BU40" i="27"/>
  <c r="BW40" i="27" s="1"/>
  <c r="AE41" i="27"/>
  <c r="AG41" i="27" s="1"/>
  <c r="S41" i="27"/>
  <c r="U41" i="27" s="1"/>
  <c r="AW41" i="27"/>
  <c r="AY41" i="27" s="1"/>
  <c r="AQ42" i="27"/>
  <c r="AS42" i="27" s="1"/>
  <c r="BU42" i="27"/>
  <c r="BW42" i="27" s="1"/>
  <c r="Y43" i="27"/>
  <c r="AA43" i="27" s="1"/>
  <c r="AW43" i="27"/>
  <c r="AY43" i="27" s="1"/>
  <c r="BU43" i="27"/>
  <c r="BW43" i="27" s="1"/>
  <c r="BI43" i="27"/>
  <c r="BK43" i="27" s="1"/>
  <c r="AQ44" i="27"/>
  <c r="AS44" i="27" s="1"/>
  <c r="BC44" i="27"/>
  <c r="BE44" i="27" s="1"/>
  <c r="S44" i="27"/>
  <c r="U44" i="27" s="1"/>
  <c r="AW45" i="27"/>
  <c r="AY45" i="27" s="1"/>
  <c r="BO45" i="27"/>
  <c r="BQ45" i="27" s="1"/>
  <c r="AK46" i="27"/>
  <c r="AM46" i="27" s="1"/>
  <c r="BO46" i="27"/>
  <c r="BQ46" i="27" s="1"/>
  <c r="BI46" i="27"/>
  <c r="BK46" i="27" s="1"/>
  <c r="BO47" i="27"/>
  <c r="BQ47" i="27" s="1"/>
  <c r="AE47" i="27"/>
  <c r="AG47" i="27" s="1"/>
  <c r="BI48" i="27"/>
  <c r="BK48" i="27" s="1"/>
  <c r="AE48" i="27"/>
  <c r="AG48" i="27" s="1"/>
  <c r="Y48" i="27"/>
  <c r="AA48" i="27" s="1"/>
  <c r="AQ49" i="27"/>
  <c r="AS49" i="27" s="1"/>
  <c r="BO49" i="27"/>
  <c r="BQ49" i="27" s="1"/>
  <c r="BI50" i="27"/>
  <c r="BK50" i="27" s="1"/>
  <c r="AW50" i="27"/>
  <c r="AY50" i="27" s="1"/>
  <c r="S50" i="27"/>
  <c r="U50" i="27" s="1"/>
  <c r="BO51" i="27"/>
  <c r="BQ51" i="27" s="1"/>
  <c r="BU51" i="27"/>
  <c r="BW51" i="27" s="1"/>
  <c r="BO52" i="27"/>
  <c r="BQ52" i="27" s="1"/>
  <c r="AW52" i="27"/>
  <c r="AY52" i="27" s="1"/>
  <c r="BC52" i="27"/>
  <c r="BE52" i="27" s="1"/>
  <c r="BI53" i="27"/>
  <c r="BK53" i="27" s="1"/>
  <c r="BO53" i="27"/>
  <c r="BQ53" i="27" s="1"/>
  <c r="AQ54" i="27"/>
  <c r="AS54" i="27" s="1"/>
  <c r="BU54" i="27"/>
  <c r="BW54" i="27" s="1"/>
  <c r="Y54" i="27"/>
  <c r="AA54" i="27" s="1"/>
  <c r="BO55" i="27"/>
  <c r="BQ55" i="27" s="1"/>
  <c r="AE55" i="27"/>
  <c r="AG55" i="27" s="1"/>
  <c r="AW56" i="27"/>
  <c r="AY56" i="27" s="1"/>
  <c r="BI56" i="27"/>
  <c r="BK56" i="27" s="1"/>
  <c r="Y56" i="27"/>
  <c r="AA56" i="27" s="1"/>
  <c r="BI57" i="27"/>
  <c r="BK57" i="27" s="1"/>
  <c r="BC57" i="27"/>
  <c r="BE57" i="27" s="1"/>
  <c r="S58" i="27"/>
  <c r="U58" i="27" s="1"/>
  <c r="AW58" i="27"/>
  <c r="AY58" i="27" s="1"/>
  <c r="AK58" i="27"/>
  <c r="AM58" i="27" s="1"/>
  <c r="Y59" i="27"/>
  <c r="AA59" i="27" s="1"/>
  <c r="M74" i="27"/>
  <c r="L33" i="27"/>
  <c r="L52" i="27"/>
  <c r="L91" i="27"/>
  <c r="L27" i="27"/>
  <c r="L61" i="27"/>
  <c r="M41" i="27"/>
  <c r="M14" i="27"/>
  <c r="M7" i="27"/>
  <c r="L7" i="27"/>
  <c r="S21" i="27"/>
  <c r="U21" i="27" s="1"/>
  <c r="BI21" i="27"/>
  <c r="BK21" i="27" s="1"/>
  <c r="BO21" i="27"/>
  <c r="BQ21" i="27" s="1"/>
  <c r="AW22" i="27"/>
  <c r="AY22" i="27" s="1"/>
  <c r="BU22" i="27"/>
  <c r="BW22" i="27" s="1"/>
  <c r="BC23" i="27"/>
  <c r="BE23" i="27" s="1"/>
  <c r="AQ23" i="27"/>
  <c r="AS23" i="27" s="1"/>
  <c r="BU23" i="27"/>
  <c r="BW23" i="27" s="1"/>
  <c r="S24" i="27"/>
  <c r="U24" i="27" s="1"/>
  <c r="BU24" i="27"/>
  <c r="BW24" i="27" s="1"/>
  <c r="Y25" i="27"/>
  <c r="AA25" i="27" s="1"/>
  <c r="AE25" i="27"/>
  <c r="AG25" i="27" s="1"/>
  <c r="AK25" i="27"/>
  <c r="AM25" i="27" s="1"/>
  <c r="AQ26" i="27"/>
  <c r="AS26" i="27" s="1"/>
  <c r="BU26" i="27"/>
  <c r="BW26" i="27" s="1"/>
  <c r="Y27" i="27"/>
  <c r="AA27" i="27" s="1"/>
  <c r="S27" i="27"/>
  <c r="U27" i="27" s="1"/>
  <c r="BC27" i="27"/>
  <c r="BE27" i="27" s="1"/>
  <c r="S28" i="27"/>
  <c r="U28" i="27" s="1"/>
  <c r="BU28" i="27"/>
  <c r="BW28" i="27" s="1"/>
  <c r="BC29" i="27"/>
  <c r="BE29" i="27" s="1"/>
  <c r="BI29" i="27"/>
  <c r="BK29" i="27" s="1"/>
  <c r="AW29" i="27"/>
  <c r="AY29" i="27" s="1"/>
  <c r="AQ30" i="27"/>
  <c r="AS30" i="27" s="1"/>
  <c r="S30" i="27"/>
  <c r="U30" i="27" s="1"/>
  <c r="BC31" i="27"/>
  <c r="BE31" i="27" s="1"/>
  <c r="S31" i="27"/>
  <c r="U31" i="27" s="1"/>
  <c r="AW31" i="27"/>
  <c r="AY31" i="27" s="1"/>
  <c r="S32" i="27"/>
  <c r="U32" i="27" s="1"/>
  <c r="BC32" i="27"/>
  <c r="BE32" i="27" s="1"/>
  <c r="Y33" i="27"/>
  <c r="AA33" i="27" s="1"/>
  <c r="BU33" i="27"/>
  <c r="BW33" i="27" s="1"/>
  <c r="AK34" i="27"/>
  <c r="AM34" i="27" s="1"/>
  <c r="AE34" i="27"/>
  <c r="AG34" i="27" s="1"/>
  <c r="BI34" i="27"/>
  <c r="BK34" i="27" s="1"/>
  <c r="BO35" i="27"/>
  <c r="BQ35" i="27" s="1"/>
  <c r="AE35" i="27"/>
  <c r="AG35" i="27" s="1"/>
  <c r="BO36" i="27"/>
  <c r="BQ36" i="27" s="1"/>
  <c r="AW36" i="27"/>
  <c r="AY36" i="27" s="1"/>
  <c r="AK36" i="27"/>
  <c r="AM36" i="27" s="1"/>
  <c r="AW37" i="27"/>
  <c r="AY37" i="27" s="1"/>
  <c r="AE37" i="27"/>
  <c r="AG37" i="27" s="1"/>
  <c r="BO38" i="27"/>
  <c r="BQ38" i="27" s="1"/>
  <c r="BC38" i="27"/>
  <c r="BE38" i="27" s="1"/>
  <c r="AK38" i="27"/>
  <c r="AM38" i="27" s="1"/>
  <c r="BU39" i="27"/>
  <c r="BW39" i="27" s="1"/>
  <c r="BO39" i="27"/>
  <c r="BQ39" i="27" s="1"/>
  <c r="BO40" i="27"/>
  <c r="BQ40" i="27" s="1"/>
  <c r="AW40" i="27"/>
  <c r="AY40" i="27" s="1"/>
  <c r="AK40" i="27"/>
  <c r="AM40" i="27" s="1"/>
  <c r="BU41" i="27"/>
  <c r="BW41" i="27" s="1"/>
  <c r="Y41" i="27"/>
  <c r="AA41" i="27" s="1"/>
  <c r="BI42" i="27"/>
  <c r="BK42" i="27" s="1"/>
  <c r="AW42" i="27"/>
  <c r="AY42" i="27" s="1"/>
  <c r="S42" i="27"/>
  <c r="U42" i="27" s="1"/>
  <c r="BC43" i="27"/>
  <c r="BE43" i="27" s="1"/>
  <c r="AE44" i="27"/>
  <c r="AG44" i="27" s="1"/>
  <c r="BO44" i="27"/>
  <c r="BQ44" i="27" s="1"/>
  <c r="AW44" i="27"/>
  <c r="AY44" i="27" s="1"/>
  <c r="AK45" i="27"/>
  <c r="AM45" i="27" s="1"/>
  <c r="BC45" i="27"/>
  <c r="BE45" i="27" s="1"/>
  <c r="AQ46" i="27"/>
  <c r="AS46" i="27" s="1"/>
  <c r="AE46" i="27"/>
  <c r="AG46" i="27" s="1"/>
  <c r="Y46" i="27"/>
  <c r="AA46" i="27" s="1"/>
  <c r="AK47" i="27"/>
  <c r="AM47" i="27" s="1"/>
  <c r="BU47" i="27"/>
  <c r="BW47" i="27" s="1"/>
  <c r="S48" i="27"/>
  <c r="U48" i="27" s="1"/>
  <c r="BU48" i="27"/>
  <c r="BW48" i="27" s="1"/>
  <c r="BO48" i="27"/>
  <c r="BQ48" i="27" s="1"/>
  <c r="BI49" i="27"/>
  <c r="BK49" i="27" s="1"/>
  <c r="BC49" i="27"/>
  <c r="BE49" i="27" s="1"/>
  <c r="Y50" i="27"/>
  <c r="AA50" i="27" s="1"/>
  <c r="BO50" i="27"/>
  <c r="BQ50" i="27" s="1"/>
  <c r="BC50" i="27"/>
  <c r="BE50" i="27" s="1"/>
  <c r="AK51" i="27"/>
  <c r="AM51" i="27" s="1"/>
  <c r="BI51" i="27"/>
  <c r="BK51" i="27" s="1"/>
  <c r="Y52" i="27"/>
  <c r="AA52" i="27" s="1"/>
  <c r="BU92" i="27"/>
  <c r="BW92" i="27" s="1"/>
  <c r="AW92" i="27"/>
  <c r="AY92" i="27" s="1"/>
  <c r="Y91" i="27"/>
  <c r="AA91" i="27" s="1"/>
  <c r="BC91" i="27"/>
  <c r="BE91" i="27" s="1"/>
  <c r="BO91" i="27"/>
  <c r="BQ91" i="27" s="1"/>
  <c r="AE90" i="27"/>
  <c r="AG90" i="27" s="1"/>
  <c r="AK90" i="27"/>
  <c r="AM90" i="27" s="1"/>
  <c r="BU89" i="27"/>
  <c r="BW89" i="27" s="1"/>
  <c r="AQ89" i="27"/>
  <c r="AS89" i="27" s="1"/>
  <c r="Y89" i="27"/>
  <c r="AA89" i="27" s="1"/>
  <c r="Y88" i="27"/>
  <c r="AA88" i="27" s="1"/>
  <c r="AW88" i="27"/>
  <c r="AY88" i="27" s="1"/>
  <c r="BI87" i="27"/>
  <c r="BK87" i="27" s="1"/>
  <c r="AW87" i="27"/>
  <c r="AY87" i="27" s="1"/>
  <c r="BC87" i="27"/>
  <c r="BE87" i="27" s="1"/>
  <c r="AW86" i="27"/>
  <c r="AY86" i="27" s="1"/>
  <c r="Y86" i="27"/>
  <c r="AA86" i="27" s="1"/>
  <c r="BI85" i="27"/>
  <c r="BK85" i="27" s="1"/>
  <c r="BO85" i="27"/>
  <c r="BQ85" i="27" s="1"/>
  <c r="Y85" i="27"/>
  <c r="AA85" i="27" s="1"/>
  <c r="AK84" i="27"/>
  <c r="AM84" i="27" s="1"/>
  <c r="AE84" i="27"/>
  <c r="AG84" i="27" s="1"/>
  <c r="BI83" i="27"/>
  <c r="BK83" i="27" s="1"/>
  <c r="BO83" i="27"/>
  <c r="BQ83" i="27" s="1"/>
  <c r="AW82" i="27"/>
  <c r="AY82" i="27" s="1"/>
  <c r="BI82" i="27"/>
  <c r="BK82" i="27" s="1"/>
  <c r="BO81" i="27"/>
  <c r="BQ81" i="27" s="1"/>
  <c r="AK81" i="27"/>
  <c r="AM81" i="27" s="1"/>
  <c r="Y81" i="27"/>
  <c r="AA81" i="27" s="1"/>
  <c r="BC80" i="27"/>
  <c r="BE80" i="27" s="1"/>
  <c r="BI80" i="27"/>
  <c r="BK80" i="27" s="1"/>
  <c r="Y79" i="27"/>
  <c r="AA79" i="27" s="1"/>
  <c r="AW79" i="27"/>
  <c r="AY79" i="27" s="1"/>
  <c r="AQ79" i="27"/>
  <c r="AS79" i="27" s="1"/>
  <c r="BI78" i="27"/>
  <c r="BK78" i="27" s="1"/>
  <c r="AK78" i="27"/>
  <c r="AM78" i="27" s="1"/>
  <c r="AQ77" i="27"/>
  <c r="AS77" i="27" s="1"/>
  <c r="S77" i="27"/>
  <c r="U77" i="27" s="1"/>
  <c r="BI77" i="27"/>
  <c r="BK77" i="27" s="1"/>
  <c r="AK76" i="27"/>
  <c r="AM76" i="27" s="1"/>
  <c r="Y76" i="27"/>
  <c r="AA76" i="27" s="1"/>
  <c r="BC75" i="27"/>
  <c r="BE75" i="27" s="1"/>
  <c r="Y75" i="27"/>
  <c r="AA75" i="27" s="1"/>
  <c r="S75" i="27"/>
  <c r="U75" i="27" s="1"/>
  <c r="S74" i="27"/>
  <c r="U74" i="27" s="1"/>
  <c r="AE74" i="27"/>
  <c r="AG74" i="27" s="1"/>
  <c r="S73" i="27"/>
  <c r="U73" i="27" s="1"/>
  <c r="BC72" i="27"/>
  <c r="BE72" i="27" s="1"/>
  <c r="Y72" i="27"/>
  <c r="AA72" i="27" s="1"/>
  <c r="AE72" i="27"/>
  <c r="AG72" i="27" s="1"/>
  <c r="BU71" i="27"/>
  <c r="BW71" i="27" s="1"/>
  <c r="BI71" i="27"/>
  <c r="BK71" i="27" s="1"/>
  <c r="AK70" i="27"/>
  <c r="AM70" i="27" s="1"/>
  <c r="Y70" i="27"/>
  <c r="AA70" i="27" s="1"/>
  <c r="AE70" i="27"/>
  <c r="AG70" i="27" s="1"/>
  <c r="BI69" i="27"/>
  <c r="BK69" i="27" s="1"/>
  <c r="BC69" i="27"/>
  <c r="BE69" i="27" s="1"/>
  <c r="BI68" i="27"/>
  <c r="BK68" i="27" s="1"/>
  <c r="AK68" i="27"/>
  <c r="AM68" i="27" s="1"/>
  <c r="AW68" i="27"/>
  <c r="AY68" i="27" s="1"/>
  <c r="BO67" i="27"/>
  <c r="BQ67" i="27" s="1"/>
  <c r="AQ67" i="27"/>
  <c r="AS67" i="27" s="1"/>
  <c r="AQ66" i="27"/>
  <c r="AS66" i="27" s="1"/>
  <c r="AE66" i="27"/>
  <c r="AG66" i="27" s="1"/>
  <c r="AK66" i="27"/>
  <c r="AM66" i="27" s="1"/>
  <c r="BO65" i="27"/>
  <c r="BQ65" i="27" s="1"/>
  <c r="BC65" i="27"/>
  <c r="BE65" i="27" s="1"/>
  <c r="BC64" i="27"/>
  <c r="BE64" i="27" s="1"/>
  <c r="AQ64" i="27"/>
  <c r="AS64" i="27" s="1"/>
  <c r="Y64" i="27"/>
  <c r="AA64" i="27" s="1"/>
  <c r="AK63" i="27"/>
  <c r="AM63" i="27" s="1"/>
  <c r="BI63" i="27"/>
  <c r="BK63" i="27" s="1"/>
  <c r="BI62" i="27"/>
  <c r="BK62" i="27" s="1"/>
  <c r="AQ62" i="27"/>
  <c r="AS62" i="27" s="1"/>
  <c r="AE62" i="27"/>
  <c r="AG62" i="27" s="1"/>
  <c r="AQ61" i="27"/>
  <c r="AS61" i="27" s="1"/>
  <c r="AE61" i="27"/>
  <c r="AG61" i="27" s="1"/>
  <c r="Y60" i="27"/>
  <c r="AA60" i="27" s="1"/>
  <c r="AE60" i="27"/>
  <c r="AG60" i="27" s="1"/>
  <c r="AQ60" i="27"/>
  <c r="AS60" i="27" s="1"/>
  <c r="AQ59" i="27"/>
  <c r="AS59" i="27" s="1"/>
  <c r="AE58" i="27"/>
  <c r="AG58" i="27" s="1"/>
  <c r="AW57" i="27"/>
  <c r="AY57" i="27" s="1"/>
  <c r="BO57" i="27"/>
  <c r="BQ57" i="27" s="1"/>
  <c r="BO56" i="27"/>
  <c r="BQ56" i="27" s="1"/>
  <c r="S55" i="27"/>
  <c r="U55" i="27" s="1"/>
  <c r="BC54" i="27"/>
  <c r="BE54" i="27" s="1"/>
  <c r="AQ52" i="27"/>
  <c r="AS52" i="27" s="1"/>
  <c r="AW51" i="27"/>
  <c r="AY51" i="27" s="1"/>
  <c r="AK49" i="27"/>
  <c r="AM49" i="27" s="1"/>
  <c r="AW48" i="27"/>
  <c r="AY48" i="27" s="1"/>
  <c r="S46" i="27"/>
  <c r="U46" i="27" s="1"/>
  <c r="AQ45" i="27"/>
  <c r="AS45" i="27" s="1"/>
  <c r="BO43" i="27"/>
  <c r="BQ43" i="27" s="1"/>
  <c r="Y42" i="27"/>
  <c r="AA42" i="27" s="1"/>
  <c r="AQ40" i="27"/>
  <c r="AS40" i="27" s="1"/>
  <c r="AQ38" i="27"/>
  <c r="AS38" i="27" s="1"/>
  <c r="AQ37" i="27"/>
  <c r="AS37" i="27" s="1"/>
  <c r="BU35" i="27"/>
  <c r="BW35" i="27" s="1"/>
  <c r="AQ34" i="27"/>
  <c r="AS34" i="27" s="1"/>
  <c r="BI33" i="27"/>
  <c r="BK33" i="27" s="1"/>
  <c r="AQ32" i="27"/>
  <c r="AS32" i="27" s="1"/>
  <c r="AQ31" i="27"/>
  <c r="AS31" i="27" s="1"/>
  <c r="AK29" i="27"/>
  <c r="AM29" i="27" s="1"/>
  <c r="BO28" i="27"/>
  <c r="BQ28" i="27" s="1"/>
  <c r="AW26" i="27"/>
  <c r="AY26" i="27" s="1"/>
  <c r="AK24" i="27"/>
  <c r="AM24" i="27" s="1"/>
  <c r="BO23" i="27"/>
  <c r="BQ23" i="27" s="1"/>
  <c r="BC21" i="27"/>
  <c r="BE21" i="27" s="1"/>
  <c r="M92" i="27"/>
  <c r="L64" i="27"/>
  <c r="L25" i="27"/>
  <c r="BI92" i="27"/>
  <c r="BK92" i="27" s="1"/>
  <c r="AK92" i="27"/>
  <c r="AM92" i="27" s="1"/>
  <c r="AW91" i="27"/>
  <c r="AY91" i="27" s="1"/>
  <c r="BU91" i="27"/>
  <c r="BW91" i="27" s="1"/>
  <c r="AK91" i="27"/>
  <c r="AM91" i="27" s="1"/>
  <c r="BO90" i="27"/>
  <c r="BQ90" i="27" s="1"/>
  <c r="BC90" i="27"/>
  <c r="BE90" i="27" s="1"/>
  <c r="AK89" i="27"/>
  <c r="AM89" i="27" s="1"/>
  <c r="BO89" i="27"/>
  <c r="BQ89" i="27" s="1"/>
  <c r="AW89" i="27"/>
  <c r="AY89" i="27" s="1"/>
  <c r="BI88" i="27"/>
  <c r="BK88" i="27" s="1"/>
  <c r="BC88" i="27"/>
  <c r="BE88" i="27" s="1"/>
  <c r="AE87" i="27"/>
  <c r="AG87" i="27" s="1"/>
  <c r="S87" i="27"/>
  <c r="U87" i="27" s="1"/>
  <c r="BO87" i="27"/>
  <c r="BQ87" i="27" s="1"/>
  <c r="BU86" i="27"/>
  <c r="BW86" i="27" s="1"/>
  <c r="BI86" i="27"/>
  <c r="BK86" i="27" s="1"/>
  <c r="BC85" i="27"/>
  <c r="BE85" i="27" s="1"/>
  <c r="BU85" i="27"/>
  <c r="BW85" i="27" s="1"/>
  <c r="S85" i="27"/>
  <c r="U85" i="27" s="1"/>
  <c r="BU84" i="27"/>
  <c r="BW84" i="27" s="1"/>
  <c r="AQ84" i="27"/>
  <c r="AS84" i="27" s="1"/>
  <c r="Y83" i="27"/>
  <c r="AA83" i="27" s="1"/>
  <c r="AE83" i="27"/>
  <c r="AG83" i="27" s="1"/>
  <c r="AQ83" i="27"/>
  <c r="AS83" i="27" s="1"/>
  <c r="AQ82" i="27"/>
  <c r="AS82" i="27" s="1"/>
  <c r="AE82" i="27"/>
  <c r="AG82" i="27" s="1"/>
  <c r="BC82" i="27"/>
  <c r="BE82" i="27" s="1"/>
  <c r="AE81" i="27"/>
  <c r="AG81" i="27" s="1"/>
  <c r="S81" i="27"/>
  <c r="U81" i="27" s="1"/>
  <c r="AK80" i="27"/>
  <c r="AM80" i="27" s="1"/>
  <c r="BO80" i="27"/>
  <c r="BQ80" i="27" s="1"/>
  <c r="AW80" i="27"/>
  <c r="AY80" i="27" s="1"/>
  <c r="BI79" i="27"/>
  <c r="BK79" i="27" s="1"/>
  <c r="S79" i="27"/>
  <c r="U79" i="27" s="1"/>
  <c r="AW78" i="27"/>
  <c r="AY78" i="27" s="1"/>
  <c r="AQ78" i="27"/>
  <c r="AS78" i="27" s="1"/>
  <c r="BO78" i="27"/>
  <c r="BQ78" i="27" s="1"/>
  <c r="AK77" i="27"/>
  <c r="AM77" i="27" s="1"/>
  <c r="AE77" i="27"/>
  <c r="AG77" i="27" s="1"/>
  <c r="BI76" i="27"/>
  <c r="BK76" i="27" s="1"/>
  <c r="AW76" i="27"/>
  <c r="AY76" i="27" s="1"/>
  <c r="S76" i="27"/>
  <c r="U76" i="27" s="1"/>
  <c r="AE75" i="27"/>
  <c r="AG75" i="27" s="1"/>
  <c r="BU75" i="27"/>
  <c r="BW75" i="27" s="1"/>
  <c r="AW74" i="27"/>
  <c r="AY74" i="27" s="1"/>
  <c r="BC74" i="27"/>
  <c r="BE74" i="27" s="1"/>
  <c r="BO74" i="27"/>
  <c r="BQ74" i="27" s="1"/>
  <c r="BI73" i="27"/>
  <c r="BK73" i="27" s="1"/>
  <c r="AW73" i="27"/>
  <c r="AY73" i="27" s="1"/>
  <c r="AQ73" i="27"/>
  <c r="AS73" i="27" s="1"/>
  <c r="Y73" i="27"/>
  <c r="AA73" i="27" s="1"/>
  <c r="S72" i="27"/>
  <c r="U72" i="27" s="1"/>
  <c r="AQ72" i="27"/>
  <c r="AS72" i="27" s="1"/>
  <c r="BU72" i="27"/>
  <c r="BW72" i="27" s="1"/>
  <c r="BO71" i="27"/>
  <c r="BQ71" i="27" s="1"/>
  <c r="AK71" i="27"/>
  <c r="AM71" i="27" s="1"/>
  <c r="AW70" i="27"/>
  <c r="AY70" i="27" s="1"/>
  <c r="BC70" i="27"/>
  <c r="BE70" i="27" s="1"/>
  <c r="AQ70" i="27"/>
  <c r="AS70" i="27" s="1"/>
  <c r="AK69" i="27"/>
  <c r="AM69" i="27" s="1"/>
  <c r="AE69" i="27"/>
  <c r="AG69" i="27" s="1"/>
  <c r="BC68" i="27"/>
  <c r="BE68" i="27" s="1"/>
  <c r="S68" i="27"/>
  <c r="U68" i="27" s="1"/>
  <c r="AE68" i="27"/>
  <c r="AG68" i="27" s="1"/>
  <c r="AW67" i="27"/>
  <c r="AY67" i="27" s="1"/>
  <c r="Y67" i="27"/>
  <c r="AA67" i="27" s="1"/>
  <c r="BC66" i="27"/>
  <c r="BE66" i="27" s="1"/>
  <c r="BI66" i="27"/>
  <c r="BK66" i="27" s="1"/>
  <c r="AW66" i="27"/>
  <c r="AY66" i="27" s="1"/>
  <c r="AK65" i="27"/>
  <c r="AM65" i="27" s="1"/>
  <c r="Y65" i="27"/>
  <c r="AA65" i="27" s="1"/>
  <c r="BO64" i="27"/>
  <c r="BQ64" i="27" s="1"/>
  <c r="BU64" i="27"/>
  <c r="BW64" i="27" s="1"/>
  <c r="BI64" i="27"/>
  <c r="BK64" i="27" s="1"/>
  <c r="AW63" i="27"/>
  <c r="AY63" i="27" s="1"/>
  <c r="BU63" i="27"/>
  <c r="BW63" i="27" s="1"/>
  <c r="AE63" i="27"/>
  <c r="AG63" i="27" s="1"/>
  <c r="BU62" i="27"/>
  <c r="BW62" i="27" s="1"/>
  <c r="BC62" i="27"/>
  <c r="BE62" i="27" s="1"/>
  <c r="BO61" i="27"/>
  <c r="BQ61" i="27" s="1"/>
  <c r="BC61" i="27"/>
  <c r="BE61" i="27" s="1"/>
  <c r="BU61" i="27"/>
  <c r="BW61" i="27" s="1"/>
  <c r="S60" i="27"/>
  <c r="U60" i="27" s="1"/>
  <c r="BO60" i="27"/>
  <c r="BQ60" i="27" s="1"/>
  <c r="AE59" i="27"/>
  <c r="AG59" i="27" s="1"/>
  <c r="AK59" i="27"/>
  <c r="AM59" i="27" s="1"/>
  <c r="BO58" i="27"/>
  <c r="BQ58" i="27" s="1"/>
  <c r="AQ57" i="27"/>
  <c r="AS57" i="27" s="1"/>
  <c r="AK57" i="27"/>
  <c r="AM57" i="27" s="1"/>
  <c r="AK56" i="27"/>
  <c r="AM56" i="27" s="1"/>
  <c r="BC55" i="27"/>
  <c r="BE55" i="27" s="1"/>
  <c r="S54" i="27"/>
  <c r="U54" i="27" s="1"/>
  <c r="AE52" i="27"/>
  <c r="AG52" i="27" s="1"/>
  <c r="AQ51" i="27"/>
  <c r="AS51" i="27" s="1"/>
  <c r="AW49" i="27"/>
  <c r="AY49" i="27" s="1"/>
  <c r="BI47" i="27"/>
  <c r="BK47" i="27" s="1"/>
  <c r="AW46" i="27"/>
  <c r="AY46" i="27" s="1"/>
  <c r="Y44" i="27"/>
  <c r="AA44" i="27" s="1"/>
  <c r="AQ41" i="27"/>
  <c r="AS41" i="27" s="1"/>
  <c r="Y40" i="27"/>
  <c r="AA40" i="27" s="1"/>
  <c r="BI38" i="27"/>
  <c r="BK38" i="27" s="1"/>
  <c r="BC36" i="27"/>
  <c r="BE36" i="27" s="1"/>
  <c r="AK35" i="27"/>
  <c r="AM35" i="27" s="1"/>
  <c r="AW32" i="27"/>
  <c r="AY32" i="27" s="1"/>
  <c r="BC30" i="27"/>
  <c r="BE30" i="27" s="1"/>
  <c r="AQ29" i="27"/>
  <c r="AS29" i="27" s="1"/>
  <c r="AE27" i="27"/>
  <c r="AG27" i="27" s="1"/>
  <c r="BI26" i="27"/>
  <c r="BK26" i="27" s="1"/>
  <c r="AW24" i="27"/>
  <c r="AY24" i="27" s="1"/>
  <c r="AE21" i="27"/>
  <c r="AG21" i="27" s="1"/>
  <c r="L3" i="27"/>
  <c r="M33" i="27"/>
  <c r="M76" i="27"/>
  <c r="L51" i="27"/>
  <c r="L58" i="27"/>
  <c r="AQ92" i="27"/>
  <c r="AS92" i="27" s="1"/>
  <c r="BC92" i="27"/>
  <c r="BE92" i="27" s="1"/>
  <c r="AE92" i="27"/>
  <c r="AG92" i="27" s="1"/>
  <c r="AQ91" i="27"/>
  <c r="AS91" i="27" s="1"/>
  <c r="BI91" i="27"/>
  <c r="BK91" i="27" s="1"/>
  <c r="AW90" i="27"/>
  <c r="AY90" i="27" s="1"/>
  <c r="S90" i="27"/>
  <c r="U90" i="27" s="1"/>
  <c r="AQ90" i="27"/>
  <c r="AS90" i="27" s="1"/>
  <c r="AE89" i="27"/>
  <c r="AG89" i="27" s="1"/>
  <c r="BC89" i="27"/>
  <c r="BE89" i="27" s="1"/>
  <c r="BU88" i="27"/>
  <c r="BW88" i="27" s="1"/>
  <c r="AE88" i="27"/>
  <c r="AG88" i="27" s="1"/>
  <c r="AK88" i="27"/>
  <c r="AM88" i="27" s="1"/>
  <c r="AQ87" i="27"/>
  <c r="AS87" i="27" s="1"/>
  <c r="BU87" i="27"/>
  <c r="BW87" i="27" s="1"/>
  <c r="AQ86" i="27"/>
  <c r="AS86" i="27" s="1"/>
  <c r="S86" i="27"/>
  <c r="U86" i="27" s="1"/>
  <c r="AE86" i="27"/>
  <c r="AG86" i="27" s="1"/>
  <c r="AE85" i="27"/>
  <c r="AG85" i="27" s="1"/>
  <c r="AW85" i="27"/>
  <c r="AY85" i="27" s="1"/>
  <c r="BC84" i="27"/>
  <c r="BE84" i="27" s="1"/>
  <c r="AW84" i="27"/>
  <c r="AY84" i="27" s="1"/>
  <c r="Y84" i="27"/>
  <c r="AA84" i="27" s="1"/>
  <c r="BC83" i="27"/>
  <c r="BE83" i="27" s="1"/>
  <c r="AK83" i="27"/>
  <c r="AM83" i="27" s="1"/>
  <c r="Y82" i="27"/>
  <c r="AA82" i="27" s="1"/>
  <c r="AK82" i="27"/>
  <c r="AM82" i="27" s="1"/>
  <c r="BU82" i="27"/>
  <c r="BW82" i="27" s="1"/>
  <c r="AW81" i="27"/>
  <c r="AY81" i="27" s="1"/>
  <c r="BU81" i="27"/>
  <c r="BW81" i="27" s="1"/>
  <c r="Y80" i="27"/>
  <c r="AA80" i="27" s="1"/>
  <c r="AQ80" i="27"/>
  <c r="AS80" i="27" s="1"/>
  <c r="S80" i="27"/>
  <c r="U80" i="27" s="1"/>
  <c r="BC79" i="27"/>
  <c r="BE79" i="27" s="1"/>
  <c r="BO79" i="27"/>
  <c r="BQ79" i="27" s="1"/>
  <c r="BC78" i="27"/>
  <c r="BE78" i="27" s="1"/>
  <c r="S78" i="27"/>
  <c r="U78" i="27" s="1"/>
  <c r="AE78" i="27"/>
  <c r="AG78" i="27" s="1"/>
  <c r="AW77" i="27"/>
  <c r="AY77" i="27" s="1"/>
  <c r="BO77" i="27"/>
  <c r="BQ77" i="27" s="1"/>
  <c r="BU76" i="27"/>
  <c r="BW76" i="27" s="1"/>
  <c r="AQ76" i="27"/>
  <c r="AS76" i="27" s="1"/>
  <c r="AE76" i="27"/>
  <c r="AG76" i="27" s="1"/>
  <c r="AQ75" i="27"/>
  <c r="AS75" i="27" s="1"/>
  <c r="AK75" i="27"/>
  <c r="AM75" i="27" s="1"/>
  <c r="AQ74" i="27"/>
  <c r="AS74" i="27" s="1"/>
  <c r="BU74" i="27"/>
  <c r="BW74" i="27" s="1"/>
  <c r="AK74" i="27"/>
  <c r="AM74" i="27" s="1"/>
  <c r="BU73" i="27"/>
  <c r="BW73" i="27" s="1"/>
  <c r="BC73" i="27"/>
  <c r="BE73" i="27" s="1"/>
  <c r="AK73" i="27"/>
  <c r="AM73" i="27" s="1"/>
  <c r="BI72" i="27"/>
  <c r="BK72" i="27" s="1"/>
  <c r="AK72" i="27"/>
  <c r="AM72" i="27" s="1"/>
  <c r="AE71" i="27"/>
  <c r="AG71" i="27" s="1"/>
  <c r="S71" i="27"/>
  <c r="U71" i="27" s="1"/>
  <c r="AW71" i="27"/>
  <c r="AY71" i="27" s="1"/>
  <c r="S70" i="27"/>
  <c r="U70" i="27" s="1"/>
  <c r="BO70" i="27"/>
  <c r="BQ70" i="27" s="1"/>
  <c r="S69" i="27"/>
  <c r="U69" i="27" s="1"/>
  <c r="Y69" i="27"/>
  <c r="AA69" i="27" s="1"/>
  <c r="BU69" i="27"/>
  <c r="BW69" i="27" s="1"/>
  <c r="Y68" i="27"/>
  <c r="AA68" i="27" s="1"/>
  <c r="BO68" i="27"/>
  <c r="BQ68" i="27" s="1"/>
  <c r="AK67" i="27"/>
  <c r="AM67" i="27" s="1"/>
  <c r="BI67" i="27"/>
  <c r="BK67" i="27" s="1"/>
  <c r="AE67" i="27"/>
  <c r="AG67" i="27" s="1"/>
  <c r="Y66" i="27"/>
  <c r="AA66" i="27" s="1"/>
  <c r="BU66" i="27"/>
  <c r="BW66" i="27" s="1"/>
  <c r="BU65" i="27"/>
  <c r="BW65" i="27" s="1"/>
  <c r="AW65" i="27"/>
  <c r="AY65" i="27" s="1"/>
  <c r="S65" i="27"/>
  <c r="U65" i="27" s="1"/>
  <c r="AK64" i="27"/>
  <c r="AM64" i="27" s="1"/>
  <c r="AW64" i="27"/>
  <c r="AY64" i="27" s="1"/>
  <c r="S63" i="27"/>
  <c r="U63" i="27" s="1"/>
  <c r="Y63" i="27"/>
  <c r="AA63" i="27" s="1"/>
  <c r="BC63" i="27"/>
  <c r="BE63" i="27" s="1"/>
  <c r="AQ63" i="27"/>
  <c r="AS63" i="27" s="1"/>
  <c r="BO62" i="27"/>
  <c r="BQ62" i="27" s="1"/>
  <c r="Y62" i="27"/>
  <c r="AA62" i="27" s="1"/>
  <c r="AK61" i="27"/>
  <c r="AM61" i="27" s="1"/>
  <c r="Y61" i="27"/>
  <c r="AA61" i="27" s="1"/>
  <c r="BI61" i="27"/>
  <c r="BK61" i="27" s="1"/>
  <c r="BC60" i="27"/>
  <c r="BE60" i="27" s="1"/>
  <c r="AK60" i="27"/>
  <c r="AM60" i="27" s="1"/>
  <c r="BO59" i="27"/>
  <c r="BQ59" i="27" s="1"/>
  <c r="BC59" i="27"/>
  <c r="BE59" i="27" s="1"/>
  <c r="BU58" i="27"/>
  <c r="BW58" i="27" s="1"/>
  <c r="AE57" i="27"/>
  <c r="AG57" i="27" s="1"/>
  <c r="BC56" i="27"/>
  <c r="BE56" i="27" s="1"/>
  <c r="BI55" i="27"/>
  <c r="BK55" i="27" s="1"/>
  <c r="AK55" i="27"/>
  <c r="AM55" i="27" s="1"/>
  <c r="BO54" i="27"/>
  <c r="BQ54" i="27" s="1"/>
  <c r="AE53" i="27"/>
  <c r="AG53" i="27" s="1"/>
  <c r="S53" i="27"/>
  <c r="U53" i="27" s="1"/>
  <c r="BI52" i="27"/>
  <c r="BK52" i="27" s="1"/>
  <c r="AE50" i="27"/>
  <c r="AG50" i="27" s="1"/>
  <c r="S49" i="27"/>
  <c r="U49" i="27" s="1"/>
  <c r="AW47" i="27"/>
  <c r="AY47" i="27" s="1"/>
  <c r="S45" i="27"/>
  <c r="U45" i="27" s="1"/>
  <c r="BU44" i="27"/>
  <c r="BW44" i="27" s="1"/>
  <c r="S43" i="27"/>
  <c r="U43" i="27" s="1"/>
  <c r="BC42" i="27"/>
  <c r="BE42" i="27" s="1"/>
  <c r="BO41" i="27"/>
  <c r="BQ41" i="27" s="1"/>
  <c r="AK39" i="27"/>
  <c r="AM39" i="27" s="1"/>
  <c r="AE38" i="27"/>
  <c r="AG38" i="27" s="1"/>
  <c r="AQ36" i="27"/>
  <c r="AS36" i="27" s="1"/>
  <c r="Y34" i="27"/>
  <c r="AA34" i="27" s="1"/>
  <c r="BC33" i="27"/>
  <c r="BE33" i="27" s="1"/>
  <c r="AQ33" i="27"/>
  <c r="AS33" i="27" s="1"/>
  <c r="BO32" i="27"/>
  <c r="BQ32" i="27" s="1"/>
  <c r="AW30" i="27"/>
  <c r="AY30" i="27" s="1"/>
  <c r="BC28" i="27"/>
  <c r="BE28" i="27" s="1"/>
  <c r="AK27" i="27"/>
  <c r="AM27" i="27" s="1"/>
  <c r="BU25" i="27"/>
  <c r="BW25" i="27" s="1"/>
  <c r="BO24" i="27"/>
  <c r="BQ24" i="27" s="1"/>
  <c r="Y23" i="27"/>
  <c r="AA23" i="27" s="1"/>
  <c r="BO22" i="27"/>
  <c r="BQ22" i="27" s="1"/>
  <c r="Y21" i="27"/>
  <c r="AA21" i="27" s="1"/>
  <c r="L69" i="27"/>
  <c r="M90" i="27"/>
  <c r="BT93" i="25"/>
  <c r="BV93" i="25" s="1"/>
  <c r="Y90" i="26"/>
  <c r="AA90" i="26" s="1"/>
  <c r="Y75" i="26"/>
  <c r="AA75" i="26" s="1"/>
  <c r="AQ91" i="12"/>
  <c r="AQ90" i="12"/>
  <c r="AQ92" i="12"/>
  <c r="AQ87" i="12"/>
  <c r="AQ88" i="12"/>
  <c r="AQ89" i="12"/>
  <c r="AW87" i="26"/>
  <c r="AY87" i="26" s="1"/>
  <c r="BU91" i="26"/>
  <c r="BW91" i="26" s="1"/>
  <c r="AW88" i="26"/>
  <c r="AY88" i="26" s="1"/>
  <c r="BO82" i="26"/>
  <c r="BQ82" i="26" s="1"/>
  <c r="BU79" i="26"/>
  <c r="BW79" i="26" s="1"/>
  <c r="M70" i="26"/>
  <c r="M75" i="26"/>
  <c r="AQ74" i="12"/>
  <c r="AQ82" i="12"/>
  <c r="AQ73" i="12"/>
  <c r="AQ75" i="12"/>
  <c r="AQ76" i="12"/>
  <c r="AQ81" i="12"/>
  <c r="AQ83" i="12"/>
  <c r="AQ84" i="12"/>
  <c r="AQ70" i="12"/>
  <c r="AQ78" i="12"/>
  <c r="AQ86" i="12"/>
  <c r="AQ71" i="12"/>
  <c r="AQ72" i="12"/>
  <c r="AQ77" i="12"/>
  <c r="AQ79" i="12"/>
  <c r="AQ80" i="12"/>
  <c r="AQ85" i="12"/>
  <c r="AW69" i="26"/>
  <c r="AY69" i="26" s="1"/>
  <c r="BO92" i="26"/>
  <c r="BQ92" i="26" s="1"/>
  <c r="BO89" i="26"/>
  <c r="BQ89" i="26" s="1"/>
  <c r="BC86" i="26"/>
  <c r="BE86" i="26" s="1"/>
  <c r="AE80" i="26"/>
  <c r="AG80" i="26" s="1"/>
  <c r="BI77" i="26"/>
  <c r="BK77" i="26" s="1"/>
  <c r="BI66" i="26"/>
  <c r="BK66" i="26" s="1"/>
  <c r="BI90" i="26"/>
  <c r="BK90" i="26" s="1"/>
  <c r="S87" i="26"/>
  <c r="U87" i="26" s="1"/>
  <c r="AW84" i="26"/>
  <c r="AY84" i="26" s="1"/>
  <c r="AQ82" i="26"/>
  <c r="AS82" i="26" s="1"/>
  <c r="BO78" i="26"/>
  <c r="BQ78" i="26" s="1"/>
  <c r="L9" i="26"/>
  <c r="M27" i="26"/>
  <c r="AW66" i="26"/>
  <c r="AY66" i="26" s="1"/>
  <c r="L92" i="26"/>
  <c r="L52" i="26"/>
  <c r="Y69" i="26"/>
  <c r="AA69" i="26" s="1"/>
  <c r="BC64" i="26"/>
  <c r="BE64" i="26" s="1"/>
  <c r="AK92" i="26"/>
  <c r="AM92" i="26" s="1"/>
  <c r="BI89" i="26"/>
  <c r="BK89" i="26" s="1"/>
  <c r="BI85" i="26"/>
  <c r="BK85" i="26" s="1"/>
  <c r="BI81" i="26"/>
  <c r="BK81" i="26" s="1"/>
  <c r="BO77" i="26"/>
  <c r="BQ77" i="26" s="1"/>
  <c r="AE75" i="26"/>
  <c r="AG75" i="26" s="1"/>
  <c r="L18" i="26"/>
  <c r="M77" i="26"/>
  <c r="I4" i="22"/>
  <c r="E5" i="22"/>
  <c r="F5" i="22" s="1"/>
  <c r="G5" i="22" s="1"/>
  <c r="AW92" i="26"/>
  <c r="AY92" i="26" s="1"/>
  <c r="AK89" i="26"/>
  <c r="AM89" i="26" s="1"/>
  <c r="Y88" i="26"/>
  <c r="AA88" i="26" s="1"/>
  <c r="BI86" i="26"/>
  <c r="BK86" i="26" s="1"/>
  <c r="AQ85" i="26"/>
  <c r="AS85" i="26" s="1"/>
  <c r="Y84" i="26"/>
  <c r="AA84" i="26" s="1"/>
  <c r="AW83" i="26"/>
  <c r="AY83" i="26" s="1"/>
  <c r="S81" i="26"/>
  <c r="U81" i="26" s="1"/>
  <c r="Y80" i="26"/>
  <c r="AA80" i="26" s="1"/>
  <c r="BI79" i="26"/>
  <c r="BK79" i="26" s="1"/>
  <c r="BC77" i="26"/>
  <c r="BE77" i="26" s="1"/>
  <c r="M17" i="26"/>
  <c r="M19" i="26"/>
  <c r="M63" i="26"/>
  <c r="M42" i="26"/>
  <c r="M68" i="26"/>
  <c r="BU75" i="26"/>
  <c r="BW75" i="26" s="1"/>
  <c r="AK77" i="26"/>
  <c r="AM77" i="26" s="1"/>
  <c r="AE76" i="26"/>
  <c r="AG76" i="26" s="1"/>
  <c r="BI76" i="26"/>
  <c r="BK76" i="26" s="1"/>
  <c r="Y78" i="26"/>
  <c r="AA78" i="26" s="1"/>
  <c r="AE79" i="26"/>
  <c r="AG79" i="26" s="1"/>
  <c r="Y79" i="26"/>
  <c r="AA79" i="26" s="1"/>
  <c r="BI80" i="26"/>
  <c r="BK80" i="26" s="1"/>
  <c r="BU81" i="26"/>
  <c r="BW81" i="26" s="1"/>
  <c r="AK82" i="26"/>
  <c r="AM82" i="26" s="1"/>
  <c r="AQ83" i="26"/>
  <c r="AS83" i="26" s="1"/>
  <c r="BC83" i="26"/>
  <c r="BE83" i="26" s="1"/>
  <c r="AE84" i="26"/>
  <c r="AG84" i="26" s="1"/>
  <c r="BU85" i="26"/>
  <c r="BW85" i="26" s="1"/>
  <c r="AK86" i="26"/>
  <c r="AM86" i="26" s="1"/>
  <c r="BO87" i="26"/>
  <c r="BQ87" i="26" s="1"/>
  <c r="AE87" i="26"/>
  <c r="AG87" i="26" s="1"/>
  <c r="AE88" i="26"/>
  <c r="AG88" i="26" s="1"/>
  <c r="AQ89" i="26"/>
  <c r="AS89" i="26" s="1"/>
  <c r="BU89" i="26"/>
  <c r="BW89" i="26" s="1"/>
  <c r="BU90" i="26"/>
  <c r="BW90" i="26" s="1"/>
  <c r="AW90" i="26"/>
  <c r="AY90" i="26" s="1"/>
  <c r="S91" i="26"/>
  <c r="U91" i="26" s="1"/>
  <c r="AQ91" i="26"/>
  <c r="AS91" i="26" s="1"/>
  <c r="AQ92" i="26"/>
  <c r="AS92" i="26" s="1"/>
  <c r="AW61" i="26"/>
  <c r="AY61" i="26" s="1"/>
  <c r="AW64" i="26"/>
  <c r="AY64" i="26" s="1"/>
  <c r="Y65" i="26"/>
  <c r="AA65" i="26" s="1"/>
  <c r="M58" i="26"/>
  <c r="M40" i="26"/>
  <c r="M39" i="26"/>
  <c r="BI73" i="26"/>
  <c r="BK73" i="26" s="1"/>
  <c r="BC74" i="26"/>
  <c r="BE74" i="26" s="1"/>
  <c r="BI75" i="26"/>
  <c r="BK75" i="26" s="1"/>
  <c r="S77" i="26"/>
  <c r="U77" i="26" s="1"/>
  <c r="Y76" i="26"/>
  <c r="AA76" i="26" s="1"/>
  <c r="BI78" i="26"/>
  <c r="BK78" i="26" s="1"/>
  <c r="AQ78" i="26"/>
  <c r="AS78" i="26" s="1"/>
  <c r="AQ79" i="26"/>
  <c r="AS79" i="26" s="1"/>
  <c r="AK80" i="26"/>
  <c r="AM80" i="26" s="1"/>
  <c r="Y81" i="26"/>
  <c r="AA81" i="26" s="1"/>
  <c r="S82" i="26"/>
  <c r="U82" i="26" s="1"/>
  <c r="Y82" i="26"/>
  <c r="AA82" i="26" s="1"/>
  <c r="BU83" i="26"/>
  <c r="BW83" i="26" s="1"/>
  <c r="BU84" i="26"/>
  <c r="BW84" i="26" s="1"/>
  <c r="AW85" i="26"/>
  <c r="AY85" i="26" s="1"/>
  <c r="BU86" i="26"/>
  <c r="BW86" i="26" s="1"/>
  <c r="AK87" i="26"/>
  <c r="AM87" i="26" s="1"/>
  <c r="BC88" i="26"/>
  <c r="BE88" i="26" s="1"/>
  <c r="BI88" i="26"/>
  <c r="BK88" i="26" s="1"/>
  <c r="AQ90" i="26"/>
  <c r="AS90" i="26" s="1"/>
  <c r="BC91" i="26"/>
  <c r="BE91" i="26" s="1"/>
  <c r="AK91" i="26"/>
  <c r="AM91" i="26" s="1"/>
  <c r="BU92" i="26"/>
  <c r="BW92" i="26" s="1"/>
  <c r="Y92" i="26"/>
  <c r="AA92" i="26" s="1"/>
  <c r="AQ68" i="26"/>
  <c r="AS68" i="26" s="1"/>
  <c r="Y66" i="26"/>
  <c r="AA66" i="26" s="1"/>
  <c r="BU64" i="26"/>
  <c r="BW64" i="26" s="1"/>
  <c r="BI61" i="26"/>
  <c r="BK61" i="26" s="1"/>
  <c r="Y60" i="26"/>
  <c r="AA60" i="26" s="1"/>
  <c r="AW86" i="26"/>
  <c r="AY86" i="26" s="1"/>
  <c r="AE85" i="26"/>
  <c r="AG85" i="26" s="1"/>
  <c r="BO84" i="26"/>
  <c r="BQ84" i="26" s="1"/>
  <c r="BI83" i="26"/>
  <c r="BK83" i="26" s="1"/>
  <c r="AW81" i="26"/>
  <c r="AY81" i="26" s="1"/>
  <c r="BO80" i="26"/>
  <c r="BQ80" i="26" s="1"/>
  <c r="BO79" i="26"/>
  <c r="BQ79" i="26" s="1"/>
  <c r="AK76" i="26"/>
  <c r="AM76" i="26" s="1"/>
  <c r="BO76" i="26"/>
  <c r="BQ76" i="26" s="1"/>
  <c r="AQ75" i="26"/>
  <c r="AS75" i="26" s="1"/>
  <c r="M24" i="26"/>
  <c r="M50" i="26"/>
  <c r="AW72" i="26"/>
  <c r="AY72" i="26" s="1"/>
  <c r="BO75" i="26"/>
  <c r="BQ75" i="26" s="1"/>
  <c r="AW75" i="26"/>
  <c r="AY75" i="26" s="1"/>
  <c r="S76" i="26"/>
  <c r="U76" i="26" s="1"/>
  <c r="AW77" i="26"/>
  <c r="AY77" i="26" s="1"/>
  <c r="AQ76" i="26"/>
  <c r="AS76" i="26" s="1"/>
  <c r="BU77" i="26"/>
  <c r="BW77" i="26" s="1"/>
  <c r="Y77" i="26"/>
  <c r="AA77" i="26" s="1"/>
  <c r="BC78" i="26"/>
  <c r="BE78" i="26" s="1"/>
  <c r="AE78" i="26"/>
  <c r="AG78" i="26" s="1"/>
  <c r="AK78" i="26"/>
  <c r="AM78" i="26" s="1"/>
  <c r="AW79" i="26"/>
  <c r="AY79" i="26" s="1"/>
  <c r="BU80" i="26"/>
  <c r="BW80" i="26" s="1"/>
  <c r="AW80" i="26"/>
  <c r="AY80" i="26" s="1"/>
  <c r="BC81" i="26"/>
  <c r="BE81" i="26" s="1"/>
  <c r="AQ81" i="26"/>
  <c r="AS81" i="26" s="1"/>
  <c r="AK81" i="26"/>
  <c r="AM81" i="26" s="1"/>
  <c r="AE82" i="26"/>
  <c r="AG82" i="26" s="1"/>
  <c r="AW82" i="26"/>
  <c r="AY82" i="26" s="1"/>
  <c r="AK83" i="26"/>
  <c r="AM83" i="26" s="1"/>
  <c r="AE83" i="26"/>
  <c r="AG83" i="26" s="1"/>
  <c r="S84" i="26"/>
  <c r="U84" i="26" s="1"/>
  <c r="BI84" i="26"/>
  <c r="BK84" i="26" s="1"/>
  <c r="AK85" i="26"/>
  <c r="AM85" i="26" s="1"/>
  <c r="BC85" i="26"/>
  <c r="BE85" i="26" s="1"/>
  <c r="Y85" i="26"/>
  <c r="AA85" i="26" s="1"/>
  <c r="S86" i="26"/>
  <c r="U86" i="26" s="1"/>
  <c r="Y86" i="26"/>
  <c r="AA86" i="26" s="1"/>
  <c r="BO86" i="26"/>
  <c r="BQ86" i="26" s="1"/>
  <c r="AQ87" i="26"/>
  <c r="AS87" i="26" s="1"/>
  <c r="Y87" i="26"/>
  <c r="AA87" i="26" s="1"/>
  <c r="AK88" i="26"/>
  <c r="AM88" i="26" s="1"/>
  <c r="BO88" i="26"/>
  <c r="BQ88" i="26" s="1"/>
  <c r="AQ88" i="26"/>
  <c r="AS88" i="26" s="1"/>
  <c r="BC89" i="26"/>
  <c r="BE89" i="26" s="1"/>
  <c r="Y89" i="26"/>
  <c r="AA89" i="26" s="1"/>
  <c r="AW89" i="26"/>
  <c r="AY89" i="26" s="1"/>
  <c r="AK90" i="26"/>
  <c r="AM90" i="26" s="1"/>
  <c r="AE90" i="26"/>
  <c r="AG90" i="26" s="1"/>
  <c r="BO90" i="26"/>
  <c r="BQ90" i="26" s="1"/>
  <c r="BI91" i="26"/>
  <c r="BK91" i="26" s="1"/>
  <c r="AW91" i="26"/>
  <c r="AY91" i="26" s="1"/>
  <c r="BC92" i="26"/>
  <c r="BE92" i="26" s="1"/>
  <c r="BI92" i="26"/>
  <c r="BK92" i="26" s="1"/>
  <c r="AE92" i="26"/>
  <c r="AG92" i="26" s="1"/>
  <c r="BO85" i="26"/>
  <c r="BQ85" i="26" s="1"/>
  <c r="AQ86" i="26"/>
  <c r="AS86" i="26" s="1"/>
  <c r="AE86" i="26"/>
  <c r="AG86" i="26" s="1"/>
  <c r="BU87" i="26"/>
  <c r="BW87" i="26" s="1"/>
  <c r="BI87" i="26"/>
  <c r="BK87" i="26" s="1"/>
  <c r="BC87" i="26"/>
  <c r="BE87" i="26" s="1"/>
  <c r="BU88" i="26"/>
  <c r="BW88" i="26" s="1"/>
  <c r="S88" i="26"/>
  <c r="U88" i="26" s="1"/>
  <c r="AE89" i="26"/>
  <c r="AG89" i="26" s="1"/>
  <c r="S89" i="26"/>
  <c r="U89" i="26" s="1"/>
  <c r="BC90" i="26"/>
  <c r="BE90" i="26" s="1"/>
  <c r="S90" i="26"/>
  <c r="U90" i="26" s="1"/>
  <c r="BO91" i="26"/>
  <c r="BQ91" i="26" s="1"/>
  <c r="AE91" i="26"/>
  <c r="AG91" i="26" s="1"/>
  <c r="Y91" i="26"/>
  <c r="AA91" i="26" s="1"/>
  <c r="S92" i="26"/>
  <c r="U92" i="26" s="1"/>
  <c r="L44" i="26"/>
  <c r="L36" i="26"/>
  <c r="L86" i="26"/>
  <c r="L22" i="26"/>
  <c r="L7" i="26"/>
  <c r="L60" i="26"/>
  <c r="S85" i="26"/>
  <c r="U85" i="26" s="1"/>
  <c r="BC84" i="26"/>
  <c r="BE84" i="26" s="1"/>
  <c r="AK84" i="26"/>
  <c r="AM84" i="26" s="1"/>
  <c r="AQ84" i="26"/>
  <c r="AS84" i="26" s="1"/>
  <c r="S83" i="26"/>
  <c r="U83" i="26" s="1"/>
  <c r="BO83" i="26"/>
  <c r="BQ83" i="26" s="1"/>
  <c r="Y83" i="26"/>
  <c r="AA83" i="26" s="1"/>
  <c r="BU82" i="26"/>
  <c r="BW82" i="26" s="1"/>
  <c r="BC82" i="26"/>
  <c r="BE82" i="26" s="1"/>
  <c r="BI82" i="26"/>
  <c r="BK82" i="26" s="1"/>
  <c r="BO81" i="26"/>
  <c r="BQ81" i="26" s="1"/>
  <c r="AE81" i="26"/>
  <c r="AG81" i="26" s="1"/>
  <c r="BC80" i="26"/>
  <c r="BE80" i="26" s="1"/>
  <c r="AQ80" i="26"/>
  <c r="AS80" i="26" s="1"/>
  <c r="S80" i="26"/>
  <c r="U80" i="26" s="1"/>
  <c r="S79" i="26"/>
  <c r="U79" i="26" s="1"/>
  <c r="BC79" i="26"/>
  <c r="BE79" i="26" s="1"/>
  <c r="AK79" i="26"/>
  <c r="AM79" i="26" s="1"/>
  <c r="BU78" i="26"/>
  <c r="BW78" i="26" s="1"/>
  <c r="S78" i="26"/>
  <c r="U78" i="26" s="1"/>
  <c r="AW78" i="26"/>
  <c r="AY78" i="26" s="1"/>
  <c r="BU76" i="26"/>
  <c r="BW76" i="26" s="1"/>
  <c r="AE77" i="26"/>
  <c r="AG77" i="26" s="1"/>
  <c r="AW76" i="26"/>
  <c r="AY76" i="26" s="1"/>
  <c r="BC76" i="26"/>
  <c r="BE76" i="26" s="1"/>
  <c r="AQ77" i="26"/>
  <c r="AS77" i="26" s="1"/>
  <c r="AK75" i="26"/>
  <c r="AM75" i="26" s="1"/>
  <c r="BC75" i="26"/>
  <c r="BE75" i="26" s="1"/>
  <c r="S75" i="26"/>
  <c r="U75" i="26" s="1"/>
  <c r="BI74" i="26"/>
  <c r="BK74" i="26" s="1"/>
  <c r="AQ73" i="26"/>
  <c r="AS73" i="26" s="1"/>
  <c r="BU70" i="26"/>
  <c r="BW70" i="26" s="1"/>
  <c r="L67" i="26"/>
  <c r="L6" i="26"/>
  <c r="L90" i="26"/>
  <c r="M5" i="26"/>
  <c r="L15" i="26"/>
  <c r="L48" i="26"/>
  <c r="M79" i="26"/>
  <c r="L40" i="26"/>
  <c r="M46" i="26"/>
  <c r="M64" i="26"/>
  <c r="L71" i="26"/>
  <c r="M93" i="26"/>
  <c r="M29" i="26"/>
  <c r="L33" i="26"/>
  <c r="M16" i="26"/>
  <c r="M69" i="26"/>
  <c r="M31" i="26"/>
  <c r="L56" i="26"/>
  <c r="L27" i="26"/>
  <c r="M86" i="26"/>
  <c r="M54" i="26"/>
  <c r="L88" i="26"/>
  <c r="L82" i="26"/>
  <c r="L26" i="26"/>
  <c r="M73" i="26"/>
  <c r="L10" i="26"/>
  <c r="L34" i="26"/>
  <c r="M65" i="26"/>
  <c r="M7" i="26"/>
  <c r="M21" i="26"/>
  <c r="M34" i="26"/>
  <c r="M71" i="26"/>
  <c r="L12" i="26"/>
  <c r="L8" i="26"/>
  <c r="L21" i="26"/>
  <c r="L77" i="26"/>
  <c r="L17" i="26"/>
  <c r="M32" i="26"/>
  <c r="M91" i="26"/>
  <c r="M10" i="26"/>
  <c r="M18" i="26"/>
  <c r="M26" i="26"/>
  <c r="M33" i="26"/>
  <c r="L45" i="26"/>
  <c r="L49" i="26"/>
  <c r="L53" i="26"/>
  <c r="L57" i="26"/>
  <c r="M61" i="26"/>
  <c r="M90" i="26"/>
  <c r="L20" i="26"/>
  <c r="L29" i="26"/>
  <c r="L37" i="26"/>
  <c r="L65" i="26"/>
  <c r="M72" i="26"/>
  <c r="L91" i="26"/>
  <c r="M43" i="26"/>
  <c r="M47" i="26"/>
  <c r="M51" i="26"/>
  <c r="M55" i="26"/>
  <c r="M59" i="26"/>
  <c r="L74" i="26"/>
  <c r="L78" i="26"/>
  <c r="L89" i="26"/>
  <c r="L66" i="26"/>
  <c r="L72" i="26"/>
  <c r="M78" i="26"/>
  <c r="N78" i="26" s="1"/>
  <c r="P78" i="26" s="1"/>
  <c r="L83" i="26"/>
  <c r="L87" i="26"/>
  <c r="O77" i="26"/>
  <c r="O76" i="26"/>
  <c r="O64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91" i="26"/>
  <c r="O90" i="26"/>
  <c r="O79" i="26"/>
  <c r="O69" i="26"/>
  <c r="O67" i="26"/>
  <c r="O65" i="26"/>
  <c r="O61" i="26"/>
  <c r="O89" i="26"/>
  <c r="O84" i="26"/>
  <c r="O78" i="26"/>
  <c r="O75" i="26"/>
  <c r="O41" i="26"/>
  <c r="O33" i="26"/>
  <c r="O31" i="26"/>
  <c r="O28" i="26"/>
  <c r="O26" i="26"/>
  <c r="O24" i="26"/>
  <c r="O22" i="26"/>
  <c r="O18" i="26"/>
  <c r="O14" i="26"/>
  <c r="O87" i="26"/>
  <c r="O82" i="26"/>
  <c r="O80" i="26"/>
  <c r="O73" i="26"/>
  <c r="O71" i="26"/>
  <c r="O68" i="26"/>
  <c r="O62" i="26"/>
  <c r="O35" i="26"/>
  <c r="O34" i="26"/>
  <c r="O21" i="26"/>
  <c r="O17" i="26"/>
  <c r="O13" i="26"/>
  <c r="O9" i="26"/>
  <c r="O5" i="26"/>
  <c r="O81" i="26"/>
  <c r="O72" i="26"/>
  <c r="O66" i="26"/>
  <c r="O15" i="26"/>
  <c r="O8" i="26"/>
  <c r="O7" i="26"/>
  <c r="O6" i="26"/>
  <c r="O19" i="26"/>
  <c r="O88" i="26"/>
  <c r="O42" i="26"/>
  <c r="O4" i="26"/>
  <c r="O93" i="26"/>
  <c r="O74" i="26"/>
  <c r="O63" i="26"/>
  <c r="O40" i="26"/>
  <c r="O39" i="26"/>
  <c r="O38" i="26"/>
  <c r="O37" i="26"/>
  <c r="O36" i="26"/>
  <c r="O29" i="26"/>
  <c r="O25" i="26"/>
  <c r="O16" i="26"/>
  <c r="O12" i="26"/>
  <c r="O11" i="26"/>
  <c r="O10" i="26"/>
  <c r="O92" i="26"/>
  <c r="O86" i="26"/>
  <c r="O83" i="26"/>
  <c r="O70" i="26"/>
  <c r="O30" i="26"/>
  <c r="O85" i="26"/>
  <c r="O32" i="26"/>
  <c r="O27" i="26"/>
  <c r="O23" i="26"/>
  <c r="O20" i="26"/>
  <c r="O3" i="26"/>
  <c r="BT92" i="26"/>
  <c r="BV92" i="26" s="1"/>
  <c r="L31" i="26"/>
  <c r="L79" i="26"/>
  <c r="M12" i="26"/>
  <c r="M36" i="26"/>
  <c r="L4" i="26"/>
  <c r="M8" i="26"/>
  <c r="L24" i="26"/>
  <c r="M35" i="26"/>
  <c r="M80" i="26"/>
  <c r="L13" i="26"/>
  <c r="M11" i="26"/>
  <c r="L35" i="26"/>
  <c r="M3" i="26"/>
  <c r="M20" i="26"/>
  <c r="L42" i="26"/>
  <c r="L3" i="26"/>
  <c r="L11" i="26"/>
  <c r="L19" i="26"/>
  <c r="M28" i="26"/>
  <c r="L41" i="26"/>
  <c r="L46" i="26"/>
  <c r="L50" i="26"/>
  <c r="L54" i="26"/>
  <c r="L58" i="26"/>
  <c r="M67" i="26"/>
  <c r="M15" i="26"/>
  <c r="L23" i="26"/>
  <c r="M30" i="26"/>
  <c r="L38" i="26"/>
  <c r="M66" i="26"/>
  <c r="M81" i="26"/>
  <c r="M92" i="26"/>
  <c r="M44" i="26"/>
  <c r="M48" i="26"/>
  <c r="M52" i="26"/>
  <c r="M56" i="26"/>
  <c r="M60" i="26"/>
  <c r="L75" i="26"/>
  <c r="L84" i="26"/>
  <c r="L93" i="26"/>
  <c r="L68" i="26"/>
  <c r="L73" i="26"/>
  <c r="L80" i="26"/>
  <c r="M84" i="26"/>
  <c r="M88" i="26"/>
  <c r="BT93" i="26"/>
  <c r="BV93" i="26" s="1"/>
  <c r="AW70" i="26"/>
  <c r="AY70" i="26" s="1"/>
  <c r="M62" i="26"/>
  <c r="M82" i="26"/>
  <c r="M25" i="26"/>
  <c r="M37" i="26"/>
  <c r="L5" i="26"/>
  <c r="M9" i="26"/>
  <c r="L28" i="26"/>
  <c r="L61" i="26"/>
  <c r="M87" i="26"/>
  <c r="L14" i="26"/>
  <c r="M13" i="26"/>
  <c r="M38" i="26"/>
  <c r="M4" i="26"/>
  <c r="M23" i="26"/>
  <c r="L64" i="26"/>
  <c r="M6" i="26"/>
  <c r="M14" i="26"/>
  <c r="M22" i="26"/>
  <c r="L30" i="26"/>
  <c r="L43" i="26"/>
  <c r="L47" i="26"/>
  <c r="L51" i="26"/>
  <c r="L55" i="26"/>
  <c r="L59" i="26"/>
  <c r="L76" i="26"/>
  <c r="L16" i="26"/>
  <c r="L25" i="26"/>
  <c r="L32" i="26"/>
  <c r="L39" i="26"/>
  <c r="L69" i="26"/>
  <c r="M83" i="26"/>
  <c r="M41" i="26"/>
  <c r="M45" i="26"/>
  <c r="M49" i="26"/>
  <c r="M53" i="26"/>
  <c r="M57" i="26"/>
  <c r="L63" i="26"/>
  <c r="M76" i="26"/>
  <c r="L85" i="26"/>
  <c r="L62" i="26"/>
  <c r="L70" i="26"/>
  <c r="M74" i="26"/>
  <c r="L81" i="26"/>
  <c r="M85" i="26"/>
  <c r="M89" i="26"/>
  <c r="J5" i="2"/>
  <c r="C6" i="22" s="1"/>
  <c r="N56" i="26" l="1"/>
  <c r="P56" i="26" s="1"/>
  <c r="N44" i="26"/>
  <c r="P44" i="26" s="1"/>
  <c r="BT85" i="27"/>
  <c r="BV85" i="27" s="1"/>
  <c r="BT61" i="27"/>
  <c r="BV61" i="27" s="1"/>
  <c r="BX61" i="27" s="1"/>
  <c r="BT49" i="27"/>
  <c r="BV49" i="27" s="1"/>
  <c r="BX49" i="27" s="1"/>
  <c r="BT45" i="27"/>
  <c r="BV45" i="27" s="1"/>
  <c r="BX45" i="27" s="1"/>
  <c r="BT37" i="27"/>
  <c r="BV37" i="27" s="1"/>
  <c r="BX37" i="27" s="1"/>
  <c r="BT33" i="27"/>
  <c r="BV33" i="27" s="1"/>
  <c r="BX33" i="27" s="1"/>
  <c r="BT21" i="27"/>
  <c r="BV21" i="27" s="1"/>
  <c r="BX21" i="27" s="1"/>
  <c r="BT58" i="27"/>
  <c r="BV58" i="27" s="1"/>
  <c r="BX58" i="27" s="1"/>
  <c r="BT82" i="26"/>
  <c r="BV82" i="26" s="1"/>
  <c r="BX82" i="26" s="1"/>
  <c r="BT89" i="26"/>
  <c r="BV89" i="26" s="1"/>
  <c r="BX89" i="26" s="1"/>
  <c r="BT85" i="26"/>
  <c r="BV85" i="26" s="1"/>
  <c r="BX85" i="26" s="1"/>
  <c r="BT31" i="27"/>
  <c r="BV31" i="27" s="1"/>
  <c r="BX31" i="27" s="1"/>
  <c r="BT23" i="27"/>
  <c r="BV23" i="27" s="1"/>
  <c r="BX23" i="27" s="1"/>
  <c r="N72" i="27"/>
  <c r="BI20" i="27" s="1"/>
  <c r="BK20" i="27" s="1"/>
  <c r="N68" i="27"/>
  <c r="P68" i="27" s="1"/>
  <c r="N46" i="27"/>
  <c r="P46" i="27" s="1"/>
  <c r="N67" i="27"/>
  <c r="P67" i="27" s="1"/>
  <c r="N84" i="27"/>
  <c r="P84" i="27" s="1"/>
  <c r="BT92" i="27"/>
  <c r="BV92" i="27" s="1"/>
  <c r="BX92" i="27" s="1"/>
  <c r="BT84" i="27"/>
  <c r="BV84" i="27" s="1"/>
  <c r="BX84" i="27" s="1"/>
  <c r="BT76" i="27"/>
  <c r="BV76" i="27" s="1"/>
  <c r="BX76" i="27" s="1"/>
  <c r="BT72" i="27"/>
  <c r="BV72" i="27" s="1"/>
  <c r="BX72" i="27" s="1"/>
  <c r="BT60" i="27"/>
  <c r="BV60" i="27" s="1"/>
  <c r="BX60" i="27" s="1"/>
  <c r="BT48" i="27"/>
  <c r="BV48" i="27" s="1"/>
  <c r="BX48" i="27" s="1"/>
  <c r="BT44" i="27"/>
  <c r="BV44" i="27" s="1"/>
  <c r="BX44" i="27" s="1"/>
  <c r="BT40" i="27"/>
  <c r="BV40" i="27" s="1"/>
  <c r="BX40" i="27" s="1"/>
  <c r="BT32" i="27"/>
  <c r="BV32" i="27" s="1"/>
  <c r="BT24" i="27"/>
  <c r="BV24" i="27" s="1"/>
  <c r="BX24" i="27" s="1"/>
  <c r="BT78" i="27"/>
  <c r="BV78" i="27" s="1"/>
  <c r="BX78" i="27" s="1"/>
  <c r="BT70" i="27"/>
  <c r="BV70" i="27" s="1"/>
  <c r="BX70" i="27" s="1"/>
  <c r="BT66" i="27"/>
  <c r="BV66" i="27" s="1"/>
  <c r="BX66" i="27" s="1"/>
  <c r="BT62" i="27"/>
  <c r="BV62" i="27" s="1"/>
  <c r="BX62" i="27" s="1"/>
  <c r="BT54" i="27"/>
  <c r="BV54" i="27" s="1"/>
  <c r="BX54" i="27" s="1"/>
  <c r="BT46" i="27"/>
  <c r="BV46" i="27" s="1"/>
  <c r="BX46" i="27" s="1"/>
  <c r="BT38" i="27"/>
  <c r="BV38" i="27" s="1"/>
  <c r="BX38" i="27" s="1"/>
  <c r="BT34" i="27"/>
  <c r="BV34" i="27" s="1"/>
  <c r="BX34" i="27" s="1"/>
  <c r="BT30" i="27"/>
  <c r="BV30" i="27" s="1"/>
  <c r="BX30" i="27" s="1"/>
  <c r="BT22" i="27"/>
  <c r="BV22" i="27" s="1"/>
  <c r="BX22" i="27" s="1"/>
  <c r="N73" i="27"/>
  <c r="P73" i="27" s="1"/>
  <c r="N87" i="27"/>
  <c r="P87" i="27" s="1"/>
  <c r="BT67" i="27"/>
  <c r="BV67" i="27" s="1"/>
  <c r="BX67" i="27" s="1"/>
  <c r="N44" i="27"/>
  <c r="P44" i="27" s="1"/>
  <c r="BX32" i="27"/>
  <c r="N81" i="27"/>
  <c r="P81" i="27" s="1"/>
  <c r="N89" i="27"/>
  <c r="P89" i="27" s="1"/>
  <c r="N90" i="27"/>
  <c r="P90" i="27" s="1"/>
  <c r="N22" i="27"/>
  <c r="AE19" i="27" s="1"/>
  <c r="AG19" i="27" s="1"/>
  <c r="N54" i="27"/>
  <c r="P54" i="27" s="1"/>
  <c r="BT75" i="27"/>
  <c r="BV75" i="27" s="1"/>
  <c r="BX75" i="27" s="1"/>
  <c r="BT89" i="27"/>
  <c r="BV89" i="27" s="1"/>
  <c r="BX89" i="27" s="1"/>
  <c r="BT77" i="27"/>
  <c r="BV77" i="27" s="1"/>
  <c r="BX77" i="27" s="1"/>
  <c r="BT53" i="27"/>
  <c r="BV53" i="27" s="1"/>
  <c r="BX53" i="27" s="1"/>
  <c r="BT29" i="27"/>
  <c r="BV29" i="27" s="1"/>
  <c r="BX29" i="27" s="1"/>
  <c r="G75" i="25"/>
  <c r="G74" i="25" s="1"/>
  <c r="G73" i="25" s="1"/>
  <c r="G72" i="25" s="1"/>
  <c r="G71" i="25" s="1"/>
  <c r="G70" i="25" s="1"/>
  <c r="G69" i="25" s="1"/>
  <c r="G68" i="25" s="1"/>
  <c r="G67" i="25" s="1"/>
  <c r="G66" i="25" s="1"/>
  <c r="G65" i="25" s="1"/>
  <c r="G64" i="25" s="1"/>
  <c r="G63" i="25" s="1"/>
  <c r="G62" i="25" s="1"/>
  <c r="G61" i="25" s="1"/>
  <c r="G60" i="25" s="1"/>
  <c r="G59" i="25" s="1"/>
  <c r="G58" i="25" s="1"/>
  <c r="G57" i="25" s="1"/>
  <c r="G56" i="25" s="1"/>
  <c r="G55" i="25" s="1"/>
  <c r="G54" i="25" s="1"/>
  <c r="G53" i="25" s="1"/>
  <c r="G52" i="25" s="1"/>
  <c r="G51" i="25" s="1"/>
  <c r="G50" i="25" s="1"/>
  <c r="G49" i="25" s="1"/>
  <c r="G48" i="25" s="1"/>
  <c r="G47" i="25" s="1"/>
  <c r="G46" i="25" s="1"/>
  <c r="G45" i="25" s="1"/>
  <c r="G44" i="25" s="1"/>
  <c r="G43" i="25" s="1"/>
  <c r="G42" i="25" s="1"/>
  <c r="G41" i="25" s="1"/>
  <c r="G40" i="25" s="1"/>
  <c r="G39" i="25" s="1"/>
  <c r="G38" i="25" s="1"/>
  <c r="G37" i="25" s="1"/>
  <c r="G36" i="25" s="1"/>
  <c r="G35" i="25" s="1"/>
  <c r="G34" i="25" s="1"/>
  <c r="G33" i="25" s="1"/>
  <c r="G32" i="25" s="1"/>
  <c r="G31" i="25" s="1"/>
  <c r="G30" i="25" s="1"/>
  <c r="G29" i="25" s="1"/>
  <c r="G28" i="25" s="1"/>
  <c r="G27" i="25" s="1"/>
  <c r="G26" i="25" s="1"/>
  <c r="G25" i="25" s="1"/>
  <c r="G24" i="25" s="1"/>
  <c r="G23" i="25" s="1"/>
  <c r="G22" i="25" s="1"/>
  <c r="G21" i="25" s="1"/>
  <c r="G20" i="25" s="1"/>
  <c r="G19" i="25" s="1"/>
  <c r="G18" i="25" s="1"/>
  <c r="G17" i="25" s="1"/>
  <c r="G16" i="25" s="1"/>
  <c r="G15" i="25" s="1"/>
  <c r="G14" i="25" s="1"/>
  <c r="G13" i="25" s="1"/>
  <c r="G12" i="25" s="1"/>
  <c r="G11" i="25" s="1"/>
  <c r="G10" i="25" s="1"/>
  <c r="G9" i="25" s="1"/>
  <c r="G8" i="25" s="1"/>
  <c r="G7" i="25" s="1"/>
  <c r="G6" i="25" s="1"/>
  <c r="G5" i="25" s="1"/>
  <c r="G4" i="25" s="1"/>
  <c r="G3" i="25" s="1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F59" i="25"/>
  <c r="F58" i="25" s="1"/>
  <c r="F57" i="25" s="1"/>
  <c r="F56" i="25" s="1"/>
  <c r="F55" i="25" s="1"/>
  <c r="F54" i="25" s="1"/>
  <c r="F53" i="25" s="1"/>
  <c r="F52" i="25" s="1"/>
  <c r="F51" i="25" s="1"/>
  <c r="F50" i="25" s="1"/>
  <c r="F49" i="25" s="1"/>
  <c r="F48" i="25" s="1"/>
  <c r="F47" i="25" s="1"/>
  <c r="F46" i="25" s="1"/>
  <c r="F45" i="25" s="1"/>
  <c r="F44" i="25" s="1"/>
  <c r="F43" i="25" s="1"/>
  <c r="F42" i="25" s="1"/>
  <c r="F41" i="25" s="1"/>
  <c r="F40" i="25" s="1"/>
  <c r="F39" i="25" s="1"/>
  <c r="F38" i="25" s="1"/>
  <c r="F37" i="25" s="1"/>
  <c r="F36" i="25" s="1"/>
  <c r="F35" i="25" s="1"/>
  <c r="F34" i="25" s="1"/>
  <c r="F33" i="25" s="1"/>
  <c r="F32" i="25" s="1"/>
  <c r="F31" i="25" s="1"/>
  <c r="F30" i="25" s="1"/>
  <c r="F29" i="25" s="1"/>
  <c r="F28" i="25" s="1"/>
  <c r="F27" i="25" s="1"/>
  <c r="F26" i="25" s="1"/>
  <c r="F25" i="25" s="1"/>
  <c r="F24" i="25" s="1"/>
  <c r="F23" i="25" s="1"/>
  <c r="F22" i="25" s="1"/>
  <c r="F21" i="25" s="1"/>
  <c r="F20" i="25" s="1"/>
  <c r="F19" i="25" s="1"/>
  <c r="F18" i="25" s="1"/>
  <c r="F17" i="25" s="1"/>
  <c r="F16" i="25" s="1"/>
  <c r="F15" i="25" s="1"/>
  <c r="F14" i="25" s="1"/>
  <c r="F13" i="25" s="1"/>
  <c r="F12" i="25" s="1"/>
  <c r="F11" i="25" s="1"/>
  <c r="F10" i="25" s="1"/>
  <c r="F9" i="25" s="1"/>
  <c r="F8" i="25" s="1"/>
  <c r="F7" i="25" s="1"/>
  <c r="F6" i="25" s="1"/>
  <c r="F5" i="25" s="1"/>
  <c r="F4" i="25" s="1"/>
  <c r="F3" i="25" s="1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N41" i="27"/>
  <c r="P41" i="27" s="1"/>
  <c r="N70" i="27"/>
  <c r="P70" i="27" s="1"/>
  <c r="BT91" i="27"/>
  <c r="BV91" i="27" s="1"/>
  <c r="BX91" i="27" s="1"/>
  <c r="BT71" i="27"/>
  <c r="BV71" i="27" s="1"/>
  <c r="BX71" i="27" s="1"/>
  <c r="BT68" i="27"/>
  <c r="BV68" i="27" s="1"/>
  <c r="BX68" i="27" s="1"/>
  <c r="BT63" i="27"/>
  <c r="BV63" i="27" s="1"/>
  <c r="BX63" i="27" s="1"/>
  <c r="BT55" i="27"/>
  <c r="BV55" i="27" s="1"/>
  <c r="BX55" i="27" s="1"/>
  <c r="BT47" i="27"/>
  <c r="BV47" i="27" s="1"/>
  <c r="BX47" i="27" s="1"/>
  <c r="BT39" i="27"/>
  <c r="BV39" i="27" s="1"/>
  <c r="BX39" i="27" s="1"/>
  <c r="BT27" i="27"/>
  <c r="BV27" i="27" s="1"/>
  <c r="BX27" i="27" s="1"/>
  <c r="N6" i="27"/>
  <c r="P6" i="27" s="1"/>
  <c r="BC12" i="27"/>
  <c r="BE12" i="27" s="1"/>
  <c r="N74" i="27"/>
  <c r="P74" i="27" s="1"/>
  <c r="BC18" i="27"/>
  <c r="BE18" i="27" s="1"/>
  <c r="BT43" i="27"/>
  <c r="BV43" i="27" s="1"/>
  <c r="BX43" i="27" s="1"/>
  <c r="BT41" i="27"/>
  <c r="BV41" i="27" s="1"/>
  <c r="BX41" i="27" s="1"/>
  <c r="BT57" i="27"/>
  <c r="BV57" i="27" s="1"/>
  <c r="BX57" i="27" s="1"/>
  <c r="BT65" i="27"/>
  <c r="BV65" i="27" s="1"/>
  <c r="BX65" i="27" s="1"/>
  <c r="BT50" i="27"/>
  <c r="BV50" i="27" s="1"/>
  <c r="BX50" i="27" s="1"/>
  <c r="N76" i="27"/>
  <c r="P76" i="27" s="1"/>
  <c r="N3" i="27"/>
  <c r="P3" i="27" s="1"/>
  <c r="BT42" i="27"/>
  <c r="BV42" i="27" s="1"/>
  <c r="BX42" i="27" s="1"/>
  <c r="BT26" i="27"/>
  <c r="BV26" i="27" s="1"/>
  <c r="BX26" i="27" s="1"/>
  <c r="BT25" i="27"/>
  <c r="BV25" i="27" s="1"/>
  <c r="BX25" i="27" s="1"/>
  <c r="BT69" i="27"/>
  <c r="BV69" i="27" s="1"/>
  <c r="BX69" i="27" s="1"/>
  <c r="BT51" i="27"/>
  <c r="BV51" i="27" s="1"/>
  <c r="BX51" i="27" s="1"/>
  <c r="BT35" i="27"/>
  <c r="BV35" i="27" s="1"/>
  <c r="BX35" i="27" s="1"/>
  <c r="BC20" i="27"/>
  <c r="BE20" i="27" s="1"/>
  <c r="N38" i="27"/>
  <c r="P38" i="27" s="1"/>
  <c r="BC19" i="27"/>
  <c r="BE19" i="27" s="1"/>
  <c r="N11" i="27"/>
  <c r="P11" i="27" s="1"/>
  <c r="N83" i="27"/>
  <c r="P83" i="27" s="1"/>
  <c r="BC15" i="27"/>
  <c r="BE15" i="27" s="1"/>
  <c r="N66" i="27"/>
  <c r="P66" i="27" s="1"/>
  <c r="N39" i="27"/>
  <c r="P39" i="27" s="1"/>
  <c r="N9" i="27"/>
  <c r="P9" i="27" s="1"/>
  <c r="N21" i="27"/>
  <c r="P21" i="27" s="1"/>
  <c r="N65" i="27"/>
  <c r="P65" i="27" s="1"/>
  <c r="N58" i="27"/>
  <c r="P58" i="27" s="1"/>
  <c r="N27" i="27"/>
  <c r="P27" i="27" s="1"/>
  <c r="BT83" i="27"/>
  <c r="BV83" i="27" s="1"/>
  <c r="BX83" i="27" s="1"/>
  <c r="BT28" i="27"/>
  <c r="BV28" i="27" s="1"/>
  <c r="BX28" i="27" s="1"/>
  <c r="BT80" i="27"/>
  <c r="BV80" i="27" s="1"/>
  <c r="BX80" i="27" s="1"/>
  <c r="BT56" i="27"/>
  <c r="BV56" i="27" s="1"/>
  <c r="BX56" i="27" s="1"/>
  <c r="BT64" i="27"/>
  <c r="BV64" i="27" s="1"/>
  <c r="BX64" i="27" s="1"/>
  <c r="BC17" i="27"/>
  <c r="BE17" i="27" s="1"/>
  <c r="BT87" i="27"/>
  <c r="BV87" i="27" s="1"/>
  <c r="BX87" i="27" s="1"/>
  <c r="BC13" i="27"/>
  <c r="BE13" i="27" s="1"/>
  <c r="BC16" i="27"/>
  <c r="BE16" i="27" s="1"/>
  <c r="N49" i="27"/>
  <c r="P49" i="27" s="1"/>
  <c r="N57" i="27"/>
  <c r="P57" i="27" s="1"/>
  <c r="N78" i="27"/>
  <c r="P78" i="27" s="1"/>
  <c r="N23" i="27"/>
  <c r="P23" i="27" s="1"/>
  <c r="N63" i="27"/>
  <c r="P63" i="27" s="1"/>
  <c r="BT15" i="27"/>
  <c r="BV15" i="27" s="1"/>
  <c r="N34" i="27"/>
  <c r="P34" i="27" s="1"/>
  <c r="BT82" i="27"/>
  <c r="BV82" i="27" s="1"/>
  <c r="BX82" i="27" s="1"/>
  <c r="BT74" i="27"/>
  <c r="BV74" i="27" s="1"/>
  <c r="BX74" i="27" s="1"/>
  <c r="N47" i="27"/>
  <c r="P47" i="27" s="1"/>
  <c r="N29" i="27"/>
  <c r="P29" i="27" s="1"/>
  <c r="N24" i="27"/>
  <c r="P24" i="27" s="1"/>
  <c r="BT20" i="27"/>
  <c r="BV20" i="27" s="1"/>
  <c r="BT52" i="27"/>
  <c r="BV52" i="27" s="1"/>
  <c r="BX52" i="27" s="1"/>
  <c r="BT36" i="27"/>
  <c r="BV36" i="27" s="1"/>
  <c r="BX36" i="27" s="1"/>
  <c r="BT59" i="27"/>
  <c r="BV59" i="27" s="1"/>
  <c r="BX59" i="27" s="1"/>
  <c r="N4" i="27"/>
  <c r="P4" i="27" s="1"/>
  <c r="N30" i="27"/>
  <c r="P30" i="27" s="1"/>
  <c r="BT88" i="27"/>
  <c r="BV88" i="27" s="1"/>
  <c r="BX88" i="27" s="1"/>
  <c r="N8" i="27"/>
  <c r="P8" i="27" s="1"/>
  <c r="N31" i="27"/>
  <c r="P31" i="27" s="1"/>
  <c r="N5" i="27"/>
  <c r="S8" i="27" s="1"/>
  <c r="U8" i="27" s="1"/>
  <c r="N45" i="27"/>
  <c r="P45" i="27" s="1"/>
  <c r="N19" i="27"/>
  <c r="P19" i="27" s="1"/>
  <c r="N56" i="27"/>
  <c r="P56" i="27" s="1"/>
  <c r="N55" i="27"/>
  <c r="P55" i="27" s="1"/>
  <c r="BT79" i="27"/>
  <c r="BV79" i="27" s="1"/>
  <c r="BX79" i="27" s="1"/>
  <c r="BT19" i="27"/>
  <c r="BV19" i="27" s="1"/>
  <c r="N33" i="27"/>
  <c r="P33" i="27" s="1"/>
  <c r="N7" i="27"/>
  <c r="P7" i="27" s="1"/>
  <c r="N18" i="27"/>
  <c r="P18" i="27" s="1"/>
  <c r="N80" i="27"/>
  <c r="P80" i="27" s="1"/>
  <c r="N69" i="27"/>
  <c r="P69" i="27" s="1"/>
  <c r="N64" i="27"/>
  <c r="P64" i="27" s="1"/>
  <c r="N36" i="27"/>
  <c r="P36" i="27" s="1"/>
  <c r="N53" i="27"/>
  <c r="P53" i="27" s="1"/>
  <c r="N60" i="27"/>
  <c r="P60" i="27" s="1"/>
  <c r="N59" i="27"/>
  <c r="P59" i="27" s="1"/>
  <c r="N93" i="27"/>
  <c r="P93" i="27" s="1"/>
  <c r="N16" i="27"/>
  <c r="P16" i="27" s="1"/>
  <c r="N13" i="27"/>
  <c r="P13" i="27" s="1"/>
  <c r="N82" i="27"/>
  <c r="N42" i="27"/>
  <c r="N77" i="27"/>
  <c r="P77" i="27" s="1"/>
  <c r="N35" i="27"/>
  <c r="P35" i="27" s="1"/>
  <c r="N32" i="27"/>
  <c r="BT73" i="27"/>
  <c r="BV73" i="27" s="1"/>
  <c r="BX73" i="27" s="1"/>
  <c r="BT90" i="27"/>
  <c r="BV90" i="27" s="1"/>
  <c r="BX90" i="27" s="1"/>
  <c r="BT16" i="27"/>
  <c r="BV16" i="27" s="1"/>
  <c r="BX85" i="27"/>
  <c r="N14" i="27"/>
  <c r="P14" i="27" s="1"/>
  <c r="N25" i="27"/>
  <c r="P25" i="27" s="1"/>
  <c r="N79" i="27"/>
  <c r="P79" i="27" s="1"/>
  <c r="N88" i="27"/>
  <c r="P88" i="27" s="1"/>
  <c r="P62" i="27"/>
  <c r="BB20" i="27"/>
  <c r="BD20" i="27" s="1"/>
  <c r="BB36" i="27"/>
  <c r="BD36" i="27" s="1"/>
  <c r="BF36" i="27" s="1"/>
  <c r="BB52" i="27"/>
  <c r="BD52" i="27" s="1"/>
  <c r="BF52" i="27" s="1"/>
  <c r="BB33" i="27"/>
  <c r="BD33" i="27" s="1"/>
  <c r="BF33" i="27" s="1"/>
  <c r="BB49" i="27"/>
  <c r="BD49" i="27" s="1"/>
  <c r="BF49" i="27" s="1"/>
  <c r="BB38" i="27"/>
  <c r="BD38" i="27" s="1"/>
  <c r="BF38" i="27" s="1"/>
  <c r="BB30" i="27"/>
  <c r="BD30" i="27" s="1"/>
  <c r="BF30" i="27" s="1"/>
  <c r="BB50" i="27"/>
  <c r="BD50" i="27" s="1"/>
  <c r="BF50" i="27" s="1"/>
  <c r="BB27" i="27"/>
  <c r="BD27" i="27" s="1"/>
  <c r="BF27" i="27" s="1"/>
  <c r="BB43" i="27"/>
  <c r="BD43" i="27" s="1"/>
  <c r="BF43" i="27" s="1"/>
  <c r="BB57" i="27"/>
  <c r="BD57" i="27" s="1"/>
  <c r="BF57" i="27" s="1"/>
  <c r="BB58" i="27"/>
  <c r="BD58" i="27" s="1"/>
  <c r="BF58" i="27" s="1"/>
  <c r="BB59" i="27"/>
  <c r="BD59" i="27" s="1"/>
  <c r="BF59" i="27" s="1"/>
  <c r="BB63" i="27"/>
  <c r="BD63" i="27" s="1"/>
  <c r="BF63" i="27" s="1"/>
  <c r="BB24" i="27"/>
  <c r="BD24" i="27" s="1"/>
  <c r="BF24" i="27" s="1"/>
  <c r="BB40" i="27"/>
  <c r="BD40" i="27" s="1"/>
  <c r="BF40" i="27" s="1"/>
  <c r="BB21" i="27"/>
  <c r="BD21" i="27" s="1"/>
  <c r="BF21" i="27" s="1"/>
  <c r="BB37" i="27"/>
  <c r="BD37" i="27" s="1"/>
  <c r="BF37" i="27" s="1"/>
  <c r="BB53" i="27"/>
  <c r="BD53" i="27" s="1"/>
  <c r="BF53" i="27" s="1"/>
  <c r="BB18" i="27"/>
  <c r="BD18" i="27" s="1"/>
  <c r="BB34" i="27"/>
  <c r="BD34" i="27" s="1"/>
  <c r="BF34" i="27" s="1"/>
  <c r="BB16" i="27"/>
  <c r="BD16" i="27" s="1"/>
  <c r="BB31" i="27"/>
  <c r="BD31" i="27" s="1"/>
  <c r="BF31" i="27" s="1"/>
  <c r="BB47" i="27"/>
  <c r="BD47" i="27" s="1"/>
  <c r="BF47" i="27" s="1"/>
  <c r="BB56" i="27"/>
  <c r="BD56" i="27" s="1"/>
  <c r="BF56" i="27" s="1"/>
  <c r="BB65" i="27"/>
  <c r="BD65" i="27" s="1"/>
  <c r="BF65" i="27" s="1"/>
  <c r="BB66" i="27"/>
  <c r="BD66" i="27" s="1"/>
  <c r="BF66" i="27" s="1"/>
  <c r="BB15" i="27"/>
  <c r="BD15" i="27" s="1"/>
  <c r="BB28" i="27"/>
  <c r="BD28" i="27" s="1"/>
  <c r="BF28" i="27" s="1"/>
  <c r="BB44" i="27"/>
  <c r="BD44" i="27" s="1"/>
  <c r="BF44" i="27" s="1"/>
  <c r="BB25" i="27"/>
  <c r="BD25" i="27" s="1"/>
  <c r="BF25" i="27" s="1"/>
  <c r="BB41" i="27"/>
  <c r="BD41" i="27" s="1"/>
  <c r="BF41" i="27" s="1"/>
  <c r="BB22" i="27"/>
  <c r="BD22" i="27" s="1"/>
  <c r="BF22" i="27" s="1"/>
  <c r="BB42" i="27"/>
  <c r="BD42" i="27" s="1"/>
  <c r="BF42" i="27" s="1"/>
  <c r="BB93" i="27"/>
  <c r="BD93" i="27" s="1"/>
  <c r="BB19" i="27"/>
  <c r="BD19" i="27" s="1"/>
  <c r="BB35" i="27"/>
  <c r="BD35" i="27" s="1"/>
  <c r="BF35" i="27" s="1"/>
  <c r="BB51" i="27"/>
  <c r="BD51" i="27" s="1"/>
  <c r="BF51" i="27" s="1"/>
  <c r="BB55" i="27"/>
  <c r="BD55" i="27" s="1"/>
  <c r="BF55" i="27" s="1"/>
  <c r="BB64" i="27"/>
  <c r="BD64" i="27" s="1"/>
  <c r="BF64" i="27" s="1"/>
  <c r="BB17" i="27"/>
  <c r="BD17" i="27" s="1"/>
  <c r="BB29" i="27"/>
  <c r="BD29" i="27" s="1"/>
  <c r="BF29" i="27" s="1"/>
  <c r="BB26" i="27"/>
  <c r="BD26" i="27" s="1"/>
  <c r="BF26" i="27" s="1"/>
  <c r="BB39" i="27"/>
  <c r="BD39" i="27" s="1"/>
  <c r="BF39" i="27" s="1"/>
  <c r="BB60" i="27"/>
  <c r="BD60" i="27" s="1"/>
  <c r="BF60" i="27" s="1"/>
  <c r="BB62" i="27"/>
  <c r="BD62" i="27" s="1"/>
  <c r="BF62" i="27" s="1"/>
  <c r="BB69" i="27"/>
  <c r="BD69" i="27" s="1"/>
  <c r="BF69" i="27" s="1"/>
  <c r="BB71" i="27"/>
  <c r="BD71" i="27" s="1"/>
  <c r="BF71" i="27" s="1"/>
  <c r="BB73" i="27"/>
  <c r="BD73" i="27" s="1"/>
  <c r="BF73" i="27" s="1"/>
  <c r="BB75" i="27"/>
  <c r="BD75" i="27" s="1"/>
  <c r="BF75" i="27" s="1"/>
  <c r="BB78" i="27"/>
  <c r="BD78" i="27" s="1"/>
  <c r="BF78" i="27" s="1"/>
  <c r="BB81" i="27"/>
  <c r="BD81" i="27" s="1"/>
  <c r="BF81" i="27" s="1"/>
  <c r="BB88" i="27"/>
  <c r="BD88" i="27" s="1"/>
  <c r="BF88" i="27" s="1"/>
  <c r="BB32" i="27"/>
  <c r="BD32" i="27" s="1"/>
  <c r="BF32" i="27" s="1"/>
  <c r="BB45" i="27"/>
  <c r="BD45" i="27" s="1"/>
  <c r="BF45" i="27" s="1"/>
  <c r="BB46" i="27"/>
  <c r="BD46" i="27" s="1"/>
  <c r="BF46" i="27" s="1"/>
  <c r="BB54" i="27"/>
  <c r="BD54" i="27" s="1"/>
  <c r="BF54" i="27" s="1"/>
  <c r="BB67" i="27"/>
  <c r="BD67" i="27" s="1"/>
  <c r="BF67" i="27" s="1"/>
  <c r="BB68" i="27"/>
  <c r="BD68" i="27" s="1"/>
  <c r="BF68" i="27" s="1"/>
  <c r="BB72" i="27"/>
  <c r="BD72" i="27" s="1"/>
  <c r="BF72" i="27" s="1"/>
  <c r="BB74" i="27"/>
  <c r="BD74" i="27" s="1"/>
  <c r="BF74" i="27" s="1"/>
  <c r="BB79" i="27"/>
  <c r="BD79" i="27" s="1"/>
  <c r="BF79" i="27" s="1"/>
  <c r="BB85" i="27"/>
  <c r="BD85" i="27" s="1"/>
  <c r="BF85" i="27" s="1"/>
  <c r="BB92" i="27"/>
  <c r="BD92" i="27" s="1"/>
  <c r="BF92" i="27" s="1"/>
  <c r="BB48" i="27"/>
  <c r="BD48" i="27" s="1"/>
  <c r="BF48" i="27" s="1"/>
  <c r="BB76" i="27"/>
  <c r="BD76" i="27" s="1"/>
  <c r="BF76" i="27" s="1"/>
  <c r="BB77" i="27"/>
  <c r="BD77" i="27" s="1"/>
  <c r="BF77" i="27" s="1"/>
  <c r="BB83" i="27"/>
  <c r="BD83" i="27" s="1"/>
  <c r="BF83" i="27" s="1"/>
  <c r="BB87" i="27"/>
  <c r="BD87" i="27" s="1"/>
  <c r="BF87" i="27" s="1"/>
  <c r="BB89" i="27"/>
  <c r="BD89" i="27" s="1"/>
  <c r="BF89" i="27" s="1"/>
  <c r="BB82" i="27"/>
  <c r="BD82" i="27" s="1"/>
  <c r="BF82" i="27" s="1"/>
  <c r="BC6" i="27"/>
  <c r="BE6" i="27" s="1"/>
  <c r="BB70" i="27"/>
  <c r="BD70" i="27" s="1"/>
  <c r="BF70" i="27" s="1"/>
  <c r="BB84" i="27"/>
  <c r="BD84" i="27" s="1"/>
  <c r="BF84" i="27" s="1"/>
  <c r="BB90" i="27"/>
  <c r="BD90" i="27" s="1"/>
  <c r="BF90" i="27" s="1"/>
  <c r="BC93" i="27"/>
  <c r="BE93" i="27" s="1"/>
  <c r="BC8" i="27"/>
  <c r="BE8" i="27" s="1"/>
  <c r="BC5" i="27"/>
  <c r="BE5" i="27" s="1"/>
  <c r="BB91" i="27"/>
  <c r="BD91" i="27" s="1"/>
  <c r="BF91" i="27" s="1"/>
  <c r="BB80" i="27"/>
  <c r="BD80" i="27" s="1"/>
  <c r="BF80" i="27" s="1"/>
  <c r="BB86" i="27"/>
  <c r="BD86" i="27" s="1"/>
  <c r="BF86" i="27" s="1"/>
  <c r="BB23" i="27"/>
  <c r="BD23" i="27" s="1"/>
  <c r="BF23" i="27" s="1"/>
  <c r="BC3" i="27"/>
  <c r="BC10" i="27"/>
  <c r="BE10" i="27" s="1"/>
  <c r="BC9" i="27"/>
  <c r="BE9" i="27" s="1"/>
  <c r="BC7" i="27"/>
  <c r="BE7" i="27" s="1"/>
  <c r="BB61" i="27"/>
  <c r="BD61" i="27" s="1"/>
  <c r="BF61" i="27" s="1"/>
  <c r="BC4" i="27"/>
  <c r="BE4" i="27" s="1"/>
  <c r="BC11" i="27"/>
  <c r="BE11" i="27" s="1"/>
  <c r="N75" i="27"/>
  <c r="P75" i="27" s="1"/>
  <c r="N50" i="27"/>
  <c r="P50" i="27" s="1"/>
  <c r="N43" i="27"/>
  <c r="P43" i="27" s="1"/>
  <c r="N40" i="27"/>
  <c r="P40" i="27" s="1"/>
  <c r="BT81" i="27"/>
  <c r="BV81" i="27" s="1"/>
  <c r="BX81" i="27" s="1"/>
  <c r="N28" i="27"/>
  <c r="P28" i="27" s="1"/>
  <c r="BT17" i="27"/>
  <c r="BV17" i="27" s="1"/>
  <c r="BT10" i="27"/>
  <c r="BV10" i="27" s="1"/>
  <c r="BT18" i="27"/>
  <c r="BV18" i="27" s="1"/>
  <c r="N92" i="27"/>
  <c r="N15" i="27"/>
  <c r="P15" i="27" s="1"/>
  <c r="N91" i="27"/>
  <c r="P91" i="27" s="1"/>
  <c r="N52" i="27"/>
  <c r="N12" i="27"/>
  <c r="N37" i="27"/>
  <c r="P37" i="27" s="1"/>
  <c r="N85" i="27"/>
  <c r="P85" i="27" s="1"/>
  <c r="N10" i="27"/>
  <c r="P10" i="27" s="1"/>
  <c r="N71" i="27"/>
  <c r="P71" i="27" s="1"/>
  <c r="N26" i="27"/>
  <c r="P26" i="27" s="1"/>
  <c r="N61" i="27"/>
  <c r="P61" i="27" s="1"/>
  <c r="N51" i="27"/>
  <c r="P51" i="27" s="1"/>
  <c r="N48" i="27"/>
  <c r="P48" i="27" s="1"/>
  <c r="BT86" i="27"/>
  <c r="BV86" i="27" s="1"/>
  <c r="BX86" i="27" s="1"/>
  <c r="BU92" i="25"/>
  <c r="BW92" i="25" s="1"/>
  <c r="Y92" i="25"/>
  <c r="AA92" i="25" s="1"/>
  <c r="AE91" i="25"/>
  <c r="AG91" i="25" s="1"/>
  <c r="BO91" i="25"/>
  <c r="BQ91" i="25" s="1"/>
  <c r="BU91" i="25"/>
  <c r="BW91" i="25" s="1"/>
  <c r="BO90" i="25"/>
  <c r="BQ90" i="25" s="1"/>
  <c r="BI90" i="25"/>
  <c r="BK90" i="25" s="1"/>
  <c r="S90" i="25"/>
  <c r="U90" i="25" s="1"/>
  <c r="BC89" i="25"/>
  <c r="BE89" i="25" s="1"/>
  <c r="BU89" i="25"/>
  <c r="BW89" i="25" s="1"/>
  <c r="BO88" i="25"/>
  <c r="BQ88" i="25" s="1"/>
  <c r="S88" i="25"/>
  <c r="U88" i="25" s="1"/>
  <c r="BU88" i="25"/>
  <c r="BW88" i="25" s="1"/>
  <c r="AQ87" i="25"/>
  <c r="AS87" i="25" s="1"/>
  <c r="S87" i="25"/>
  <c r="U87" i="25" s="1"/>
  <c r="BU86" i="25"/>
  <c r="BW86" i="25" s="1"/>
  <c r="AW86" i="25"/>
  <c r="AY86" i="25" s="1"/>
  <c r="BC85" i="25"/>
  <c r="BE85" i="25" s="1"/>
  <c r="AQ85" i="25"/>
  <c r="AS85" i="25" s="1"/>
  <c r="AW84" i="25"/>
  <c r="AY84" i="25" s="1"/>
  <c r="Y84" i="25"/>
  <c r="AA84" i="25" s="1"/>
  <c r="AQ84" i="25"/>
  <c r="AS84" i="25" s="1"/>
  <c r="AQ83" i="25"/>
  <c r="AS83" i="25" s="1"/>
  <c r="Y83" i="25"/>
  <c r="AA83" i="25" s="1"/>
  <c r="BI83" i="25"/>
  <c r="BK83" i="25" s="1"/>
  <c r="AQ82" i="25"/>
  <c r="AS82" i="25" s="1"/>
  <c r="Y82" i="25"/>
  <c r="AA82" i="25" s="1"/>
  <c r="BI81" i="25"/>
  <c r="BK81" i="25" s="1"/>
  <c r="AK81" i="25"/>
  <c r="AM81" i="25" s="1"/>
  <c r="BU80" i="25"/>
  <c r="BW80" i="25" s="1"/>
  <c r="BO80" i="25"/>
  <c r="BQ80" i="25" s="1"/>
  <c r="Y80" i="25"/>
  <c r="AA80" i="25" s="1"/>
  <c r="Y79" i="25"/>
  <c r="AA79" i="25" s="1"/>
  <c r="BO79" i="25"/>
  <c r="BQ79" i="25" s="1"/>
  <c r="AK79" i="25"/>
  <c r="AM79" i="25" s="1"/>
  <c r="BU78" i="25"/>
  <c r="BW78" i="25" s="1"/>
  <c r="AQ78" i="25"/>
  <c r="AS78" i="25" s="1"/>
  <c r="O93" i="25"/>
  <c r="O90" i="25"/>
  <c r="O89" i="25"/>
  <c r="O87" i="25"/>
  <c r="O85" i="25"/>
  <c r="O82" i="25"/>
  <c r="O77" i="25"/>
  <c r="O76" i="25"/>
  <c r="O71" i="25"/>
  <c r="O64" i="25"/>
  <c r="O62" i="25"/>
  <c r="O58" i="25"/>
  <c r="O54" i="25"/>
  <c r="O47" i="25"/>
  <c r="O46" i="25"/>
  <c r="O44" i="25"/>
  <c r="O41" i="25"/>
  <c r="O40" i="25"/>
  <c r="O88" i="25"/>
  <c r="O84" i="25"/>
  <c r="O79" i="25"/>
  <c r="O74" i="25"/>
  <c r="O69" i="25"/>
  <c r="O66" i="25"/>
  <c r="O59" i="25"/>
  <c r="O55" i="25"/>
  <c r="O39" i="25"/>
  <c r="O38" i="25"/>
  <c r="O91" i="25"/>
  <c r="O86" i="25"/>
  <c r="O83" i="25"/>
  <c r="O81" i="25"/>
  <c r="O80" i="25"/>
  <c r="O75" i="25"/>
  <c r="O68" i="25"/>
  <c r="O67" i="25"/>
  <c r="O65" i="25"/>
  <c r="O63" i="25"/>
  <c r="O60" i="25"/>
  <c r="O56" i="25"/>
  <c r="O52" i="25"/>
  <c r="O51" i="25"/>
  <c r="O50" i="25"/>
  <c r="O49" i="25"/>
  <c r="O45" i="25"/>
  <c r="O43" i="25"/>
  <c r="O37" i="25"/>
  <c r="O36" i="25"/>
  <c r="O92" i="25"/>
  <c r="O78" i="25"/>
  <c r="O72" i="25"/>
  <c r="O61" i="25"/>
  <c r="O48" i="25"/>
  <c r="O42" i="25"/>
  <c r="O27" i="25"/>
  <c r="O26" i="25"/>
  <c r="O19" i="25"/>
  <c r="O18" i="25"/>
  <c r="O73" i="25"/>
  <c r="O34" i="25"/>
  <c r="O33" i="25"/>
  <c r="O32" i="25"/>
  <c r="O25" i="25"/>
  <c r="O24" i="25"/>
  <c r="O23" i="25"/>
  <c r="O17" i="25"/>
  <c r="O16" i="25"/>
  <c r="O15" i="25"/>
  <c r="O14" i="25"/>
  <c r="O13" i="25"/>
  <c r="O12" i="25"/>
  <c r="O11" i="25"/>
  <c r="O10" i="25"/>
  <c r="O9" i="25"/>
  <c r="O8" i="25"/>
  <c r="O7" i="25"/>
  <c r="O6" i="25"/>
  <c r="O5" i="25"/>
  <c r="O4" i="25"/>
  <c r="O3" i="25"/>
  <c r="O53" i="25"/>
  <c r="O35" i="25"/>
  <c r="O31" i="25"/>
  <c r="O30" i="25"/>
  <c r="O22" i="25"/>
  <c r="CB1" i="25"/>
  <c r="O70" i="25"/>
  <c r="O57" i="25"/>
  <c r="O20" i="25"/>
  <c r="O28" i="25"/>
  <c r="O29" i="25"/>
  <c r="O21" i="25"/>
  <c r="M92" i="25"/>
  <c r="L81" i="25"/>
  <c r="M73" i="25"/>
  <c r="L67" i="25"/>
  <c r="L60" i="25"/>
  <c r="L52" i="25"/>
  <c r="M48" i="25"/>
  <c r="L37" i="25"/>
  <c r="M93" i="25"/>
  <c r="M87" i="25"/>
  <c r="M77" i="25"/>
  <c r="M71" i="25"/>
  <c r="L61" i="25"/>
  <c r="L53" i="25"/>
  <c r="M44" i="25"/>
  <c r="L93" i="25"/>
  <c r="L87" i="25"/>
  <c r="M79" i="25"/>
  <c r="L71" i="25"/>
  <c r="L62" i="25"/>
  <c r="L54" i="25"/>
  <c r="L41" i="25"/>
  <c r="L84" i="25"/>
  <c r="M52" i="25"/>
  <c r="L31" i="25"/>
  <c r="L22" i="25"/>
  <c r="M49" i="25"/>
  <c r="M86" i="25"/>
  <c r="L66" i="25"/>
  <c r="L38" i="25"/>
  <c r="M26" i="25"/>
  <c r="M18" i="25"/>
  <c r="M68" i="25"/>
  <c r="M37" i="25"/>
  <c r="L27" i="25"/>
  <c r="M23" i="25"/>
  <c r="M16" i="25"/>
  <c r="M12" i="25"/>
  <c r="M8" i="25"/>
  <c r="M4" i="25"/>
  <c r="M31" i="25"/>
  <c r="N31" i="25" s="1"/>
  <c r="P31" i="25" s="1"/>
  <c r="L9" i="25"/>
  <c r="L16" i="25"/>
  <c r="L32" i="25"/>
  <c r="L7" i="25"/>
  <c r="L10" i="25"/>
  <c r="L91" i="25"/>
  <c r="L80" i="25"/>
  <c r="M72" i="25"/>
  <c r="L65" i="25"/>
  <c r="M57" i="25"/>
  <c r="L51" i="25"/>
  <c r="L45" i="25"/>
  <c r="L36" i="25"/>
  <c r="L92" i="25"/>
  <c r="M85" i="25"/>
  <c r="M76" i="25"/>
  <c r="L70" i="25"/>
  <c r="M58" i="25"/>
  <c r="L48" i="25"/>
  <c r="L42" i="25"/>
  <c r="L90" i="25"/>
  <c r="L85" i="25"/>
  <c r="L77" i="25"/>
  <c r="M69" i="25"/>
  <c r="M59" i="25"/>
  <c r="L47" i="25"/>
  <c r="L40" i="25"/>
  <c r="M81" i="25"/>
  <c r="M45" i="25"/>
  <c r="L30" i="25"/>
  <c r="M21" i="25"/>
  <c r="M43" i="25"/>
  <c r="M83" i="25"/>
  <c r="M63" i="25"/>
  <c r="L29" i="25"/>
  <c r="L21" i="25"/>
  <c r="M91" i="25"/>
  <c r="M65" i="25"/>
  <c r="L34" i="25"/>
  <c r="L26" i="25"/>
  <c r="L19" i="25"/>
  <c r="M15" i="25"/>
  <c r="M11" i="25"/>
  <c r="M7" i="25"/>
  <c r="N7" i="25" s="1"/>
  <c r="P7" i="25" s="1"/>
  <c r="M3" i="25"/>
  <c r="L24" i="25"/>
  <c r="L5" i="25"/>
  <c r="L12" i="25"/>
  <c r="M22" i="25"/>
  <c r="N22" i="25" s="1"/>
  <c r="AE75" i="25" s="1"/>
  <c r="AG75" i="25" s="1"/>
  <c r="L3" i="25"/>
  <c r="L6" i="25"/>
  <c r="AE43" i="25"/>
  <c r="AG43" i="25" s="1"/>
  <c r="L86" i="25"/>
  <c r="M78" i="25"/>
  <c r="M70" i="25"/>
  <c r="L63" i="25"/>
  <c r="L56" i="25"/>
  <c r="L50" i="25"/>
  <c r="L43" i="25"/>
  <c r="M35" i="25"/>
  <c r="M90" i="25"/>
  <c r="M82" i="25"/>
  <c r="L73" i="25"/>
  <c r="M64" i="25"/>
  <c r="L57" i="25"/>
  <c r="M47" i="25"/>
  <c r="M41" i="25"/>
  <c r="L89" i="25"/>
  <c r="M84" i="25"/>
  <c r="L76" i="25"/>
  <c r="M66" i="25"/>
  <c r="L58" i="25"/>
  <c r="L46" i="25"/>
  <c r="M39" i="25"/>
  <c r="M75" i="25"/>
  <c r="L39" i="25"/>
  <c r="M29" i="25"/>
  <c r="M20" i="25"/>
  <c r="L35" i="25"/>
  <c r="M80" i="25"/>
  <c r="M56" i="25"/>
  <c r="N56" i="25" s="1"/>
  <c r="P56" i="25" s="1"/>
  <c r="L28" i="25"/>
  <c r="L20" i="25"/>
  <c r="L88" i="25"/>
  <c r="M60" i="25"/>
  <c r="M33" i="25"/>
  <c r="M25" i="25"/>
  <c r="L18" i="25"/>
  <c r="M14" i="25"/>
  <c r="M10" i="25"/>
  <c r="M6" i="25"/>
  <c r="L79" i="25"/>
  <c r="L17" i="25"/>
  <c r="M30" i="25"/>
  <c r="L8" i="25"/>
  <c r="L15" i="25"/>
  <c r="L25" i="25"/>
  <c r="L83" i="25"/>
  <c r="L75" i="25"/>
  <c r="L68" i="25"/>
  <c r="M61" i="25"/>
  <c r="M53" i="25"/>
  <c r="L49" i="25"/>
  <c r="M42" i="25"/>
  <c r="M34" i="25"/>
  <c r="M89" i="25"/>
  <c r="L78" i="25"/>
  <c r="L72" i="25"/>
  <c r="M62" i="25"/>
  <c r="M54" i="25"/>
  <c r="M46" i="25"/>
  <c r="M40" i="25"/>
  <c r="M88" i="25"/>
  <c r="L82" i="25"/>
  <c r="M74" i="25"/>
  <c r="L64" i="25"/>
  <c r="M55" i="25"/>
  <c r="L44" i="25"/>
  <c r="M38" i="25"/>
  <c r="L59" i="25"/>
  <c r="M36" i="25"/>
  <c r="M28" i="25"/>
  <c r="N28" i="25" s="1"/>
  <c r="P28" i="25" s="1"/>
  <c r="L55" i="25"/>
  <c r="L33" i="25"/>
  <c r="L69" i="25"/>
  <c r="M51" i="25"/>
  <c r="M27" i="25"/>
  <c r="M19" i="25"/>
  <c r="L74" i="25"/>
  <c r="M50" i="25"/>
  <c r="N50" i="25" s="1"/>
  <c r="P50" i="25" s="1"/>
  <c r="M32" i="25"/>
  <c r="N32" i="25" s="1"/>
  <c r="AK56" i="25" s="1"/>
  <c r="AM56" i="25" s="1"/>
  <c r="M24" i="25"/>
  <c r="M17" i="25"/>
  <c r="M13" i="25"/>
  <c r="M9" i="25"/>
  <c r="M5" i="25"/>
  <c r="M67" i="25"/>
  <c r="L13" i="25"/>
  <c r="L23" i="25"/>
  <c r="L4" i="25"/>
  <c r="L11" i="25"/>
  <c r="L14" i="25"/>
  <c r="AE45" i="25"/>
  <c r="AG45" i="25" s="1"/>
  <c r="AK46" i="25"/>
  <c r="AM46" i="25" s="1"/>
  <c r="AE48" i="25"/>
  <c r="AG48" i="25" s="1"/>
  <c r="AE92" i="25"/>
  <c r="AG92" i="25" s="1"/>
  <c r="AK92" i="25"/>
  <c r="AM92" i="25" s="1"/>
  <c r="S92" i="25"/>
  <c r="U92" i="25" s="1"/>
  <c r="AK91" i="25"/>
  <c r="AM91" i="25" s="1"/>
  <c r="Y91" i="25"/>
  <c r="AA91" i="25" s="1"/>
  <c r="AQ91" i="25"/>
  <c r="AS91" i="25" s="1"/>
  <c r="BU90" i="25"/>
  <c r="BW90" i="25" s="1"/>
  <c r="AW90" i="25"/>
  <c r="AY90" i="25" s="1"/>
  <c r="BO89" i="25"/>
  <c r="BQ89" i="25" s="1"/>
  <c r="BI89" i="25"/>
  <c r="BK89" i="25" s="1"/>
  <c r="S89" i="25"/>
  <c r="U89" i="25" s="1"/>
  <c r="Y88" i="25"/>
  <c r="AA88" i="25" s="1"/>
  <c r="AE88" i="25"/>
  <c r="AG88" i="25" s="1"/>
  <c r="AW88" i="25"/>
  <c r="AY88" i="25" s="1"/>
  <c r="AE87" i="25"/>
  <c r="AG87" i="25" s="1"/>
  <c r="BU87" i="25"/>
  <c r="BW87" i="25" s="1"/>
  <c r="AK87" i="25"/>
  <c r="AM87" i="25" s="1"/>
  <c r="AK86" i="25"/>
  <c r="AM86" i="25" s="1"/>
  <c r="AQ86" i="25"/>
  <c r="AS86" i="25" s="1"/>
  <c r="AW85" i="25"/>
  <c r="AY85" i="25" s="1"/>
  <c r="Y85" i="25"/>
  <c r="AA85" i="25" s="1"/>
  <c r="BO85" i="25"/>
  <c r="BQ85" i="25" s="1"/>
  <c r="S84" i="25"/>
  <c r="U84" i="25" s="1"/>
  <c r="BI84" i="25"/>
  <c r="BK84" i="25" s="1"/>
  <c r="AK84" i="25"/>
  <c r="AM84" i="25" s="1"/>
  <c r="BC83" i="25"/>
  <c r="BE83" i="25" s="1"/>
  <c r="AK83" i="25"/>
  <c r="AM83" i="25" s="1"/>
  <c r="BU83" i="25"/>
  <c r="BW83" i="25" s="1"/>
  <c r="AK82" i="25"/>
  <c r="AM82" i="25" s="1"/>
  <c r="BO82" i="25"/>
  <c r="BQ82" i="25" s="1"/>
  <c r="AE81" i="25"/>
  <c r="AG81" i="25" s="1"/>
  <c r="Y81" i="25"/>
  <c r="AA81" i="25" s="1"/>
  <c r="AW81" i="25"/>
  <c r="AY81" i="25" s="1"/>
  <c r="AQ80" i="25"/>
  <c r="AS80" i="25" s="1"/>
  <c r="BC80" i="25"/>
  <c r="BE80" i="25" s="1"/>
  <c r="BI80" i="25"/>
  <c r="BK80" i="25" s="1"/>
  <c r="AW79" i="25"/>
  <c r="AY79" i="25" s="1"/>
  <c r="BC79" i="25"/>
  <c r="BE79" i="25" s="1"/>
  <c r="BU79" i="25"/>
  <c r="BW79" i="25" s="1"/>
  <c r="AE78" i="25"/>
  <c r="AG78" i="25" s="1"/>
  <c r="S78" i="25"/>
  <c r="U78" i="25" s="1"/>
  <c r="AK77" i="25"/>
  <c r="AM77" i="25" s="1"/>
  <c r="BC75" i="25"/>
  <c r="BE75" i="25" s="1"/>
  <c r="AK71" i="25"/>
  <c r="AM71" i="25" s="1"/>
  <c r="AK69" i="25"/>
  <c r="AM69" i="25" s="1"/>
  <c r="AE68" i="25"/>
  <c r="AG68" i="25" s="1"/>
  <c r="AK68" i="25"/>
  <c r="AM68" i="25" s="1"/>
  <c r="AE66" i="25"/>
  <c r="AG66" i="25" s="1"/>
  <c r="AK65" i="25"/>
  <c r="AM65" i="25" s="1"/>
  <c r="AE60" i="25"/>
  <c r="AG60" i="25" s="1"/>
  <c r="AK55" i="25"/>
  <c r="AM55" i="25" s="1"/>
  <c r="AE53" i="25"/>
  <c r="AG53" i="25" s="1"/>
  <c r="AK51" i="25"/>
  <c r="AM51" i="25" s="1"/>
  <c r="AK49" i="25"/>
  <c r="AM49" i="25" s="1"/>
  <c r="BO92" i="25"/>
  <c r="BQ92" i="25" s="1"/>
  <c r="AW92" i="25"/>
  <c r="AY92" i="25" s="1"/>
  <c r="BC92" i="25"/>
  <c r="BE92" i="25" s="1"/>
  <c r="BI91" i="25"/>
  <c r="BK91" i="25" s="1"/>
  <c r="Y90" i="25"/>
  <c r="AA90" i="25" s="1"/>
  <c r="AQ90" i="25"/>
  <c r="AS90" i="25" s="1"/>
  <c r="AK89" i="25"/>
  <c r="AM89" i="25" s="1"/>
  <c r="AW89" i="25"/>
  <c r="AY89" i="25" s="1"/>
  <c r="AE89" i="25"/>
  <c r="AG89" i="25" s="1"/>
  <c r="BI88" i="25"/>
  <c r="BK88" i="25" s="1"/>
  <c r="AQ88" i="25"/>
  <c r="AS88" i="25" s="1"/>
  <c r="Y87" i="25"/>
  <c r="AA87" i="25" s="1"/>
  <c r="BO87" i="25"/>
  <c r="BQ87" i="25" s="1"/>
  <c r="AE86" i="25"/>
  <c r="AG86" i="25" s="1"/>
  <c r="S86" i="25"/>
  <c r="U86" i="25" s="1"/>
  <c r="BC86" i="25"/>
  <c r="BE86" i="25" s="1"/>
  <c r="S85" i="25"/>
  <c r="U85" i="25" s="1"/>
  <c r="AE85" i="25"/>
  <c r="AG85" i="25" s="1"/>
  <c r="BU84" i="25"/>
  <c r="BW84" i="25" s="1"/>
  <c r="BO84" i="25"/>
  <c r="BQ84" i="25" s="1"/>
  <c r="BO83" i="25"/>
  <c r="BQ83" i="25" s="1"/>
  <c r="S83" i="25"/>
  <c r="U83" i="25" s="1"/>
  <c r="AE82" i="25"/>
  <c r="AG82" i="25" s="1"/>
  <c r="BC82" i="25"/>
  <c r="BE82" i="25" s="1"/>
  <c r="AW82" i="25"/>
  <c r="AY82" i="25" s="1"/>
  <c r="BC81" i="25"/>
  <c r="BE81" i="25" s="1"/>
  <c r="S81" i="25"/>
  <c r="U81" i="25" s="1"/>
  <c r="BO81" i="25"/>
  <c r="BQ81" i="25" s="1"/>
  <c r="AE80" i="25"/>
  <c r="AG80" i="25" s="1"/>
  <c r="AW80" i="25"/>
  <c r="AY80" i="25" s="1"/>
  <c r="AQ79" i="25"/>
  <c r="AS79" i="25" s="1"/>
  <c r="Y78" i="25"/>
  <c r="AA78" i="25" s="1"/>
  <c r="AW78" i="25"/>
  <c r="AY78" i="25" s="1"/>
  <c r="BO78" i="25"/>
  <c r="BQ78" i="25" s="1"/>
  <c r="S77" i="25"/>
  <c r="U77" i="25" s="1"/>
  <c r="BC76" i="25"/>
  <c r="BE76" i="25" s="1"/>
  <c r="AK74" i="25"/>
  <c r="AM74" i="25" s="1"/>
  <c r="AE69" i="25"/>
  <c r="AG69" i="25" s="1"/>
  <c r="AE62" i="25"/>
  <c r="AG62" i="25" s="1"/>
  <c r="AE55" i="25"/>
  <c r="AG55" i="25" s="1"/>
  <c r="AQ92" i="25"/>
  <c r="AS92" i="25" s="1"/>
  <c r="BI92" i="25"/>
  <c r="BK92" i="25" s="1"/>
  <c r="S91" i="25"/>
  <c r="U91" i="25" s="1"/>
  <c r="BC91" i="25"/>
  <c r="BE91" i="25" s="1"/>
  <c r="AW91" i="25"/>
  <c r="AY91" i="25" s="1"/>
  <c r="AK90" i="25"/>
  <c r="AM90" i="25" s="1"/>
  <c r="AE90" i="25"/>
  <c r="AG90" i="25" s="1"/>
  <c r="BC90" i="25"/>
  <c r="BE90" i="25" s="1"/>
  <c r="Y89" i="25"/>
  <c r="AA89" i="25" s="1"/>
  <c r="AQ89" i="25"/>
  <c r="AS89" i="25" s="1"/>
  <c r="AK88" i="25"/>
  <c r="AM88" i="25" s="1"/>
  <c r="BC88" i="25"/>
  <c r="BE88" i="25" s="1"/>
  <c r="BI87" i="25"/>
  <c r="BK87" i="25" s="1"/>
  <c r="BC87" i="25"/>
  <c r="BE87" i="25" s="1"/>
  <c r="AW87" i="25"/>
  <c r="AY87" i="25" s="1"/>
  <c r="BI86" i="25"/>
  <c r="BK86" i="25" s="1"/>
  <c r="Y86" i="25"/>
  <c r="AA86" i="25" s="1"/>
  <c r="BO86" i="25"/>
  <c r="BQ86" i="25" s="1"/>
  <c r="BI85" i="25"/>
  <c r="BK85" i="25" s="1"/>
  <c r="BU85" i="25"/>
  <c r="BW85" i="25" s="1"/>
  <c r="AK85" i="25"/>
  <c r="AM85" i="25" s="1"/>
  <c r="BC84" i="25"/>
  <c r="BE84" i="25" s="1"/>
  <c r="AE84" i="25"/>
  <c r="AG84" i="25" s="1"/>
  <c r="AE83" i="25"/>
  <c r="AG83" i="25" s="1"/>
  <c r="AW83" i="25"/>
  <c r="AY83" i="25" s="1"/>
  <c r="S82" i="25"/>
  <c r="U82" i="25" s="1"/>
  <c r="BI82" i="25"/>
  <c r="BK82" i="25" s="1"/>
  <c r="BU82" i="25"/>
  <c r="BW82" i="25" s="1"/>
  <c r="AQ81" i="25"/>
  <c r="AS81" i="25" s="1"/>
  <c r="BU81" i="25"/>
  <c r="BW81" i="25" s="1"/>
  <c r="S80" i="25"/>
  <c r="U80" i="25" s="1"/>
  <c r="AK80" i="25"/>
  <c r="AM80" i="25" s="1"/>
  <c r="BI79" i="25"/>
  <c r="BK79" i="25" s="1"/>
  <c r="S79" i="25"/>
  <c r="U79" i="25" s="1"/>
  <c r="AE79" i="25"/>
  <c r="AG79" i="25" s="1"/>
  <c r="BI78" i="25"/>
  <c r="BK78" i="25" s="1"/>
  <c r="BC78" i="25"/>
  <c r="BE78" i="25" s="1"/>
  <c r="AK78" i="25"/>
  <c r="AM78" i="25" s="1"/>
  <c r="AE76" i="25"/>
  <c r="AG76" i="25" s="1"/>
  <c r="AK75" i="25"/>
  <c r="AM75" i="25" s="1"/>
  <c r="S75" i="25"/>
  <c r="U75" i="25" s="1"/>
  <c r="AE74" i="25"/>
  <c r="AG74" i="25" s="1"/>
  <c r="AK70" i="25"/>
  <c r="AM70" i="25" s="1"/>
  <c r="AE70" i="25"/>
  <c r="AG70" i="25" s="1"/>
  <c r="AK66" i="25"/>
  <c r="AM66" i="25" s="1"/>
  <c r="AK62" i="25"/>
  <c r="AM62" i="25" s="1"/>
  <c r="AK57" i="25"/>
  <c r="AM57" i="25" s="1"/>
  <c r="BT91" i="26"/>
  <c r="BV91" i="26" s="1"/>
  <c r="BX91" i="26" s="1"/>
  <c r="BT87" i="26"/>
  <c r="BV87" i="26" s="1"/>
  <c r="BX87" i="26" s="1"/>
  <c r="BT83" i="26"/>
  <c r="BV83" i="26" s="1"/>
  <c r="BX83" i="26" s="1"/>
  <c r="N54" i="26"/>
  <c r="P54" i="26" s="1"/>
  <c r="N29" i="26"/>
  <c r="P29" i="26" s="1"/>
  <c r="BT81" i="26"/>
  <c r="BV81" i="26" s="1"/>
  <c r="BX81" i="26" s="1"/>
  <c r="BX84" i="26"/>
  <c r="N75" i="26"/>
  <c r="P75" i="26" s="1"/>
  <c r="N69" i="26"/>
  <c r="P69" i="26" s="1"/>
  <c r="N9" i="26"/>
  <c r="P9" i="26" s="1"/>
  <c r="N34" i="26"/>
  <c r="P34" i="26" s="1"/>
  <c r="N84" i="26"/>
  <c r="P84" i="26" s="1"/>
  <c r="N92" i="26"/>
  <c r="BU61" i="26" s="1"/>
  <c r="BW61" i="26" s="1"/>
  <c r="N58" i="26"/>
  <c r="P58" i="26" s="1"/>
  <c r="N36" i="26"/>
  <c r="P36" i="26" s="1"/>
  <c r="N53" i="26"/>
  <c r="P53" i="26" s="1"/>
  <c r="N13" i="26"/>
  <c r="P13" i="26" s="1"/>
  <c r="N64" i="26"/>
  <c r="P64" i="26" s="1"/>
  <c r="N23" i="26"/>
  <c r="P23" i="26" s="1"/>
  <c r="N88" i="26"/>
  <c r="P88" i="26" s="1"/>
  <c r="N68" i="26"/>
  <c r="P68" i="26" s="1"/>
  <c r="N60" i="26"/>
  <c r="P60" i="26" s="1"/>
  <c r="N67" i="26"/>
  <c r="P67" i="26" s="1"/>
  <c r="N46" i="26"/>
  <c r="P46" i="26" s="1"/>
  <c r="N31" i="26"/>
  <c r="P31" i="26" s="1"/>
  <c r="N18" i="26"/>
  <c r="P18" i="26" s="1"/>
  <c r="N27" i="26"/>
  <c r="P27" i="26" s="1"/>
  <c r="BT90" i="26"/>
  <c r="BV90" i="26" s="1"/>
  <c r="BX90" i="26" s="1"/>
  <c r="N74" i="26"/>
  <c r="P74" i="26" s="1"/>
  <c r="N49" i="26"/>
  <c r="P49" i="26" s="1"/>
  <c r="N16" i="26"/>
  <c r="P16" i="26" s="1"/>
  <c r="N22" i="26"/>
  <c r="AE20" i="26" s="1"/>
  <c r="AG20" i="26" s="1"/>
  <c r="N82" i="26"/>
  <c r="BO56" i="26" s="1"/>
  <c r="BQ56" i="26" s="1"/>
  <c r="N52" i="26"/>
  <c r="AW39" i="26" s="1"/>
  <c r="AY39" i="26" s="1"/>
  <c r="N42" i="26"/>
  <c r="AQ28" i="26" s="1"/>
  <c r="AS28" i="26" s="1"/>
  <c r="N12" i="26"/>
  <c r="N33" i="26"/>
  <c r="P33" i="26" s="1"/>
  <c r="N70" i="26"/>
  <c r="P70" i="26" s="1"/>
  <c r="N63" i="26"/>
  <c r="P63" i="26" s="1"/>
  <c r="N45" i="26"/>
  <c r="P45" i="26" s="1"/>
  <c r="N39" i="26"/>
  <c r="P39" i="26" s="1"/>
  <c r="N87" i="26"/>
  <c r="P87" i="26" s="1"/>
  <c r="N62" i="26"/>
  <c r="BC29" i="26" s="1"/>
  <c r="BE29" i="26" s="1"/>
  <c r="N15" i="26"/>
  <c r="P15" i="26" s="1"/>
  <c r="N19" i="26"/>
  <c r="P19" i="26" s="1"/>
  <c r="N72" i="26"/>
  <c r="BI57" i="26" s="1"/>
  <c r="BK57" i="26" s="1"/>
  <c r="N86" i="26"/>
  <c r="P86" i="26" s="1"/>
  <c r="AE66" i="26"/>
  <c r="AG66" i="26" s="1"/>
  <c r="AE68" i="26"/>
  <c r="AG68" i="26" s="1"/>
  <c r="AE69" i="26"/>
  <c r="AG69" i="26" s="1"/>
  <c r="AE60" i="26"/>
  <c r="AG60" i="26" s="1"/>
  <c r="AE53" i="26"/>
  <c r="AG53" i="26" s="1"/>
  <c r="AE63" i="26"/>
  <c r="AG63" i="26" s="1"/>
  <c r="AE74" i="26"/>
  <c r="AG74" i="26" s="1"/>
  <c r="AE71" i="26"/>
  <c r="AG71" i="26" s="1"/>
  <c r="AE57" i="26"/>
  <c r="AG57" i="26" s="1"/>
  <c r="AE72" i="26"/>
  <c r="AG72" i="26" s="1"/>
  <c r="AE67" i="26"/>
  <c r="AG67" i="26" s="1"/>
  <c r="AE62" i="26"/>
  <c r="AG62" i="26" s="1"/>
  <c r="AE64" i="26"/>
  <c r="AG64" i="26" s="1"/>
  <c r="AE47" i="26"/>
  <c r="AG47" i="26" s="1"/>
  <c r="AE55" i="26"/>
  <c r="AG55" i="26" s="1"/>
  <c r="BO51" i="26"/>
  <c r="BQ51" i="26" s="1"/>
  <c r="AE65" i="26"/>
  <c r="AG65" i="26" s="1"/>
  <c r="BO69" i="26"/>
  <c r="BQ69" i="26" s="1"/>
  <c r="N4" i="26"/>
  <c r="P4" i="26" s="1"/>
  <c r="BC59" i="26"/>
  <c r="BE59" i="26" s="1"/>
  <c r="BC69" i="26"/>
  <c r="BE69" i="26" s="1"/>
  <c r="BC66" i="26"/>
  <c r="BE66" i="26" s="1"/>
  <c r="BC51" i="26"/>
  <c r="BE51" i="26" s="1"/>
  <c r="BC73" i="26"/>
  <c r="BE73" i="26" s="1"/>
  <c r="BC62" i="26"/>
  <c r="BE62" i="26" s="1"/>
  <c r="BC71" i="26"/>
  <c r="BE71" i="26" s="1"/>
  <c r="BC56" i="26"/>
  <c r="BE56" i="26" s="1"/>
  <c r="BC50" i="26"/>
  <c r="BE50" i="26" s="1"/>
  <c r="BC72" i="26"/>
  <c r="BE72" i="26" s="1"/>
  <c r="BC49" i="26"/>
  <c r="BE49" i="26" s="1"/>
  <c r="BC55" i="26"/>
  <c r="BE55" i="26" s="1"/>
  <c r="BC58" i="26"/>
  <c r="BE58" i="26" s="1"/>
  <c r="BC46" i="26"/>
  <c r="BE46" i="26" s="1"/>
  <c r="AE70" i="26"/>
  <c r="AG70" i="26" s="1"/>
  <c r="BU45" i="26"/>
  <c r="BW45" i="26" s="1"/>
  <c r="BO53" i="26"/>
  <c r="BQ53" i="26" s="1"/>
  <c r="AE61" i="26"/>
  <c r="AG61" i="26" s="1"/>
  <c r="BO47" i="26"/>
  <c r="BQ47" i="26" s="1"/>
  <c r="BU69" i="26"/>
  <c r="BW69" i="26" s="1"/>
  <c r="AE46" i="26"/>
  <c r="AG46" i="26" s="1"/>
  <c r="BU60" i="26"/>
  <c r="BW60" i="26" s="1"/>
  <c r="BC70" i="26"/>
  <c r="BE70" i="26" s="1"/>
  <c r="BU71" i="26"/>
  <c r="BW71" i="26" s="1"/>
  <c r="AW60" i="26"/>
  <c r="AY60" i="26" s="1"/>
  <c r="AW67" i="26"/>
  <c r="AY67" i="26" s="1"/>
  <c r="AW59" i="26"/>
  <c r="AY59" i="26" s="1"/>
  <c r="AW62" i="26"/>
  <c r="AY62" i="26" s="1"/>
  <c r="AW68" i="26"/>
  <c r="AY68" i="26" s="1"/>
  <c r="AW74" i="26"/>
  <c r="AY74" i="26" s="1"/>
  <c r="AW73" i="26"/>
  <c r="AY73" i="26" s="1"/>
  <c r="AW65" i="26"/>
  <c r="AY65" i="26" s="1"/>
  <c r="AQ62" i="26"/>
  <c r="AS62" i="26" s="1"/>
  <c r="AQ61" i="26"/>
  <c r="AS61" i="26" s="1"/>
  <c r="AQ64" i="26"/>
  <c r="AS64" i="26" s="1"/>
  <c r="AQ69" i="26"/>
  <c r="AS69" i="26" s="1"/>
  <c r="AQ65" i="26"/>
  <c r="AS65" i="26" s="1"/>
  <c r="AQ70" i="26"/>
  <c r="AS70" i="26" s="1"/>
  <c r="AQ46" i="26"/>
  <c r="AS46" i="26" s="1"/>
  <c r="AQ63" i="26"/>
  <c r="AS63" i="26" s="1"/>
  <c r="AQ74" i="26"/>
  <c r="AS74" i="26" s="1"/>
  <c r="AQ45" i="26"/>
  <c r="AS45" i="26" s="1"/>
  <c r="AQ60" i="26"/>
  <c r="AS60" i="26" s="1"/>
  <c r="AQ50" i="26"/>
  <c r="AS50" i="26" s="1"/>
  <c r="AQ53" i="26"/>
  <c r="AS53" i="26" s="1"/>
  <c r="AQ54" i="26"/>
  <c r="AS54" i="26" s="1"/>
  <c r="AQ52" i="26"/>
  <c r="AS52" i="26" s="1"/>
  <c r="AQ71" i="26"/>
  <c r="AS71" i="26" s="1"/>
  <c r="N24" i="26"/>
  <c r="P24" i="26" s="1"/>
  <c r="Y57" i="26"/>
  <c r="AA57" i="26" s="1"/>
  <c r="Y70" i="26"/>
  <c r="AA70" i="26" s="1"/>
  <c r="Y67" i="26"/>
  <c r="AA67" i="26" s="1"/>
  <c r="Y63" i="26"/>
  <c r="AA63" i="26" s="1"/>
  <c r="Y61" i="26"/>
  <c r="AA61" i="26" s="1"/>
  <c r="Y46" i="26"/>
  <c r="AA46" i="26" s="1"/>
  <c r="Y64" i="26"/>
  <c r="AA64" i="26" s="1"/>
  <c r="Y74" i="26"/>
  <c r="AA74" i="26" s="1"/>
  <c r="Y71" i="26"/>
  <c r="AA71" i="26" s="1"/>
  <c r="AQ72" i="26"/>
  <c r="AS72" i="26" s="1"/>
  <c r="BI71" i="26"/>
  <c r="BK71" i="26" s="1"/>
  <c r="AE49" i="26"/>
  <c r="AG49" i="26" s="1"/>
  <c r="BC45" i="26"/>
  <c r="BE45" i="26" s="1"/>
  <c r="AE45" i="26"/>
  <c r="AG45" i="26" s="1"/>
  <c r="Y72" i="26"/>
  <c r="AA72" i="26" s="1"/>
  <c r="AE52" i="26"/>
  <c r="AG52" i="26" s="1"/>
  <c r="AE58" i="26"/>
  <c r="AG58" i="26" s="1"/>
  <c r="Y62" i="26"/>
  <c r="AA62" i="26" s="1"/>
  <c r="BC53" i="26"/>
  <c r="BE53" i="26" s="1"/>
  <c r="BI70" i="26"/>
  <c r="BK70" i="26" s="1"/>
  <c r="AQ66" i="26"/>
  <c r="AS66" i="26" s="1"/>
  <c r="BC63" i="26"/>
  <c r="BE63" i="26" s="1"/>
  <c r="BC60" i="26"/>
  <c r="BE60" i="26" s="1"/>
  <c r="AQ51" i="26"/>
  <c r="AS51" i="26" s="1"/>
  <c r="AW71" i="26"/>
  <c r="AY71" i="26" s="1"/>
  <c r="AE54" i="26"/>
  <c r="AG54" i="26" s="1"/>
  <c r="BC61" i="26"/>
  <c r="BE61" i="26" s="1"/>
  <c r="AQ67" i="26"/>
  <c r="AS67" i="26" s="1"/>
  <c r="AE56" i="26"/>
  <c r="AG56" i="26" s="1"/>
  <c r="BU62" i="26"/>
  <c r="BW62" i="26" s="1"/>
  <c r="BC68" i="26"/>
  <c r="BE68" i="26" s="1"/>
  <c r="BO65" i="26"/>
  <c r="BQ65" i="26" s="1"/>
  <c r="BO68" i="26"/>
  <c r="BQ68" i="26" s="1"/>
  <c r="BO58" i="26"/>
  <c r="BQ58" i="26" s="1"/>
  <c r="BO59" i="26"/>
  <c r="BQ59" i="26" s="1"/>
  <c r="BO54" i="26"/>
  <c r="BQ54" i="26" s="1"/>
  <c r="BO74" i="26"/>
  <c r="BQ74" i="26" s="1"/>
  <c r="BO46" i="26"/>
  <c r="BQ46" i="26" s="1"/>
  <c r="BO67" i="26"/>
  <c r="BQ67" i="26" s="1"/>
  <c r="BO64" i="26"/>
  <c r="BQ64" i="26" s="1"/>
  <c r="BO61" i="26"/>
  <c r="BQ61" i="26" s="1"/>
  <c r="BO57" i="26"/>
  <c r="BQ57" i="26" s="1"/>
  <c r="BO73" i="26"/>
  <c r="BQ73" i="26" s="1"/>
  <c r="BO71" i="26"/>
  <c r="BQ71" i="26" s="1"/>
  <c r="AE73" i="26"/>
  <c r="AG73" i="26" s="1"/>
  <c r="N5" i="26"/>
  <c r="N93" i="26"/>
  <c r="P93" i="26" s="1"/>
  <c r="BU49" i="26"/>
  <c r="BW49" i="26" s="1"/>
  <c r="BU66" i="26"/>
  <c r="BW66" i="26" s="1"/>
  <c r="BU58" i="26"/>
  <c r="BW58" i="26" s="1"/>
  <c r="BU59" i="26"/>
  <c r="BW59" i="26" s="1"/>
  <c r="BU67" i="26"/>
  <c r="BW67" i="26" s="1"/>
  <c r="BU74" i="26"/>
  <c r="BW74" i="26" s="1"/>
  <c r="BU63" i="26"/>
  <c r="BW63" i="26" s="1"/>
  <c r="BU50" i="26"/>
  <c r="BW50" i="26" s="1"/>
  <c r="BU57" i="26"/>
  <c r="BW57" i="26" s="1"/>
  <c r="BU65" i="26"/>
  <c r="BW65" i="26" s="1"/>
  <c r="BU72" i="26"/>
  <c r="BW72" i="26" s="1"/>
  <c r="BU47" i="26"/>
  <c r="BW47" i="26" s="1"/>
  <c r="BU46" i="26"/>
  <c r="BW46" i="26" s="1"/>
  <c r="BC52" i="26"/>
  <c r="BE52" i="26" s="1"/>
  <c r="AE51" i="26"/>
  <c r="AG51" i="26" s="1"/>
  <c r="BC65" i="26"/>
  <c r="BE65" i="26" s="1"/>
  <c r="BO70" i="26"/>
  <c r="BQ70" i="26" s="1"/>
  <c r="BI54" i="26"/>
  <c r="BK54" i="26" s="1"/>
  <c r="BI58" i="26"/>
  <c r="BK58" i="26" s="1"/>
  <c r="BI67" i="26"/>
  <c r="BK67" i="26" s="1"/>
  <c r="BI68" i="26"/>
  <c r="BK68" i="26" s="1"/>
  <c r="BI64" i="26"/>
  <c r="BK64" i="26" s="1"/>
  <c r="BI56" i="26"/>
  <c r="BK56" i="26" s="1"/>
  <c r="BI59" i="26"/>
  <c r="BK59" i="26" s="1"/>
  <c r="BI52" i="26"/>
  <c r="BK52" i="26" s="1"/>
  <c r="BI47" i="26"/>
  <c r="BK47" i="26" s="1"/>
  <c r="BI49" i="26"/>
  <c r="BK49" i="26" s="1"/>
  <c r="BI50" i="26"/>
  <c r="BK50" i="26" s="1"/>
  <c r="BI55" i="26"/>
  <c r="BK55" i="26" s="1"/>
  <c r="BI65" i="26"/>
  <c r="BK65" i="26" s="1"/>
  <c r="BI69" i="26"/>
  <c r="BK69" i="26" s="1"/>
  <c r="BI63" i="26"/>
  <c r="BK63" i="26" s="1"/>
  <c r="BI60" i="26"/>
  <c r="BK60" i="26" s="1"/>
  <c r="BI72" i="26"/>
  <c r="BK72" i="26" s="1"/>
  <c r="BO72" i="26"/>
  <c r="BQ72" i="26" s="1"/>
  <c r="BU73" i="26"/>
  <c r="BW73" i="26" s="1"/>
  <c r="BC47" i="26"/>
  <c r="BE47" i="26" s="1"/>
  <c r="BI46" i="26"/>
  <c r="BK46" i="26" s="1"/>
  <c r="AE48" i="26"/>
  <c r="AG48" i="26" s="1"/>
  <c r="Y73" i="26"/>
  <c r="AA73" i="26" s="1"/>
  <c r="Y55" i="26"/>
  <c r="AA55" i="26" s="1"/>
  <c r="AE59" i="26"/>
  <c r="AG59" i="26" s="1"/>
  <c r="AW63" i="26"/>
  <c r="AY63" i="26" s="1"/>
  <c r="Y68" i="26"/>
  <c r="AA68" i="26" s="1"/>
  <c r="BU52" i="26"/>
  <c r="BW52" i="26" s="1"/>
  <c r="BO66" i="26"/>
  <c r="BQ66" i="26" s="1"/>
  <c r="BI62" i="26"/>
  <c r="BK62" i="26" s="1"/>
  <c r="BO60" i="26"/>
  <c r="BQ60" i="26" s="1"/>
  <c r="BC57" i="26"/>
  <c r="BE57" i="26" s="1"/>
  <c r="AE50" i="26"/>
  <c r="AG50" i="26" s="1"/>
  <c r="BI48" i="26"/>
  <c r="BK48" i="26" s="1"/>
  <c r="AQ55" i="26"/>
  <c r="AS55" i="26" s="1"/>
  <c r="BO62" i="26"/>
  <c r="BQ62" i="26" s="1"/>
  <c r="BC67" i="26"/>
  <c r="BE67" i="26" s="1"/>
  <c r="AQ57" i="26"/>
  <c r="AS57" i="26" s="1"/>
  <c r="BO63" i="26"/>
  <c r="BQ63" i="26" s="1"/>
  <c r="BU68" i="26"/>
  <c r="BW68" i="26" s="1"/>
  <c r="BC54" i="26"/>
  <c r="BE54" i="26" s="1"/>
  <c r="N17" i="26"/>
  <c r="P17" i="26" s="1"/>
  <c r="N40" i="26"/>
  <c r="P40" i="26" s="1"/>
  <c r="N77" i="26"/>
  <c r="P77" i="26" s="1"/>
  <c r="N65" i="26"/>
  <c r="P65" i="26" s="1"/>
  <c r="BX92" i="26"/>
  <c r="I5" i="22"/>
  <c r="E6" i="22"/>
  <c r="F6" i="22" s="1"/>
  <c r="G6" i="22" s="1"/>
  <c r="N83" i="26"/>
  <c r="P83" i="26" s="1"/>
  <c r="BT86" i="26"/>
  <c r="BV86" i="26" s="1"/>
  <c r="BX86" i="26" s="1"/>
  <c r="N3" i="26"/>
  <c r="P3" i="26" s="1"/>
  <c r="N80" i="26"/>
  <c r="P80" i="26" s="1"/>
  <c r="N10" i="26"/>
  <c r="P10" i="26" s="1"/>
  <c r="N71" i="26"/>
  <c r="P71" i="26" s="1"/>
  <c r="N89" i="26"/>
  <c r="P89" i="26" s="1"/>
  <c r="N14" i="26"/>
  <c r="P14" i="26" s="1"/>
  <c r="N57" i="26"/>
  <c r="P57" i="26" s="1"/>
  <c r="N41" i="26"/>
  <c r="P41" i="26" s="1"/>
  <c r="N6" i="26"/>
  <c r="P6" i="26" s="1"/>
  <c r="N38" i="26"/>
  <c r="P38" i="26" s="1"/>
  <c r="N37" i="26"/>
  <c r="P37" i="26" s="1"/>
  <c r="N48" i="26"/>
  <c r="P48" i="26" s="1"/>
  <c r="N50" i="26"/>
  <c r="P50" i="26" s="1"/>
  <c r="N20" i="26"/>
  <c r="P20" i="26" s="1"/>
  <c r="N8" i="26"/>
  <c r="P8" i="26" s="1"/>
  <c r="N79" i="26"/>
  <c r="P79" i="26" s="1"/>
  <c r="N90" i="26"/>
  <c r="P90" i="26" s="1"/>
  <c r="N7" i="26"/>
  <c r="P7" i="26" s="1"/>
  <c r="S43" i="26"/>
  <c r="U43" i="26" s="1"/>
  <c r="N76" i="26"/>
  <c r="P76" i="26" s="1"/>
  <c r="AE32" i="26"/>
  <c r="AG32" i="26" s="1"/>
  <c r="AE37" i="26"/>
  <c r="AG37" i="26" s="1"/>
  <c r="AE39" i="26"/>
  <c r="AG39" i="26" s="1"/>
  <c r="AE40" i="26"/>
  <c r="AG40" i="26" s="1"/>
  <c r="AE38" i="26"/>
  <c r="AG38" i="26" s="1"/>
  <c r="AE42" i="26"/>
  <c r="AG42" i="26" s="1"/>
  <c r="AE31" i="26"/>
  <c r="AG31" i="26" s="1"/>
  <c r="AE34" i="26"/>
  <c r="AG34" i="26" s="1"/>
  <c r="AE36" i="26"/>
  <c r="AG36" i="26" s="1"/>
  <c r="AE44" i="26"/>
  <c r="AG44" i="26" s="1"/>
  <c r="AE35" i="26"/>
  <c r="AG35" i="26" s="1"/>
  <c r="AE43" i="26"/>
  <c r="AG43" i="26" s="1"/>
  <c r="AE33" i="26"/>
  <c r="AG33" i="26" s="1"/>
  <c r="AE41" i="26"/>
  <c r="AG41" i="26" s="1"/>
  <c r="BO31" i="26"/>
  <c r="BQ31" i="26" s="1"/>
  <c r="BO38" i="26"/>
  <c r="BQ38" i="26" s="1"/>
  <c r="BO32" i="26"/>
  <c r="BQ32" i="26" s="1"/>
  <c r="BO44" i="26"/>
  <c r="BQ44" i="26" s="1"/>
  <c r="BO35" i="26"/>
  <c r="BQ35" i="26" s="1"/>
  <c r="AQ32" i="26"/>
  <c r="AS32" i="26" s="1"/>
  <c r="AQ33" i="26"/>
  <c r="AS33" i="26" s="1"/>
  <c r="AQ35" i="26"/>
  <c r="AS35" i="26" s="1"/>
  <c r="AQ40" i="26"/>
  <c r="AS40" i="26" s="1"/>
  <c r="AQ41" i="26"/>
  <c r="AS41" i="26" s="1"/>
  <c r="AQ43" i="26"/>
  <c r="AS43" i="26" s="1"/>
  <c r="AQ44" i="26"/>
  <c r="AS44" i="26" s="1"/>
  <c r="AQ42" i="26"/>
  <c r="AS42" i="26" s="1"/>
  <c r="AQ37" i="26"/>
  <c r="AS37" i="26" s="1"/>
  <c r="AQ31" i="26"/>
  <c r="AS31" i="26" s="1"/>
  <c r="AQ34" i="26"/>
  <c r="AS34" i="26" s="1"/>
  <c r="AQ36" i="26"/>
  <c r="AS36" i="26" s="1"/>
  <c r="AQ38" i="26"/>
  <c r="AS38" i="26" s="1"/>
  <c r="AQ39" i="26"/>
  <c r="AS39" i="26" s="1"/>
  <c r="BC38" i="26"/>
  <c r="BE38" i="26" s="1"/>
  <c r="BC41" i="26"/>
  <c r="BE41" i="26" s="1"/>
  <c r="BC34" i="26"/>
  <c r="BE34" i="26" s="1"/>
  <c r="BC35" i="26"/>
  <c r="BE35" i="26" s="1"/>
  <c r="BC31" i="26"/>
  <c r="BE31" i="26" s="1"/>
  <c r="BC32" i="26"/>
  <c r="BE32" i="26" s="1"/>
  <c r="BC37" i="26"/>
  <c r="BE37" i="26" s="1"/>
  <c r="BC39" i="26"/>
  <c r="BE39" i="26" s="1"/>
  <c r="BC40" i="26"/>
  <c r="BE40" i="26" s="1"/>
  <c r="BC33" i="26"/>
  <c r="BE33" i="26" s="1"/>
  <c r="BC36" i="26"/>
  <c r="BE36" i="26" s="1"/>
  <c r="BC43" i="26"/>
  <c r="BE43" i="26" s="1"/>
  <c r="BC44" i="26"/>
  <c r="BE44" i="26" s="1"/>
  <c r="BC42" i="26"/>
  <c r="BE42" i="26" s="1"/>
  <c r="N66" i="26"/>
  <c r="P66" i="26" s="1"/>
  <c r="N25" i="26"/>
  <c r="P25" i="26" s="1"/>
  <c r="BT88" i="26"/>
  <c r="BV88" i="26" s="1"/>
  <c r="BX88" i="26" s="1"/>
  <c r="N85" i="26"/>
  <c r="P85" i="26" s="1"/>
  <c r="N59" i="26"/>
  <c r="P59" i="26" s="1"/>
  <c r="N43" i="26"/>
  <c r="P43" i="26" s="1"/>
  <c r="N61" i="26"/>
  <c r="P61" i="26" s="1"/>
  <c r="N55" i="26"/>
  <c r="P55" i="26" s="1"/>
  <c r="N91" i="26"/>
  <c r="P91" i="26" s="1"/>
  <c r="BU31" i="26"/>
  <c r="BW31" i="26" s="1"/>
  <c r="BU36" i="26"/>
  <c r="BW36" i="26" s="1"/>
  <c r="BU43" i="26"/>
  <c r="BW43" i="26" s="1"/>
  <c r="BU35" i="26"/>
  <c r="BW35" i="26" s="1"/>
  <c r="BU39" i="26"/>
  <c r="BW39" i="26" s="1"/>
  <c r="N30" i="26"/>
  <c r="P30" i="26" s="1"/>
  <c r="N35" i="26"/>
  <c r="P35" i="26" s="1"/>
  <c r="N51" i="26"/>
  <c r="P51" i="26" s="1"/>
  <c r="BI36" i="26"/>
  <c r="BK36" i="26" s="1"/>
  <c r="BI44" i="26"/>
  <c r="BK44" i="26" s="1"/>
  <c r="BI40" i="26"/>
  <c r="BK40" i="26" s="1"/>
  <c r="BI34" i="26"/>
  <c r="BK34" i="26" s="1"/>
  <c r="BI35" i="26"/>
  <c r="BK35" i="26" s="1"/>
  <c r="BI39" i="26"/>
  <c r="BK39" i="26" s="1"/>
  <c r="BI43" i="26"/>
  <c r="BK43" i="26" s="1"/>
  <c r="BI41" i="26"/>
  <c r="BK41" i="26" s="1"/>
  <c r="BI33" i="26"/>
  <c r="BK33" i="26" s="1"/>
  <c r="BI38" i="26"/>
  <c r="BK38" i="26" s="1"/>
  <c r="BI42" i="26"/>
  <c r="BK42" i="26" s="1"/>
  <c r="BI31" i="26"/>
  <c r="BK31" i="26" s="1"/>
  <c r="BI32" i="26"/>
  <c r="BK32" i="26" s="1"/>
  <c r="BI37" i="26"/>
  <c r="BK37" i="26" s="1"/>
  <c r="N26" i="26"/>
  <c r="P26" i="26" s="1"/>
  <c r="N32" i="26"/>
  <c r="N21" i="26"/>
  <c r="P21" i="26" s="1"/>
  <c r="AW36" i="26"/>
  <c r="AY36" i="26" s="1"/>
  <c r="N81" i="26"/>
  <c r="P81" i="26" s="1"/>
  <c r="N28" i="26"/>
  <c r="P28" i="26" s="1"/>
  <c r="N11" i="26"/>
  <c r="P11" i="26" s="1"/>
  <c r="Y41" i="26"/>
  <c r="AA41" i="26" s="1"/>
  <c r="Y37" i="26"/>
  <c r="AA37" i="26" s="1"/>
  <c r="Y43" i="26"/>
  <c r="AA43" i="26" s="1"/>
  <c r="Y31" i="26"/>
  <c r="AA31" i="26" s="1"/>
  <c r="Y40" i="26"/>
  <c r="AA40" i="26" s="1"/>
  <c r="N47" i="26"/>
  <c r="P47" i="26" s="1"/>
  <c r="N73" i="26"/>
  <c r="P73" i="26" s="1"/>
  <c r="J6" i="2"/>
  <c r="C7" i="22" s="1"/>
  <c r="E7" i="22" s="1"/>
  <c r="F7" i="22" s="1"/>
  <c r="G7" i="22" s="1"/>
  <c r="AE30" i="26" l="1"/>
  <c r="AG30" i="26" s="1"/>
  <c r="AD84" i="27"/>
  <c r="AF84" i="27" s="1"/>
  <c r="AH84" i="27" s="1"/>
  <c r="BI12" i="27"/>
  <c r="BK12" i="27" s="1"/>
  <c r="BH83" i="27"/>
  <c r="BJ83" i="27" s="1"/>
  <c r="BL83" i="27" s="1"/>
  <c r="AD28" i="27"/>
  <c r="AF28" i="27" s="1"/>
  <c r="AH28" i="27" s="1"/>
  <c r="AE8" i="27"/>
  <c r="AG8" i="27" s="1"/>
  <c r="AD93" i="27"/>
  <c r="AF93" i="27" s="1"/>
  <c r="BH49" i="27"/>
  <c r="BJ49" i="27" s="1"/>
  <c r="BL49" i="27" s="1"/>
  <c r="AD86" i="27"/>
  <c r="AF86" i="27" s="1"/>
  <c r="AH86" i="27" s="1"/>
  <c r="BH74" i="27"/>
  <c r="BJ74" i="27" s="1"/>
  <c r="BL74" i="27" s="1"/>
  <c r="AD80" i="27"/>
  <c r="AF80" i="27" s="1"/>
  <c r="AH80" i="27" s="1"/>
  <c r="AD30" i="27"/>
  <c r="AF30" i="27" s="1"/>
  <c r="AH30" i="27" s="1"/>
  <c r="BH73" i="27"/>
  <c r="BJ73" i="27" s="1"/>
  <c r="BL73" i="27" s="1"/>
  <c r="BH29" i="27"/>
  <c r="BJ29" i="27" s="1"/>
  <c r="BL29" i="27" s="1"/>
  <c r="AE18" i="27"/>
  <c r="AG18" i="27" s="1"/>
  <c r="AD10" i="27"/>
  <c r="AF10" i="27" s="1"/>
  <c r="AE7" i="27"/>
  <c r="AG7" i="27" s="1"/>
  <c r="AD44" i="27"/>
  <c r="AF44" i="27" s="1"/>
  <c r="AH44" i="27" s="1"/>
  <c r="BH64" i="27"/>
  <c r="BJ64" i="27" s="1"/>
  <c r="BL64" i="27" s="1"/>
  <c r="AE16" i="27"/>
  <c r="AG16" i="27" s="1"/>
  <c r="AE20" i="27"/>
  <c r="AG20" i="27" s="1"/>
  <c r="AD78" i="27"/>
  <c r="AF78" i="27" s="1"/>
  <c r="AH78" i="27" s="1"/>
  <c r="AE93" i="27"/>
  <c r="AG93" i="27" s="1"/>
  <c r="AH93" i="27" s="1"/>
  <c r="AD68" i="27"/>
  <c r="AF68" i="27" s="1"/>
  <c r="AH68" i="27" s="1"/>
  <c r="AD56" i="27"/>
  <c r="AF56" i="27" s="1"/>
  <c r="AH56" i="27" s="1"/>
  <c r="AD33" i="27"/>
  <c r="AF33" i="27" s="1"/>
  <c r="AH33" i="27" s="1"/>
  <c r="AD29" i="27"/>
  <c r="AF29" i="27" s="1"/>
  <c r="AH29" i="27" s="1"/>
  <c r="BH85" i="27"/>
  <c r="BJ85" i="27" s="1"/>
  <c r="BL85" i="27" s="1"/>
  <c r="BH57" i="27"/>
  <c r="BJ57" i="27" s="1"/>
  <c r="BL57" i="27" s="1"/>
  <c r="BH59" i="27"/>
  <c r="BJ59" i="27" s="1"/>
  <c r="BL59" i="27" s="1"/>
  <c r="AE15" i="27"/>
  <c r="AG15" i="27" s="1"/>
  <c r="AD16" i="27"/>
  <c r="AF16" i="27" s="1"/>
  <c r="AH16" i="27" s="1"/>
  <c r="AD67" i="27"/>
  <c r="AF67" i="27" s="1"/>
  <c r="AH67" i="27" s="1"/>
  <c r="AD38" i="27"/>
  <c r="AF38" i="27" s="1"/>
  <c r="AH38" i="27" s="1"/>
  <c r="AD61" i="27"/>
  <c r="AF61" i="27" s="1"/>
  <c r="AH61" i="27" s="1"/>
  <c r="AD55" i="27"/>
  <c r="AF55" i="27" s="1"/>
  <c r="AH55" i="27" s="1"/>
  <c r="AD41" i="27"/>
  <c r="AF41" i="27" s="1"/>
  <c r="AH41" i="27" s="1"/>
  <c r="BI9" i="27"/>
  <c r="BK9" i="27" s="1"/>
  <c r="BH81" i="27"/>
  <c r="BJ81" i="27" s="1"/>
  <c r="BL81" i="27" s="1"/>
  <c r="BH32" i="27"/>
  <c r="BJ32" i="27" s="1"/>
  <c r="BL32" i="27" s="1"/>
  <c r="AD20" i="27"/>
  <c r="AF20" i="27" s="1"/>
  <c r="AH20" i="27" s="1"/>
  <c r="AD83" i="27"/>
  <c r="AF83" i="27" s="1"/>
  <c r="AH83" i="27" s="1"/>
  <c r="AE10" i="27"/>
  <c r="AG10" i="27" s="1"/>
  <c r="AD91" i="27"/>
  <c r="AF91" i="27" s="1"/>
  <c r="AH91" i="27" s="1"/>
  <c r="AD87" i="27"/>
  <c r="AF87" i="27" s="1"/>
  <c r="AH87" i="27" s="1"/>
  <c r="AE3" i="27"/>
  <c r="AD57" i="27"/>
  <c r="AF57" i="27" s="1"/>
  <c r="AH57" i="27" s="1"/>
  <c r="AD52" i="27"/>
  <c r="AF52" i="27" s="1"/>
  <c r="AH52" i="27" s="1"/>
  <c r="AD50" i="27"/>
  <c r="AF50" i="27" s="1"/>
  <c r="AH50" i="27" s="1"/>
  <c r="AD31" i="27"/>
  <c r="AF31" i="27" s="1"/>
  <c r="AH31" i="27" s="1"/>
  <c r="AD26" i="27"/>
  <c r="AF26" i="27" s="1"/>
  <c r="AH26" i="27" s="1"/>
  <c r="BH67" i="27"/>
  <c r="BJ67" i="27" s="1"/>
  <c r="BL67" i="27" s="1"/>
  <c r="BH92" i="27"/>
  <c r="BJ92" i="27" s="1"/>
  <c r="BL92" i="27" s="1"/>
  <c r="BH68" i="27"/>
  <c r="BJ68" i="27" s="1"/>
  <c r="BL68" i="27" s="1"/>
  <c r="BH53" i="27"/>
  <c r="BJ53" i="27" s="1"/>
  <c r="BL53" i="27" s="1"/>
  <c r="BH60" i="27"/>
  <c r="BJ60" i="27" s="1"/>
  <c r="BL60" i="27" s="1"/>
  <c r="AE14" i="27"/>
  <c r="AG14" i="27" s="1"/>
  <c r="AE12" i="27"/>
  <c r="AG12" i="27" s="1"/>
  <c r="AD19" i="27"/>
  <c r="AF19" i="27" s="1"/>
  <c r="AH19" i="27" s="1"/>
  <c r="AD21" i="27"/>
  <c r="AF21" i="27" s="1"/>
  <c r="AH21" i="27" s="1"/>
  <c r="AD81" i="27"/>
  <c r="AF81" i="27" s="1"/>
  <c r="AH81" i="27" s="1"/>
  <c r="AE4" i="27"/>
  <c r="AG4" i="27" s="1"/>
  <c r="AD74" i="27"/>
  <c r="AF74" i="27" s="1"/>
  <c r="AH74" i="27" s="1"/>
  <c r="AD73" i="27"/>
  <c r="AF73" i="27" s="1"/>
  <c r="AH73" i="27" s="1"/>
  <c r="AD71" i="27"/>
  <c r="AF71" i="27" s="1"/>
  <c r="AH71" i="27" s="1"/>
  <c r="AD66" i="27"/>
  <c r="AF66" i="27" s="1"/>
  <c r="AH66" i="27" s="1"/>
  <c r="AD64" i="27"/>
  <c r="AF64" i="27" s="1"/>
  <c r="AH64" i="27" s="1"/>
  <c r="AD45" i="27"/>
  <c r="AF45" i="27" s="1"/>
  <c r="AH45" i="27" s="1"/>
  <c r="AD47" i="27"/>
  <c r="AF47" i="27" s="1"/>
  <c r="AH47" i="27" s="1"/>
  <c r="AD40" i="27"/>
  <c r="AF40" i="27" s="1"/>
  <c r="AH40" i="27" s="1"/>
  <c r="BI15" i="27"/>
  <c r="BK15" i="27" s="1"/>
  <c r="BH87" i="27"/>
  <c r="BJ87" i="27" s="1"/>
  <c r="BL87" i="27" s="1"/>
  <c r="BH56" i="27"/>
  <c r="BJ56" i="27" s="1"/>
  <c r="BL56" i="27" s="1"/>
  <c r="BH20" i="27"/>
  <c r="BJ20" i="27" s="1"/>
  <c r="BL20" i="27" s="1"/>
  <c r="BH16" i="27"/>
  <c r="BJ16" i="27" s="1"/>
  <c r="BH46" i="27"/>
  <c r="BJ46" i="27" s="1"/>
  <c r="BL46" i="27" s="1"/>
  <c r="BF20" i="27"/>
  <c r="AE13" i="27"/>
  <c r="AG13" i="27" s="1"/>
  <c r="AD7" i="27"/>
  <c r="AD8" i="27"/>
  <c r="AF8" i="27" s="1"/>
  <c r="AD14" i="27"/>
  <c r="AF14" i="27" s="1"/>
  <c r="AH14" i="27" s="1"/>
  <c r="AD9" i="27"/>
  <c r="AF9" i="27" s="1"/>
  <c r="AD12" i="27"/>
  <c r="AF12" i="27" s="1"/>
  <c r="AD77" i="27"/>
  <c r="AF77" i="27" s="1"/>
  <c r="AH77" i="27" s="1"/>
  <c r="AD70" i="27"/>
  <c r="AF70" i="27" s="1"/>
  <c r="AH70" i="27" s="1"/>
  <c r="AE5" i="27"/>
  <c r="AG5" i="27" s="1"/>
  <c r="AE6" i="27"/>
  <c r="AG6" i="27" s="1"/>
  <c r="AD88" i="27"/>
  <c r="AF88" i="27" s="1"/>
  <c r="AH88" i="27" s="1"/>
  <c r="AD72" i="27"/>
  <c r="AF72" i="27" s="1"/>
  <c r="AH72" i="27" s="1"/>
  <c r="AD85" i="27"/>
  <c r="AF85" i="27" s="1"/>
  <c r="AH85" i="27" s="1"/>
  <c r="AD69" i="27"/>
  <c r="AF69" i="27" s="1"/>
  <c r="AH69" i="27" s="1"/>
  <c r="AD90" i="27"/>
  <c r="AF90" i="27" s="1"/>
  <c r="AH90" i="27" s="1"/>
  <c r="AD63" i="27"/>
  <c r="AF63" i="27" s="1"/>
  <c r="AH63" i="27" s="1"/>
  <c r="AD51" i="27"/>
  <c r="AF51" i="27" s="1"/>
  <c r="AH51" i="27" s="1"/>
  <c r="AD59" i="27"/>
  <c r="AF59" i="27" s="1"/>
  <c r="AH59" i="27" s="1"/>
  <c r="AD48" i="27"/>
  <c r="AF48" i="27" s="1"/>
  <c r="AH48" i="27" s="1"/>
  <c r="AD58" i="27"/>
  <c r="AF58" i="27" s="1"/>
  <c r="AH58" i="27" s="1"/>
  <c r="AD36" i="27"/>
  <c r="AF36" i="27" s="1"/>
  <c r="AH36" i="27" s="1"/>
  <c r="AD39" i="27"/>
  <c r="AF39" i="27" s="1"/>
  <c r="AH39" i="27" s="1"/>
  <c r="AD27" i="27"/>
  <c r="AF27" i="27" s="1"/>
  <c r="AH27" i="27" s="1"/>
  <c r="AD43" i="27"/>
  <c r="AF43" i="27" s="1"/>
  <c r="AH43" i="27" s="1"/>
  <c r="AD34" i="27"/>
  <c r="AF34" i="27" s="1"/>
  <c r="AH34" i="27" s="1"/>
  <c r="BH23" i="27"/>
  <c r="BJ23" i="27" s="1"/>
  <c r="BL23" i="27" s="1"/>
  <c r="BI4" i="27"/>
  <c r="BK4" i="27" s="1"/>
  <c r="BH42" i="27"/>
  <c r="BJ42" i="27" s="1"/>
  <c r="BL42" i="27" s="1"/>
  <c r="BH77" i="27"/>
  <c r="BJ77" i="27" s="1"/>
  <c r="BL77" i="27" s="1"/>
  <c r="BH90" i="27"/>
  <c r="BJ90" i="27" s="1"/>
  <c r="BL90" i="27" s="1"/>
  <c r="BH93" i="27"/>
  <c r="BJ93" i="27" s="1"/>
  <c r="BH39" i="27"/>
  <c r="BJ39" i="27" s="1"/>
  <c r="BL39" i="27" s="1"/>
  <c r="BH35" i="27"/>
  <c r="BJ35" i="27" s="1"/>
  <c r="BL35" i="27" s="1"/>
  <c r="BH21" i="27"/>
  <c r="BJ21" i="27" s="1"/>
  <c r="BL21" i="27" s="1"/>
  <c r="BH34" i="27"/>
  <c r="BJ34" i="27" s="1"/>
  <c r="BL34" i="27" s="1"/>
  <c r="BH28" i="27"/>
  <c r="BJ28" i="27" s="1"/>
  <c r="BL28" i="27" s="1"/>
  <c r="BH61" i="27"/>
  <c r="BJ61" i="27" s="1"/>
  <c r="BL61" i="27" s="1"/>
  <c r="AD3" i="27"/>
  <c r="AD23" i="27"/>
  <c r="AF23" i="27" s="1"/>
  <c r="AH23" i="27" s="1"/>
  <c r="AD17" i="27"/>
  <c r="AF17" i="27" s="1"/>
  <c r="AD13" i="27"/>
  <c r="AF13" i="27" s="1"/>
  <c r="AH13" i="27" s="1"/>
  <c r="AD11" i="27"/>
  <c r="AF11" i="27" s="1"/>
  <c r="AE11" i="27"/>
  <c r="AG11" i="27" s="1"/>
  <c r="AE9" i="27"/>
  <c r="AG9" i="27" s="1"/>
  <c r="AD49" i="27"/>
  <c r="AF49" i="27" s="1"/>
  <c r="AH49" i="27" s="1"/>
  <c r="AD76" i="27"/>
  <c r="AF76" i="27" s="1"/>
  <c r="AH76" i="27" s="1"/>
  <c r="AD92" i="27"/>
  <c r="AF92" i="27" s="1"/>
  <c r="AH92" i="27" s="1"/>
  <c r="AD79" i="27"/>
  <c r="AF79" i="27" s="1"/>
  <c r="AH79" i="27" s="1"/>
  <c r="AD89" i="27"/>
  <c r="AF89" i="27" s="1"/>
  <c r="AH89" i="27" s="1"/>
  <c r="AD75" i="27"/>
  <c r="AF75" i="27" s="1"/>
  <c r="AH75" i="27" s="1"/>
  <c r="AD62" i="27"/>
  <c r="AF62" i="27" s="1"/>
  <c r="AH62" i="27" s="1"/>
  <c r="AD82" i="27"/>
  <c r="AF82" i="27" s="1"/>
  <c r="AH82" i="27" s="1"/>
  <c r="AD60" i="27"/>
  <c r="AF60" i="27" s="1"/>
  <c r="AH60" i="27" s="1"/>
  <c r="AD35" i="27"/>
  <c r="AF35" i="27" s="1"/>
  <c r="AH35" i="27" s="1"/>
  <c r="AD53" i="27"/>
  <c r="AF53" i="27" s="1"/>
  <c r="AH53" i="27" s="1"/>
  <c r="AD65" i="27"/>
  <c r="AF65" i="27" s="1"/>
  <c r="AH65" i="27" s="1"/>
  <c r="AD54" i="27"/>
  <c r="AF54" i="27" s="1"/>
  <c r="AH54" i="27" s="1"/>
  <c r="AD46" i="27"/>
  <c r="AF46" i="27" s="1"/>
  <c r="AH46" i="27" s="1"/>
  <c r="AD32" i="27"/>
  <c r="AF32" i="27" s="1"/>
  <c r="AH32" i="27" s="1"/>
  <c r="AD37" i="27"/>
  <c r="AF37" i="27" s="1"/>
  <c r="AH37" i="27" s="1"/>
  <c r="AD42" i="27"/>
  <c r="AF42" i="27" s="1"/>
  <c r="AH42" i="27" s="1"/>
  <c r="P22" i="27"/>
  <c r="BI6" i="27"/>
  <c r="BK6" i="27" s="1"/>
  <c r="BI7" i="27"/>
  <c r="BK7" i="27" s="1"/>
  <c r="BH24" i="27"/>
  <c r="BJ24" i="27" s="1"/>
  <c r="BL24" i="27" s="1"/>
  <c r="BH26" i="27"/>
  <c r="BJ26" i="27" s="1"/>
  <c r="BL26" i="27" s="1"/>
  <c r="BH78" i="27"/>
  <c r="BJ78" i="27" s="1"/>
  <c r="BL78" i="27" s="1"/>
  <c r="BH76" i="27"/>
  <c r="BJ76" i="27" s="1"/>
  <c r="BL76" i="27" s="1"/>
  <c r="BH52" i="27"/>
  <c r="BJ52" i="27" s="1"/>
  <c r="BL52" i="27" s="1"/>
  <c r="BH38" i="27"/>
  <c r="BJ38" i="27" s="1"/>
  <c r="BL38" i="27" s="1"/>
  <c r="BH47" i="27"/>
  <c r="BJ47" i="27" s="1"/>
  <c r="BL47" i="27" s="1"/>
  <c r="BH63" i="27"/>
  <c r="BJ63" i="27" s="1"/>
  <c r="BL63" i="27" s="1"/>
  <c r="BH27" i="27"/>
  <c r="BJ27" i="27" s="1"/>
  <c r="BL27" i="27" s="1"/>
  <c r="AD4" i="27"/>
  <c r="AD24" i="27"/>
  <c r="AF24" i="27" s="1"/>
  <c r="AH24" i="27" s="1"/>
  <c r="AD22" i="27"/>
  <c r="AF22" i="27" s="1"/>
  <c r="AH22" i="27" s="1"/>
  <c r="AD15" i="27"/>
  <c r="AF15" i="27" s="1"/>
  <c r="AD18" i="27"/>
  <c r="AF18" i="27" s="1"/>
  <c r="AH18" i="27" s="1"/>
  <c r="BI5" i="27"/>
  <c r="BK5" i="27" s="1"/>
  <c r="BI19" i="27"/>
  <c r="BK19" i="27" s="1"/>
  <c r="BI93" i="27"/>
  <c r="BK93" i="27" s="1"/>
  <c r="BH84" i="27"/>
  <c r="BJ84" i="27" s="1"/>
  <c r="BL84" i="27" s="1"/>
  <c r="BH70" i="27"/>
  <c r="BJ70" i="27" s="1"/>
  <c r="BL70" i="27" s="1"/>
  <c r="BH80" i="27"/>
  <c r="BJ80" i="27" s="1"/>
  <c r="BL80" i="27" s="1"/>
  <c r="BH69" i="27"/>
  <c r="BJ69" i="27" s="1"/>
  <c r="BL69" i="27" s="1"/>
  <c r="BH91" i="27"/>
  <c r="BJ91" i="27" s="1"/>
  <c r="BL91" i="27" s="1"/>
  <c r="BH79" i="27"/>
  <c r="BJ79" i="27" s="1"/>
  <c r="BL79" i="27" s="1"/>
  <c r="BH55" i="27"/>
  <c r="BJ55" i="27" s="1"/>
  <c r="BL55" i="27" s="1"/>
  <c r="BH82" i="27"/>
  <c r="BJ82" i="27" s="1"/>
  <c r="BL82" i="27" s="1"/>
  <c r="BH40" i="27"/>
  <c r="BJ40" i="27" s="1"/>
  <c r="BL40" i="27" s="1"/>
  <c r="BH66" i="27"/>
  <c r="BJ66" i="27" s="1"/>
  <c r="BL66" i="27" s="1"/>
  <c r="BH51" i="27"/>
  <c r="BJ51" i="27" s="1"/>
  <c r="BL51" i="27" s="1"/>
  <c r="BH54" i="27"/>
  <c r="BJ54" i="27" s="1"/>
  <c r="BL54" i="27" s="1"/>
  <c r="BH37" i="27"/>
  <c r="BJ37" i="27" s="1"/>
  <c r="BL37" i="27" s="1"/>
  <c r="BH17" i="27"/>
  <c r="BJ17" i="27" s="1"/>
  <c r="BH50" i="27"/>
  <c r="BJ50" i="27" s="1"/>
  <c r="BL50" i="27" s="1"/>
  <c r="BH33" i="27"/>
  <c r="BJ33" i="27" s="1"/>
  <c r="BL33" i="27" s="1"/>
  <c r="BH44" i="27"/>
  <c r="BJ44" i="27" s="1"/>
  <c r="BL44" i="27" s="1"/>
  <c r="BH43" i="27"/>
  <c r="BJ43" i="27" s="1"/>
  <c r="BL43" i="27" s="1"/>
  <c r="BH30" i="27"/>
  <c r="BJ30" i="27" s="1"/>
  <c r="BL30" i="27" s="1"/>
  <c r="P72" i="27"/>
  <c r="R58" i="27"/>
  <c r="T58" i="27" s="1"/>
  <c r="V58" i="27" s="1"/>
  <c r="BI17" i="27"/>
  <c r="BK17" i="27" s="1"/>
  <c r="BI16" i="27"/>
  <c r="BK16" i="27" s="1"/>
  <c r="BI8" i="27"/>
  <c r="BK8" i="27" s="1"/>
  <c r="BI3" i="27"/>
  <c r="BI11" i="27"/>
  <c r="BK11" i="27" s="1"/>
  <c r="BI10" i="27"/>
  <c r="BK10" i="27" s="1"/>
  <c r="BH41" i="27"/>
  <c r="BJ41" i="27" s="1"/>
  <c r="BL41" i="27" s="1"/>
  <c r="BH89" i="27"/>
  <c r="BJ89" i="27" s="1"/>
  <c r="BL89" i="27" s="1"/>
  <c r="BH75" i="27"/>
  <c r="BJ75" i="27" s="1"/>
  <c r="BL75" i="27" s="1"/>
  <c r="BH25" i="27"/>
  <c r="BJ25" i="27" s="1"/>
  <c r="BL25" i="27" s="1"/>
  <c r="BH86" i="27"/>
  <c r="BJ86" i="27" s="1"/>
  <c r="BL86" i="27" s="1"/>
  <c r="BH72" i="27"/>
  <c r="BJ72" i="27" s="1"/>
  <c r="BL72" i="27" s="1"/>
  <c r="BH88" i="27"/>
  <c r="BJ88" i="27" s="1"/>
  <c r="BL88" i="27" s="1"/>
  <c r="BH71" i="27"/>
  <c r="BJ71" i="27" s="1"/>
  <c r="BL71" i="27" s="1"/>
  <c r="BH58" i="27"/>
  <c r="BJ58" i="27" s="1"/>
  <c r="BL58" i="27" s="1"/>
  <c r="BH36" i="27"/>
  <c r="BJ36" i="27" s="1"/>
  <c r="BL36" i="27" s="1"/>
  <c r="BH19" i="27"/>
  <c r="BJ19" i="27" s="1"/>
  <c r="BH22" i="27"/>
  <c r="BJ22" i="27" s="1"/>
  <c r="BL22" i="27" s="1"/>
  <c r="BH48" i="27"/>
  <c r="BJ48" i="27" s="1"/>
  <c r="BL48" i="27" s="1"/>
  <c r="BH31" i="27"/>
  <c r="BJ31" i="27" s="1"/>
  <c r="BL31" i="27" s="1"/>
  <c r="BH18" i="27"/>
  <c r="BJ18" i="27" s="1"/>
  <c r="BH65" i="27"/>
  <c r="BJ65" i="27" s="1"/>
  <c r="BL65" i="27" s="1"/>
  <c r="BH15" i="27"/>
  <c r="BJ15" i="27" s="1"/>
  <c r="BH62" i="27"/>
  <c r="BJ62" i="27" s="1"/>
  <c r="BL62" i="27" s="1"/>
  <c r="BH45" i="27"/>
  <c r="BJ45" i="27" s="1"/>
  <c r="BL45" i="27" s="1"/>
  <c r="AD25" i="27"/>
  <c r="AF25" i="27" s="1"/>
  <c r="AH25" i="27" s="1"/>
  <c r="AD5" i="27"/>
  <c r="AD6" i="27"/>
  <c r="AE17" i="27"/>
  <c r="AG17" i="27" s="1"/>
  <c r="BI18" i="27"/>
  <c r="BK18" i="27" s="1"/>
  <c r="BI13" i="27"/>
  <c r="BK13" i="27" s="1"/>
  <c r="BI14" i="27"/>
  <c r="BK14" i="27" s="1"/>
  <c r="R45" i="27"/>
  <c r="T45" i="27" s="1"/>
  <c r="V45" i="27" s="1"/>
  <c r="R91" i="27"/>
  <c r="T91" i="27" s="1"/>
  <c r="V91" i="27" s="1"/>
  <c r="BT85" i="25"/>
  <c r="BV85" i="25" s="1"/>
  <c r="BX85" i="25" s="1"/>
  <c r="N84" i="25"/>
  <c r="P84" i="25" s="1"/>
  <c r="BT84" i="25"/>
  <c r="BV84" i="25" s="1"/>
  <c r="BX84" i="25" s="1"/>
  <c r="BT89" i="25"/>
  <c r="BV89" i="25" s="1"/>
  <c r="BX89" i="25" s="1"/>
  <c r="BT81" i="25"/>
  <c r="BV81" i="25" s="1"/>
  <c r="BX81" i="25" s="1"/>
  <c r="BT77" i="25"/>
  <c r="BV77" i="25" s="1"/>
  <c r="N19" i="25"/>
  <c r="P19" i="25" s="1"/>
  <c r="N66" i="25"/>
  <c r="P66" i="25" s="1"/>
  <c r="BT92" i="25"/>
  <c r="BV92" i="25" s="1"/>
  <c r="BX92" i="25" s="1"/>
  <c r="BT88" i="25"/>
  <c r="BV88" i="25" s="1"/>
  <c r="BX88" i="25" s="1"/>
  <c r="BT80" i="25"/>
  <c r="BV80" i="25" s="1"/>
  <c r="BX80" i="25" s="1"/>
  <c r="AE50" i="25"/>
  <c r="AG50" i="25" s="1"/>
  <c r="AE57" i="25"/>
  <c r="AG57" i="25" s="1"/>
  <c r="AE64" i="25"/>
  <c r="AG64" i="25" s="1"/>
  <c r="AE72" i="25"/>
  <c r="AG72" i="25" s="1"/>
  <c r="AE56" i="25"/>
  <c r="AG56" i="25" s="1"/>
  <c r="AE63" i="25"/>
  <c r="AG63" i="25" s="1"/>
  <c r="AE67" i="25"/>
  <c r="AG67" i="25" s="1"/>
  <c r="AE47" i="25"/>
  <c r="AG47" i="25" s="1"/>
  <c r="AE42" i="25"/>
  <c r="AG42" i="25" s="1"/>
  <c r="AK60" i="25"/>
  <c r="AM60" i="25" s="1"/>
  <c r="AK72" i="25"/>
  <c r="AM72" i="25" s="1"/>
  <c r="AK61" i="25"/>
  <c r="AM61" i="25" s="1"/>
  <c r="AE65" i="25"/>
  <c r="AG65" i="25" s="1"/>
  <c r="AK73" i="25"/>
  <c r="AM73" i="25" s="1"/>
  <c r="AK52" i="25"/>
  <c r="AM52" i="25" s="1"/>
  <c r="AK64" i="25"/>
  <c r="AM64" i="25" s="1"/>
  <c r="AK67" i="25"/>
  <c r="AM67" i="25" s="1"/>
  <c r="AE71" i="25"/>
  <c r="AG71" i="25" s="1"/>
  <c r="AE73" i="25"/>
  <c r="AG73" i="25" s="1"/>
  <c r="S17" i="26"/>
  <c r="U17" i="26" s="1"/>
  <c r="B30" i="5"/>
  <c r="BF18" i="27"/>
  <c r="N67" i="25"/>
  <c r="P67" i="25" s="1"/>
  <c r="N62" i="25"/>
  <c r="BB93" i="25" s="1"/>
  <c r="BD93" i="25" s="1"/>
  <c r="N29" i="25"/>
  <c r="P29" i="25" s="1"/>
  <c r="R14" i="27"/>
  <c r="T14" i="27" s="1"/>
  <c r="R15" i="27"/>
  <c r="T15" i="27" s="1"/>
  <c r="R5" i="27"/>
  <c r="R4" i="27"/>
  <c r="R22" i="27"/>
  <c r="T22" i="27" s="1"/>
  <c r="V22" i="27" s="1"/>
  <c r="R12" i="27"/>
  <c r="T12" i="27" s="1"/>
  <c r="R3" i="27"/>
  <c r="R17" i="27"/>
  <c r="T17" i="27" s="1"/>
  <c r="R9" i="27"/>
  <c r="T9" i="27" s="1"/>
  <c r="R8" i="27"/>
  <c r="T8" i="27" s="1"/>
  <c r="V8" i="27" s="1"/>
  <c r="R18" i="27"/>
  <c r="T18" i="27" s="1"/>
  <c r="R19" i="27"/>
  <c r="T19" i="27" s="1"/>
  <c r="R13" i="27"/>
  <c r="T13" i="27" s="1"/>
  <c r="R16" i="27"/>
  <c r="T16" i="27" s="1"/>
  <c r="R25" i="27"/>
  <c r="T25" i="27" s="1"/>
  <c r="V25" i="27" s="1"/>
  <c r="R20" i="27"/>
  <c r="T20" i="27" s="1"/>
  <c r="R6" i="27"/>
  <c r="R10" i="27"/>
  <c r="T10" i="27" s="1"/>
  <c r="R11" i="27"/>
  <c r="T11" i="27" s="1"/>
  <c r="R7" i="27"/>
  <c r="R23" i="27"/>
  <c r="T23" i="27" s="1"/>
  <c r="V23" i="27" s="1"/>
  <c r="R21" i="27"/>
  <c r="T21" i="27" s="1"/>
  <c r="V21" i="27" s="1"/>
  <c r="R24" i="27"/>
  <c r="T24" i="27" s="1"/>
  <c r="V24" i="27" s="1"/>
  <c r="AE29" i="26"/>
  <c r="AG29" i="26" s="1"/>
  <c r="N5" i="25"/>
  <c r="P5" i="25" s="1"/>
  <c r="N40" i="25"/>
  <c r="P40" i="25" s="1"/>
  <c r="N37" i="25"/>
  <c r="P37" i="25" s="1"/>
  <c r="X5" i="27"/>
  <c r="X21" i="27"/>
  <c r="Z21" i="27" s="1"/>
  <c r="AB21" i="27" s="1"/>
  <c r="X6" i="27"/>
  <c r="X22" i="27"/>
  <c r="Z22" i="27" s="1"/>
  <c r="AB22" i="27" s="1"/>
  <c r="X20" i="27"/>
  <c r="Z20" i="27" s="1"/>
  <c r="X16" i="27"/>
  <c r="Z16" i="27" s="1"/>
  <c r="X23" i="27"/>
  <c r="Z23" i="27" s="1"/>
  <c r="AB23" i="27" s="1"/>
  <c r="X9" i="27"/>
  <c r="Z9" i="27" s="1"/>
  <c r="X25" i="27"/>
  <c r="Z25" i="27" s="1"/>
  <c r="AB25" i="27" s="1"/>
  <c r="X10" i="27"/>
  <c r="Z10" i="27" s="1"/>
  <c r="X3" i="27"/>
  <c r="X4" i="27"/>
  <c r="X11" i="27"/>
  <c r="Z11" i="27" s="1"/>
  <c r="X24" i="27"/>
  <c r="Z24" i="27" s="1"/>
  <c r="AB24" i="27" s="1"/>
  <c r="X19" i="27"/>
  <c r="Z19" i="27" s="1"/>
  <c r="X8" i="27"/>
  <c r="Z8" i="27" s="1"/>
  <c r="X15" i="27"/>
  <c r="Z15" i="27" s="1"/>
  <c r="X17" i="27"/>
  <c r="Z17" i="27" s="1"/>
  <c r="X18" i="27"/>
  <c r="Z18" i="27" s="1"/>
  <c r="X13" i="27"/>
  <c r="Z13" i="27" s="1"/>
  <c r="X14" i="27"/>
  <c r="Z14" i="27" s="1"/>
  <c r="X12" i="27"/>
  <c r="Z12" i="27" s="1"/>
  <c r="X7" i="27"/>
  <c r="Z7" i="27" s="1"/>
  <c r="BF16" i="27"/>
  <c r="R70" i="27"/>
  <c r="T70" i="27" s="1"/>
  <c r="V70" i="27" s="1"/>
  <c r="R33" i="27"/>
  <c r="T33" i="27" s="1"/>
  <c r="V33" i="27" s="1"/>
  <c r="R63" i="27"/>
  <c r="T63" i="27" s="1"/>
  <c r="V63" i="27" s="1"/>
  <c r="R49" i="27"/>
  <c r="T49" i="27" s="1"/>
  <c r="V49" i="27" s="1"/>
  <c r="R28" i="27"/>
  <c r="T28" i="27" s="1"/>
  <c r="V28" i="27" s="1"/>
  <c r="S4" i="27"/>
  <c r="U4" i="27" s="1"/>
  <c r="S7" i="27"/>
  <c r="U7" i="27" s="1"/>
  <c r="R72" i="27"/>
  <c r="T72" i="27" s="1"/>
  <c r="V72" i="27" s="1"/>
  <c r="R64" i="27"/>
  <c r="T64" i="27" s="1"/>
  <c r="V64" i="27" s="1"/>
  <c r="R44" i="27"/>
  <c r="T44" i="27" s="1"/>
  <c r="V44" i="27" s="1"/>
  <c r="R76" i="27"/>
  <c r="T76" i="27" s="1"/>
  <c r="V76" i="27" s="1"/>
  <c r="R84" i="27"/>
  <c r="T84" i="27" s="1"/>
  <c r="V84" i="27" s="1"/>
  <c r="R89" i="27"/>
  <c r="T89" i="27" s="1"/>
  <c r="V89" i="27" s="1"/>
  <c r="R47" i="27"/>
  <c r="T47" i="27" s="1"/>
  <c r="V47" i="27" s="1"/>
  <c r="R66" i="27"/>
  <c r="T66" i="27" s="1"/>
  <c r="V66" i="27" s="1"/>
  <c r="R59" i="27"/>
  <c r="T59" i="27" s="1"/>
  <c r="V59" i="27" s="1"/>
  <c r="R27" i="27"/>
  <c r="T27" i="27" s="1"/>
  <c r="V27" i="27" s="1"/>
  <c r="BB14" i="27"/>
  <c r="BD14" i="27" s="1"/>
  <c r="BF14" i="27" s="1"/>
  <c r="BH13" i="27"/>
  <c r="BJ13" i="27" s="1"/>
  <c r="BT12" i="27"/>
  <c r="BV12" i="27" s="1"/>
  <c r="BT9" i="27"/>
  <c r="BV9" i="27" s="1"/>
  <c r="BB10" i="27"/>
  <c r="BD10" i="27" s="1"/>
  <c r="BF10" i="27" s="1"/>
  <c r="BB13" i="27"/>
  <c r="BD13" i="27" s="1"/>
  <c r="BF13" i="27" s="1"/>
  <c r="BT11" i="27"/>
  <c r="BV11" i="27" s="1"/>
  <c r="BH11" i="27"/>
  <c r="BJ11" i="27" s="1"/>
  <c r="BH8" i="27"/>
  <c r="BJ8" i="27" s="1"/>
  <c r="BF17" i="27"/>
  <c r="BB11" i="27"/>
  <c r="BD11" i="27" s="1"/>
  <c r="BF11" i="27" s="1"/>
  <c r="BT13" i="27"/>
  <c r="BV13" i="27" s="1"/>
  <c r="BT14" i="27"/>
  <c r="BV14" i="27" s="1"/>
  <c r="BH12" i="27"/>
  <c r="BJ12" i="27" s="1"/>
  <c r="BL12" i="27" s="1"/>
  <c r="BH14" i="27"/>
  <c r="BJ14" i="27" s="1"/>
  <c r="BH10" i="27"/>
  <c r="BJ10" i="27" s="1"/>
  <c r="BH9" i="27"/>
  <c r="BJ9" i="27" s="1"/>
  <c r="BB9" i="27"/>
  <c r="BD9" i="27" s="1"/>
  <c r="BF9" i="27" s="1"/>
  <c r="BF19" i="27"/>
  <c r="BF15" i="27"/>
  <c r="BB12" i="27"/>
  <c r="BD12" i="27" s="1"/>
  <c r="BF12" i="27" s="1"/>
  <c r="S19" i="27"/>
  <c r="U19" i="27" s="1"/>
  <c r="S16" i="27"/>
  <c r="U16" i="27" s="1"/>
  <c r="S15" i="27"/>
  <c r="U15" i="27" s="1"/>
  <c r="S17" i="27"/>
  <c r="U17" i="27" s="1"/>
  <c r="S13" i="27"/>
  <c r="U13" i="27" s="1"/>
  <c r="R83" i="27"/>
  <c r="T83" i="27" s="1"/>
  <c r="V83" i="27" s="1"/>
  <c r="S10" i="27"/>
  <c r="U10" i="27" s="1"/>
  <c r="S3" i="27"/>
  <c r="R78" i="27"/>
  <c r="T78" i="27" s="1"/>
  <c r="V78" i="27" s="1"/>
  <c r="R67" i="27"/>
  <c r="T67" i="27" s="1"/>
  <c r="V67" i="27" s="1"/>
  <c r="S9" i="27"/>
  <c r="U9" i="27" s="1"/>
  <c r="R73" i="27"/>
  <c r="T73" i="27" s="1"/>
  <c r="V73" i="27" s="1"/>
  <c r="S5" i="27"/>
  <c r="U5" i="27" s="1"/>
  <c r="R86" i="27"/>
  <c r="T86" i="27" s="1"/>
  <c r="V86" i="27" s="1"/>
  <c r="R74" i="27"/>
  <c r="T74" i="27" s="1"/>
  <c r="V74" i="27" s="1"/>
  <c r="R60" i="27"/>
  <c r="T60" i="27" s="1"/>
  <c r="V60" i="27" s="1"/>
  <c r="R53" i="27"/>
  <c r="T53" i="27" s="1"/>
  <c r="V53" i="27" s="1"/>
  <c r="R93" i="27"/>
  <c r="T93" i="27" s="1"/>
  <c r="R37" i="27"/>
  <c r="T37" i="27" s="1"/>
  <c r="V37" i="27" s="1"/>
  <c r="R46" i="27"/>
  <c r="T46" i="27" s="1"/>
  <c r="V46" i="27" s="1"/>
  <c r="R30" i="27"/>
  <c r="T30" i="27" s="1"/>
  <c r="V30" i="27" s="1"/>
  <c r="R48" i="27"/>
  <c r="T48" i="27" s="1"/>
  <c r="V48" i="27" s="1"/>
  <c r="R31" i="27"/>
  <c r="T31" i="27" s="1"/>
  <c r="V31" i="27" s="1"/>
  <c r="R40" i="27"/>
  <c r="T40" i="27" s="1"/>
  <c r="V40" i="27" s="1"/>
  <c r="S18" i="27"/>
  <c r="U18" i="27" s="1"/>
  <c r="S12" i="27"/>
  <c r="U12" i="27" s="1"/>
  <c r="R85" i="27"/>
  <c r="T85" i="27" s="1"/>
  <c r="V85" i="27" s="1"/>
  <c r="S6" i="27"/>
  <c r="U6" i="27" s="1"/>
  <c r="S11" i="27"/>
  <c r="U11" i="27" s="1"/>
  <c r="R41" i="27"/>
  <c r="T41" i="27" s="1"/>
  <c r="V41" i="27" s="1"/>
  <c r="R87" i="27"/>
  <c r="T87" i="27" s="1"/>
  <c r="V87" i="27" s="1"/>
  <c r="R69" i="27"/>
  <c r="T69" i="27" s="1"/>
  <c r="V69" i="27" s="1"/>
  <c r="R54" i="27"/>
  <c r="T54" i="27" s="1"/>
  <c r="V54" i="27" s="1"/>
  <c r="R80" i="27"/>
  <c r="T80" i="27" s="1"/>
  <c r="V80" i="27" s="1"/>
  <c r="R35" i="27"/>
  <c r="T35" i="27" s="1"/>
  <c r="V35" i="27" s="1"/>
  <c r="R90" i="27"/>
  <c r="T90" i="27" s="1"/>
  <c r="V90" i="27" s="1"/>
  <c r="R81" i="27"/>
  <c r="T81" i="27" s="1"/>
  <c r="V81" i="27" s="1"/>
  <c r="R52" i="27"/>
  <c r="T52" i="27" s="1"/>
  <c r="V52" i="27" s="1"/>
  <c r="R65" i="27"/>
  <c r="T65" i="27" s="1"/>
  <c r="V65" i="27" s="1"/>
  <c r="R57" i="27"/>
  <c r="T57" i="27" s="1"/>
  <c r="V57" i="27" s="1"/>
  <c r="R43" i="27"/>
  <c r="T43" i="27" s="1"/>
  <c r="V43" i="27" s="1"/>
  <c r="R61" i="27"/>
  <c r="T61" i="27" s="1"/>
  <c r="V61" i="27" s="1"/>
  <c r="R55" i="27"/>
  <c r="T55" i="27" s="1"/>
  <c r="V55" i="27" s="1"/>
  <c r="R39" i="27"/>
  <c r="T39" i="27" s="1"/>
  <c r="V39" i="27" s="1"/>
  <c r="R38" i="27"/>
  <c r="T38" i="27" s="1"/>
  <c r="V38" i="27" s="1"/>
  <c r="R32" i="27"/>
  <c r="T32" i="27" s="1"/>
  <c r="V32" i="27" s="1"/>
  <c r="P5" i="27"/>
  <c r="B30" i="4"/>
  <c r="S14" i="27"/>
  <c r="U14" i="27" s="1"/>
  <c r="S20" i="27"/>
  <c r="U20" i="27" s="1"/>
  <c r="R71" i="27"/>
  <c r="T71" i="27" s="1"/>
  <c r="V71" i="27" s="1"/>
  <c r="R92" i="27"/>
  <c r="T92" i="27" s="1"/>
  <c r="V92" i="27" s="1"/>
  <c r="R82" i="27"/>
  <c r="T82" i="27" s="1"/>
  <c r="V82" i="27" s="1"/>
  <c r="S93" i="27"/>
  <c r="U93" i="27" s="1"/>
  <c r="R79" i="27"/>
  <c r="T79" i="27" s="1"/>
  <c r="V79" i="27" s="1"/>
  <c r="R68" i="27"/>
  <c r="T68" i="27" s="1"/>
  <c r="V68" i="27" s="1"/>
  <c r="R51" i="27"/>
  <c r="T51" i="27" s="1"/>
  <c r="V51" i="27" s="1"/>
  <c r="R75" i="27"/>
  <c r="T75" i="27" s="1"/>
  <c r="V75" i="27" s="1"/>
  <c r="R29" i="27"/>
  <c r="T29" i="27" s="1"/>
  <c r="V29" i="27" s="1"/>
  <c r="R88" i="27"/>
  <c r="T88" i="27" s="1"/>
  <c r="V88" i="27" s="1"/>
  <c r="R77" i="27"/>
  <c r="T77" i="27" s="1"/>
  <c r="V77" i="27" s="1"/>
  <c r="R26" i="27"/>
  <c r="T26" i="27" s="1"/>
  <c r="V26" i="27" s="1"/>
  <c r="R62" i="27"/>
  <c r="T62" i="27" s="1"/>
  <c r="V62" i="27" s="1"/>
  <c r="R56" i="27"/>
  <c r="T56" i="27" s="1"/>
  <c r="V56" i="27" s="1"/>
  <c r="R50" i="27"/>
  <c r="T50" i="27" s="1"/>
  <c r="V50" i="27" s="1"/>
  <c r="R34" i="27"/>
  <c r="T34" i="27" s="1"/>
  <c r="V34" i="27" s="1"/>
  <c r="R36" i="27"/>
  <c r="T36" i="27" s="1"/>
  <c r="V36" i="27" s="1"/>
  <c r="R42" i="27"/>
  <c r="T42" i="27" s="1"/>
  <c r="V42" i="27" s="1"/>
  <c r="P92" i="27"/>
  <c r="BU7" i="27"/>
  <c r="BW7" i="27" s="1"/>
  <c r="BU8" i="27"/>
  <c r="BW8" i="27" s="1"/>
  <c r="BU9" i="27"/>
  <c r="BW9" i="27" s="1"/>
  <c r="BU93" i="27"/>
  <c r="BW93" i="27" s="1"/>
  <c r="BX93" i="27" s="1"/>
  <c r="BU3" i="27"/>
  <c r="BU5" i="27"/>
  <c r="BW5" i="27" s="1"/>
  <c r="BU10" i="27"/>
  <c r="BW10" i="27" s="1"/>
  <c r="BX10" i="27" s="1"/>
  <c r="BU11" i="27"/>
  <c r="BW11" i="27" s="1"/>
  <c r="BU4" i="27"/>
  <c r="BW4" i="27" s="1"/>
  <c r="BU6" i="27"/>
  <c r="BW6" i="27" s="1"/>
  <c r="BU16" i="27"/>
  <c r="BW16" i="27" s="1"/>
  <c r="BX16" i="27" s="1"/>
  <c r="BU19" i="27"/>
  <c r="BW19" i="27" s="1"/>
  <c r="BX19" i="27" s="1"/>
  <c r="BU18" i="27"/>
  <c r="BW18" i="27" s="1"/>
  <c r="BX18" i="27" s="1"/>
  <c r="BU17" i="27"/>
  <c r="BW17" i="27" s="1"/>
  <c r="BX17" i="27" s="1"/>
  <c r="BU13" i="27"/>
  <c r="BW13" i="27" s="1"/>
  <c r="BU15" i="27"/>
  <c r="BW15" i="27" s="1"/>
  <c r="BX15" i="27" s="1"/>
  <c r="BU14" i="27"/>
  <c r="BW14" i="27" s="1"/>
  <c r="BU20" i="27"/>
  <c r="BW20" i="27" s="1"/>
  <c r="BX20" i="27" s="1"/>
  <c r="BU12" i="27"/>
  <c r="BW12" i="27" s="1"/>
  <c r="BT8" i="27"/>
  <c r="BV8" i="27" s="1"/>
  <c r="P42" i="27"/>
  <c r="AP14" i="27"/>
  <c r="AR14" i="27" s="1"/>
  <c r="AP30" i="27"/>
  <c r="AR30" i="27" s="1"/>
  <c r="AT30" i="27" s="1"/>
  <c r="AP12" i="27"/>
  <c r="AR12" i="27" s="1"/>
  <c r="AP27" i="27"/>
  <c r="AR27" i="27" s="1"/>
  <c r="AT27" i="27" s="1"/>
  <c r="AP20" i="27"/>
  <c r="AR20" i="27" s="1"/>
  <c r="AP9" i="27"/>
  <c r="AR9" i="27" s="1"/>
  <c r="AP29" i="27"/>
  <c r="AR29" i="27" s="1"/>
  <c r="AT29" i="27" s="1"/>
  <c r="AP36" i="27"/>
  <c r="AR36" i="27" s="1"/>
  <c r="AT36" i="27" s="1"/>
  <c r="AP38" i="27"/>
  <c r="AR38" i="27" s="1"/>
  <c r="AT38" i="27" s="1"/>
  <c r="AP44" i="27"/>
  <c r="AR44" i="27" s="1"/>
  <c r="AT44" i="27" s="1"/>
  <c r="AP18" i="27"/>
  <c r="AR18" i="27" s="1"/>
  <c r="AP34" i="27"/>
  <c r="AR34" i="27" s="1"/>
  <c r="AT34" i="27" s="1"/>
  <c r="AP16" i="27"/>
  <c r="AR16" i="27" s="1"/>
  <c r="AP31" i="27"/>
  <c r="AR31" i="27" s="1"/>
  <c r="AT31" i="27" s="1"/>
  <c r="AP11" i="27"/>
  <c r="AR11" i="27" s="1"/>
  <c r="AP24" i="27"/>
  <c r="AR24" i="27" s="1"/>
  <c r="AT24" i="27" s="1"/>
  <c r="AP13" i="27"/>
  <c r="AR13" i="27" s="1"/>
  <c r="AP39" i="27"/>
  <c r="AR39" i="27" s="1"/>
  <c r="AT39" i="27" s="1"/>
  <c r="AP45" i="27"/>
  <c r="AR45" i="27" s="1"/>
  <c r="AT45" i="27" s="1"/>
  <c r="AP46" i="27"/>
  <c r="AR46" i="27" s="1"/>
  <c r="AT46" i="27" s="1"/>
  <c r="AP47" i="27"/>
  <c r="AR47" i="27" s="1"/>
  <c r="AT47" i="27" s="1"/>
  <c r="AP22" i="27"/>
  <c r="AR22" i="27" s="1"/>
  <c r="AT22" i="27" s="1"/>
  <c r="AP19" i="27"/>
  <c r="AR19" i="27" s="1"/>
  <c r="AP15" i="27"/>
  <c r="AR15" i="27" s="1"/>
  <c r="AP28" i="27"/>
  <c r="AR28" i="27" s="1"/>
  <c r="AT28" i="27" s="1"/>
  <c r="AP21" i="27"/>
  <c r="AR21" i="27" s="1"/>
  <c r="AT21" i="27" s="1"/>
  <c r="AP35" i="27"/>
  <c r="AR35" i="27" s="1"/>
  <c r="AT35" i="27" s="1"/>
  <c r="AP37" i="27"/>
  <c r="AR37" i="27" s="1"/>
  <c r="AT37" i="27" s="1"/>
  <c r="AP41" i="27"/>
  <c r="AR41" i="27" s="1"/>
  <c r="AT41" i="27" s="1"/>
  <c r="AP43" i="27"/>
  <c r="AR43" i="27" s="1"/>
  <c r="AT43" i="27" s="1"/>
  <c r="AP23" i="27"/>
  <c r="AR23" i="27" s="1"/>
  <c r="AT23" i="27" s="1"/>
  <c r="AP7" i="27"/>
  <c r="AR7" i="27" s="1"/>
  <c r="AP50" i="27"/>
  <c r="AR50" i="27" s="1"/>
  <c r="AT50" i="27" s="1"/>
  <c r="AP51" i="27"/>
  <c r="AR51" i="27" s="1"/>
  <c r="AT51" i="27" s="1"/>
  <c r="AP56" i="27"/>
  <c r="AR56" i="27" s="1"/>
  <c r="AT56" i="27" s="1"/>
  <c r="AP60" i="27"/>
  <c r="AR60" i="27" s="1"/>
  <c r="AT60" i="27" s="1"/>
  <c r="AP62" i="27"/>
  <c r="AR62" i="27" s="1"/>
  <c r="AT62" i="27" s="1"/>
  <c r="AP66" i="27"/>
  <c r="AR66" i="27" s="1"/>
  <c r="AT66" i="27" s="1"/>
  <c r="AP10" i="27"/>
  <c r="AR10" i="27" s="1"/>
  <c r="AP93" i="27"/>
  <c r="AR93" i="27" s="1"/>
  <c r="AP25" i="27"/>
  <c r="AR25" i="27" s="1"/>
  <c r="AT25" i="27" s="1"/>
  <c r="AP42" i="27"/>
  <c r="AR42" i="27" s="1"/>
  <c r="AT42" i="27" s="1"/>
  <c r="AP49" i="27"/>
  <c r="AR49" i="27" s="1"/>
  <c r="AT49" i="27" s="1"/>
  <c r="AP53" i="27"/>
  <c r="AR53" i="27" s="1"/>
  <c r="AT53" i="27" s="1"/>
  <c r="AP61" i="27"/>
  <c r="AR61" i="27" s="1"/>
  <c r="AT61" i="27" s="1"/>
  <c r="AP64" i="27"/>
  <c r="AR64" i="27" s="1"/>
  <c r="AT64" i="27" s="1"/>
  <c r="AP67" i="27"/>
  <c r="AR67" i="27" s="1"/>
  <c r="AT67" i="27" s="1"/>
  <c r="AP26" i="27"/>
  <c r="AR26" i="27" s="1"/>
  <c r="AT26" i="27" s="1"/>
  <c r="AP17" i="27"/>
  <c r="AR17" i="27" s="1"/>
  <c r="AP40" i="27"/>
  <c r="AR40" i="27" s="1"/>
  <c r="AT40" i="27" s="1"/>
  <c r="AP48" i="27"/>
  <c r="AR48" i="27" s="1"/>
  <c r="AT48" i="27" s="1"/>
  <c r="AP52" i="27"/>
  <c r="AR52" i="27" s="1"/>
  <c r="AT52" i="27" s="1"/>
  <c r="AP54" i="27"/>
  <c r="AR54" i="27" s="1"/>
  <c r="AT54" i="27" s="1"/>
  <c r="AP59" i="27"/>
  <c r="AR59" i="27" s="1"/>
  <c r="AT59" i="27" s="1"/>
  <c r="AP63" i="27"/>
  <c r="AR63" i="27" s="1"/>
  <c r="AT63" i="27" s="1"/>
  <c r="AP32" i="27"/>
  <c r="AR32" i="27" s="1"/>
  <c r="AT32" i="27" s="1"/>
  <c r="AP70" i="27"/>
  <c r="AR70" i="27" s="1"/>
  <c r="AT70" i="27" s="1"/>
  <c r="AP73" i="27"/>
  <c r="AR73" i="27" s="1"/>
  <c r="AT73" i="27" s="1"/>
  <c r="AP76" i="27"/>
  <c r="AR76" i="27" s="1"/>
  <c r="AT76" i="27" s="1"/>
  <c r="AP84" i="27"/>
  <c r="AR84" i="27" s="1"/>
  <c r="AT84" i="27" s="1"/>
  <c r="AP87" i="27"/>
  <c r="AR87" i="27" s="1"/>
  <c r="AT87" i="27" s="1"/>
  <c r="AP89" i="27"/>
  <c r="AR89" i="27" s="1"/>
  <c r="AT89" i="27" s="1"/>
  <c r="AP58" i="27"/>
  <c r="AR58" i="27" s="1"/>
  <c r="AT58" i="27" s="1"/>
  <c r="AP69" i="27"/>
  <c r="AR69" i="27" s="1"/>
  <c r="AT69" i="27" s="1"/>
  <c r="AP71" i="27"/>
  <c r="AR71" i="27" s="1"/>
  <c r="AT71" i="27" s="1"/>
  <c r="AP77" i="27"/>
  <c r="AR77" i="27" s="1"/>
  <c r="AT77" i="27" s="1"/>
  <c r="AP79" i="27"/>
  <c r="AR79" i="27" s="1"/>
  <c r="AT79" i="27" s="1"/>
  <c r="AP82" i="27"/>
  <c r="AR82" i="27" s="1"/>
  <c r="AT82" i="27" s="1"/>
  <c r="AP33" i="27"/>
  <c r="AR33" i="27" s="1"/>
  <c r="AT33" i="27" s="1"/>
  <c r="AP57" i="27"/>
  <c r="AR57" i="27" s="1"/>
  <c r="AT57" i="27" s="1"/>
  <c r="AP65" i="27"/>
  <c r="AR65" i="27" s="1"/>
  <c r="AT65" i="27" s="1"/>
  <c r="AP72" i="27"/>
  <c r="AR72" i="27" s="1"/>
  <c r="AT72" i="27" s="1"/>
  <c r="AP74" i="27"/>
  <c r="AR74" i="27" s="1"/>
  <c r="AT74" i="27" s="1"/>
  <c r="AP80" i="27"/>
  <c r="AR80" i="27" s="1"/>
  <c r="AT80" i="27" s="1"/>
  <c r="AP81" i="27"/>
  <c r="AR81" i="27" s="1"/>
  <c r="AT81" i="27" s="1"/>
  <c r="AP83" i="27"/>
  <c r="AR83" i="27" s="1"/>
  <c r="AT83" i="27" s="1"/>
  <c r="AP85" i="27"/>
  <c r="AR85" i="27" s="1"/>
  <c r="AT85" i="27" s="1"/>
  <c r="AP91" i="27"/>
  <c r="AR91" i="27" s="1"/>
  <c r="AT91" i="27" s="1"/>
  <c r="AP92" i="27"/>
  <c r="AR92" i="27" s="1"/>
  <c r="AT92" i="27" s="1"/>
  <c r="AP55" i="27"/>
  <c r="AR55" i="27" s="1"/>
  <c r="AT55" i="27" s="1"/>
  <c r="AP68" i="27"/>
  <c r="AR68" i="27" s="1"/>
  <c r="AT68" i="27" s="1"/>
  <c r="AP90" i="27"/>
  <c r="AR90" i="27" s="1"/>
  <c r="AT90" i="27" s="1"/>
  <c r="AQ5" i="27"/>
  <c r="AS5" i="27" s="1"/>
  <c r="AQ4" i="27"/>
  <c r="AS4" i="27" s="1"/>
  <c r="AP78" i="27"/>
  <c r="AR78" i="27" s="1"/>
  <c r="AT78" i="27" s="1"/>
  <c r="AQ93" i="27"/>
  <c r="AS93" i="27" s="1"/>
  <c r="AQ9" i="27"/>
  <c r="AS9" i="27" s="1"/>
  <c r="AQ6" i="27"/>
  <c r="AS6" i="27" s="1"/>
  <c r="AP75" i="27"/>
  <c r="AR75" i="27" s="1"/>
  <c r="AT75" i="27" s="1"/>
  <c r="AP86" i="27"/>
  <c r="AR86" i="27" s="1"/>
  <c r="AT86" i="27" s="1"/>
  <c r="AQ7" i="27"/>
  <c r="AS7" i="27" s="1"/>
  <c r="AQ3" i="27"/>
  <c r="AQ8" i="27"/>
  <c r="AS8" i="27" s="1"/>
  <c r="AQ10" i="27"/>
  <c r="AS10" i="27" s="1"/>
  <c r="AP8" i="27"/>
  <c r="AR8" i="27" s="1"/>
  <c r="AQ11" i="27"/>
  <c r="AS11" i="27" s="1"/>
  <c r="AP88" i="27"/>
  <c r="AR88" i="27" s="1"/>
  <c r="AT88" i="27" s="1"/>
  <c r="AQ12" i="27"/>
  <c r="AS12" i="27" s="1"/>
  <c r="AQ20" i="27"/>
  <c r="AS20" i="27" s="1"/>
  <c r="AQ18" i="27"/>
  <c r="AS18" i="27" s="1"/>
  <c r="AQ13" i="27"/>
  <c r="AS13" i="27" s="1"/>
  <c r="AQ15" i="27"/>
  <c r="AS15" i="27" s="1"/>
  <c r="AQ16" i="27"/>
  <c r="AS16" i="27" s="1"/>
  <c r="AQ17" i="27"/>
  <c r="AS17" i="27" s="1"/>
  <c r="AQ14" i="27"/>
  <c r="AS14" i="27" s="1"/>
  <c r="AQ19" i="27"/>
  <c r="AS19" i="27" s="1"/>
  <c r="P12" i="27"/>
  <c r="X26" i="27"/>
  <c r="Z26" i="27" s="1"/>
  <c r="AB26" i="27" s="1"/>
  <c r="X28" i="27"/>
  <c r="Z28" i="27" s="1"/>
  <c r="AB28" i="27" s="1"/>
  <c r="X30" i="27"/>
  <c r="Z30" i="27" s="1"/>
  <c r="AB30" i="27" s="1"/>
  <c r="X33" i="27"/>
  <c r="Z33" i="27" s="1"/>
  <c r="AB33" i="27" s="1"/>
  <c r="X39" i="27"/>
  <c r="Z39" i="27" s="1"/>
  <c r="AB39" i="27" s="1"/>
  <c r="X45" i="27"/>
  <c r="Z45" i="27" s="1"/>
  <c r="AB45" i="27" s="1"/>
  <c r="X46" i="27"/>
  <c r="Z46" i="27" s="1"/>
  <c r="AB46" i="27" s="1"/>
  <c r="X93" i="27"/>
  <c r="Z93" i="27" s="1"/>
  <c r="X29" i="27"/>
  <c r="Z29" i="27" s="1"/>
  <c r="AB29" i="27" s="1"/>
  <c r="X34" i="27"/>
  <c r="Z34" i="27" s="1"/>
  <c r="AB34" i="27" s="1"/>
  <c r="X35" i="27"/>
  <c r="Z35" i="27" s="1"/>
  <c r="AB35" i="27" s="1"/>
  <c r="X36" i="27"/>
  <c r="Z36" i="27" s="1"/>
  <c r="AB36" i="27" s="1"/>
  <c r="X38" i="27"/>
  <c r="Z38" i="27" s="1"/>
  <c r="AB38" i="27" s="1"/>
  <c r="X40" i="27"/>
  <c r="Z40" i="27" s="1"/>
  <c r="AB40" i="27" s="1"/>
  <c r="X49" i="27"/>
  <c r="Z49" i="27" s="1"/>
  <c r="AB49" i="27" s="1"/>
  <c r="X50" i="27"/>
  <c r="Z50" i="27" s="1"/>
  <c r="AB50" i="27" s="1"/>
  <c r="X32" i="27"/>
  <c r="Z32" i="27" s="1"/>
  <c r="AB32" i="27" s="1"/>
  <c r="X37" i="27"/>
  <c r="Z37" i="27" s="1"/>
  <c r="AB37" i="27" s="1"/>
  <c r="X42" i="27"/>
  <c r="Z42" i="27" s="1"/>
  <c r="AB42" i="27" s="1"/>
  <c r="X27" i="27"/>
  <c r="Z27" i="27" s="1"/>
  <c r="AB27" i="27" s="1"/>
  <c r="X41" i="27"/>
  <c r="Z41" i="27" s="1"/>
  <c r="AB41" i="27" s="1"/>
  <c r="X53" i="27"/>
  <c r="Z53" i="27" s="1"/>
  <c r="AB53" i="27" s="1"/>
  <c r="X61" i="27"/>
  <c r="Z61" i="27" s="1"/>
  <c r="AB61" i="27" s="1"/>
  <c r="X31" i="27"/>
  <c r="Z31" i="27" s="1"/>
  <c r="AB31" i="27" s="1"/>
  <c r="X44" i="27"/>
  <c r="Z44" i="27" s="1"/>
  <c r="AB44" i="27" s="1"/>
  <c r="X48" i="27"/>
  <c r="Z48" i="27" s="1"/>
  <c r="AB48" i="27" s="1"/>
  <c r="X52" i="27"/>
  <c r="Z52" i="27" s="1"/>
  <c r="AB52" i="27" s="1"/>
  <c r="X54" i="27"/>
  <c r="Z54" i="27" s="1"/>
  <c r="AB54" i="27" s="1"/>
  <c r="X57" i="27"/>
  <c r="Z57" i="27" s="1"/>
  <c r="AB57" i="27" s="1"/>
  <c r="X58" i="27"/>
  <c r="Z58" i="27" s="1"/>
  <c r="AB58" i="27" s="1"/>
  <c r="X59" i="27"/>
  <c r="Z59" i="27" s="1"/>
  <c r="AB59" i="27" s="1"/>
  <c r="X62" i="27"/>
  <c r="Z62" i="27" s="1"/>
  <c r="AB62" i="27" s="1"/>
  <c r="X65" i="27"/>
  <c r="Z65" i="27" s="1"/>
  <c r="AB65" i="27" s="1"/>
  <c r="X67" i="27"/>
  <c r="Z67" i="27" s="1"/>
  <c r="AB67" i="27" s="1"/>
  <c r="X47" i="27"/>
  <c r="Z47" i="27" s="1"/>
  <c r="AB47" i="27" s="1"/>
  <c r="X51" i="27"/>
  <c r="Z51" i="27" s="1"/>
  <c r="AB51" i="27" s="1"/>
  <c r="X55" i="27"/>
  <c r="Z55" i="27" s="1"/>
  <c r="AB55" i="27" s="1"/>
  <c r="X56" i="27"/>
  <c r="Z56" i="27" s="1"/>
  <c r="AB56" i="27" s="1"/>
  <c r="X63" i="27"/>
  <c r="Z63" i="27" s="1"/>
  <c r="AB63" i="27" s="1"/>
  <c r="X66" i="27"/>
  <c r="Z66" i="27" s="1"/>
  <c r="AB66" i="27" s="1"/>
  <c r="X43" i="27"/>
  <c r="Z43" i="27" s="1"/>
  <c r="AB43" i="27" s="1"/>
  <c r="X64" i="27"/>
  <c r="Z64" i="27" s="1"/>
  <c r="AB64" i="27" s="1"/>
  <c r="X79" i="27"/>
  <c r="Z79" i="27" s="1"/>
  <c r="AB79" i="27" s="1"/>
  <c r="X85" i="27"/>
  <c r="Z85" i="27" s="1"/>
  <c r="AB85" i="27" s="1"/>
  <c r="X92" i="27"/>
  <c r="Z92" i="27" s="1"/>
  <c r="AB92" i="27" s="1"/>
  <c r="Y7" i="27"/>
  <c r="AA7" i="27" s="1"/>
  <c r="Y9" i="27"/>
  <c r="AA9" i="27" s="1"/>
  <c r="Y11" i="27"/>
  <c r="AA11" i="27" s="1"/>
  <c r="X60" i="27"/>
  <c r="Z60" i="27" s="1"/>
  <c r="AB60" i="27" s="1"/>
  <c r="X72" i="27"/>
  <c r="Z72" i="27" s="1"/>
  <c r="AB72" i="27" s="1"/>
  <c r="X77" i="27"/>
  <c r="Z77" i="27" s="1"/>
  <c r="AB77" i="27" s="1"/>
  <c r="X81" i="27"/>
  <c r="Z81" i="27" s="1"/>
  <c r="AB81" i="27" s="1"/>
  <c r="X84" i="27"/>
  <c r="Z84" i="27" s="1"/>
  <c r="AB84" i="27" s="1"/>
  <c r="X86" i="27"/>
  <c r="Z86" i="27" s="1"/>
  <c r="AB86" i="27" s="1"/>
  <c r="X87" i="27"/>
  <c r="Z87" i="27" s="1"/>
  <c r="AB87" i="27" s="1"/>
  <c r="X88" i="27"/>
  <c r="Z88" i="27" s="1"/>
  <c r="AB88" i="27" s="1"/>
  <c r="X89" i="27"/>
  <c r="Z89" i="27" s="1"/>
  <c r="AB89" i="27" s="1"/>
  <c r="X90" i="27"/>
  <c r="Z90" i="27" s="1"/>
  <c r="AB90" i="27" s="1"/>
  <c r="X91" i="27"/>
  <c r="Z91" i="27" s="1"/>
  <c r="AB91" i="27" s="1"/>
  <c r="Y5" i="27"/>
  <c r="AA5" i="27" s="1"/>
  <c r="X68" i="27"/>
  <c r="Z68" i="27" s="1"/>
  <c r="AB68" i="27" s="1"/>
  <c r="X70" i="27"/>
  <c r="Z70" i="27" s="1"/>
  <c r="AB70" i="27" s="1"/>
  <c r="X73" i="27"/>
  <c r="Z73" i="27" s="1"/>
  <c r="AB73" i="27" s="1"/>
  <c r="X76" i="27"/>
  <c r="Z76" i="27" s="1"/>
  <c r="AB76" i="27" s="1"/>
  <c r="X82" i="27"/>
  <c r="Z82" i="27" s="1"/>
  <c r="AB82" i="27" s="1"/>
  <c r="X83" i="27"/>
  <c r="Z83" i="27" s="1"/>
  <c r="AB83" i="27" s="1"/>
  <c r="Y93" i="27"/>
  <c r="AA93" i="27" s="1"/>
  <c r="Y4" i="27"/>
  <c r="AA4" i="27" s="1"/>
  <c r="Y6" i="27"/>
  <c r="AA6" i="27" s="1"/>
  <c r="Y8" i="27"/>
  <c r="AA8" i="27" s="1"/>
  <c r="Y10" i="27"/>
  <c r="AA10" i="27" s="1"/>
  <c r="X71" i="27"/>
  <c r="Z71" i="27" s="1"/>
  <c r="AB71" i="27" s="1"/>
  <c r="X80" i="27"/>
  <c r="Z80" i="27" s="1"/>
  <c r="AB80" i="27" s="1"/>
  <c r="X74" i="27"/>
  <c r="Z74" i="27" s="1"/>
  <c r="AB74" i="27" s="1"/>
  <c r="X78" i="27"/>
  <c r="Z78" i="27" s="1"/>
  <c r="AB78" i="27" s="1"/>
  <c r="Y3" i="27"/>
  <c r="Y16" i="27"/>
  <c r="AA16" i="27" s="1"/>
  <c r="X69" i="27"/>
  <c r="Z69" i="27" s="1"/>
  <c r="AB69" i="27" s="1"/>
  <c r="X75" i="27"/>
  <c r="Z75" i="27" s="1"/>
  <c r="AB75" i="27" s="1"/>
  <c r="Y20" i="27"/>
  <c r="AA20" i="27" s="1"/>
  <c r="Y17" i="27"/>
  <c r="AA17" i="27" s="1"/>
  <c r="Y18" i="27"/>
  <c r="AA18" i="27" s="1"/>
  <c r="Y13" i="27"/>
  <c r="AA13" i="27" s="1"/>
  <c r="Y12" i="27"/>
  <c r="AA12" i="27" s="1"/>
  <c r="Y15" i="27"/>
  <c r="AA15" i="27" s="1"/>
  <c r="Y14" i="27"/>
  <c r="AA14" i="27" s="1"/>
  <c r="Y19" i="27"/>
  <c r="AA19" i="27" s="1"/>
  <c r="BF93" i="27"/>
  <c r="P32" i="27"/>
  <c r="AJ10" i="27"/>
  <c r="AL10" i="27" s="1"/>
  <c r="AJ23" i="27"/>
  <c r="AL23" i="27" s="1"/>
  <c r="AN23" i="27" s="1"/>
  <c r="AJ8" i="27"/>
  <c r="AL8" i="27" s="1"/>
  <c r="AJ19" i="27"/>
  <c r="AL19" i="27" s="1"/>
  <c r="AJ9" i="27"/>
  <c r="AL9" i="27" s="1"/>
  <c r="AJ17" i="27"/>
  <c r="AL17" i="27" s="1"/>
  <c r="AJ26" i="27"/>
  <c r="AL26" i="27" s="1"/>
  <c r="AN26" i="27" s="1"/>
  <c r="AJ30" i="27"/>
  <c r="AL30" i="27" s="1"/>
  <c r="AN30" i="27" s="1"/>
  <c r="AJ37" i="27"/>
  <c r="AL37" i="27" s="1"/>
  <c r="AN37" i="27" s="1"/>
  <c r="AJ41" i="27"/>
  <c r="AL41" i="27" s="1"/>
  <c r="AN41" i="27" s="1"/>
  <c r="AJ43" i="27"/>
  <c r="AL43" i="27" s="1"/>
  <c r="AN43" i="27" s="1"/>
  <c r="AJ46" i="27"/>
  <c r="AL46" i="27" s="1"/>
  <c r="AN46" i="27" s="1"/>
  <c r="AJ18" i="27"/>
  <c r="AL18" i="27" s="1"/>
  <c r="AJ93" i="27"/>
  <c r="AL93" i="27" s="1"/>
  <c r="AJ12" i="27"/>
  <c r="AL12" i="27" s="1"/>
  <c r="AJ20" i="27"/>
  <c r="AL20" i="27" s="1"/>
  <c r="AJ11" i="27"/>
  <c r="AL11" i="27" s="1"/>
  <c r="AJ21" i="27"/>
  <c r="AL21" i="27" s="1"/>
  <c r="AN21" i="27" s="1"/>
  <c r="AJ25" i="27"/>
  <c r="AL25" i="27" s="1"/>
  <c r="AN25" i="27" s="1"/>
  <c r="AJ27" i="27"/>
  <c r="AL27" i="27" s="1"/>
  <c r="AN27" i="27" s="1"/>
  <c r="AJ31" i="27"/>
  <c r="AL31" i="27" s="1"/>
  <c r="AN31" i="27" s="1"/>
  <c r="AJ32" i="27"/>
  <c r="AL32" i="27" s="1"/>
  <c r="AN32" i="27" s="1"/>
  <c r="AJ33" i="27"/>
  <c r="AL33" i="27" s="1"/>
  <c r="AN33" i="27" s="1"/>
  <c r="AJ40" i="27"/>
  <c r="AL40" i="27" s="1"/>
  <c r="AN40" i="27" s="1"/>
  <c r="AJ42" i="27"/>
  <c r="AL42" i="27" s="1"/>
  <c r="AN42" i="27" s="1"/>
  <c r="AJ49" i="27"/>
  <c r="AL49" i="27" s="1"/>
  <c r="AN49" i="27" s="1"/>
  <c r="AJ22" i="27"/>
  <c r="AL22" i="27" s="1"/>
  <c r="AN22" i="27" s="1"/>
  <c r="AJ14" i="27"/>
  <c r="AL14" i="27" s="1"/>
  <c r="AJ24" i="27"/>
  <c r="AL24" i="27" s="1"/>
  <c r="AN24" i="27" s="1"/>
  <c r="AJ13" i="27"/>
  <c r="AL13" i="27" s="1"/>
  <c r="AJ28" i="27"/>
  <c r="AL28" i="27" s="1"/>
  <c r="AN28" i="27" s="1"/>
  <c r="AJ34" i="27"/>
  <c r="AL34" i="27" s="1"/>
  <c r="AN34" i="27" s="1"/>
  <c r="AJ35" i="27"/>
  <c r="AL35" i="27" s="1"/>
  <c r="AN35" i="27" s="1"/>
  <c r="AJ36" i="27"/>
  <c r="AL36" i="27" s="1"/>
  <c r="AN36" i="27" s="1"/>
  <c r="AJ38" i="27"/>
  <c r="AL38" i="27" s="1"/>
  <c r="AN38" i="27" s="1"/>
  <c r="AJ15" i="27"/>
  <c r="AL15" i="27" s="1"/>
  <c r="AJ44" i="27"/>
  <c r="AL44" i="27" s="1"/>
  <c r="AN44" i="27" s="1"/>
  <c r="AJ56" i="27"/>
  <c r="AL56" i="27" s="1"/>
  <c r="AN56" i="27" s="1"/>
  <c r="AJ66" i="27"/>
  <c r="AL66" i="27" s="1"/>
  <c r="AN66" i="27" s="1"/>
  <c r="AJ16" i="27"/>
  <c r="AL16" i="27" s="1"/>
  <c r="AJ39" i="27"/>
  <c r="AL39" i="27" s="1"/>
  <c r="AN39" i="27" s="1"/>
  <c r="AJ45" i="27"/>
  <c r="AL45" i="27" s="1"/>
  <c r="AN45" i="27" s="1"/>
  <c r="AJ51" i="27"/>
  <c r="AL51" i="27" s="1"/>
  <c r="AN51" i="27" s="1"/>
  <c r="AJ54" i="27"/>
  <c r="AL54" i="27" s="1"/>
  <c r="AN54" i="27" s="1"/>
  <c r="AJ55" i="27"/>
  <c r="AL55" i="27" s="1"/>
  <c r="AN55" i="27" s="1"/>
  <c r="AJ60" i="27"/>
  <c r="AL60" i="27" s="1"/>
  <c r="AN60" i="27" s="1"/>
  <c r="AJ64" i="27"/>
  <c r="AL64" i="27" s="1"/>
  <c r="AN64" i="27" s="1"/>
  <c r="AJ29" i="27"/>
  <c r="AL29" i="27" s="1"/>
  <c r="AN29" i="27" s="1"/>
  <c r="AJ50" i="27"/>
  <c r="AL50" i="27" s="1"/>
  <c r="AN50" i="27" s="1"/>
  <c r="AJ52" i="27"/>
  <c r="AL52" i="27" s="1"/>
  <c r="AN52" i="27" s="1"/>
  <c r="AJ59" i="27"/>
  <c r="AL59" i="27" s="1"/>
  <c r="AN59" i="27" s="1"/>
  <c r="AJ61" i="27"/>
  <c r="AL61" i="27" s="1"/>
  <c r="AN61" i="27" s="1"/>
  <c r="AJ62" i="27"/>
  <c r="AL62" i="27" s="1"/>
  <c r="AN62" i="27" s="1"/>
  <c r="AJ47" i="27"/>
  <c r="AL47" i="27" s="1"/>
  <c r="AN47" i="27" s="1"/>
  <c r="AJ58" i="27"/>
  <c r="AL58" i="27" s="1"/>
  <c r="AN58" i="27" s="1"/>
  <c r="AJ67" i="27"/>
  <c r="AL67" i="27" s="1"/>
  <c r="AN67" i="27" s="1"/>
  <c r="AJ72" i="27"/>
  <c r="AL72" i="27" s="1"/>
  <c r="AN72" i="27" s="1"/>
  <c r="AJ78" i="27"/>
  <c r="AL78" i="27" s="1"/>
  <c r="AN78" i="27" s="1"/>
  <c r="AJ80" i="27"/>
  <c r="AL80" i="27" s="1"/>
  <c r="AN80" i="27" s="1"/>
  <c r="AJ84" i="27"/>
  <c r="AL84" i="27" s="1"/>
  <c r="AN84" i="27" s="1"/>
  <c r="AJ87" i="27"/>
  <c r="AL87" i="27" s="1"/>
  <c r="AN87" i="27" s="1"/>
  <c r="AJ89" i="27"/>
  <c r="AL89" i="27" s="1"/>
  <c r="AN89" i="27" s="1"/>
  <c r="AJ91" i="27"/>
  <c r="AL91" i="27" s="1"/>
  <c r="AN91" i="27" s="1"/>
  <c r="AJ68" i="27"/>
  <c r="AL68" i="27" s="1"/>
  <c r="AN68" i="27" s="1"/>
  <c r="AJ70" i="27"/>
  <c r="AL70" i="27" s="1"/>
  <c r="AN70" i="27" s="1"/>
  <c r="AJ81" i="27"/>
  <c r="AL81" i="27" s="1"/>
  <c r="AN81" i="27" s="1"/>
  <c r="AJ82" i="27"/>
  <c r="AL82" i="27" s="1"/>
  <c r="AN82" i="27" s="1"/>
  <c r="AJ83" i="27"/>
  <c r="AL83" i="27" s="1"/>
  <c r="AN83" i="27" s="1"/>
  <c r="AJ88" i="27"/>
  <c r="AL88" i="27" s="1"/>
  <c r="AN88" i="27" s="1"/>
  <c r="AJ48" i="27"/>
  <c r="AL48" i="27" s="1"/>
  <c r="AN48" i="27" s="1"/>
  <c r="AJ53" i="27"/>
  <c r="AL53" i="27" s="1"/>
  <c r="AN53" i="27" s="1"/>
  <c r="AJ71" i="27"/>
  <c r="AL71" i="27" s="1"/>
  <c r="AN71" i="27" s="1"/>
  <c r="AJ75" i="27"/>
  <c r="AL75" i="27" s="1"/>
  <c r="AN75" i="27" s="1"/>
  <c r="AJ79" i="27"/>
  <c r="AL79" i="27" s="1"/>
  <c r="AN79" i="27" s="1"/>
  <c r="AJ85" i="27"/>
  <c r="AL85" i="27" s="1"/>
  <c r="AN85" i="27" s="1"/>
  <c r="AJ86" i="27"/>
  <c r="AL86" i="27" s="1"/>
  <c r="AN86" i="27" s="1"/>
  <c r="AJ90" i="27"/>
  <c r="AL90" i="27" s="1"/>
  <c r="AN90" i="27" s="1"/>
  <c r="AJ63" i="27"/>
  <c r="AL63" i="27" s="1"/>
  <c r="AN63" i="27" s="1"/>
  <c r="AJ74" i="27"/>
  <c r="AL74" i="27" s="1"/>
  <c r="AN74" i="27" s="1"/>
  <c r="AJ76" i="27"/>
  <c r="AL76" i="27" s="1"/>
  <c r="AN76" i="27" s="1"/>
  <c r="AJ77" i="27"/>
  <c r="AL77" i="27" s="1"/>
  <c r="AN77" i="27" s="1"/>
  <c r="AK5" i="27"/>
  <c r="AM5" i="27" s="1"/>
  <c r="AK93" i="27"/>
  <c r="AM93" i="27" s="1"/>
  <c r="AJ57" i="27"/>
  <c r="AL57" i="27" s="1"/>
  <c r="AN57" i="27" s="1"/>
  <c r="AJ65" i="27"/>
  <c r="AL65" i="27" s="1"/>
  <c r="AN65" i="27" s="1"/>
  <c r="AJ92" i="27"/>
  <c r="AL92" i="27" s="1"/>
  <c r="AN92" i="27" s="1"/>
  <c r="AK7" i="27"/>
  <c r="AM7" i="27" s="1"/>
  <c r="AK9" i="27"/>
  <c r="AM9" i="27" s="1"/>
  <c r="AK6" i="27"/>
  <c r="AM6" i="27" s="1"/>
  <c r="AJ7" i="27"/>
  <c r="AL7" i="27" s="1"/>
  <c r="AJ69" i="27"/>
  <c r="AL69" i="27" s="1"/>
  <c r="AN69" i="27" s="1"/>
  <c r="AK11" i="27"/>
  <c r="AM11" i="27" s="1"/>
  <c r="AK8" i="27"/>
  <c r="AM8" i="27" s="1"/>
  <c r="AK3" i="27"/>
  <c r="AK10" i="27"/>
  <c r="AM10" i="27" s="1"/>
  <c r="AK4" i="27"/>
  <c r="AM4" i="27" s="1"/>
  <c r="AJ73" i="27"/>
  <c r="AL73" i="27" s="1"/>
  <c r="AN73" i="27" s="1"/>
  <c r="AK14" i="27"/>
  <c r="AM14" i="27" s="1"/>
  <c r="AK20" i="27"/>
  <c r="AM20" i="27" s="1"/>
  <c r="AK15" i="27"/>
  <c r="AM15" i="27" s="1"/>
  <c r="AK17" i="27"/>
  <c r="AM17" i="27" s="1"/>
  <c r="AK13" i="27"/>
  <c r="AM13" i="27" s="1"/>
  <c r="AK18" i="27"/>
  <c r="AM18" i="27" s="1"/>
  <c r="AK16" i="27"/>
  <c r="AM16" i="27" s="1"/>
  <c r="AK12" i="27"/>
  <c r="AM12" i="27" s="1"/>
  <c r="AK19" i="27"/>
  <c r="AM19" i="27" s="1"/>
  <c r="P82" i="27"/>
  <c r="BN11" i="27"/>
  <c r="BP11" i="27" s="1"/>
  <c r="BN24" i="27"/>
  <c r="BP24" i="27" s="1"/>
  <c r="BR24" i="27" s="1"/>
  <c r="BN40" i="27"/>
  <c r="BP40" i="27" s="1"/>
  <c r="BR40" i="27" s="1"/>
  <c r="BN56" i="27"/>
  <c r="BP56" i="27" s="1"/>
  <c r="BR56" i="27" s="1"/>
  <c r="BN72" i="27"/>
  <c r="BP72" i="27" s="1"/>
  <c r="BR72" i="27" s="1"/>
  <c r="BN21" i="27"/>
  <c r="BP21" i="27" s="1"/>
  <c r="BR21" i="27" s="1"/>
  <c r="BN37" i="27"/>
  <c r="BP37" i="27" s="1"/>
  <c r="BR37" i="27" s="1"/>
  <c r="BN53" i="27"/>
  <c r="BP53" i="27" s="1"/>
  <c r="BR53" i="27" s="1"/>
  <c r="BN69" i="27"/>
  <c r="BP69" i="27" s="1"/>
  <c r="BR69" i="27" s="1"/>
  <c r="BN18" i="27"/>
  <c r="BP18" i="27" s="1"/>
  <c r="BN34" i="27"/>
  <c r="BP34" i="27" s="1"/>
  <c r="BR34" i="27" s="1"/>
  <c r="BN50" i="27"/>
  <c r="BP50" i="27" s="1"/>
  <c r="BR50" i="27" s="1"/>
  <c r="BN66" i="27"/>
  <c r="BP66" i="27" s="1"/>
  <c r="BR66" i="27" s="1"/>
  <c r="BN23" i="27"/>
  <c r="BP23" i="27" s="1"/>
  <c r="BR23" i="27" s="1"/>
  <c r="BN39" i="27"/>
  <c r="BP39" i="27" s="1"/>
  <c r="BR39" i="27" s="1"/>
  <c r="BN55" i="27"/>
  <c r="BP55" i="27" s="1"/>
  <c r="BR55" i="27" s="1"/>
  <c r="BN71" i="27"/>
  <c r="BP71" i="27" s="1"/>
  <c r="BR71" i="27" s="1"/>
  <c r="BN75" i="27"/>
  <c r="BP75" i="27" s="1"/>
  <c r="BR75" i="27" s="1"/>
  <c r="BN77" i="27"/>
  <c r="BP77" i="27" s="1"/>
  <c r="BR77" i="27" s="1"/>
  <c r="BN79" i="27"/>
  <c r="BP79" i="27" s="1"/>
  <c r="BR79" i="27" s="1"/>
  <c r="BN80" i="27"/>
  <c r="BP80" i="27" s="1"/>
  <c r="BR80" i="27" s="1"/>
  <c r="BN82" i="27"/>
  <c r="BP82" i="27" s="1"/>
  <c r="BR82" i="27" s="1"/>
  <c r="BN92" i="27"/>
  <c r="BP92" i="27" s="1"/>
  <c r="BR92" i="27" s="1"/>
  <c r="BN93" i="27"/>
  <c r="BP93" i="27" s="1"/>
  <c r="BN15" i="27"/>
  <c r="BP15" i="27" s="1"/>
  <c r="BN28" i="27"/>
  <c r="BP28" i="27" s="1"/>
  <c r="BR28" i="27" s="1"/>
  <c r="BN44" i="27"/>
  <c r="BP44" i="27" s="1"/>
  <c r="BR44" i="27" s="1"/>
  <c r="BN60" i="27"/>
  <c r="BP60" i="27" s="1"/>
  <c r="BR60" i="27" s="1"/>
  <c r="BN25" i="27"/>
  <c r="BP25" i="27" s="1"/>
  <c r="BR25" i="27" s="1"/>
  <c r="BN41" i="27"/>
  <c r="BP41" i="27" s="1"/>
  <c r="BR41" i="27" s="1"/>
  <c r="BN57" i="27"/>
  <c r="BP57" i="27" s="1"/>
  <c r="BR57" i="27" s="1"/>
  <c r="BN73" i="27"/>
  <c r="BP73" i="27" s="1"/>
  <c r="BR73" i="27" s="1"/>
  <c r="BN10" i="27"/>
  <c r="BP10" i="27" s="1"/>
  <c r="BN22" i="27"/>
  <c r="BP22" i="27" s="1"/>
  <c r="BR22" i="27" s="1"/>
  <c r="BN38" i="27"/>
  <c r="BP38" i="27" s="1"/>
  <c r="BR38" i="27" s="1"/>
  <c r="BN54" i="27"/>
  <c r="BP54" i="27" s="1"/>
  <c r="BR54" i="27" s="1"/>
  <c r="BN70" i="27"/>
  <c r="BP70" i="27" s="1"/>
  <c r="BR70" i="27" s="1"/>
  <c r="BN8" i="27"/>
  <c r="BP8" i="27" s="1"/>
  <c r="BN27" i="27"/>
  <c r="BP27" i="27" s="1"/>
  <c r="BR27" i="27" s="1"/>
  <c r="BN43" i="27"/>
  <c r="BP43" i="27" s="1"/>
  <c r="BR43" i="27" s="1"/>
  <c r="BN59" i="27"/>
  <c r="BP59" i="27" s="1"/>
  <c r="BR59" i="27" s="1"/>
  <c r="BN76" i="27"/>
  <c r="BP76" i="27" s="1"/>
  <c r="BR76" i="27" s="1"/>
  <c r="BN83" i="27"/>
  <c r="BP83" i="27" s="1"/>
  <c r="BR83" i="27" s="1"/>
  <c r="BN17" i="27"/>
  <c r="BP17" i="27" s="1"/>
  <c r="BN32" i="27"/>
  <c r="BP32" i="27" s="1"/>
  <c r="BR32" i="27" s="1"/>
  <c r="BN48" i="27"/>
  <c r="BP48" i="27" s="1"/>
  <c r="BR48" i="27" s="1"/>
  <c r="BN64" i="27"/>
  <c r="BP64" i="27" s="1"/>
  <c r="BR64" i="27" s="1"/>
  <c r="BN9" i="27"/>
  <c r="BP9" i="27" s="1"/>
  <c r="BN29" i="27"/>
  <c r="BP29" i="27" s="1"/>
  <c r="BR29" i="27" s="1"/>
  <c r="BN45" i="27"/>
  <c r="BP45" i="27" s="1"/>
  <c r="BR45" i="27" s="1"/>
  <c r="BN61" i="27"/>
  <c r="BP61" i="27" s="1"/>
  <c r="BR61" i="27" s="1"/>
  <c r="BN12" i="27"/>
  <c r="BP12" i="27" s="1"/>
  <c r="BN26" i="27"/>
  <c r="BP26" i="27" s="1"/>
  <c r="BR26" i="27" s="1"/>
  <c r="BN42" i="27"/>
  <c r="BP42" i="27" s="1"/>
  <c r="BR42" i="27" s="1"/>
  <c r="BN58" i="27"/>
  <c r="BP58" i="27" s="1"/>
  <c r="BR58" i="27" s="1"/>
  <c r="BN74" i="27"/>
  <c r="BP74" i="27" s="1"/>
  <c r="BR74" i="27" s="1"/>
  <c r="BN16" i="27"/>
  <c r="BP16" i="27" s="1"/>
  <c r="BN31" i="27"/>
  <c r="BP31" i="27" s="1"/>
  <c r="BR31" i="27" s="1"/>
  <c r="BN47" i="27"/>
  <c r="BP47" i="27" s="1"/>
  <c r="BR47" i="27" s="1"/>
  <c r="BN63" i="27"/>
  <c r="BP63" i="27" s="1"/>
  <c r="BR63" i="27" s="1"/>
  <c r="BN78" i="27"/>
  <c r="BP78" i="27" s="1"/>
  <c r="BR78" i="27" s="1"/>
  <c r="BN81" i="27"/>
  <c r="BP81" i="27" s="1"/>
  <c r="BR81" i="27" s="1"/>
  <c r="BN85" i="27"/>
  <c r="BP85" i="27" s="1"/>
  <c r="BR85" i="27" s="1"/>
  <c r="BN86" i="27"/>
  <c r="BP86" i="27" s="1"/>
  <c r="BR86" i="27" s="1"/>
  <c r="BN90" i="27"/>
  <c r="BP90" i="27" s="1"/>
  <c r="BR90" i="27" s="1"/>
  <c r="BN36" i="27"/>
  <c r="BP36" i="27" s="1"/>
  <c r="BR36" i="27" s="1"/>
  <c r="BN13" i="27"/>
  <c r="BP13" i="27" s="1"/>
  <c r="BN62" i="27"/>
  <c r="BP62" i="27" s="1"/>
  <c r="BR62" i="27" s="1"/>
  <c r="BN51" i="27"/>
  <c r="BP51" i="27" s="1"/>
  <c r="BR51" i="27" s="1"/>
  <c r="BN84" i="27"/>
  <c r="BP84" i="27" s="1"/>
  <c r="BR84" i="27" s="1"/>
  <c r="BN87" i="27"/>
  <c r="BP87" i="27" s="1"/>
  <c r="BR87" i="27" s="1"/>
  <c r="BN88" i="27"/>
  <c r="BP88" i="27" s="1"/>
  <c r="BR88" i="27" s="1"/>
  <c r="BN52" i="27"/>
  <c r="BP52" i="27" s="1"/>
  <c r="BR52" i="27" s="1"/>
  <c r="BN33" i="27"/>
  <c r="BP33" i="27" s="1"/>
  <c r="BR33" i="27" s="1"/>
  <c r="BN14" i="27"/>
  <c r="BP14" i="27" s="1"/>
  <c r="BN67" i="27"/>
  <c r="BP67" i="27" s="1"/>
  <c r="BR67" i="27" s="1"/>
  <c r="BN89" i="27"/>
  <c r="BP89" i="27" s="1"/>
  <c r="BR89" i="27" s="1"/>
  <c r="BN7" i="27"/>
  <c r="BP7" i="27" s="1"/>
  <c r="BN68" i="27"/>
  <c r="BP68" i="27" s="1"/>
  <c r="BR68" i="27" s="1"/>
  <c r="BN49" i="27"/>
  <c r="BP49" i="27" s="1"/>
  <c r="BR49" i="27" s="1"/>
  <c r="BN30" i="27"/>
  <c r="BP30" i="27" s="1"/>
  <c r="BR30" i="27" s="1"/>
  <c r="BN19" i="27"/>
  <c r="BP19" i="27" s="1"/>
  <c r="BN20" i="27"/>
  <c r="BP20" i="27" s="1"/>
  <c r="BN35" i="27"/>
  <c r="BP35" i="27" s="1"/>
  <c r="BR35" i="27" s="1"/>
  <c r="BO6" i="27"/>
  <c r="BQ6" i="27" s="1"/>
  <c r="BO5" i="27"/>
  <c r="BQ5" i="27" s="1"/>
  <c r="BO20" i="27"/>
  <c r="BQ20" i="27" s="1"/>
  <c r="BO10" i="27"/>
  <c r="BQ10" i="27" s="1"/>
  <c r="BO7" i="27"/>
  <c r="BQ7" i="27" s="1"/>
  <c r="BO9" i="27"/>
  <c r="BQ9" i="27" s="1"/>
  <c r="BO3" i="27"/>
  <c r="BO13" i="27"/>
  <c r="BQ13" i="27" s="1"/>
  <c r="BN65" i="27"/>
  <c r="BP65" i="27" s="1"/>
  <c r="BR65" i="27" s="1"/>
  <c r="BO4" i="27"/>
  <c r="BQ4" i="27" s="1"/>
  <c r="BO93" i="27"/>
  <c r="BQ93" i="27" s="1"/>
  <c r="BO11" i="27"/>
  <c r="BQ11" i="27" s="1"/>
  <c r="BN91" i="27"/>
  <c r="BP91" i="27" s="1"/>
  <c r="BR91" i="27" s="1"/>
  <c r="BO8" i="27"/>
  <c r="BQ8" i="27" s="1"/>
  <c r="BO16" i="27"/>
  <c r="BQ16" i="27" s="1"/>
  <c r="BO18" i="27"/>
  <c r="BQ18" i="27" s="1"/>
  <c r="BN46" i="27"/>
  <c r="BP46" i="27" s="1"/>
  <c r="BR46" i="27" s="1"/>
  <c r="BO14" i="27"/>
  <c r="BQ14" i="27" s="1"/>
  <c r="BO19" i="27"/>
  <c r="BQ19" i="27" s="1"/>
  <c r="BO15" i="27"/>
  <c r="BQ15" i="27" s="1"/>
  <c r="BO17" i="27"/>
  <c r="BQ17" i="27" s="1"/>
  <c r="BO12" i="27"/>
  <c r="BQ12" i="27" s="1"/>
  <c r="BB8" i="27"/>
  <c r="BD8" i="27" s="1"/>
  <c r="BF8" i="27" s="1"/>
  <c r="P52" i="27"/>
  <c r="AV93" i="27"/>
  <c r="AX93" i="27" s="1"/>
  <c r="AV20" i="27"/>
  <c r="AX20" i="27" s="1"/>
  <c r="AV36" i="27"/>
  <c r="AX36" i="27" s="1"/>
  <c r="AZ36" i="27" s="1"/>
  <c r="AV37" i="27"/>
  <c r="AX37" i="27" s="1"/>
  <c r="AZ37" i="27" s="1"/>
  <c r="AV9" i="27"/>
  <c r="AX9" i="27" s="1"/>
  <c r="AV29" i="27"/>
  <c r="AX29" i="27" s="1"/>
  <c r="AZ29" i="27" s="1"/>
  <c r="AV30" i="27"/>
  <c r="AX30" i="27" s="1"/>
  <c r="AZ30" i="27" s="1"/>
  <c r="AV12" i="27"/>
  <c r="AX12" i="27" s="1"/>
  <c r="AV23" i="27"/>
  <c r="AX23" i="27" s="1"/>
  <c r="AZ23" i="27" s="1"/>
  <c r="AV43" i="27"/>
  <c r="AX43" i="27" s="1"/>
  <c r="AZ43" i="27" s="1"/>
  <c r="AV11" i="27"/>
  <c r="AX11" i="27" s="1"/>
  <c r="AV24" i="27"/>
  <c r="AX24" i="27" s="1"/>
  <c r="AZ24" i="27" s="1"/>
  <c r="AV40" i="27"/>
  <c r="AX40" i="27" s="1"/>
  <c r="AZ40" i="27" s="1"/>
  <c r="AV44" i="27"/>
  <c r="AX44" i="27" s="1"/>
  <c r="AZ44" i="27" s="1"/>
  <c r="AV13" i="27"/>
  <c r="AX13" i="27" s="1"/>
  <c r="AV33" i="27"/>
  <c r="AX33" i="27" s="1"/>
  <c r="AZ33" i="27" s="1"/>
  <c r="AV18" i="27"/>
  <c r="AX18" i="27" s="1"/>
  <c r="AV34" i="27"/>
  <c r="AX34" i="27" s="1"/>
  <c r="AZ34" i="27" s="1"/>
  <c r="AV14" i="27"/>
  <c r="AX14" i="27" s="1"/>
  <c r="AV27" i="27"/>
  <c r="AX27" i="27" s="1"/>
  <c r="AZ27" i="27" s="1"/>
  <c r="AV15" i="27"/>
  <c r="AX15" i="27" s="1"/>
  <c r="AV28" i="27"/>
  <c r="AX28" i="27" s="1"/>
  <c r="AZ28" i="27" s="1"/>
  <c r="AV21" i="27"/>
  <c r="AX21" i="27" s="1"/>
  <c r="AZ21" i="27" s="1"/>
  <c r="AV41" i="27"/>
  <c r="AX41" i="27" s="1"/>
  <c r="AZ41" i="27" s="1"/>
  <c r="AV22" i="27"/>
  <c r="AX22" i="27" s="1"/>
  <c r="AZ22" i="27" s="1"/>
  <c r="AV38" i="27"/>
  <c r="AX38" i="27" s="1"/>
  <c r="AZ38" i="27" s="1"/>
  <c r="AV39" i="27"/>
  <c r="AX39" i="27" s="1"/>
  <c r="AZ39" i="27" s="1"/>
  <c r="AV8" i="27"/>
  <c r="AX8" i="27" s="1"/>
  <c r="AV16" i="27"/>
  <c r="AX16" i="27" s="1"/>
  <c r="AV31" i="27"/>
  <c r="AX31" i="27" s="1"/>
  <c r="AZ31" i="27" s="1"/>
  <c r="AV17" i="27"/>
  <c r="AX17" i="27" s="1"/>
  <c r="AV25" i="27"/>
  <c r="AX25" i="27" s="1"/>
  <c r="AZ25" i="27" s="1"/>
  <c r="AV45" i="27"/>
  <c r="AX45" i="27" s="1"/>
  <c r="AZ45" i="27" s="1"/>
  <c r="AV48" i="27"/>
  <c r="AX48" i="27" s="1"/>
  <c r="AZ48" i="27" s="1"/>
  <c r="AV49" i="27"/>
  <c r="AX49" i="27" s="1"/>
  <c r="AZ49" i="27" s="1"/>
  <c r="AV52" i="27"/>
  <c r="AX52" i="27" s="1"/>
  <c r="AZ52" i="27" s="1"/>
  <c r="AV62" i="27"/>
  <c r="AX62" i="27" s="1"/>
  <c r="AZ62" i="27" s="1"/>
  <c r="AV32" i="27"/>
  <c r="AX32" i="27" s="1"/>
  <c r="AZ32" i="27" s="1"/>
  <c r="AV10" i="27"/>
  <c r="AX10" i="27" s="1"/>
  <c r="AV47" i="27"/>
  <c r="AX47" i="27" s="1"/>
  <c r="AZ47" i="27" s="1"/>
  <c r="AV51" i="27"/>
  <c r="AX51" i="27" s="1"/>
  <c r="AZ51" i="27" s="1"/>
  <c r="AV54" i="27"/>
  <c r="AX54" i="27" s="1"/>
  <c r="AZ54" i="27" s="1"/>
  <c r="AV57" i="27"/>
  <c r="AX57" i="27" s="1"/>
  <c r="AZ57" i="27" s="1"/>
  <c r="AV58" i="27"/>
  <c r="AX58" i="27" s="1"/>
  <c r="AZ58" i="27" s="1"/>
  <c r="AV60" i="27"/>
  <c r="AX60" i="27" s="1"/>
  <c r="AZ60" i="27" s="1"/>
  <c r="AV63" i="27"/>
  <c r="AX63" i="27" s="1"/>
  <c r="AZ63" i="27" s="1"/>
  <c r="AV65" i="27"/>
  <c r="AX65" i="27" s="1"/>
  <c r="AZ65" i="27" s="1"/>
  <c r="AV26" i="27"/>
  <c r="AX26" i="27" s="1"/>
  <c r="AZ26" i="27" s="1"/>
  <c r="AV19" i="27"/>
  <c r="AX19" i="27" s="1"/>
  <c r="AV46" i="27"/>
  <c r="AX46" i="27" s="1"/>
  <c r="AZ46" i="27" s="1"/>
  <c r="AV50" i="27"/>
  <c r="AX50" i="27" s="1"/>
  <c r="AZ50" i="27" s="1"/>
  <c r="AV70" i="27"/>
  <c r="AX70" i="27" s="1"/>
  <c r="AZ70" i="27" s="1"/>
  <c r="AV74" i="27"/>
  <c r="AX74" i="27" s="1"/>
  <c r="AZ74" i="27" s="1"/>
  <c r="AV86" i="27"/>
  <c r="AX86" i="27" s="1"/>
  <c r="AZ86" i="27" s="1"/>
  <c r="AV90" i="27"/>
  <c r="AX90" i="27" s="1"/>
  <c r="AZ90" i="27" s="1"/>
  <c r="AV7" i="27"/>
  <c r="AX7" i="27" s="1"/>
  <c r="AV53" i="27"/>
  <c r="AX53" i="27" s="1"/>
  <c r="AZ53" i="27" s="1"/>
  <c r="AV56" i="27"/>
  <c r="AX56" i="27" s="1"/>
  <c r="AZ56" i="27" s="1"/>
  <c r="AV64" i="27"/>
  <c r="AX64" i="27" s="1"/>
  <c r="AZ64" i="27" s="1"/>
  <c r="AV66" i="27"/>
  <c r="AX66" i="27" s="1"/>
  <c r="AZ66" i="27" s="1"/>
  <c r="AV71" i="27"/>
  <c r="AX71" i="27" s="1"/>
  <c r="AZ71" i="27" s="1"/>
  <c r="AV76" i="27"/>
  <c r="AX76" i="27" s="1"/>
  <c r="AZ76" i="27" s="1"/>
  <c r="AV77" i="27"/>
  <c r="AX77" i="27" s="1"/>
  <c r="AZ77" i="27" s="1"/>
  <c r="AV78" i="27"/>
  <c r="AX78" i="27" s="1"/>
  <c r="AZ78" i="27" s="1"/>
  <c r="AV83" i="27"/>
  <c r="AX83" i="27" s="1"/>
  <c r="AZ83" i="27" s="1"/>
  <c r="AV84" i="27"/>
  <c r="AX84" i="27" s="1"/>
  <c r="AZ84" i="27" s="1"/>
  <c r="AV85" i="27"/>
  <c r="AX85" i="27" s="1"/>
  <c r="AZ85" i="27" s="1"/>
  <c r="AV42" i="27"/>
  <c r="AX42" i="27" s="1"/>
  <c r="AZ42" i="27" s="1"/>
  <c r="AV55" i="27"/>
  <c r="AX55" i="27" s="1"/>
  <c r="AZ55" i="27" s="1"/>
  <c r="AV61" i="27"/>
  <c r="AX61" i="27" s="1"/>
  <c r="AZ61" i="27" s="1"/>
  <c r="AV67" i="27"/>
  <c r="AX67" i="27" s="1"/>
  <c r="AZ67" i="27" s="1"/>
  <c r="AV69" i="27"/>
  <c r="AX69" i="27" s="1"/>
  <c r="AZ69" i="27" s="1"/>
  <c r="AV73" i="27"/>
  <c r="AX73" i="27" s="1"/>
  <c r="AZ73" i="27" s="1"/>
  <c r="AV75" i="27"/>
  <c r="AX75" i="27" s="1"/>
  <c r="AZ75" i="27" s="1"/>
  <c r="AV81" i="27"/>
  <c r="AX81" i="27" s="1"/>
  <c r="AZ81" i="27" s="1"/>
  <c r="AV88" i="27"/>
  <c r="AX88" i="27" s="1"/>
  <c r="AZ88" i="27" s="1"/>
  <c r="AV91" i="27"/>
  <c r="AX91" i="27" s="1"/>
  <c r="AZ91" i="27" s="1"/>
  <c r="AV92" i="27"/>
  <c r="AX92" i="27" s="1"/>
  <c r="AZ92" i="27" s="1"/>
  <c r="AW6" i="27"/>
  <c r="AY6" i="27" s="1"/>
  <c r="AW10" i="27"/>
  <c r="AY10" i="27" s="1"/>
  <c r="AW7" i="27"/>
  <c r="AY7" i="27" s="1"/>
  <c r="AV35" i="27"/>
  <c r="AX35" i="27" s="1"/>
  <c r="AZ35" i="27" s="1"/>
  <c r="AV68" i="27"/>
  <c r="AX68" i="27" s="1"/>
  <c r="AZ68" i="27" s="1"/>
  <c r="AV79" i="27"/>
  <c r="AX79" i="27" s="1"/>
  <c r="AZ79" i="27" s="1"/>
  <c r="AV87" i="27"/>
  <c r="AX87" i="27" s="1"/>
  <c r="AZ87" i="27" s="1"/>
  <c r="AW8" i="27"/>
  <c r="AY8" i="27" s="1"/>
  <c r="AW9" i="27"/>
  <c r="AY9" i="27" s="1"/>
  <c r="AV59" i="27"/>
  <c r="AX59" i="27" s="1"/>
  <c r="AZ59" i="27" s="1"/>
  <c r="AV72" i="27"/>
  <c r="AX72" i="27" s="1"/>
  <c r="AZ72" i="27" s="1"/>
  <c r="AV80" i="27"/>
  <c r="AX80" i="27" s="1"/>
  <c r="AZ80" i="27" s="1"/>
  <c r="AV89" i="27"/>
  <c r="AX89" i="27" s="1"/>
  <c r="AZ89" i="27" s="1"/>
  <c r="AW3" i="27"/>
  <c r="AW11" i="27"/>
  <c r="AY11" i="27" s="1"/>
  <c r="AW93" i="27"/>
  <c r="AY93" i="27" s="1"/>
  <c r="AV82" i="27"/>
  <c r="AX82" i="27" s="1"/>
  <c r="AZ82" i="27" s="1"/>
  <c r="AW4" i="27"/>
  <c r="AY4" i="27" s="1"/>
  <c r="AW5" i="27"/>
  <c r="AY5" i="27" s="1"/>
  <c r="AW19" i="27"/>
  <c r="AY19" i="27" s="1"/>
  <c r="AW17" i="27"/>
  <c r="AY17" i="27" s="1"/>
  <c r="AW18" i="27"/>
  <c r="AY18" i="27" s="1"/>
  <c r="AW16" i="27"/>
  <c r="AY16" i="27" s="1"/>
  <c r="AW20" i="27"/>
  <c r="AY20" i="27" s="1"/>
  <c r="AW13" i="27"/>
  <c r="AY13" i="27" s="1"/>
  <c r="AW14" i="27"/>
  <c r="AY14" i="27" s="1"/>
  <c r="AW12" i="27"/>
  <c r="AY12" i="27" s="1"/>
  <c r="AW15" i="27"/>
  <c r="AY15" i="27" s="1"/>
  <c r="N36" i="25"/>
  <c r="P36" i="25" s="1"/>
  <c r="N88" i="25"/>
  <c r="P88" i="25" s="1"/>
  <c r="N90" i="25"/>
  <c r="P90" i="25" s="1"/>
  <c r="BT91" i="25"/>
  <c r="BV91" i="25" s="1"/>
  <c r="BX91" i="25" s="1"/>
  <c r="BT87" i="25"/>
  <c r="BV87" i="25" s="1"/>
  <c r="BT83" i="25"/>
  <c r="BV83" i="25" s="1"/>
  <c r="BX83" i="25" s="1"/>
  <c r="BT79" i="25"/>
  <c r="BV79" i="25" s="1"/>
  <c r="BX79" i="25" s="1"/>
  <c r="N9" i="25"/>
  <c r="P9" i="25" s="1"/>
  <c r="N38" i="25"/>
  <c r="P38" i="25" s="1"/>
  <c r="N41" i="25"/>
  <c r="P41" i="25" s="1"/>
  <c r="N81" i="25"/>
  <c r="P81" i="25" s="1"/>
  <c r="N53" i="25"/>
  <c r="P53" i="25" s="1"/>
  <c r="N10" i="25"/>
  <c r="P10" i="25" s="1"/>
  <c r="N61" i="25"/>
  <c r="P61" i="25" s="1"/>
  <c r="N60" i="25"/>
  <c r="P60" i="25" s="1"/>
  <c r="N24" i="25"/>
  <c r="P24" i="25" s="1"/>
  <c r="N54" i="25"/>
  <c r="P54" i="25" s="1"/>
  <c r="N30" i="25"/>
  <c r="P30" i="25" s="1"/>
  <c r="N47" i="25"/>
  <c r="P47" i="25" s="1"/>
  <c r="BT76" i="25"/>
  <c r="BV76" i="25" s="1"/>
  <c r="BT75" i="25"/>
  <c r="BV75" i="25" s="1"/>
  <c r="AE77" i="25"/>
  <c r="AG77" i="25" s="1"/>
  <c r="AK76" i="25"/>
  <c r="AM76" i="25" s="1"/>
  <c r="S76" i="25"/>
  <c r="U76" i="25" s="1"/>
  <c r="BC77" i="25"/>
  <c r="BE77" i="25" s="1"/>
  <c r="N91" i="25"/>
  <c r="P91" i="25" s="1"/>
  <c r="N55" i="25"/>
  <c r="P55" i="25" s="1"/>
  <c r="N65" i="25"/>
  <c r="P65" i="25" s="1"/>
  <c r="N42" i="25"/>
  <c r="AP93" i="25" s="1"/>
  <c r="AR93" i="25" s="1"/>
  <c r="BT90" i="25"/>
  <c r="BV90" i="25" s="1"/>
  <c r="BX90" i="25" s="1"/>
  <c r="N70" i="25"/>
  <c r="P70" i="25" s="1"/>
  <c r="N89" i="25"/>
  <c r="P89" i="25" s="1"/>
  <c r="AQ53" i="25"/>
  <c r="AS53" i="25" s="1"/>
  <c r="AQ69" i="25"/>
  <c r="AS69" i="25" s="1"/>
  <c r="AQ73" i="25"/>
  <c r="AS73" i="25" s="1"/>
  <c r="S54" i="25"/>
  <c r="U54" i="25" s="1"/>
  <c r="S62" i="25"/>
  <c r="U62" i="25" s="1"/>
  <c r="S48" i="25"/>
  <c r="U48" i="25" s="1"/>
  <c r="AQ51" i="25"/>
  <c r="AS51" i="25" s="1"/>
  <c r="AQ54" i="25"/>
  <c r="AS54" i="25" s="1"/>
  <c r="AQ57" i="25"/>
  <c r="AS57" i="25" s="1"/>
  <c r="AQ60" i="25"/>
  <c r="AS60" i="25" s="1"/>
  <c r="AQ47" i="25"/>
  <c r="AS47" i="25" s="1"/>
  <c r="AQ42" i="25"/>
  <c r="AS42" i="25" s="1"/>
  <c r="N27" i="25"/>
  <c r="P27" i="25" s="1"/>
  <c r="N80" i="25"/>
  <c r="P80" i="25" s="1"/>
  <c r="BT86" i="25"/>
  <c r="BV86" i="25" s="1"/>
  <c r="BX86" i="25" s="1"/>
  <c r="BT82" i="25"/>
  <c r="BV82" i="25" s="1"/>
  <c r="BX82" i="25" s="1"/>
  <c r="BT78" i="25"/>
  <c r="BV78" i="25" s="1"/>
  <c r="BX78" i="25" s="1"/>
  <c r="S64" i="25"/>
  <c r="U64" i="25" s="1"/>
  <c r="S69" i="25"/>
  <c r="U69" i="25" s="1"/>
  <c r="AQ71" i="25"/>
  <c r="AS71" i="25" s="1"/>
  <c r="AQ52" i="25"/>
  <c r="AS52" i="25" s="1"/>
  <c r="S57" i="25"/>
  <c r="U57" i="25" s="1"/>
  <c r="S60" i="25"/>
  <c r="U60" i="25" s="1"/>
  <c r="AQ70" i="25"/>
  <c r="AS70" i="25" s="1"/>
  <c r="AQ61" i="25"/>
  <c r="AS61" i="25" s="1"/>
  <c r="AQ66" i="25"/>
  <c r="AS66" i="25" s="1"/>
  <c r="N51" i="25"/>
  <c r="P51" i="25" s="1"/>
  <c r="AQ58" i="25"/>
  <c r="AS58" i="25" s="1"/>
  <c r="S61" i="25"/>
  <c r="U61" i="25" s="1"/>
  <c r="S65" i="25"/>
  <c r="U65" i="25" s="1"/>
  <c r="AQ67" i="25"/>
  <c r="AS67" i="25" s="1"/>
  <c r="S50" i="25"/>
  <c r="U50" i="25" s="1"/>
  <c r="AQ56" i="25"/>
  <c r="AS56" i="25" s="1"/>
  <c r="AQ65" i="25"/>
  <c r="AS65" i="25" s="1"/>
  <c r="AQ68" i="25"/>
  <c r="AS68" i="25" s="1"/>
  <c r="S74" i="25"/>
  <c r="U74" i="25" s="1"/>
  <c r="AQ49" i="25"/>
  <c r="AS49" i="25" s="1"/>
  <c r="N17" i="25"/>
  <c r="P17" i="25" s="1"/>
  <c r="N34" i="25"/>
  <c r="P34" i="25" s="1"/>
  <c r="N20" i="25"/>
  <c r="P20" i="25" s="1"/>
  <c r="BX87" i="25"/>
  <c r="N46" i="25"/>
  <c r="P46" i="25" s="1"/>
  <c r="N35" i="25"/>
  <c r="P35" i="25" s="1"/>
  <c r="N6" i="25"/>
  <c r="P6" i="25" s="1"/>
  <c r="N93" i="25"/>
  <c r="P93" i="25" s="1"/>
  <c r="N43" i="25"/>
  <c r="P43" i="25" s="1"/>
  <c r="N52" i="25"/>
  <c r="AV80" i="25" s="1"/>
  <c r="AX80" i="25" s="1"/>
  <c r="AZ80" i="25" s="1"/>
  <c r="BT74" i="25"/>
  <c r="BV74" i="25" s="1"/>
  <c r="R75" i="25"/>
  <c r="T75" i="25" s="1"/>
  <c r="V75" i="25" s="1"/>
  <c r="S34" i="25"/>
  <c r="U34" i="25" s="1"/>
  <c r="S36" i="25"/>
  <c r="U36" i="25" s="1"/>
  <c r="S38" i="25"/>
  <c r="U38" i="25" s="1"/>
  <c r="S41" i="25"/>
  <c r="U41" i="25" s="1"/>
  <c r="S40" i="25"/>
  <c r="U40" i="25" s="1"/>
  <c r="S33" i="25"/>
  <c r="U33" i="25" s="1"/>
  <c r="S39" i="25"/>
  <c r="U39" i="25" s="1"/>
  <c r="AQ36" i="25"/>
  <c r="AS36" i="25" s="1"/>
  <c r="AQ38" i="25"/>
  <c r="AS38" i="25" s="1"/>
  <c r="AQ40" i="25"/>
  <c r="AS40" i="25" s="1"/>
  <c r="AQ33" i="25"/>
  <c r="AS33" i="25" s="1"/>
  <c r="AQ35" i="25"/>
  <c r="AS35" i="25" s="1"/>
  <c r="AQ32" i="25"/>
  <c r="AS32" i="25" s="1"/>
  <c r="AQ34" i="25"/>
  <c r="AS34" i="25" s="1"/>
  <c r="AQ37" i="25"/>
  <c r="AS37" i="25" s="1"/>
  <c r="AQ31" i="25"/>
  <c r="AS31" i="25" s="1"/>
  <c r="AQ39" i="25"/>
  <c r="AS39" i="25" s="1"/>
  <c r="AQ41" i="25"/>
  <c r="AS41" i="25" s="1"/>
  <c r="N14" i="25"/>
  <c r="P14" i="25" s="1"/>
  <c r="BC42" i="25"/>
  <c r="BE42" i="25" s="1"/>
  <c r="P22" i="25"/>
  <c r="AD93" i="25"/>
  <c r="AF93" i="25" s="1"/>
  <c r="AD75" i="25"/>
  <c r="AF75" i="25" s="1"/>
  <c r="AH75" i="25" s="1"/>
  <c r="AD83" i="25"/>
  <c r="AF83" i="25" s="1"/>
  <c r="AH83" i="25" s="1"/>
  <c r="AD84" i="25"/>
  <c r="AF84" i="25" s="1"/>
  <c r="AH84" i="25" s="1"/>
  <c r="AD88" i="25"/>
  <c r="AF88" i="25" s="1"/>
  <c r="AH88" i="25" s="1"/>
  <c r="AD73" i="25"/>
  <c r="AF73" i="25" s="1"/>
  <c r="AD74" i="25"/>
  <c r="AF74" i="25" s="1"/>
  <c r="AH74" i="25" s="1"/>
  <c r="AD76" i="25"/>
  <c r="AF76" i="25" s="1"/>
  <c r="AH76" i="25" s="1"/>
  <c r="AD77" i="25"/>
  <c r="AF77" i="25" s="1"/>
  <c r="AD78" i="25"/>
  <c r="AF78" i="25" s="1"/>
  <c r="AH78" i="25" s="1"/>
  <c r="AD79" i="25"/>
  <c r="AF79" i="25" s="1"/>
  <c r="AH79" i="25" s="1"/>
  <c r="AD81" i="25"/>
  <c r="AF81" i="25" s="1"/>
  <c r="AH81" i="25" s="1"/>
  <c r="AD82" i="25"/>
  <c r="AF82" i="25" s="1"/>
  <c r="AH82" i="25" s="1"/>
  <c r="AD85" i="25"/>
  <c r="AF85" i="25" s="1"/>
  <c r="AH85" i="25" s="1"/>
  <c r="AD87" i="25"/>
  <c r="AF87" i="25" s="1"/>
  <c r="AH87" i="25" s="1"/>
  <c r="AD89" i="25"/>
  <c r="AF89" i="25" s="1"/>
  <c r="AH89" i="25" s="1"/>
  <c r="AD92" i="25"/>
  <c r="AF92" i="25" s="1"/>
  <c r="AH92" i="25" s="1"/>
  <c r="AD80" i="25"/>
  <c r="AF80" i="25" s="1"/>
  <c r="AH80" i="25" s="1"/>
  <c r="AD86" i="25"/>
  <c r="AF86" i="25" s="1"/>
  <c r="AH86" i="25" s="1"/>
  <c r="AD90" i="25"/>
  <c r="AF90" i="25" s="1"/>
  <c r="AH90" i="25" s="1"/>
  <c r="AD91" i="25"/>
  <c r="AF91" i="25" s="1"/>
  <c r="AH91" i="25" s="1"/>
  <c r="AE7" i="25"/>
  <c r="AG7" i="25" s="1"/>
  <c r="AE11" i="25"/>
  <c r="AG11" i="25" s="1"/>
  <c r="AE12" i="25"/>
  <c r="AG12" i="25" s="1"/>
  <c r="AE14" i="25"/>
  <c r="AG14" i="25" s="1"/>
  <c r="AE16" i="25"/>
  <c r="AG16" i="25" s="1"/>
  <c r="AE17" i="25"/>
  <c r="AG17" i="25" s="1"/>
  <c r="AE18" i="25"/>
  <c r="AG18" i="25" s="1"/>
  <c r="AE22" i="25"/>
  <c r="AG22" i="25" s="1"/>
  <c r="AE30" i="25"/>
  <c r="AG30" i="25" s="1"/>
  <c r="AE33" i="25"/>
  <c r="AG33" i="25" s="1"/>
  <c r="AE34" i="25"/>
  <c r="AG34" i="25" s="1"/>
  <c r="AE36" i="25"/>
  <c r="AG36" i="25" s="1"/>
  <c r="AE21" i="25"/>
  <c r="AG21" i="25" s="1"/>
  <c r="AE25" i="25"/>
  <c r="AG25" i="25" s="1"/>
  <c r="AE27" i="25"/>
  <c r="AG27" i="25" s="1"/>
  <c r="AE29" i="25"/>
  <c r="AG29" i="25" s="1"/>
  <c r="AE38" i="25"/>
  <c r="AG38" i="25" s="1"/>
  <c r="AE39" i="25"/>
  <c r="AG39" i="25" s="1"/>
  <c r="AE93" i="25"/>
  <c r="AG93" i="25" s="1"/>
  <c r="AE3" i="25"/>
  <c r="AE5" i="25"/>
  <c r="AG5" i="25" s="1"/>
  <c r="AE6" i="25"/>
  <c r="AG6" i="25" s="1"/>
  <c r="AE8" i="25"/>
  <c r="AG8" i="25" s="1"/>
  <c r="AE10" i="25"/>
  <c r="AG10" i="25" s="1"/>
  <c r="AE15" i="25"/>
  <c r="AG15" i="25" s="1"/>
  <c r="AE24" i="25"/>
  <c r="AG24" i="25" s="1"/>
  <c r="AE35" i="25"/>
  <c r="AG35" i="25" s="1"/>
  <c r="AE40" i="25"/>
  <c r="AG40" i="25" s="1"/>
  <c r="AE4" i="25"/>
  <c r="AG4" i="25" s="1"/>
  <c r="AE9" i="25"/>
  <c r="AG9" i="25" s="1"/>
  <c r="AE13" i="25"/>
  <c r="AG13" i="25" s="1"/>
  <c r="AE19" i="25"/>
  <c r="AG19" i="25" s="1"/>
  <c r="AE20" i="25"/>
  <c r="AG20" i="25" s="1"/>
  <c r="AE23" i="25"/>
  <c r="AG23" i="25" s="1"/>
  <c r="AE26" i="25"/>
  <c r="AG26" i="25" s="1"/>
  <c r="AE28" i="25"/>
  <c r="AG28" i="25" s="1"/>
  <c r="AE31" i="25"/>
  <c r="AG31" i="25" s="1"/>
  <c r="AE32" i="25"/>
  <c r="AG32" i="25" s="1"/>
  <c r="AE37" i="25"/>
  <c r="AG37" i="25" s="1"/>
  <c r="AE41" i="25"/>
  <c r="AG41" i="25" s="1"/>
  <c r="N3" i="25"/>
  <c r="P3" i="25" s="1"/>
  <c r="N83" i="25"/>
  <c r="P83" i="25" s="1"/>
  <c r="N45" i="25"/>
  <c r="P45" i="25" s="1"/>
  <c r="N59" i="25"/>
  <c r="P59" i="25" s="1"/>
  <c r="N4" i="25"/>
  <c r="P4" i="25" s="1"/>
  <c r="N23" i="25"/>
  <c r="P23" i="25" s="1"/>
  <c r="N18" i="25"/>
  <c r="P18" i="25" s="1"/>
  <c r="N86" i="25"/>
  <c r="P86" i="25" s="1"/>
  <c r="AW34" i="25"/>
  <c r="AY34" i="25" s="1"/>
  <c r="AW39" i="25"/>
  <c r="AY39" i="25" s="1"/>
  <c r="AW37" i="25"/>
  <c r="AY37" i="25" s="1"/>
  <c r="AW40" i="25"/>
  <c r="AY40" i="25" s="1"/>
  <c r="AW41" i="25"/>
  <c r="AY41" i="25" s="1"/>
  <c r="AW32" i="25"/>
  <c r="AY32" i="25" s="1"/>
  <c r="N71" i="25"/>
  <c r="P71" i="25" s="1"/>
  <c r="AE49" i="25"/>
  <c r="AG49" i="25" s="1"/>
  <c r="BC52" i="25"/>
  <c r="BE52" i="25" s="1"/>
  <c r="AQ59" i="25"/>
  <c r="AS59" i="25" s="1"/>
  <c r="AW65" i="25"/>
  <c r="AY65" i="25" s="1"/>
  <c r="S67" i="25"/>
  <c r="U67" i="25" s="1"/>
  <c r="AQ74" i="25"/>
  <c r="AS74" i="25" s="1"/>
  <c r="P32" i="25"/>
  <c r="AJ93" i="25"/>
  <c r="AL93" i="25" s="1"/>
  <c r="AJ74" i="25"/>
  <c r="AL74" i="25" s="1"/>
  <c r="AN74" i="25" s="1"/>
  <c r="AJ86" i="25"/>
  <c r="AL86" i="25" s="1"/>
  <c r="AN86" i="25" s="1"/>
  <c r="AJ76" i="25"/>
  <c r="AL76" i="25" s="1"/>
  <c r="AJ90" i="25"/>
  <c r="AL90" i="25" s="1"/>
  <c r="AN90" i="25" s="1"/>
  <c r="AJ91" i="25"/>
  <c r="AL91" i="25" s="1"/>
  <c r="AN91" i="25" s="1"/>
  <c r="AJ75" i="25"/>
  <c r="AL75" i="25" s="1"/>
  <c r="AN75" i="25" s="1"/>
  <c r="AJ84" i="25"/>
  <c r="AL84" i="25" s="1"/>
  <c r="AN84" i="25" s="1"/>
  <c r="AJ77" i="25"/>
  <c r="AL77" i="25" s="1"/>
  <c r="AN77" i="25" s="1"/>
  <c r="AJ78" i="25"/>
  <c r="AL78" i="25" s="1"/>
  <c r="AN78" i="25" s="1"/>
  <c r="AJ79" i="25"/>
  <c r="AL79" i="25" s="1"/>
  <c r="AN79" i="25" s="1"/>
  <c r="AJ80" i="25"/>
  <c r="AL80" i="25" s="1"/>
  <c r="AN80" i="25" s="1"/>
  <c r="AJ81" i="25"/>
  <c r="AL81" i="25" s="1"/>
  <c r="AN81" i="25" s="1"/>
  <c r="AJ82" i="25"/>
  <c r="AL82" i="25" s="1"/>
  <c r="AN82" i="25" s="1"/>
  <c r="AJ83" i="25"/>
  <c r="AL83" i="25" s="1"/>
  <c r="AN83" i="25" s="1"/>
  <c r="AJ85" i="25"/>
  <c r="AL85" i="25" s="1"/>
  <c r="AN85" i="25" s="1"/>
  <c r="AJ87" i="25"/>
  <c r="AL87" i="25" s="1"/>
  <c r="AN87" i="25" s="1"/>
  <c r="AJ88" i="25"/>
  <c r="AL88" i="25" s="1"/>
  <c r="AN88" i="25" s="1"/>
  <c r="AJ89" i="25"/>
  <c r="AL89" i="25" s="1"/>
  <c r="AN89" i="25" s="1"/>
  <c r="AJ92" i="25"/>
  <c r="AL92" i="25" s="1"/>
  <c r="AN92" i="25" s="1"/>
  <c r="AK5" i="25"/>
  <c r="AM5" i="25" s="1"/>
  <c r="AK6" i="25"/>
  <c r="AM6" i="25" s="1"/>
  <c r="AK12" i="25"/>
  <c r="AM12" i="25" s="1"/>
  <c r="AK13" i="25"/>
  <c r="AM13" i="25" s="1"/>
  <c r="AK26" i="25"/>
  <c r="AM26" i="25" s="1"/>
  <c r="AK31" i="25"/>
  <c r="AM31" i="25" s="1"/>
  <c r="AK35" i="25"/>
  <c r="AM35" i="25" s="1"/>
  <c r="AK39" i="25"/>
  <c r="AM39" i="25" s="1"/>
  <c r="AK93" i="25"/>
  <c r="AM93" i="25" s="1"/>
  <c r="AK8" i="25"/>
  <c r="AM8" i="25" s="1"/>
  <c r="AK10" i="25"/>
  <c r="AM10" i="25" s="1"/>
  <c r="AK16" i="25"/>
  <c r="AM16" i="25" s="1"/>
  <c r="AK21" i="25"/>
  <c r="AM21" i="25" s="1"/>
  <c r="AK23" i="25"/>
  <c r="AM23" i="25" s="1"/>
  <c r="AK25" i="25"/>
  <c r="AM25" i="25" s="1"/>
  <c r="AK28" i="25"/>
  <c r="AM28" i="25" s="1"/>
  <c r="AK29" i="25"/>
  <c r="AM29" i="25" s="1"/>
  <c r="AK37" i="25"/>
  <c r="AM37" i="25" s="1"/>
  <c r="AK4" i="25"/>
  <c r="AM4" i="25" s="1"/>
  <c r="AK9" i="25"/>
  <c r="AM9" i="25" s="1"/>
  <c r="AK11" i="25"/>
  <c r="AM11" i="25" s="1"/>
  <c r="AK15" i="25"/>
  <c r="AM15" i="25" s="1"/>
  <c r="AK17" i="25"/>
  <c r="AM17" i="25" s="1"/>
  <c r="AK22" i="25"/>
  <c r="AM22" i="25" s="1"/>
  <c r="AK27" i="25"/>
  <c r="AM27" i="25" s="1"/>
  <c r="AK30" i="25"/>
  <c r="AM30" i="25" s="1"/>
  <c r="AK32" i="25"/>
  <c r="AM32" i="25" s="1"/>
  <c r="AK33" i="25"/>
  <c r="AM33" i="25" s="1"/>
  <c r="AK34" i="25"/>
  <c r="AM34" i="25" s="1"/>
  <c r="AK38" i="25"/>
  <c r="AM38" i="25" s="1"/>
  <c r="AK41" i="25"/>
  <c r="AM41" i="25" s="1"/>
  <c r="AK3" i="25"/>
  <c r="AK7" i="25"/>
  <c r="AM7" i="25" s="1"/>
  <c r="AK14" i="25"/>
  <c r="AM14" i="25" s="1"/>
  <c r="AK18" i="25"/>
  <c r="AM18" i="25" s="1"/>
  <c r="AK19" i="25"/>
  <c r="AM19" i="25" s="1"/>
  <c r="AK20" i="25"/>
  <c r="AM20" i="25" s="1"/>
  <c r="AK24" i="25"/>
  <c r="AM24" i="25" s="1"/>
  <c r="AK36" i="25"/>
  <c r="AM36" i="25" s="1"/>
  <c r="AK40" i="25"/>
  <c r="AM40" i="25" s="1"/>
  <c r="N74" i="25"/>
  <c r="P74" i="25" s="1"/>
  <c r="AK44" i="25"/>
  <c r="AM44" i="25" s="1"/>
  <c r="N64" i="25"/>
  <c r="P64" i="25" s="1"/>
  <c r="AQ48" i="25"/>
  <c r="AS48" i="25" s="1"/>
  <c r="N69" i="25"/>
  <c r="P69" i="25" s="1"/>
  <c r="N76" i="25"/>
  <c r="P76" i="25" s="1"/>
  <c r="N72" i="25"/>
  <c r="AQ45" i="25"/>
  <c r="AS45" i="25" s="1"/>
  <c r="N8" i="25"/>
  <c r="P8" i="25" s="1"/>
  <c r="N26" i="25"/>
  <c r="P26" i="25" s="1"/>
  <c r="N49" i="25"/>
  <c r="P49" i="25" s="1"/>
  <c r="N44" i="25"/>
  <c r="P44" i="25" s="1"/>
  <c r="N77" i="25"/>
  <c r="P77" i="25" s="1"/>
  <c r="N48" i="25"/>
  <c r="P48" i="25" s="1"/>
  <c r="N73" i="25"/>
  <c r="P73" i="25" s="1"/>
  <c r="AE51" i="25"/>
  <c r="AG51" i="25" s="1"/>
  <c r="S52" i="25"/>
  <c r="U52" i="25" s="1"/>
  <c r="AK54" i="25"/>
  <c r="AM54" i="25" s="1"/>
  <c r="AK58" i="25"/>
  <c r="AM58" i="25" s="1"/>
  <c r="AE61" i="25"/>
  <c r="AG61" i="25" s="1"/>
  <c r="BC71" i="25"/>
  <c r="BE71" i="25" s="1"/>
  <c r="AW73" i="25"/>
  <c r="AY73" i="25" s="1"/>
  <c r="N13" i="25"/>
  <c r="P13" i="25" s="1"/>
  <c r="AQ46" i="25"/>
  <c r="AS46" i="25" s="1"/>
  <c r="AK42" i="25"/>
  <c r="AM42" i="25" s="1"/>
  <c r="N25" i="25"/>
  <c r="P25" i="25" s="1"/>
  <c r="N75" i="25"/>
  <c r="P75" i="25" s="1"/>
  <c r="AK47" i="25"/>
  <c r="AM47" i="25" s="1"/>
  <c r="AE46" i="25"/>
  <c r="AG46" i="25" s="1"/>
  <c r="N11" i="25"/>
  <c r="P11" i="25" s="1"/>
  <c r="N21" i="25"/>
  <c r="P21" i="25" s="1"/>
  <c r="N85" i="25"/>
  <c r="P85" i="25" s="1"/>
  <c r="AQ44" i="25"/>
  <c r="AS44" i="25" s="1"/>
  <c r="AK43" i="25"/>
  <c r="AM43" i="25" s="1"/>
  <c r="N12" i="25"/>
  <c r="N79" i="25"/>
  <c r="P79" i="25" s="1"/>
  <c r="N87" i="25"/>
  <c r="P87" i="25" s="1"/>
  <c r="BC50" i="25"/>
  <c r="BE50" i="25" s="1"/>
  <c r="S53" i="25"/>
  <c r="U53" i="25" s="1"/>
  <c r="AE54" i="25"/>
  <c r="AG54" i="25" s="1"/>
  <c r="AE59" i="25"/>
  <c r="AG59" i="25" s="1"/>
  <c r="AW63" i="25"/>
  <c r="AY63" i="25" s="1"/>
  <c r="BC64" i="25"/>
  <c r="BE64" i="25" s="1"/>
  <c r="BC41" i="25"/>
  <c r="BE41" i="25" s="1"/>
  <c r="BC38" i="25"/>
  <c r="BE38" i="25" s="1"/>
  <c r="BC33" i="25"/>
  <c r="BE33" i="25" s="1"/>
  <c r="BC39" i="25"/>
  <c r="BE39" i="25" s="1"/>
  <c r="AK45" i="25"/>
  <c r="AM45" i="25" s="1"/>
  <c r="N33" i="25"/>
  <c r="P33" i="25" s="1"/>
  <c r="N39" i="25"/>
  <c r="P39" i="25" s="1"/>
  <c r="N82" i="25"/>
  <c r="N78" i="25"/>
  <c r="P78" i="25" s="1"/>
  <c r="S42" i="25"/>
  <c r="U42" i="25" s="1"/>
  <c r="N15" i="25"/>
  <c r="P15" i="25" s="1"/>
  <c r="N63" i="25"/>
  <c r="P63" i="25" s="1"/>
  <c r="N58" i="25"/>
  <c r="P58" i="25" s="1"/>
  <c r="N57" i="25"/>
  <c r="P57" i="25" s="1"/>
  <c r="AE44" i="25"/>
  <c r="AG44" i="25" s="1"/>
  <c r="AQ43" i="25"/>
  <c r="AS43" i="25" s="1"/>
  <c r="N16" i="25"/>
  <c r="P16" i="25" s="1"/>
  <c r="N68" i="25"/>
  <c r="P68" i="25" s="1"/>
  <c r="N92" i="25"/>
  <c r="AK50" i="25"/>
  <c r="AM50" i="25" s="1"/>
  <c r="AE52" i="25"/>
  <c r="AG52" i="25" s="1"/>
  <c r="AK53" i="25"/>
  <c r="AM53" i="25" s="1"/>
  <c r="S55" i="25"/>
  <c r="U55" i="25" s="1"/>
  <c r="AE58" i="25"/>
  <c r="AG58" i="25" s="1"/>
  <c r="AK59" i="25"/>
  <c r="AM59" i="25" s="1"/>
  <c r="BC60" i="25"/>
  <c r="BE60" i="25" s="1"/>
  <c r="BC62" i="25"/>
  <c r="BE62" i="25" s="1"/>
  <c r="AK63" i="25"/>
  <c r="AM63" i="25" s="1"/>
  <c r="AW69" i="25"/>
  <c r="AY69" i="25" s="1"/>
  <c r="S71" i="25"/>
  <c r="U71" i="25" s="1"/>
  <c r="AK48" i="25"/>
  <c r="AM48" i="25" s="1"/>
  <c r="AE28" i="26"/>
  <c r="AG28" i="26" s="1"/>
  <c r="AQ27" i="26"/>
  <c r="AS27" i="26" s="1"/>
  <c r="AE27" i="26"/>
  <c r="AG27" i="26" s="1"/>
  <c r="X81" i="26"/>
  <c r="Z81" i="26" s="1"/>
  <c r="AB81" i="26" s="1"/>
  <c r="Y49" i="26"/>
  <c r="AA49" i="26" s="1"/>
  <c r="X93" i="26"/>
  <c r="Z93" i="26" s="1"/>
  <c r="X92" i="26"/>
  <c r="Z92" i="26" s="1"/>
  <c r="AB92" i="26" s="1"/>
  <c r="X91" i="26"/>
  <c r="Z91" i="26" s="1"/>
  <c r="AB91" i="26" s="1"/>
  <c r="X90" i="26"/>
  <c r="Z90" i="26" s="1"/>
  <c r="AB90" i="26" s="1"/>
  <c r="X89" i="26"/>
  <c r="Z89" i="26" s="1"/>
  <c r="AB89" i="26" s="1"/>
  <c r="X88" i="26"/>
  <c r="Z88" i="26" s="1"/>
  <c r="AB88" i="26" s="1"/>
  <c r="X87" i="26"/>
  <c r="Z87" i="26" s="1"/>
  <c r="AB87" i="26" s="1"/>
  <c r="X86" i="26"/>
  <c r="Z86" i="26" s="1"/>
  <c r="AB86" i="26" s="1"/>
  <c r="X85" i="26"/>
  <c r="X84" i="26"/>
  <c r="Z84" i="26" s="1"/>
  <c r="AB84" i="26" s="1"/>
  <c r="X83" i="26"/>
  <c r="Z83" i="26" s="1"/>
  <c r="AB83" i="26" s="1"/>
  <c r="X82" i="26"/>
  <c r="Z82" i="26" s="1"/>
  <c r="AB82" i="26" s="1"/>
  <c r="Y22" i="26"/>
  <c r="AA22" i="26" s="1"/>
  <c r="BI30" i="26"/>
  <c r="BK30" i="26" s="1"/>
  <c r="BU24" i="26"/>
  <c r="BW24" i="26" s="1"/>
  <c r="BC25" i="26"/>
  <c r="BE25" i="26" s="1"/>
  <c r="BC28" i="26"/>
  <c r="BE28" i="26" s="1"/>
  <c r="Y29" i="26"/>
  <c r="AA29" i="26" s="1"/>
  <c r="BU25" i="26"/>
  <c r="BW25" i="26" s="1"/>
  <c r="BU22" i="26"/>
  <c r="BW22" i="26" s="1"/>
  <c r="BI29" i="26"/>
  <c r="BK29" i="26" s="1"/>
  <c r="BU21" i="26"/>
  <c r="BW21" i="26" s="1"/>
  <c r="BO23" i="26"/>
  <c r="BQ23" i="26" s="1"/>
  <c r="BI28" i="26"/>
  <c r="BK28" i="26" s="1"/>
  <c r="BI27" i="26"/>
  <c r="BK27" i="26" s="1"/>
  <c r="BU26" i="26"/>
  <c r="BW26" i="26" s="1"/>
  <c r="BC30" i="26"/>
  <c r="BE30" i="26" s="1"/>
  <c r="BC27" i="26"/>
  <c r="BE27" i="26" s="1"/>
  <c r="AQ30" i="26"/>
  <c r="AS30" i="26" s="1"/>
  <c r="AQ29" i="26"/>
  <c r="AS29" i="26" s="1"/>
  <c r="BO30" i="26"/>
  <c r="BQ30" i="26" s="1"/>
  <c r="BI20" i="26"/>
  <c r="BK20" i="26" s="1"/>
  <c r="Y34" i="26"/>
  <c r="AA34" i="26" s="1"/>
  <c r="Y30" i="26"/>
  <c r="AA30" i="26" s="1"/>
  <c r="Y35" i="26"/>
  <c r="AA35" i="26" s="1"/>
  <c r="BU41" i="26"/>
  <c r="BW41" i="26" s="1"/>
  <c r="BU44" i="26"/>
  <c r="BW44" i="26" s="1"/>
  <c r="BU33" i="26"/>
  <c r="BW33" i="26" s="1"/>
  <c r="BO42" i="26"/>
  <c r="BQ42" i="26" s="1"/>
  <c r="BO40" i="26"/>
  <c r="BQ40" i="26" s="1"/>
  <c r="BO33" i="26"/>
  <c r="BQ33" i="26" s="1"/>
  <c r="BU51" i="26"/>
  <c r="BW51" i="26" s="1"/>
  <c r="BO52" i="26"/>
  <c r="BQ52" i="26" s="1"/>
  <c r="BO55" i="26"/>
  <c r="BQ55" i="26" s="1"/>
  <c r="Y51" i="26"/>
  <c r="AA51" i="26" s="1"/>
  <c r="BU55" i="26"/>
  <c r="BW55" i="26" s="1"/>
  <c r="Y33" i="26"/>
  <c r="AA33" i="26" s="1"/>
  <c r="Y39" i="26"/>
  <c r="AA39" i="26" s="1"/>
  <c r="Y28" i="26"/>
  <c r="AA28" i="26" s="1"/>
  <c r="Y36" i="26"/>
  <c r="AA36" i="26" s="1"/>
  <c r="Y27" i="26"/>
  <c r="AA27" i="26" s="1"/>
  <c r="BU29" i="26"/>
  <c r="BW29" i="26" s="1"/>
  <c r="BU32" i="26"/>
  <c r="BW32" i="26" s="1"/>
  <c r="BU38" i="26"/>
  <c r="BW38" i="26" s="1"/>
  <c r="BU40" i="26"/>
  <c r="BW40" i="26" s="1"/>
  <c r="BU20" i="26"/>
  <c r="BW20" i="26" s="1"/>
  <c r="BU30" i="26"/>
  <c r="BW30" i="26" s="1"/>
  <c r="BO36" i="26"/>
  <c r="BQ36" i="26" s="1"/>
  <c r="BO29" i="26"/>
  <c r="BQ29" i="26" s="1"/>
  <c r="BO43" i="26"/>
  <c r="BQ43" i="26" s="1"/>
  <c r="BO28" i="26"/>
  <c r="BQ28" i="26" s="1"/>
  <c r="BO25" i="26"/>
  <c r="BQ25" i="26" s="1"/>
  <c r="BO26" i="26"/>
  <c r="BQ26" i="26" s="1"/>
  <c r="BU56" i="26"/>
  <c r="BW56" i="26" s="1"/>
  <c r="BO48" i="26"/>
  <c r="BQ48" i="26" s="1"/>
  <c r="BO49" i="26"/>
  <c r="BQ49" i="26" s="1"/>
  <c r="Y50" i="26"/>
  <c r="AA50" i="26" s="1"/>
  <c r="Y44" i="26"/>
  <c r="AA44" i="26" s="1"/>
  <c r="Y32" i="26"/>
  <c r="AA32" i="26" s="1"/>
  <c r="Y38" i="26"/>
  <c r="AA38" i="26" s="1"/>
  <c r="Y21" i="26"/>
  <c r="AA21" i="26" s="1"/>
  <c r="Y42" i="26"/>
  <c r="AA42" i="26" s="1"/>
  <c r="BU42" i="26"/>
  <c r="BW42" i="26" s="1"/>
  <c r="BU27" i="26"/>
  <c r="BW27" i="26" s="1"/>
  <c r="BU23" i="26"/>
  <c r="BW23" i="26" s="1"/>
  <c r="BU37" i="26"/>
  <c r="BW37" i="26" s="1"/>
  <c r="BU34" i="26"/>
  <c r="BW34" i="26" s="1"/>
  <c r="BU28" i="26"/>
  <c r="BW28" i="26" s="1"/>
  <c r="BO34" i="26"/>
  <c r="BQ34" i="26" s="1"/>
  <c r="BO27" i="26"/>
  <c r="BQ27" i="26" s="1"/>
  <c r="BO41" i="26"/>
  <c r="BQ41" i="26" s="1"/>
  <c r="BO39" i="26"/>
  <c r="BQ39" i="26" s="1"/>
  <c r="BO37" i="26"/>
  <c r="BQ37" i="26" s="1"/>
  <c r="Y45" i="26"/>
  <c r="AA45" i="26" s="1"/>
  <c r="BU48" i="26"/>
  <c r="BW48" i="26" s="1"/>
  <c r="BU54" i="26"/>
  <c r="BW54" i="26" s="1"/>
  <c r="BU53" i="26"/>
  <c r="BW53" i="26" s="1"/>
  <c r="BO45" i="26"/>
  <c r="BQ45" i="26" s="1"/>
  <c r="Y56" i="26"/>
  <c r="AA56" i="26" s="1"/>
  <c r="Y52" i="26"/>
  <c r="AA52" i="26" s="1"/>
  <c r="BO50" i="26"/>
  <c r="BQ50" i="26" s="1"/>
  <c r="AW51" i="26"/>
  <c r="AY51" i="26" s="1"/>
  <c r="AW58" i="26"/>
  <c r="AY58" i="26" s="1"/>
  <c r="AW28" i="26"/>
  <c r="AY28" i="26" s="1"/>
  <c r="AW57" i="26"/>
  <c r="AY57" i="26" s="1"/>
  <c r="AW32" i="26"/>
  <c r="AY32" i="26" s="1"/>
  <c r="S41" i="26"/>
  <c r="U41" i="26" s="1"/>
  <c r="Y59" i="26"/>
  <c r="AA59" i="26" s="1"/>
  <c r="Y58" i="26"/>
  <c r="AA58" i="26" s="1"/>
  <c r="S35" i="26"/>
  <c r="U35" i="26" s="1"/>
  <c r="AW50" i="26"/>
  <c r="AY50" i="26" s="1"/>
  <c r="AW44" i="26"/>
  <c r="AY44" i="26" s="1"/>
  <c r="S34" i="26"/>
  <c r="U34" i="26" s="1"/>
  <c r="S42" i="26"/>
  <c r="U42" i="26" s="1"/>
  <c r="AW55" i="26"/>
  <c r="AY55" i="26" s="1"/>
  <c r="AW52" i="26"/>
  <c r="AY52" i="26" s="1"/>
  <c r="AQ58" i="26"/>
  <c r="AS58" i="26" s="1"/>
  <c r="AQ59" i="26"/>
  <c r="AS59" i="26" s="1"/>
  <c r="AW42" i="26"/>
  <c r="AY42" i="26" s="1"/>
  <c r="AW43" i="26"/>
  <c r="AY43" i="26" s="1"/>
  <c r="AW29" i="26"/>
  <c r="AY29" i="26" s="1"/>
  <c r="AW48" i="26"/>
  <c r="AY48" i="26" s="1"/>
  <c r="AW56" i="26"/>
  <c r="AY56" i="26" s="1"/>
  <c r="AW31" i="26"/>
  <c r="AY31" i="26" s="1"/>
  <c r="AW41" i="26"/>
  <c r="AY41" i="26" s="1"/>
  <c r="AW33" i="26"/>
  <c r="AY33" i="26" s="1"/>
  <c r="AW40" i="26"/>
  <c r="AY40" i="26" s="1"/>
  <c r="AW54" i="26"/>
  <c r="AY54" i="26" s="1"/>
  <c r="AW53" i="26"/>
  <c r="AY53" i="26" s="1"/>
  <c r="Y48" i="26"/>
  <c r="AA48" i="26" s="1"/>
  <c r="Y54" i="26"/>
  <c r="AA54" i="26" s="1"/>
  <c r="Y53" i="26"/>
  <c r="AA53" i="26" s="1"/>
  <c r="Y47" i="26"/>
  <c r="AA47" i="26" s="1"/>
  <c r="AV85" i="26"/>
  <c r="AX85" i="26" s="1"/>
  <c r="AZ85" i="26" s="1"/>
  <c r="AW46" i="26"/>
  <c r="AY46" i="26" s="1"/>
  <c r="AW45" i="26"/>
  <c r="AY45" i="26" s="1"/>
  <c r="AW38" i="26"/>
  <c r="AY38" i="26" s="1"/>
  <c r="AW27" i="26"/>
  <c r="AY27" i="26" s="1"/>
  <c r="AW49" i="26"/>
  <c r="AY49" i="26" s="1"/>
  <c r="AW34" i="26"/>
  <c r="AY34" i="26" s="1"/>
  <c r="AW35" i="26"/>
  <c r="AY35" i="26" s="1"/>
  <c r="AW30" i="26"/>
  <c r="AY30" i="26" s="1"/>
  <c r="AW37" i="26"/>
  <c r="AY37" i="26" s="1"/>
  <c r="AW47" i="26"/>
  <c r="AY47" i="26" s="1"/>
  <c r="BH89" i="26"/>
  <c r="BJ89" i="26" s="1"/>
  <c r="BL89" i="26" s="1"/>
  <c r="BI51" i="26"/>
  <c r="BK51" i="26" s="1"/>
  <c r="BI53" i="26"/>
  <c r="BK53" i="26" s="1"/>
  <c r="BB93" i="26"/>
  <c r="BD93" i="26" s="1"/>
  <c r="BC48" i="26"/>
  <c r="BE48" i="26" s="1"/>
  <c r="AQ10" i="26"/>
  <c r="AS10" i="26" s="1"/>
  <c r="AQ56" i="26"/>
  <c r="AS56" i="26" s="1"/>
  <c r="AQ49" i="26"/>
  <c r="AS49" i="26" s="1"/>
  <c r="AQ48" i="26"/>
  <c r="AS48" i="26" s="1"/>
  <c r="AQ47" i="26"/>
  <c r="AS47" i="26" s="1"/>
  <c r="AW93" i="26"/>
  <c r="AY93" i="26" s="1"/>
  <c r="BO19" i="26"/>
  <c r="BQ19" i="26" s="1"/>
  <c r="Y19" i="26"/>
  <c r="AA19" i="26" s="1"/>
  <c r="BN92" i="26"/>
  <c r="BP92" i="26" s="1"/>
  <c r="BR92" i="26" s="1"/>
  <c r="BU6" i="26"/>
  <c r="BW6" i="26" s="1"/>
  <c r="P92" i="26"/>
  <c r="AE8" i="26"/>
  <c r="AG8" i="26" s="1"/>
  <c r="Y93" i="26"/>
  <c r="AA93" i="26" s="1"/>
  <c r="Y11" i="26"/>
  <c r="AA11" i="26" s="1"/>
  <c r="BU4" i="26"/>
  <c r="BW4" i="26" s="1"/>
  <c r="BU93" i="26"/>
  <c r="BW93" i="26" s="1"/>
  <c r="BX93" i="26" s="1"/>
  <c r="BI4" i="26"/>
  <c r="BK4" i="26" s="1"/>
  <c r="BU3" i="26"/>
  <c r="BC93" i="26"/>
  <c r="BE93" i="26" s="1"/>
  <c r="BN82" i="26"/>
  <c r="BP82" i="26" s="1"/>
  <c r="BR82" i="26" s="1"/>
  <c r="Y6" i="26"/>
  <c r="AA6" i="26" s="1"/>
  <c r="BU10" i="26"/>
  <c r="BW10" i="26" s="1"/>
  <c r="BU19" i="26"/>
  <c r="BW19" i="26" s="1"/>
  <c r="BU13" i="26"/>
  <c r="BW13" i="26" s="1"/>
  <c r="BU12" i="26"/>
  <c r="BW12" i="26" s="1"/>
  <c r="BU17" i="26"/>
  <c r="BW17" i="26" s="1"/>
  <c r="BN80" i="26"/>
  <c r="BP80" i="26" s="1"/>
  <c r="BR80" i="26" s="1"/>
  <c r="BC13" i="26"/>
  <c r="BE13" i="26" s="1"/>
  <c r="BO14" i="26"/>
  <c r="BQ14" i="26" s="1"/>
  <c r="Z85" i="26"/>
  <c r="AB85" i="26" s="1"/>
  <c r="Y16" i="26"/>
  <c r="AA16" i="26" s="1"/>
  <c r="BI10" i="26"/>
  <c r="BK10" i="26" s="1"/>
  <c r="BU9" i="26"/>
  <c r="BW9" i="26" s="1"/>
  <c r="BU5" i="26"/>
  <c r="BW5" i="26" s="1"/>
  <c r="BU8" i="26"/>
  <c r="BW8" i="26" s="1"/>
  <c r="BU16" i="26"/>
  <c r="BW16" i="26" s="1"/>
  <c r="BU7" i="26"/>
  <c r="BW7" i="26" s="1"/>
  <c r="BU11" i="26"/>
  <c r="BW11" i="26" s="1"/>
  <c r="BN83" i="26"/>
  <c r="BP83" i="26" s="1"/>
  <c r="BR83" i="26" s="1"/>
  <c r="BB82" i="26"/>
  <c r="BD82" i="26" s="1"/>
  <c r="BF82" i="26" s="1"/>
  <c r="BC10" i="26"/>
  <c r="BE10" i="26" s="1"/>
  <c r="BO11" i="26"/>
  <c r="BQ11" i="26" s="1"/>
  <c r="BH86" i="26"/>
  <c r="BJ86" i="26" s="1"/>
  <c r="BL86" i="26" s="1"/>
  <c r="BH80" i="26"/>
  <c r="BJ80" i="26" s="1"/>
  <c r="BL80" i="26" s="1"/>
  <c r="Y8" i="26"/>
  <c r="AA8" i="26" s="1"/>
  <c r="P72" i="26"/>
  <c r="BU15" i="26"/>
  <c r="BW15" i="26" s="1"/>
  <c r="BU14" i="26"/>
  <c r="BW14" i="26" s="1"/>
  <c r="BU18" i="26"/>
  <c r="BW18" i="26" s="1"/>
  <c r="BO13" i="26"/>
  <c r="BQ13" i="26" s="1"/>
  <c r="AW6" i="26"/>
  <c r="AY6" i="26" s="1"/>
  <c r="AW7" i="26"/>
  <c r="AY7" i="26" s="1"/>
  <c r="AW4" i="26"/>
  <c r="AY4" i="26" s="1"/>
  <c r="AQ17" i="26"/>
  <c r="AS17" i="26" s="1"/>
  <c r="AE21" i="26"/>
  <c r="AG21" i="26" s="1"/>
  <c r="AQ4" i="26"/>
  <c r="AS4" i="26" s="1"/>
  <c r="AE19" i="26"/>
  <c r="AG19" i="26" s="1"/>
  <c r="AE93" i="26"/>
  <c r="AG93" i="26" s="1"/>
  <c r="AD81" i="26"/>
  <c r="AF81" i="26" s="1"/>
  <c r="AH81" i="26" s="1"/>
  <c r="AP93" i="26"/>
  <c r="AR93" i="26" s="1"/>
  <c r="AQ25" i="26"/>
  <c r="AS25" i="26" s="1"/>
  <c r="P5" i="26"/>
  <c r="AW5" i="26"/>
  <c r="AY5" i="26" s="1"/>
  <c r="AD80" i="26"/>
  <c r="AF80" i="26" s="1"/>
  <c r="AH80" i="26" s="1"/>
  <c r="AW19" i="26"/>
  <c r="AY19" i="26" s="1"/>
  <c r="AW10" i="26"/>
  <c r="AY10" i="26" s="1"/>
  <c r="AV80" i="26"/>
  <c r="AX80" i="26" s="1"/>
  <c r="AZ80" i="26" s="1"/>
  <c r="AD83" i="26"/>
  <c r="AF83" i="26" s="1"/>
  <c r="AH83" i="26" s="1"/>
  <c r="AV92" i="26"/>
  <c r="AX92" i="26" s="1"/>
  <c r="AZ92" i="26" s="1"/>
  <c r="AP89" i="26"/>
  <c r="AR89" i="26" s="1"/>
  <c r="AT89" i="26" s="1"/>
  <c r="AV86" i="26"/>
  <c r="AX86" i="26" s="1"/>
  <c r="AZ86" i="26" s="1"/>
  <c r="Y26" i="26"/>
  <c r="AA26" i="26" s="1"/>
  <c r="Y12" i="26"/>
  <c r="AA12" i="26" s="1"/>
  <c r="Y15" i="26"/>
  <c r="AA15" i="26" s="1"/>
  <c r="BI26" i="26"/>
  <c r="BK26" i="26" s="1"/>
  <c r="BI25" i="26"/>
  <c r="BK25" i="26" s="1"/>
  <c r="BI11" i="26"/>
  <c r="BK11" i="26" s="1"/>
  <c r="BN93" i="26"/>
  <c r="BP93" i="26" s="1"/>
  <c r="BN88" i="26"/>
  <c r="BP88" i="26" s="1"/>
  <c r="BR88" i="26" s="1"/>
  <c r="BB91" i="26"/>
  <c r="BD91" i="26" s="1"/>
  <c r="BF91" i="26" s="1"/>
  <c r="BC26" i="26"/>
  <c r="BE26" i="26" s="1"/>
  <c r="BC9" i="26"/>
  <c r="BE9" i="26" s="1"/>
  <c r="BN87" i="26"/>
  <c r="BP87" i="26" s="1"/>
  <c r="BR87" i="26" s="1"/>
  <c r="BO5" i="26"/>
  <c r="BQ5" i="26" s="1"/>
  <c r="BO9" i="26"/>
  <c r="BQ9" i="26" s="1"/>
  <c r="BN90" i="26"/>
  <c r="BP90" i="26" s="1"/>
  <c r="BR90" i="26" s="1"/>
  <c r="Y17" i="26"/>
  <c r="AA17" i="26" s="1"/>
  <c r="Y4" i="26"/>
  <c r="AA4" i="26" s="1"/>
  <c r="Y7" i="26"/>
  <c r="AA7" i="26" s="1"/>
  <c r="BI3" i="26"/>
  <c r="BI12" i="26"/>
  <c r="BK12" i="26" s="1"/>
  <c r="BN89" i="26"/>
  <c r="BP89" i="26" s="1"/>
  <c r="BR89" i="26" s="1"/>
  <c r="BC23" i="26"/>
  <c r="BE23" i="26" s="1"/>
  <c r="BC3" i="26"/>
  <c r="BN81" i="26"/>
  <c r="BP81" i="26" s="1"/>
  <c r="BR81" i="26" s="1"/>
  <c r="BB88" i="26"/>
  <c r="BD88" i="26" s="1"/>
  <c r="BF88" i="26" s="1"/>
  <c r="BO7" i="26"/>
  <c r="BQ7" i="26" s="1"/>
  <c r="BO17" i="26"/>
  <c r="BQ17" i="26" s="1"/>
  <c r="BO93" i="26"/>
  <c r="BQ93" i="26" s="1"/>
  <c r="BB92" i="26"/>
  <c r="BD92" i="26" s="1"/>
  <c r="BF92" i="26" s="1"/>
  <c r="R86" i="26"/>
  <c r="T86" i="26" s="1"/>
  <c r="V86" i="26" s="1"/>
  <c r="Y24" i="26"/>
  <c r="AA24" i="26" s="1"/>
  <c r="Y10" i="26"/>
  <c r="AA10" i="26" s="1"/>
  <c r="Y25" i="26"/>
  <c r="AA25" i="26" s="1"/>
  <c r="Y13" i="26"/>
  <c r="AA13" i="26" s="1"/>
  <c r="Y5" i="26"/>
  <c r="AA5" i="26" s="1"/>
  <c r="P12" i="26"/>
  <c r="BI22" i="26"/>
  <c r="BK22" i="26" s="1"/>
  <c r="BI18" i="26"/>
  <c r="BK18" i="26" s="1"/>
  <c r="BI19" i="26"/>
  <c r="BK19" i="26" s="1"/>
  <c r="BI23" i="26"/>
  <c r="BK23" i="26" s="1"/>
  <c r="BI7" i="26"/>
  <c r="BK7" i="26" s="1"/>
  <c r="BI93" i="26"/>
  <c r="BK93" i="26" s="1"/>
  <c r="BN84" i="26"/>
  <c r="BP84" i="26" s="1"/>
  <c r="BR84" i="26" s="1"/>
  <c r="BB89" i="26"/>
  <c r="BD89" i="26" s="1"/>
  <c r="BF89" i="26" s="1"/>
  <c r="BH84" i="26"/>
  <c r="BJ84" i="26" s="1"/>
  <c r="BL84" i="26" s="1"/>
  <c r="BC20" i="26"/>
  <c r="BE20" i="26" s="1"/>
  <c r="BC15" i="26"/>
  <c r="BE15" i="26" s="1"/>
  <c r="BC22" i="26"/>
  <c r="BE22" i="26" s="1"/>
  <c r="BC19" i="26"/>
  <c r="BE19" i="26" s="1"/>
  <c r="BC6" i="26"/>
  <c r="BE6" i="26" s="1"/>
  <c r="BC16" i="26"/>
  <c r="BE16" i="26" s="1"/>
  <c r="BB86" i="26"/>
  <c r="BD86" i="26" s="1"/>
  <c r="BF86" i="26" s="1"/>
  <c r="BO16" i="26"/>
  <c r="BQ16" i="26" s="1"/>
  <c r="BO12" i="26"/>
  <c r="BQ12" i="26" s="1"/>
  <c r="BO22" i="26"/>
  <c r="BQ22" i="26" s="1"/>
  <c r="BO24" i="26"/>
  <c r="BQ24" i="26" s="1"/>
  <c r="BO6" i="26"/>
  <c r="BQ6" i="26" s="1"/>
  <c r="BO10" i="26"/>
  <c r="BQ10" i="26" s="1"/>
  <c r="BO8" i="26"/>
  <c r="BQ8" i="26" s="1"/>
  <c r="BH82" i="26"/>
  <c r="BJ82" i="26" s="1"/>
  <c r="BL82" i="26" s="1"/>
  <c r="Y20" i="26"/>
  <c r="AA20" i="26" s="1"/>
  <c r="Y3" i="26"/>
  <c r="Y23" i="26"/>
  <c r="AA23" i="26" s="1"/>
  <c r="Y14" i="26"/>
  <c r="AA14" i="26" s="1"/>
  <c r="Y9" i="26"/>
  <c r="AA9" i="26" s="1"/>
  <c r="Y18" i="26"/>
  <c r="AA18" i="26" s="1"/>
  <c r="BI13" i="26"/>
  <c r="BK13" i="26" s="1"/>
  <c r="BI24" i="26"/>
  <c r="BK24" i="26" s="1"/>
  <c r="BI17" i="26"/>
  <c r="BK17" i="26" s="1"/>
  <c r="BI16" i="26"/>
  <c r="BK16" i="26" s="1"/>
  <c r="BI6" i="26"/>
  <c r="BK6" i="26" s="1"/>
  <c r="BI14" i="26"/>
  <c r="BK14" i="26" s="1"/>
  <c r="BB85" i="26"/>
  <c r="BD85" i="26" s="1"/>
  <c r="BF85" i="26" s="1"/>
  <c r="BN91" i="26"/>
  <c r="BP91" i="26" s="1"/>
  <c r="BR91" i="26" s="1"/>
  <c r="BC11" i="26"/>
  <c r="BE11" i="26" s="1"/>
  <c r="BC18" i="26"/>
  <c r="BE18" i="26" s="1"/>
  <c r="BC12" i="26"/>
  <c r="BE12" i="26" s="1"/>
  <c r="BC7" i="26"/>
  <c r="BE7" i="26" s="1"/>
  <c r="BN86" i="26"/>
  <c r="BP86" i="26" s="1"/>
  <c r="BR86" i="26" s="1"/>
  <c r="BO15" i="26"/>
  <c r="BQ15" i="26" s="1"/>
  <c r="BO18" i="26"/>
  <c r="BQ18" i="26" s="1"/>
  <c r="BO21" i="26"/>
  <c r="BQ21" i="26" s="1"/>
  <c r="BO20" i="26"/>
  <c r="BQ20" i="26" s="1"/>
  <c r="BO3" i="26"/>
  <c r="BO4" i="26"/>
  <c r="BQ4" i="26" s="1"/>
  <c r="P82" i="26"/>
  <c r="BB83" i="26"/>
  <c r="BD83" i="26" s="1"/>
  <c r="BF83" i="26" s="1"/>
  <c r="BN85" i="26"/>
  <c r="BP85" i="26" s="1"/>
  <c r="BR85" i="26" s="1"/>
  <c r="AP86" i="26"/>
  <c r="AR86" i="26" s="1"/>
  <c r="AT86" i="26" s="1"/>
  <c r="AP82" i="26"/>
  <c r="AR82" i="26" s="1"/>
  <c r="AT82" i="26" s="1"/>
  <c r="AP87" i="26"/>
  <c r="AR87" i="26" s="1"/>
  <c r="AT87" i="26" s="1"/>
  <c r="AP90" i="26"/>
  <c r="AR90" i="26" s="1"/>
  <c r="AT90" i="26" s="1"/>
  <c r="AP81" i="26"/>
  <c r="AR81" i="26" s="1"/>
  <c r="AT81" i="26" s="1"/>
  <c r="AP83" i="26"/>
  <c r="AR83" i="26" s="1"/>
  <c r="AT83" i="26" s="1"/>
  <c r="AP91" i="26"/>
  <c r="AR91" i="26" s="1"/>
  <c r="AT91" i="26" s="1"/>
  <c r="AQ3" i="26"/>
  <c r="AQ5" i="26"/>
  <c r="AS5" i="26" s="1"/>
  <c r="AQ14" i="26"/>
  <c r="AS14" i="26" s="1"/>
  <c r="AQ9" i="26"/>
  <c r="AS9" i="26" s="1"/>
  <c r="AQ20" i="26"/>
  <c r="AS20" i="26" s="1"/>
  <c r="AQ8" i="26"/>
  <c r="AS8" i="26" s="1"/>
  <c r="AQ19" i="26"/>
  <c r="AS19" i="26" s="1"/>
  <c r="AP92" i="26"/>
  <c r="AR92" i="26" s="1"/>
  <c r="AT92" i="26" s="1"/>
  <c r="AD86" i="26"/>
  <c r="AF86" i="26" s="1"/>
  <c r="AH86" i="26" s="1"/>
  <c r="AD85" i="26"/>
  <c r="AF85" i="26" s="1"/>
  <c r="AH85" i="26" s="1"/>
  <c r="AE9" i="26"/>
  <c r="AG9" i="26" s="1"/>
  <c r="AE22" i="26"/>
  <c r="AG22" i="26" s="1"/>
  <c r="AE4" i="26"/>
  <c r="AG4" i="26" s="1"/>
  <c r="AE15" i="26"/>
  <c r="AG15" i="26" s="1"/>
  <c r="AE17" i="26"/>
  <c r="AG17" i="26" s="1"/>
  <c r="AD90" i="26"/>
  <c r="AF90" i="26" s="1"/>
  <c r="AH90" i="26" s="1"/>
  <c r="AD88" i="26"/>
  <c r="AF88" i="26" s="1"/>
  <c r="AH88" i="26" s="1"/>
  <c r="AD84" i="26"/>
  <c r="AF84" i="26" s="1"/>
  <c r="AH84" i="26" s="1"/>
  <c r="AD87" i="26"/>
  <c r="AF87" i="26" s="1"/>
  <c r="AH87" i="26" s="1"/>
  <c r="AQ18" i="26"/>
  <c r="AS18" i="26" s="1"/>
  <c r="AQ26" i="26"/>
  <c r="AS26" i="26" s="1"/>
  <c r="AQ23" i="26"/>
  <c r="AS23" i="26" s="1"/>
  <c r="AQ12" i="26"/>
  <c r="AS12" i="26" s="1"/>
  <c r="AQ93" i="26"/>
  <c r="AS93" i="26" s="1"/>
  <c r="P42" i="26"/>
  <c r="AD92" i="26"/>
  <c r="AF92" i="26" s="1"/>
  <c r="AH92" i="26" s="1"/>
  <c r="AE14" i="26"/>
  <c r="AG14" i="26" s="1"/>
  <c r="AE26" i="26"/>
  <c r="AG26" i="26" s="1"/>
  <c r="AE7" i="26"/>
  <c r="AG7" i="26" s="1"/>
  <c r="AE16" i="26"/>
  <c r="AG16" i="26" s="1"/>
  <c r="AE13" i="26"/>
  <c r="AG13" i="26" s="1"/>
  <c r="AE18" i="26"/>
  <c r="AG18" i="26" s="1"/>
  <c r="P22" i="26"/>
  <c r="AD91" i="26"/>
  <c r="AF91" i="26" s="1"/>
  <c r="AH91" i="26" s="1"/>
  <c r="S6" i="26"/>
  <c r="U6" i="26" s="1"/>
  <c r="S26" i="26"/>
  <c r="U26" i="26" s="1"/>
  <c r="R81" i="26"/>
  <c r="T81" i="26" s="1"/>
  <c r="V81" i="26" s="1"/>
  <c r="AV83" i="26"/>
  <c r="AX83" i="26" s="1"/>
  <c r="AZ83" i="26" s="1"/>
  <c r="AV90" i="26"/>
  <c r="AX90" i="26" s="1"/>
  <c r="AZ90" i="26" s="1"/>
  <c r="AV93" i="26"/>
  <c r="AX93" i="26" s="1"/>
  <c r="AV88" i="26"/>
  <c r="AX88" i="26" s="1"/>
  <c r="AZ88" i="26" s="1"/>
  <c r="AV89" i="26"/>
  <c r="AX89" i="26" s="1"/>
  <c r="AZ89" i="26" s="1"/>
  <c r="AV91" i="26"/>
  <c r="AX91" i="26" s="1"/>
  <c r="AZ91" i="26" s="1"/>
  <c r="AV87" i="26"/>
  <c r="AX87" i="26" s="1"/>
  <c r="AZ87" i="26" s="1"/>
  <c r="AW21" i="26"/>
  <c r="AY21" i="26" s="1"/>
  <c r="AW12" i="26"/>
  <c r="AY12" i="26" s="1"/>
  <c r="AW8" i="26"/>
  <c r="AY8" i="26" s="1"/>
  <c r="AW18" i="26"/>
  <c r="AY18" i="26" s="1"/>
  <c r="AW26" i="26"/>
  <c r="AY26" i="26" s="1"/>
  <c r="AW23" i="26"/>
  <c r="AY23" i="26" s="1"/>
  <c r="AW17" i="26"/>
  <c r="AY17" i="26" s="1"/>
  <c r="AV81" i="26"/>
  <c r="AX81" i="26" s="1"/>
  <c r="AZ81" i="26" s="1"/>
  <c r="AW24" i="26"/>
  <c r="AY24" i="26" s="1"/>
  <c r="AW13" i="26"/>
  <c r="AY13" i="26" s="1"/>
  <c r="AW14" i="26"/>
  <c r="AY14" i="26" s="1"/>
  <c r="AW3" i="26"/>
  <c r="AD82" i="26"/>
  <c r="AF82" i="26" s="1"/>
  <c r="AH82" i="26" s="1"/>
  <c r="AP84" i="26"/>
  <c r="AR84" i="26" s="1"/>
  <c r="AT84" i="26" s="1"/>
  <c r="AQ16" i="26"/>
  <c r="AS16" i="26" s="1"/>
  <c r="AQ24" i="26"/>
  <c r="AS24" i="26" s="1"/>
  <c r="AQ22" i="26"/>
  <c r="AS22" i="26" s="1"/>
  <c r="AQ11" i="26"/>
  <c r="AS11" i="26" s="1"/>
  <c r="AQ6" i="26"/>
  <c r="AS6" i="26" s="1"/>
  <c r="AV84" i="26"/>
  <c r="AX84" i="26" s="1"/>
  <c r="AZ84" i="26" s="1"/>
  <c r="AD93" i="26"/>
  <c r="AF93" i="26" s="1"/>
  <c r="AE24" i="26"/>
  <c r="AG24" i="26" s="1"/>
  <c r="AE5" i="26"/>
  <c r="AG5" i="26" s="1"/>
  <c r="AE10" i="26"/>
  <c r="AG10" i="26" s="1"/>
  <c r="AE12" i="26"/>
  <c r="AG12" i="26" s="1"/>
  <c r="R82" i="26"/>
  <c r="T82" i="26" s="1"/>
  <c r="V82" i="26" s="1"/>
  <c r="S11" i="26"/>
  <c r="U11" i="26" s="1"/>
  <c r="AP85" i="26"/>
  <c r="AR85" i="26" s="1"/>
  <c r="AT85" i="26" s="1"/>
  <c r="AD89" i="26"/>
  <c r="AF89" i="26" s="1"/>
  <c r="AH89" i="26" s="1"/>
  <c r="AP88" i="26"/>
  <c r="AR88" i="26" s="1"/>
  <c r="AT88" i="26" s="1"/>
  <c r="AW20" i="26"/>
  <c r="AY20" i="26" s="1"/>
  <c r="AW15" i="26"/>
  <c r="AY15" i="26" s="1"/>
  <c r="AW25" i="26"/>
  <c r="AY25" i="26" s="1"/>
  <c r="AW16" i="26"/>
  <c r="AY16" i="26" s="1"/>
  <c r="AW22" i="26"/>
  <c r="AY22" i="26" s="1"/>
  <c r="AW9" i="26"/>
  <c r="AY9" i="26" s="1"/>
  <c r="AW11" i="26"/>
  <c r="AY11" i="26" s="1"/>
  <c r="P52" i="26"/>
  <c r="AQ15" i="26"/>
  <c r="AS15" i="26" s="1"/>
  <c r="AQ21" i="26"/>
  <c r="AS21" i="26" s="1"/>
  <c r="AQ7" i="26"/>
  <c r="AS7" i="26" s="1"/>
  <c r="AQ13" i="26"/>
  <c r="AS13" i="26" s="1"/>
  <c r="AP80" i="26"/>
  <c r="AR80" i="26" s="1"/>
  <c r="AT80" i="26" s="1"/>
  <c r="AE23" i="26"/>
  <c r="AG23" i="26" s="1"/>
  <c r="AE25" i="26"/>
  <c r="AG25" i="26" s="1"/>
  <c r="AE11" i="26"/>
  <c r="AG11" i="26" s="1"/>
  <c r="AE6" i="26"/>
  <c r="AG6" i="26" s="1"/>
  <c r="AE3" i="26"/>
  <c r="R91" i="26"/>
  <c r="T91" i="26" s="1"/>
  <c r="V91" i="26" s="1"/>
  <c r="R93" i="26"/>
  <c r="T93" i="26" s="1"/>
  <c r="S19" i="26"/>
  <c r="U19" i="26" s="1"/>
  <c r="AV82" i="26"/>
  <c r="AX82" i="26" s="1"/>
  <c r="AZ82" i="26" s="1"/>
  <c r="BI45" i="26"/>
  <c r="BK45" i="26" s="1"/>
  <c r="BH85" i="26"/>
  <c r="BJ85" i="26" s="1"/>
  <c r="BL85" i="26" s="1"/>
  <c r="BH81" i="26"/>
  <c r="BJ81" i="26" s="1"/>
  <c r="BL81" i="26" s="1"/>
  <c r="BH91" i="26"/>
  <c r="BJ91" i="26" s="1"/>
  <c r="BL91" i="26" s="1"/>
  <c r="BH87" i="26"/>
  <c r="BJ87" i="26" s="1"/>
  <c r="BL87" i="26" s="1"/>
  <c r="BH92" i="26"/>
  <c r="BJ92" i="26" s="1"/>
  <c r="BL92" i="26" s="1"/>
  <c r="BH93" i="26"/>
  <c r="BJ93" i="26" s="1"/>
  <c r="BI9" i="26"/>
  <c r="BK9" i="26" s="1"/>
  <c r="BI5" i="26"/>
  <c r="BK5" i="26" s="1"/>
  <c r="BI8" i="26"/>
  <c r="BK8" i="26" s="1"/>
  <c r="BI21" i="26"/>
  <c r="BK21" i="26" s="1"/>
  <c r="BI15" i="26"/>
  <c r="BK15" i="26" s="1"/>
  <c r="BH88" i="26"/>
  <c r="BJ88" i="26" s="1"/>
  <c r="BL88" i="26" s="1"/>
  <c r="BH90" i="26"/>
  <c r="BJ90" i="26" s="1"/>
  <c r="BL90" i="26" s="1"/>
  <c r="BH83" i="26"/>
  <c r="BJ83" i="26" s="1"/>
  <c r="BL83" i="26" s="1"/>
  <c r="BB84" i="26"/>
  <c r="BD84" i="26" s="1"/>
  <c r="BF84" i="26" s="1"/>
  <c r="BB80" i="26"/>
  <c r="BD80" i="26" s="1"/>
  <c r="BF80" i="26" s="1"/>
  <c r="P62" i="26"/>
  <c r="BC17" i="26"/>
  <c r="BE17" i="26" s="1"/>
  <c r="BC5" i="26"/>
  <c r="BE5" i="26" s="1"/>
  <c r="BC14" i="26"/>
  <c r="BE14" i="26" s="1"/>
  <c r="BC24" i="26"/>
  <c r="BE24" i="26" s="1"/>
  <c r="BC21" i="26"/>
  <c r="BE21" i="26" s="1"/>
  <c r="BC4" i="26"/>
  <c r="BE4" i="26" s="1"/>
  <c r="BC8" i="26"/>
  <c r="BE8" i="26" s="1"/>
  <c r="BB81" i="26"/>
  <c r="BD81" i="26" s="1"/>
  <c r="BF81" i="26" s="1"/>
  <c r="BB87" i="26"/>
  <c r="BD87" i="26" s="1"/>
  <c r="BF87" i="26" s="1"/>
  <c r="BB90" i="26"/>
  <c r="BD90" i="26" s="1"/>
  <c r="BF90" i="26" s="1"/>
  <c r="S52" i="26"/>
  <c r="U52" i="26" s="1"/>
  <c r="S64" i="26"/>
  <c r="U64" i="26" s="1"/>
  <c r="S68" i="26"/>
  <c r="U68" i="26" s="1"/>
  <c r="S69" i="26"/>
  <c r="U69" i="26" s="1"/>
  <c r="S48" i="26"/>
  <c r="U48" i="26" s="1"/>
  <c r="S60" i="26"/>
  <c r="U60" i="26" s="1"/>
  <c r="S61" i="26"/>
  <c r="U61" i="26" s="1"/>
  <c r="S59" i="26"/>
  <c r="U59" i="26" s="1"/>
  <c r="S57" i="26"/>
  <c r="U57" i="26" s="1"/>
  <c r="S50" i="26"/>
  <c r="U50" i="26" s="1"/>
  <c r="S49" i="26"/>
  <c r="U49" i="26" s="1"/>
  <c r="S62" i="26"/>
  <c r="U62" i="26" s="1"/>
  <c r="S63" i="26"/>
  <c r="U63" i="26" s="1"/>
  <c r="S55" i="26"/>
  <c r="U55" i="26" s="1"/>
  <c r="S53" i="26"/>
  <c r="U53" i="26" s="1"/>
  <c r="S45" i="26"/>
  <c r="U45" i="26" s="1"/>
  <c r="S72" i="26"/>
  <c r="U72" i="26" s="1"/>
  <c r="S58" i="26"/>
  <c r="U58" i="26" s="1"/>
  <c r="S51" i="26"/>
  <c r="U51" i="26" s="1"/>
  <c r="S73" i="26"/>
  <c r="U73" i="26" s="1"/>
  <c r="S74" i="26"/>
  <c r="U74" i="26" s="1"/>
  <c r="S65" i="26"/>
  <c r="U65" i="26" s="1"/>
  <c r="S54" i="26"/>
  <c r="U54" i="26" s="1"/>
  <c r="S71" i="26"/>
  <c r="U71" i="26" s="1"/>
  <c r="S56" i="26"/>
  <c r="U56" i="26" s="1"/>
  <c r="S46" i="26"/>
  <c r="U46" i="26" s="1"/>
  <c r="S47" i="26"/>
  <c r="U47" i="26" s="1"/>
  <c r="S67" i="26"/>
  <c r="U67" i="26" s="1"/>
  <c r="S70" i="26"/>
  <c r="U70" i="26" s="1"/>
  <c r="S66" i="26"/>
  <c r="U66" i="26" s="1"/>
  <c r="R88" i="26"/>
  <c r="T88" i="26" s="1"/>
  <c r="V88" i="26" s="1"/>
  <c r="S31" i="26"/>
  <c r="U31" i="26" s="1"/>
  <c r="S13" i="26"/>
  <c r="U13" i="26" s="1"/>
  <c r="S24" i="26"/>
  <c r="U24" i="26" s="1"/>
  <c r="S10" i="26"/>
  <c r="U10" i="26" s="1"/>
  <c r="S15" i="26"/>
  <c r="U15" i="26" s="1"/>
  <c r="AK73" i="26"/>
  <c r="AM73" i="26" s="1"/>
  <c r="AK46" i="26"/>
  <c r="AM46" i="26" s="1"/>
  <c r="AK64" i="26"/>
  <c r="AM64" i="26" s="1"/>
  <c r="AK58" i="26"/>
  <c r="AM58" i="26" s="1"/>
  <c r="AK63" i="26"/>
  <c r="AM63" i="26" s="1"/>
  <c r="AK45" i="26"/>
  <c r="AM45" i="26" s="1"/>
  <c r="AK47" i="26"/>
  <c r="AM47" i="26" s="1"/>
  <c r="AK54" i="26"/>
  <c r="AM54" i="26" s="1"/>
  <c r="AK55" i="26"/>
  <c r="AM55" i="26" s="1"/>
  <c r="AK65" i="26"/>
  <c r="AM65" i="26" s="1"/>
  <c r="AK53" i="26"/>
  <c r="AM53" i="26" s="1"/>
  <c r="AK74" i="26"/>
  <c r="AM74" i="26" s="1"/>
  <c r="AK69" i="26"/>
  <c r="AM69" i="26" s="1"/>
  <c r="AK68" i="26"/>
  <c r="AM68" i="26" s="1"/>
  <c r="AK59" i="26"/>
  <c r="AM59" i="26" s="1"/>
  <c r="AK67" i="26"/>
  <c r="AM67" i="26" s="1"/>
  <c r="AK72" i="26"/>
  <c r="AM72" i="26" s="1"/>
  <c r="AK62" i="26"/>
  <c r="AM62" i="26" s="1"/>
  <c r="AK49" i="26"/>
  <c r="AM49" i="26" s="1"/>
  <c r="AK52" i="26"/>
  <c r="AM52" i="26" s="1"/>
  <c r="AK71" i="26"/>
  <c r="AM71" i="26" s="1"/>
  <c r="AK70" i="26"/>
  <c r="AM70" i="26" s="1"/>
  <c r="AK66" i="26"/>
  <c r="AM66" i="26" s="1"/>
  <c r="AK61" i="26"/>
  <c r="AM61" i="26" s="1"/>
  <c r="AK48" i="26"/>
  <c r="AM48" i="26" s="1"/>
  <c r="AK57" i="26"/>
  <c r="AM57" i="26" s="1"/>
  <c r="AK60" i="26"/>
  <c r="AM60" i="26" s="1"/>
  <c r="AK50" i="26"/>
  <c r="AM50" i="26" s="1"/>
  <c r="AK51" i="26"/>
  <c r="AM51" i="26" s="1"/>
  <c r="AK56" i="26"/>
  <c r="AM56" i="26" s="1"/>
  <c r="R84" i="26"/>
  <c r="T84" i="26" s="1"/>
  <c r="V84" i="26" s="1"/>
  <c r="R85" i="26"/>
  <c r="T85" i="26" s="1"/>
  <c r="V85" i="26" s="1"/>
  <c r="R92" i="26"/>
  <c r="T92" i="26" s="1"/>
  <c r="V92" i="26" s="1"/>
  <c r="S39" i="26"/>
  <c r="U39" i="26" s="1"/>
  <c r="S29" i="26"/>
  <c r="U29" i="26" s="1"/>
  <c r="S16" i="26"/>
  <c r="U16" i="26" s="1"/>
  <c r="S38" i="26"/>
  <c r="U38" i="26" s="1"/>
  <c r="S30" i="26"/>
  <c r="U30" i="26" s="1"/>
  <c r="S21" i="26"/>
  <c r="U21" i="26" s="1"/>
  <c r="S27" i="26"/>
  <c r="U27" i="26" s="1"/>
  <c r="S9" i="26"/>
  <c r="U9" i="26" s="1"/>
  <c r="S5" i="26"/>
  <c r="U5" i="26" s="1"/>
  <c r="S14" i="26"/>
  <c r="U14" i="26" s="1"/>
  <c r="S3" i="26"/>
  <c r="R89" i="26"/>
  <c r="T89" i="26" s="1"/>
  <c r="V89" i="26" s="1"/>
  <c r="R80" i="26"/>
  <c r="T80" i="26" s="1"/>
  <c r="V80" i="26" s="1"/>
  <c r="S40" i="26"/>
  <c r="U40" i="26" s="1"/>
  <c r="S22" i="26"/>
  <c r="U22" i="26" s="1"/>
  <c r="S33" i="26"/>
  <c r="U33" i="26" s="1"/>
  <c r="S32" i="26"/>
  <c r="U32" i="26" s="1"/>
  <c r="S7" i="26"/>
  <c r="U7" i="26" s="1"/>
  <c r="S4" i="26"/>
  <c r="U4" i="26" s="1"/>
  <c r="R83" i="26"/>
  <c r="T83" i="26" s="1"/>
  <c r="V83" i="26" s="1"/>
  <c r="R90" i="26"/>
  <c r="T90" i="26" s="1"/>
  <c r="V90" i="26" s="1"/>
  <c r="R87" i="26"/>
  <c r="T87" i="26" s="1"/>
  <c r="V87" i="26" s="1"/>
  <c r="S37" i="26"/>
  <c r="U37" i="26" s="1"/>
  <c r="S28" i="26"/>
  <c r="U28" i="26" s="1"/>
  <c r="S44" i="26"/>
  <c r="U44" i="26" s="1"/>
  <c r="S36" i="26"/>
  <c r="U36" i="26" s="1"/>
  <c r="S25" i="26"/>
  <c r="U25" i="26" s="1"/>
  <c r="S18" i="26"/>
  <c r="U18" i="26" s="1"/>
  <c r="S23" i="26"/>
  <c r="U23" i="26" s="1"/>
  <c r="S8" i="26"/>
  <c r="U8" i="26" s="1"/>
  <c r="S20" i="26"/>
  <c r="U20" i="26" s="1"/>
  <c r="S12" i="26"/>
  <c r="U12" i="26" s="1"/>
  <c r="S93" i="26"/>
  <c r="U93" i="26" s="1"/>
  <c r="I7" i="22"/>
  <c r="I6" i="22"/>
  <c r="P32" i="26"/>
  <c r="AK4" i="26"/>
  <c r="AM4" i="26" s="1"/>
  <c r="AK5" i="26"/>
  <c r="AM5" i="26" s="1"/>
  <c r="AK7" i="26"/>
  <c r="AM7" i="26" s="1"/>
  <c r="AK9" i="26"/>
  <c r="AM9" i="26" s="1"/>
  <c r="AK12" i="26"/>
  <c r="AM12" i="26" s="1"/>
  <c r="AK18" i="26"/>
  <c r="AM18" i="26" s="1"/>
  <c r="AK19" i="26"/>
  <c r="AM19" i="26" s="1"/>
  <c r="AK20" i="26"/>
  <c r="AM20" i="26" s="1"/>
  <c r="AK93" i="26"/>
  <c r="AM93" i="26" s="1"/>
  <c r="AK6" i="26"/>
  <c r="AM6" i="26" s="1"/>
  <c r="AK8" i="26"/>
  <c r="AM8" i="26" s="1"/>
  <c r="AK11" i="26"/>
  <c r="AM11" i="26" s="1"/>
  <c r="AK3" i="26"/>
  <c r="AK10" i="26"/>
  <c r="AM10" i="26" s="1"/>
  <c r="AK13" i="26"/>
  <c r="AM13" i="26" s="1"/>
  <c r="AK15" i="26"/>
  <c r="AM15" i="26" s="1"/>
  <c r="AK17" i="26"/>
  <c r="AM17" i="26" s="1"/>
  <c r="AK21" i="26"/>
  <c r="AM21" i="26" s="1"/>
  <c r="AK25" i="26"/>
  <c r="AM25" i="26" s="1"/>
  <c r="AK28" i="26"/>
  <c r="AM28" i="26" s="1"/>
  <c r="AK29" i="26"/>
  <c r="AM29" i="26" s="1"/>
  <c r="AK31" i="26"/>
  <c r="AM31" i="26" s="1"/>
  <c r="AK34" i="26"/>
  <c r="AM34" i="26" s="1"/>
  <c r="AK35" i="26"/>
  <c r="AM35" i="26" s="1"/>
  <c r="AK39" i="26"/>
  <c r="AM39" i="26" s="1"/>
  <c r="AK43" i="26"/>
  <c r="AM43" i="26" s="1"/>
  <c r="AK30" i="26"/>
  <c r="AM30" i="26" s="1"/>
  <c r="AK44" i="26"/>
  <c r="AM44" i="26" s="1"/>
  <c r="AK24" i="26"/>
  <c r="AM24" i="26" s="1"/>
  <c r="AK38" i="26"/>
  <c r="AM38" i="26" s="1"/>
  <c r="AK42" i="26"/>
  <c r="AM42" i="26" s="1"/>
  <c r="AK14" i="26"/>
  <c r="AM14" i="26" s="1"/>
  <c r="AK32" i="26"/>
  <c r="AM32" i="26" s="1"/>
  <c r="AK36" i="26"/>
  <c r="AM36" i="26" s="1"/>
  <c r="AK16" i="26"/>
  <c r="AM16" i="26" s="1"/>
  <c r="AK22" i="26"/>
  <c r="AM22" i="26" s="1"/>
  <c r="AK23" i="26"/>
  <c r="AM23" i="26" s="1"/>
  <c r="AK26" i="26"/>
  <c r="AM26" i="26" s="1"/>
  <c r="AK33" i="26"/>
  <c r="AM33" i="26" s="1"/>
  <c r="AK37" i="26"/>
  <c r="AM37" i="26" s="1"/>
  <c r="AK40" i="26"/>
  <c r="AM40" i="26" s="1"/>
  <c r="AK41" i="26"/>
  <c r="AM41" i="26" s="1"/>
  <c r="AK27" i="26"/>
  <c r="AM27" i="26" s="1"/>
  <c r="AJ93" i="26"/>
  <c r="AL93" i="26" s="1"/>
  <c r="AJ81" i="26"/>
  <c r="AL81" i="26" s="1"/>
  <c r="AN81" i="26" s="1"/>
  <c r="AJ91" i="26"/>
  <c r="AL91" i="26" s="1"/>
  <c r="AN91" i="26" s="1"/>
  <c r="AJ80" i="26"/>
  <c r="AL80" i="26" s="1"/>
  <c r="AN80" i="26" s="1"/>
  <c r="AJ85" i="26"/>
  <c r="AL85" i="26" s="1"/>
  <c r="AN85" i="26" s="1"/>
  <c r="AJ86" i="26"/>
  <c r="AL86" i="26" s="1"/>
  <c r="AN86" i="26" s="1"/>
  <c r="AJ89" i="26"/>
  <c r="AL89" i="26" s="1"/>
  <c r="AN89" i="26" s="1"/>
  <c r="AJ83" i="26"/>
  <c r="AL83" i="26" s="1"/>
  <c r="AN83" i="26" s="1"/>
  <c r="AJ84" i="26"/>
  <c r="AL84" i="26" s="1"/>
  <c r="AN84" i="26" s="1"/>
  <c r="AJ87" i="26"/>
  <c r="AL87" i="26" s="1"/>
  <c r="AN87" i="26" s="1"/>
  <c r="AJ88" i="26"/>
  <c r="AL88" i="26" s="1"/>
  <c r="AN88" i="26" s="1"/>
  <c r="AJ90" i="26"/>
  <c r="AL90" i="26" s="1"/>
  <c r="AN90" i="26" s="1"/>
  <c r="AJ92" i="26"/>
  <c r="AL92" i="26" s="1"/>
  <c r="AN92" i="26" s="1"/>
  <c r="AJ82" i="26"/>
  <c r="AL82" i="26" s="1"/>
  <c r="AN82" i="26" s="1"/>
  <c r="J7" i="2"/>
  <c r="C8" i="22" s="1"/>
  <c r="BL16" i="27" l="1"/>
  <c r="S6" i="25"/>
  <c r="U6" i="25" s="1"/>
  <c r="AQ30" i="25"/>
  <c r="AS30" i="25" s="1"/>
  <c r="AP91" i="25"/>
  <c r="AR91" i="25" s="1"/>
  <c r="AT91" i="25" s="1"/>
  <c r="BB89" i="25"/>
  <c r="BD89" i="25" s="1"/>
  <c r="BF89" i="25" s="1"/>
  <c r="AP89" i="25"/>
  <c r="AR89" i="25" s="1"/>
  <c r="AT89" i="25" s="1"/>
  <c r="AP83" i="25"/>
  <c r="AR83" i="25" s="1"/>
  <c r="AT83" i="25" s="1"/>
  <c r="AQ12" i="25"/>
  <c r="AS12" i="25" s="1"/>
  <c r="AQ14" i="25"/>
  <c r="AS14" i="25" s="1"/>
  <c r="AQ13" i="25"/>
  <c r="AS13" i="25" s="1"/>
  <c r="AQ23" i="25"/>
  <c r="AS23" i="25" s="1"/>
  <c r="AP76" i="25"/>
  <c r="AR76" i="25" s="1"/>
  <c r="BL9" i="27"/>
  <c r="AH8" i="27"/>
  <c r="BL15" i="27"/>
  <c r="BL93" i="27"/>
  <c r="BL19" i="27"/>
  <c r="AH11" i="27"/>
  <c r="AH12" i="27"/>
  <c r="AH15" i="27"/>
  <c r="AH10" i="27"/>
  <c r="BL11" i="27"/>
  <c r="BL18" i="27"/>
  <c r="AH9" i="27"/>
  <c r="AH17" i="27"/>
  <c r="BL14" i="27"/>
  <c r="BL8" i="27"/>
  <c r="BL17" i="27"/>
  <c r="V17" i="27"/>
  <c r="BL10" i="27"/>
  <c r="BL13" i="27"/>
  <c r="BR15" i="27"/>
  <c r="V18" i="27"/>
  <c r="V14" i="27"/>
  <c r="BC29" i="25"/>
  <c r="BE29" i="25" s="1"/>
  <c r="BB81" i="25"/>
  <c r="BD81" i="25" s="1"/>
  <c r="BF81" i="25" s="1"/>
  <c r="P62" i="25"/>
  <c r="S24" i="25"/>
  <c r="U24" i="25" s="1"/>
  <c r="BC13" i="25"/>
  <c r="BE13" i="25" s="1"/>
  <c r="R84" i="25"/>
  <c r="T84" i="25" s="1"/>
  <c r="V84" i="25" s="1"/>
  <c r="BC28" i="25"/>
  <c r="BE28" i="25" s="1"/>
  <c r="BC16" i="25"/>
  <c r="BE16" i="25" s="1"/>
  <c r="S93" i="25"/>
  <c r="U93" i="25" s="1"/>
  <c r="AH73" i="25"/>
  <c r="AQ93" i="25"/>
  <c r="AS93" i="25" s="1"/>
  <c r="AT93" i="25" s="1"/>
  <c r="AP88" i="25"/>
  <c r="AR88" i="25" s="1"/>
  <c r="AT88" i="25" s="1"/>
  <c r="AQ21" i="25"/>
  <c r="AS21" i="25" s="1"/>
  <c r="AQ5" i="25"/>
  <c r="AS5" i="25" s="1"/>
  <c r="AQ29" i="25"/>
  <c r="AS29" i="25" s="1"/>
  <c r="AQ19" i="25"/>
  <c r="AS19" i="25" s="1"/>
  <c r="AQ7" i="25"/>
  <c r="AS7" i="25" s="1"/>
  <c r="AQ4" i="25"/>
  <c r="AS4" i="25" s="1"/>
  <c r="AP87" i="25"/>
  <c r="AR87" i="25" s="1"/>
  <c r="AT87" i="25" s="1"/>
  <c r="AP77" i="25"/>
  <c r="AR77" i="25" s="1"/>
  <c r="AP90" i="25"/>
  <c r="AR90" i="25" s="1"/>
  <c r="AT90" i="25" s="1"/>
  <c r="AP74" i="25"/>
  <c r="AR74" i="25" s="1"/>
  <c r="AQ28" i="25"/>
  <c r="AS28" i="25" s="1"/>
  <c r="AQ8" i="25"/>
  <c r="AS8" i="25" s="1"/>
  <c r="AQ26" i="25"/>
  <c r="AS26" i="25" s="1"/>
  <c r="AQ11" i="25"/>
  <c r="AS11" i="25" s="1"/>
  <c r="AQ15" i="25"/>
  <c r="AS15" i="25" s="1"/>
  <c r="AP81" i="25"/>
  <c r="AR81" i="25" s="1"/>
  <c r="AT81" i="25" s="1"/>
  <c r="AP92" i="25"/>
  <c r="AR92" i="25" s="1"/>
  <c r="AT92" i="25" s="1"/>
  <c r="AP73" i="25"/>
  <c r="AR73" i="25" s="1"/>
  <c r="AT73" i="25" s="1"/>
  <c r="AQ16" i="25"/>
  <c r="AS16" i="25" s="1"/>
  <c r="AQ25" i="25"/>
  <c r="AS25" i="25" s="1"/>
  <c r="AQ17" i="25"/>
  <c r="AS17" i="25" s="1"/>
  <c r="AQ6" i="25"/>
  <c r="AS6" i="25" s="1"/>
  <c r="AQ27" i="25"/>
  <c r="AS27" i="25" s="1"/>
  <c r="AQ3" i="25"/>
  <c r="AP84" i="25"/>
  <c r="AR84" i="25" s="1"/>
  <c r="AT84" i="25" s="1"/>
  <c r="AP75" i="25"/>
  <c r="AR75" i="25" s="1"/>
  <c r="AP82" i="25"/>
  <c r="AR82" i="25" s="1"/>
  <c r="AT82" i="25" s="1"/>
  <c r="P42" i="25"/>
  <c r="BC7" i="25"/>
  <c r="BE7" i="25" s="1"/>
  <c r="BC21" i="25"/>
  <c r="BE21" i="25" s="1"/>
  <c r="BC14" i="25"/>
  <c r="BE14" i="25" s="1"/>
  <c r="BC27" i="25"/>
  <c r="BE27" i="25" s="1"/>
  <c r="BC93" i="25"/>
  <c r="BE93" i="25" s="1"/>
  <c r="BF93" i="25" s="1"/>
  <c r="BB92" i="25"/>
  <c r="BD92" i="25" s="1"/>
  <c r="BF92" i="25" s="1"/>
  <c r="BB78" i="25"/>
  <c r="BD78" i="25" s="1"/>
  <c r="BF78" i="25" s="1"/>
  <c r="AN76" i="25"/>
  <c r="S23" i="25"/>
  <c r="U23" i="25" s="1"/>
  <c r="R91" i="25"/>
  <c r="T91" i="25" s="1"/>
  <c r="V91" i="25" s="1"/>
  <c r="R74" i="25"/>
  <c r="T74" i="25" s="1"/>
  <c r="V74" i="25" s="1"/>
  <c r="R82" i="25"/>
  <c r="T82" i="25" s="1"/>
  <c r="V82" i="25" s="1"/>
  <c r="BC5" i="25"/>
  <c r="BE5" i="25" s="1"/>
  <c r="BC12" i="25"/>
  <c r="BE12" i="25" s="1"/>
  <c r="BC26" i="25"/>
  <c r="BE26" i="25" s="1"/>
  <c r="BB88" i="25"/>
  <c r="BD88" i="25" s="1"/>
  <c r="BF88" i="25" s="1"/>
  <c r="BB87" i="25"/>
  <c r="BD87" i="25" s="1"/>
  <c r="BF87" i="25" s="1"/>
  <c r="BB77" i="25"/>
  <c r="BD77" i="25" s="1"/>
  <c r="BF77" i="25" s="1"/>
  <c r="S17" i="25"/>
  <c r="U17" i="25" s="1"/>
  <c r="S15" i="25"/>
  <c r="U15" i="25" s="1"/>
  <c r="S30" i="25"/>
  <c r="U30" i="25" s="1"/>
  <c r="S14" i="25"/>
  <c r="U14" i="25" s="1"/>
  <c r="R83" i="25"/>
  <c r="T83" i="25" s="1"/>
  <c r="V83" i="25" s="1"/>
  <c r="R92" i="25"/>
  <c r="T92" i="25" s="1"/>
  <c r="V92" i="25" s="1"/>
  <c r="R93" i="25"/>
  <c r="T93" i="25" s="1"/>
  <c r="BB73" i="25"/>
  <c r="BD73" i="25" s="1"/>
  <c r="BC15" i="25"/>
  <c r="BE15" i="25" s="1"/>
  <c r="BC30" i="25"/>
  <c r="BE30" i="25" s="1"/>
  <c r="BC3" i="25"/>
  <c r="BC19" i="25"/>
  <c r="BE19" i="25" s="1"/>
  <c r="BB90" i="25"/>
  <c r="BD90" i="25" s="1"/>
  <c r="BF90" i="25" s="1"/>
  <c r="BB82" i="25"/>
  <c r="BD82" i="25" s="1"/>
  <c r="BF82" i="25" s="1"/>
  <c r="AH77" i="25"/>
  <c r="AQ22" i="25"/>
  <c r="AS22" i="25" s="1"/>
  <c r="AQ10" i="25"/>
  <c r="AS10" i="25" s="1"/>
  <c r="AQ24" i="25"/>
  <c r="AS24" i="25" s="1"/>
  <c r="AQ18" i="25"/>
  <c r="AS18" i="25" s="1"/>
  <c r="AQ9" i="25"/>
  <c r="AS9" i="25" s="1"/>
  <c r="AQ20" i="25"/>
  <c r="AS20" i="25" s="1"/>
  <c r="AP80" i="25"/>
  <c r="AR80" i="25" s="1"/>
  <c r="AT80" i="25" s="1"/>
  <c r="AP85" i="25"/>
  <c r="AR85" i="25" s="1"/>
  <c r="AT85" i="25" s="1"/>
  <c r="AP79" i="25"/>
  <c r="AR79" i="25" s="1"/>
  <c r="AT79" i="25" s="1"/>
  <c r="AP86" i="25"/>
  <c r="AR86" i="25" s="1"/>
  <c r="AT86" i="25" s="1"/>
  <c r="AP78" i="25"/>
  <c r="AR78" i="25" s="1"/>
  <c r="AT78" i="25" s="1"/>
  <c r="S27" i="25"/>
  <c r="U27" i="25" s="1"/>
  <c r="S13" i="25"/>
  <c r="U13" i="25" s="1"/>
  <c r="S12" i="25"/>
  <c r="U12" i="25" s="1"/>
  <c r="S29" i="25"/>
  <c r="U29" i="25" s="1"/>
  <c r="S10" i="25"/>
  <c r="U10" i="25" s="1"/>
  <c r="R81" i="25"/>
  <c r="T81" i="25" s="1"/>
  <c r="V81" i="25" s="1"/>
  <c r="R90" i="25"/>
  <c r="T90" i="25" s="1"/>
  <c r="V90" i="25" s="1"/>
  <c r="S44" i="25"/>
  <c r="U44" i="25" s="1"/>
  <c r="S56" i="25"/>
  <c r="U56" i="25" s="1"/>
  <c r="BC70" i="25"/>
  <c r="BE70" i="25" s="1"/>
  <c r="BC46" i="25"/>
  <c r="BE46" i="25" s="1"/>
  <c r="BC53" i="25"/>
  <c r="BE53" i="25" s="1"/>
  <c r="BC66" i="25"/>
  <c r="BE66" i="25" s="1"/>
  <c r="BC51" i="25"/>
  <c r="BE51" i="25" s="1"/>
  <c r="BC44" i="25"/>
  <c r="BE44" i="25" s="1"/>
  <c r="BC73" i="25"/>
  <c r="BE73" i="25" s="1"/>
  <c r="BC49" i="25"/>
  <c r="BE49" i="25" s="1"/>
  <c r="BC58" i="25"/>
  <c r="BE58" i="25" s="1"/>
  <c r="BC72" i="25"/>
  <c r="BE72" i="25" s="1"/>
  <c r="BC65" i="25"/>
  <c r="BE65" i="25" s="1"/>
  <c r="BC48" i="25"/>
  <c r="BE48" i="25" s="1"/>
  <c r="BC74" i="25"/>
  <c r="BE74" i="25" s="1"/>
  <c r="BC59" i="25"/>
  <c r="BE59" i="25" s="1"/>
  <c r="BC69" i="25"/>
  <c r="BE69" i="25" s="1"/>
  <c r="BC61" i="25"/>
  <c r="BE61" i="25" s="1"/>
  <c r="BC54" i="25"/>
  <c r="BE54" i="25" s="1"/>
  <c r="BC68" i="25"/>
  <c r="BE68" i="25" s="1"/>
  <c r="BC56" i="25"/>
  <c r="BE56" i="25" s="1"/>
  <c r="S68" i="25"/>
  <c r="U68" i="25" s="1"/>
  <c r="S46" i="25"/>
  <c r="U46" i="25" s="1"/>
  <c r="BC35" i="25"/>
  <c r="BE35" i="25" s="1"/>
  <c r="BC11" i="25"/>
  <c r="BE11" i="25" s="1"/>
  <c r="BC37" i="25"/>
  <c r="BE37" i="25" s="1"/>
  <c r="BC24" i="25"/>
  <c r="BE24" i="25" s="1"/>
  <c r="BC34" i="25"/>
  <c r="BE34" i="25" s="1"/>
  <c r="BC25" i="25"/>
  <c r="BE25" i="25" s="1"/>
  <c r="BC10" i="25"/>
  <c r="BE10" i="25" s="1"/>
  <c r="BC40" i="25"/>
  <c r="BE40" i="25" s="1"/>
  <c r="BC23" i="25"/>
  <c r="BE23" i="25" s="1"/>
  <c r="BC8" i="25"/>
  <c r="BE8" i="25" s="1"/>
  <c r="BB84" i="25"/>
  <c r="BD84" i="25" s="1"/>
  <c r="BF84" i="25" s="1"/>
  <c r="BB76" i="25"/>
  <c r="BD76" i="25" s="1"/>
  <c r="BF76" i="25" s="1"/>
  <c r="BB86" i="25"/>
  <c r="BD86" i="25" s="1"/>
  <c r="BF86" i="25" s="1"/>
  <c r="BB80" i="25"/>
  <c r="BD80" i="25" s="1"/>
  <c r="BF80" i="25" s="1"/>
  <c r="BB75" i="25"/>
  <c r="BD75" i="25" s="1"/>
  <c r="BF75" i="25" s="1"/>
  <c r="AW48" i="25"/>
  <c r="AY48" i="25" s="1"/>
  <c r="AW68" i="25"/>
  <c r="AY68" i="25" s="1"/>
  <c r="BC57" i="25"/>
  <c r="BE57" i="25" s="1"/>
  <c r="AW38" i="25"/>
  <c r="AY38" i="25" s="1"/>
  <c r="AW36" i="25"/>
  <c r="AY36" i="25" s="1"/>
  <c r="BC47" i="25"/>
  <c r="BE47" i="25" s="1"/>
  <c r="S37" i="25"/>
  <c r="U37" i="25" s="1"/>
  <c r="S16" i="25"/>
  <c r="U16" i="25" s="1"/>
  <c r="S28" i="25"/>
  <c r="U28" i="25" s="1"/>
  <c r="S9" i="25"/>
  <c r="U9" i="25" s="1"/>
  <c r="S22" i="25"/>
  <c r="U22" i="25" s="1"/>
  <c r="S5" i="25"/>
  <c r="U5" i="25" s="1"/>
  <c r="S32" i="25"/>
  <c r="U32" i="25" s="1"/>
  <c r="S26" i="25"/>
  <c r="U26" i="25" s="1"/>
  <c r="S21" i="25"/>
  <c r="U21" i="25" s="1"/>
  <c r="S8" i="25"/>
  <c r="U8" i="25" s="1"/>
  <c r="R87" i="25"/>
  <c r="T87" i="25" s="1"/>
  <c r="V87" i="25" s="1"/>
  <c r="R79" i="25"/>
  <c r="T79" i="25" s="1"/>
  <c r="V79" i="25" s="1"/>
  <c r="R89" i="25"/>
  <c r="T89" i="25" s="1"/>
  <c r="V89" i="25" s="1"/>
  <c r="R88" i="25"/>
  <c r="T88" i="25" s="1"/>
  <c r="V88" i="25" s="1"/>
  <c r="R78" i="25"/>
  <c r="T78" i="25" s="1"/>
  <c r="V78" i="25" s="1"/>
  <c r="S72" i="25"/>
  <c r="U72" i="25" s="1"/>
  <c r="S59" i="25"/>
  <c r="U59" i="25" s="1"/>
  <c r="S73" i="25"/>
  <c r="U73" i="25" s="1"/>
  <c r="S51" i="25"/>
  <c r="U51" i="25" s="1"/>
  <c r="S63" i="25"/>
  <c r="U63" i="25" s="1"/>
  <c r="AW72" i="25"/>
  <c r="AY72" i="25" s="1"/>
  <c r="S47" i="25"/>
  <c r="U47" i="25" s="1"/>
  <c r="BC17" i="25"/>
  <c r="BE17" i="25" s="1"/>
  <c r="BC9" i="25"/>
  <c r="BE9" i="25" s="1"/>
  <c r="BC36" i="25"/>
  <c r="BE36" i="25" s="1"/>
  <c r="BC22" i="25"/>
  <c r="BE22" i="25" s="1"/>
  <c r="BC32" i="25"/>
  <c r="BE32" i="25" s="1"/>
  <c r="BC18" i="25"/>
  <c r="BE18" i="25" s="1"/>
  <c r="BC6" i="25"/>
  <c r="BE6" i="25" s="1"/>
  <c r="BC31" i="25"/>
  <c r="BE31" i="25" s="1"/>
  <c r="BC20" i="25"/>
  <c r="BE20" i="25" s="1"/>
  <c r="BC4" i="25"/>
  <c r="BE4" i="25" s="1"/>
  <c r="BB91" i="25"/>
  <c r="BD91" i="25" s="1"/>
  <c r="BF91" i="25" s="1"/>
  <c r="BB83" i="25"/>
  <c r="BD83" i="25" s="1"/>
  <c r="BF83" i="25" s="1"/>
  <c r="BB85" i="25"/>
  <c r="BD85" i="25" s="1"/>
  <c r="BF85" i="25" s="1"/>
  <c r="BB79" i="25"/>
  <c r="BD79" i="25" s="1"/>
  <c r="BF79" i="25" s="1"/>
  <c r="BB74" i="25"/>
  <c r="BD74" i="25" s="1"/>
  <c r="BC67" i="25"/>
  <c r="BE67" i="25" s="1"/>
  <c r="BC43" i="25"/>
  <c r="BE43" i="25" s="1"/>
  <c r="S43" i="25"/>
  <c r="U43" i="25" s="1"/>
  <c r="BC63" i="25"/>
  <c r="BE63" i="25" s="1"/>
  <c r="BC55" i="25"/>
  <c r="BE55" i="25" s="1"/>
  <c r="AW50" i="25"/>
  <c r="AY50" i="25" s="1"/>
  <c r="BC45" i="25"/>
  <c r="BE45" i="25" s="1"/>
  <c r="S45" i="25"/>
  <c r="U45" i="25" s="1"/>
  <c r="S70" i="25"/>
  <c r="U70" i="25" s="1"/>
  <c r="S58" i="25"/>
  <c r="U58" i="25" s="1"/>
  <c r="AW33" i="25"/>
  <c r="AY33" i="25" s="1"/>
  <c r="AW31" i="25"/>
  <c r="AY31" i="25" s="1"/>
  <c r="AW35" i="25"/>
  <c r="AY35" i="25" s="1"/>
  <c r="S35" i="25"/>
  <c r="U35" i="25" s="1"/>
  <c r="S11" i="25"/>
  <c r="U11" i="25" s="1"/>
  <c r="S18" i="25"/>
  <c r="U18" i="25" s="1"/>
  <c r="S7" i="25"/>
  <c r="U7" i="25" s="1"/>
  <c r="S20" i="25"/>
  <c r="U20" i="25" s="1"/>
  <c r="S4" i="25"/>
  <c r="U4" i="25" s="1"/>
  <c r="S31" i="25"/>
  <c r="U31" i="25" s="1"/>
  <c r="S25" i="25"/>
  <c r="U25" i="25" s="1"/>
  <c r="S19" i="25"/>
  <c r="U19" i="25" s="1"/>
  <c r="S3" i="25"/>
  <c r="R85" i="25"/>
  <c r="T85" i="25" s="1"/>
  <c r="V85" i="25" s="1"/>
  <c r="R77" i="25"/>
  <c r="T77" i="25" s="1"/>
  <c r="V77" i="25" s="1"/>
  <c r="R80" i="25"/>
  <c r="T80" i="25" s="1"/>
  <c r="V80" i="25" s="1"/>
  <c r="R86" i="25"/>
  <c r="T86" i="25" s="1"/>
  <c r="V86" i="25" s="1"/>
  <c r="R76" i="25"/>
  <c r="T76" i="25" s="1"/>
  <c r="V76" i="25" s="1"/>
  <c r="S66" i="25"/>
  <c r="U66" i="25" s="1"/>
  <c r="S49" i="25"/>
  <c r="U49" i="25" s="1"/>
  <c r="V20" i="27"/>
  <c r="BX8" i="27"/>
  <c r="V15" i="27"/>
  <c r="BX13" i="27"/>
  <c r="V12" i="27"/>
  <c r="BX14" i="27"/>
  <c r="V19" i="27"/>
  <c r="V13" i="27"/>
  <c r="AZ12" i="27"/>
  <c r="AB12" i="27"/>
  <c r="BX12" i="27"/>
  <c r="BX11" i="27"/>
  <c r="BX9" i="27"/>
  <c r="AB8" i="27"/>
  <c r="V11" i="27"/>
  <c r="V93" i="27"/>
  <c r="V9" i="27"/>
  <c r="V10" i="27"/>
  <c r="BR7" i="27"/>
  <c r="BR18" i="27"/>
  <c r="BR11" i="27"/>
  <c r="AN20" i="27"/>
  <c r="AN10" i="27"/>
  <c r="AB17" i="27"/>
  <c r="AZ14" i="27"/>
  <c r="AB20" i="27"/>
  <c r="V16" i="27"/>
  <c r="AZ10" i="27"/>
  <c r="AZ18" i="27"/>
  <c r="BR20" i="27"/>
  <c r="BR14" i="27"/>
  <c r="BR13" i="27"/>
  <c r="AN7" i="27"/>
  <c r="AT93" i="27"/>
  <c r="AT7" i="27"/>
  <c r="AN14" i="27"/>
  <c r="AN11" i="27"/>
  <c r="AN18" i="27"/>
  <c r="AN9" i="27"/>
  <c r="AB14" i="27"/>
  <c r="AB93" i="27"/>
  <c r="AT19" i="27"/>
  <c r="AT20" i="27"/>
  <c r="AZ20" i="27"/>
  <c r="AB13" i="27"/>
  <c r="AB11" i="27"/>
  <c r="AT17" i="27"/>
  <c r="AT11" i="27"/>
  <c r="AT18" i="27"/>
  <c r="AT14" i="27"/>
  <c r="BT7" i="27"/>
  <c r="BV7" i="27" s="1"/>
  <c r="BX7" i="27" s="1"/>
  <c r="T7" i="27"/>
  <c r="V7" i="27" s="1"/>
  <c r="BH7" i="27"/>
  <c r="BJ7" i="27" s="1"/>
  <c r="BL7" i="27" s="1"/>
  <c r="BB7" i="27"/>
  <c r="BD7" i="27" s="1"/>
  <c r="BF7" i="27" s="1"/>
  <c r="AF7" i="27"/>
  <c r="AH7" i="27" s="1"/>
  <c r="AZ17" i="27"/>
  <c r="AZ19" i="27"/>
  <c r="AZ16" i="27"/>
  <c r="AZ13" i="27"/>
  <c r="AZ11" i="27"/>
  <c r="AZ9" i="27"/>
  <c r="AZ93" i="27"/>
  <c r="BR16" i="27"/>
  <c r="BR8" i="27"/>
  <c r="AN13" i="27"/>
  <c r="AN12" i="27"/>
  <c r="AN19" i="27"/>
  <c r="AB19" i="27"/>
  <c r="AB18" i="27"/>
  <c r="AB7" i="27"/>
  <c r="AB10" i="27"/>
  <c r="BR19" i="27"/>
  <c r="BR93" i="27"/>
  <c r="AZ7" i="27"/>
  <c r="AZ8" i="27"/>
  <c r="AZ15" i="27"/>
  <c r="BR12" i="27"/>
  <c r="BR9" i="27"/>
  <c r="BR17" i="27"/>
  <c r="BR10" i="27"/>
  <c r="AN16" i="27"/>
  <c r="AN15" i="27"/>
  <c r="AN93" i="27"/>
  <c r="AN17" i="27"/>
  <c r="AN8" i="27"/>
  <c r="AB16" i="27"/>
  <c r="AB15" i="27"/>
  <c r="AB9" i="27"/>
  <c r="AT8" i="27"/>
  <c r="AT10" i="27"/>
  <c r="AT15" i="27"/>
  <c r="AT13" i="27"/>
  <c r="AT16" i="27"/>
  <c r="AT9" i="27"/>
  <c r="AT12" i="27"/>
  <c r="AV90" i="25"/>
  <c r="AX90" i="25" s="1"/>
  <c r="AZ90" i="25" s="1"/>
  <c r="AW4" i="25"/>
  <c r="AY4" i="25" s="1"/>
  <c r="AW25" i="25"/>
  <c r="AY25" i="25" s="1"/>
  <c r="AW9" i="25"/>
  <c r="AY9" i="25" s="1"/>
  <c r="AW30" i="25"/>
  <c r="AY30" i="25" s="1"/>
  <c r="AV79" i="25"/>
  <c r="AX79" i="25" s="1"/>
  <c r="AZ79" i="25" s="1"/>
  <c r="AW12" i="25"/>
  <c r="AY12" i="25" s="1"/>
  <c r="AW22" i="25"/>
  <c r="AY22" i="25" s="1"/>
  <c r="AW16" i="25"/>
  <c r="AY16" i="25" s="1"/>
  <c r="AV89" i="25"/>
  <c r="AX89" i="25" s="1"/>
  <c r="AZ89" i="25" s="1"/>
  <c r="AV86" i="25"/>
  <c r="AX86" i="25" s="1"/>
  <c r="AZ86" i="25" s="1"/>
  <c r="AV74" i="25"/>
  <c r="AX74" i="25" s="1"/>
  <c r="AW17" i="25"/>
  <c r="AY17" i="25" s="1"/>
  <c r="AW10" i="25"/>
  <c r="AY10" i="25" s="1"/>
  <c r="AW11" i="25"/>
  <c r="AY11" i="25" s="1"/>
  <c r="AV81" i="25"/>
  <c r="AX81" i="25" s="1"/>
  <c r="AZ81" i="25" s="1"/>
  <c r="AV92" i="25"/>
  <c r="AX92" i="25" s="1"/>
  <c r="AZ92" i="25" s="1"/>
  <c r="P52" i="25"/>
  <c r="AW21" i="25"/>
  <c r="AY21" i="25" s="1"/>
  <c r="AW26" i="25"/>
  <c r="AY26" i="25" s="1"/>
  <c r="AW19" i="25"/>
  <c r="AY19" i="25" s="1"/>
  <c r="AV91" i="25"/>
  <c r="AX91" i="25" s="1"/>
  <c r="AZ91" i="25" s="1"/>
  <c r="AV88" i="25"/>
  <c r="AX88" i="25" s="1"/>
  <c r="AZ88" i="25" s="1"/>
  <c r="AV78" i="25"/>
  <c r="AX78" i="25" s="1"/>
  <c r="AZ78" i="25" s="1"/>
  <c r="AT74" i="25"/>
  <c r="AW20" i="25"/>
  <c r="AY20" i="25" s="1"/>
  <c r="AW93" i="25"/>
  <c r="AY93" i="25" s="1"/>
  <c r="AW29" i="25"/>
  <c r="AY29" i="25" s="1"/>
  <c r="AW14" i="25"/>
  <c r="AY14" i="25" s="1"/>
  <c r="AW5" i="25"/>
  <c r="AY5" i="25" s="1"/>
  <c r="AW23" i="25"/>
  <c r="AY23" i="25" s="1"/>
  <c r="AW27" i="25"/>
  <c r="AY27" i="25" s="1"/>
  <c r="AW13" i="25"/>
  <c r="AY13" i="25" s="1"/>
  <c r="AW6" i="25"/>
  <c r="AY6" i="25" s="1"/>
  <c r="AV85" i="25"/>
  <c r="AX85" i="25" s="1"/>
  <c r="AZ85" i="25" s="1"/>
  <c r="AV75" i="25"/>
  <c r="AX75" i="25" s="1"/>
  <c r="AV76" i="25"/>
  <c r="AX76" i="25" s="1"/>
  <c r="AV82" i="25"/>
  <c r="AX82" i="25" s="1"/>
  <c r="AZ82" i="25" s="1"/>
  <c r="AV93" i="25"/>
  <c r="AX93" i="25" s="1"/>
  <c r="AZ93" i="25" s="1"/>
  <c r="AW28" i="25"/>
  <c r="AY28" i="25" s="1"/>
  <c r="AW3" i="25"/>
  <c r="AW18" i="25"/>
  <c r="AY18" i="25" s="1"/>
  <c r="AW8" i="25"/>
  <c r="AY8" i="25" s="1"/>
  <c r="AW24" i="25"/>
  <c r="AY24" i="25" s="1"/>
  <c r="AW15" i="25"/>
  <c r="AY15" i="25" s="1"/>
  <c r="AW7" i="25"/>
  <c r="AY7" i="25" s="1"/>
  <c r="AV87" i="25"/>
  <c r="AX87" i="25" s="1"/>
  <c r="AZ87" i="25" s="1"/>
  <c r="AV77" i="25"/>
  <c r="AX77" i="25" s="1"/>
  <c r="AV83" i="25"/>
  <c r="AX83" i="25" s="1"/>
  <c r="AZ83" i="25" s="1"/>
  <c r="AV84" i="25"/>
  <c r="AX84" i="25" s="1"/>
  <c r="AZ84" i="25" s="1"/>
  <c r="BO76" i="25"/>
  <c r="BQ76" i="25" s="1"/>
  <c r="BO75" i="25"/>
  <c r="BQ75" i="25" s="1"/>
  <c r="BO77" i="25"/>
  <c r="BQ77" i="25" s="1"/>
  <c r="AQ64" i="25"/>
  <c r="AS64" i="25" s="1"/>
  <c r="AQ63" i="25"/>
  <c r="AS63" i="25" s="1"/>
  <c r="AQ50" i="25"/>
  <c r="AS50" i="25" s="1"/>
  <c r="AQ72" i="25"/>
  <c r="AS72" i="25" s="1"/>
  <c r="AQ62" i="25"/>
  <c r="AS62" i="25" s="1"/>
  <c r="AQ75" i="25"/>
  <c r="AS75" i="25" s="1"/>
  <c r="AQ76" i="25"/>
  <c r="AS76" i="25" s="1"/>
  <c r="AQ77" i="25"/>
  <c r="AS77" i="25" s="1"/>
  <c r="AQ55" i="25"/>
  <c r="AS55" i="25" s="1"/>
  <c r="Y76" i="25"/>
  <c r="AA76" i="25" s="1"/>
  <c r="Y77" i="25"/>
  <c r="AA77" i="25" s="1"/>
  <c r="Y75" i="25"/>
  <c r="AA75" i="25" s="1"/>
  <c r="AW77" i="25"/>
  <c r="AY77" i="25" s="1"/>
  <c r="AW76" i="25"/>
  <c r="AY76" i="25" s="1"/>
  <c r="AW75" i="25"/>
  <c r="AY75" i="25" s="1"/>
  <c r="BU75" i="25"/>
  <c r="BW75" i="25" s="1"/>
  <c r="BX75" i="25" s="1"/>
  <c r="BU76" i="25"/>
  <c r="BW76" i="25" s="1"/>
  <c r="BX76" i="25" s="1"/>
  <c r="BU77" i="25"/>
  <c r="BW77" i="25" s="1"/>
  <c r="BX77" i="25" s="1"/>
  <c r="BI75" i="25"/>
  <c r="BK75" i="25" s="1"/>
  <c r="BI77" i="25"/>
  <c r="BK77" i="25" s="1"/>
  <c r="BI76" i="25"/>
  <c r="BK76" i="25" s="1"/>
  <c r="AJ73" i="25"/>
  <c r="AL73" i="25" s="1"/>
  <c r="AN73" i="25" s="1"/>
  <c r="AV73" i="25"/>
  <c r="AX73" i="25" s="1"/>
  <c r="AZ73" i="25" s="1"/>
  <c r="R73" i="25"/>
  <c r="T73" i="25" s="1"/>
  <c r="AW46" i="25"/>
  <c r="AY46" i="25" s="1"/>
  <c r="AW43" i="25"/>
  <c r="AY43" i="25" s="1"/>
  <c r="AW61" i="25"/>
  <c r="AY61" i="25" s="1"/>
  <c r="AW53" i="25"/>
  <c r="AY53" i="25" s="1"/>
  <c r="AW57" i="25"/>
  <c r="AY57" i="25" s="1"/>
  <c r="AW55" i="25"/>
  <c r="AY55" i="25" s="1"/>
  <c r="AW42" i="25"/>
  <c r="AY42" i="25" s="1"/>
  <c r="AW44" i="25"/>
  <c r="AY44" i="25" s="1"/>
  <c r="AW56" i="25"/>
  <c r="AY56" i="25" s="1"/>
  <c r="AW52" i="25"/>
  <c r="AY52" i="25" s="1"/>
  <c r="AW47" i="25"/>
  <c r="AY47" i="25" s="1"/>
  <c r="AW66" i="25"/>
  <c r="AY66" i="25" s="1"/>
  <c r="AW64" i="25"/>
  <c r="AY64" i="25" s="1"/>
  <c r="AW62" i="25"/>
  <c r="AY62" i="25" s="1"/>
  <c r="AW74" i="25"/>
  <c r="AY74" i="25" s="1"/>
  <c r="AW54" i="25"/>
  <c r="AY54" i="25" s="1"/>
  <c r="AW51" i="25"/>
  <c r="AY51" i="25" s="1"/>
  <c r="AW58" i="25"/>
  <c r="AY58" i="25" s="1"/>
  <c r="AW45" i="25"/>
  <c r="AY45" i="25" s="1"/>
  <c r="AW70" i="25"/>
  <c r="AY70" i="25" s="1"/>
  <c r="AW59" i="25"/>
  <c r="AY59" i="25" s="1"/>
  <c r="AW71" i="25"/>
  <c r="AY71" i="25" s="1"/>
  <c r="AW60" i="25"/>
  <c r="AY60" i="25" s="1"/>
  <c r="AW67" i="25"/>
  <c r="AY67" i="25" s="1"/>
  <c r="AW49" i="25"/>
  <c r="AY49" i="25" s="1"/>
  <c r="P12" i="25"/>
  <c r="X93" i="25"/>
  <c r="Z93" i="25" s="1"/>
  <c r="X73" i="25"/>
  <c r="Z73" i="25" s="1"/>
  <c r="X75" i="25"/>
  <c r="Z75" i="25" s="1"/>
  <c r="X74" i="25"/>
  <c r="Z74" i="25" s="1"/>
  <c r="X77" i="25"/>
  <c r="Z77" i="25" s="1"/>
  <c r="X79" i="25"/>
  <c r="Z79" i="25" s="1"/>
  <c r="AB79" i="25" s="1"/>
  <c r="X81" i="25"/>
  <c r="Z81" i="25" s="1"/>
  <c r="AB81" i="25" s="1"/>
  <c r="X83" i="25"/>
  <c r="Z83" i="25" s="1"/>
  <c r="AB83" i="25" s="1"/>
  <c r="X85" i="25"/>
  <c r="Z85" i="25" s="1"/>
  <c r="AB85" i="25" s="1"/>
  <c r="X86" i="25"/>
  <c r="Z86" i="25" s="1"/>
  <c r="AB86" i="25" s="1"/>
  <c r="X87" i="25"/>
  <c r="Z87" i="25" s="1"/>
  <c r="AB87" i="25" s="1"/>
  <c r="X91" i="25"/>
  <c r="Z91" i="25" s="1"/>
  <c r="AB91" i="25" s="1"/>
  <c r="X80" i="25"/>
  <c r="Z80" i="25" s="1"/>
  <c r="AB80" i="25" s="1"/>
  <c r="X84" i="25"/>
  <c r="Z84" i="25" s="1"/>
  <c r="AB84" i="25" s="1"/>
  <c r="X88" i="25"/>
  <c r="Z88" i="25" s="1"/>
  <c r="AB88" i="25" s="1"/>
  <c r="X78" i="25"/>
  <c r="Z78" i="25" s="1"/>
  <c r="AB78" i="25" s="1"/>
  <c r="X82" i="25"/>
  <c r="Z82" i="25" s="1"/>
  <c r="AB82" i="25" s="1"/>
  <c r="X90" i="25"/>
  <c r="Z90" i="25" s="1"/>
  <c r="AB90" i="25" s="1"/>
  <c r="X92" i="25"/>
  <c r="Z92" i="25" s="1"/>
  <c r="AB92" i="25" s="1"/>
  <c r="X76" i="25"/>
  <c r="Z76" i="25" s="1"/>
  <c r="X89" i="25"/>
  <c r="Z89" i="25" s="1"/>
  <c r="AB89" i="25" s="1"/>
  <c r="Y6" i="25"/>
  <c r="AA6" i="25" s="1"/>
  <c r="Y9" i="25"/>
  <c r="AA9" i="25" s="1"/>
  <c r="Y10" i="25"/>
  <c r="AA10" i="25" s="1"/>
  <c r="Y30" i="25"/>
  <c r="AA30" i="25" s="1"/>
  <c r="Y32" i="25"/>
  <c r="AA32" i="25" s="1"/>
  <c r="Y35" i="25"/>
  <c r="AA35" i="25" s="1"/>
  <c r="Y8" i="25"/>
  <c r="AA8" i="25" s="1"/>
  <c r="Y14" i="25"/>
  <c r="AA14" i="25" s="1"/>
  <c r="Y18" i="25"/>
  <c r="AA18" i="25" s="1"/>
  <c r="Y22" i="25"/>
  <c r="AA22" i="25" s="1"/>
  <c r="Y31" i="25"/>
  <c r="AA31" i="25" s="1"/>
  <c r="Y34" i="25"/>
  <c r="AA34" i="25" s="1"/>
  <c r="Y39" i="25"/>
  <c r="AA39" i="25" s="1"/>
  <c r="Y41" i="25"/>
  <c r="AA41" i="25" s="1"/>
  <c r="Y3" i="25"/>
  <c r="Y5" i="25"/>
  <c r="AA5" i="25" s="1"/>
  <c r="Y7" i="25"/>
  <c r="AA7" i="25" s="1"/>
  <c r="Y11" i="25"/>
  <c r="AA11" i="25" s="1"/>
  <c r="Y12" i="25"/>
  <c r="AA12" i="25" s="1"/>
  <c r="Y13" i="25"/>
  <c r="AA13" i="25" s="1"/>
  <c r="Y16" i="25"/>
  <c r="AA16" i="25" s="1"/>
  <c r="Y17" i="25"/>
  <c r="AA17" i="25" s="1"/>
  <c r="Y19" i="25"/>
  <c r="AA19" i="25" s="1"/>
  <c r="Y20" i="25"/>
  <c r="AA20" i="25" s="1"/>
  <c r="Y21" i="25"/>
  <c r="AA21" i="25" s="1"/>
  <c r="Y26" i="25"/>
  <c r="AA26" i="25" s="1"/>
  <c r="Y27" i="25"/>
  <c r="AA27" i="25" s="1"/>
  <c r="Y28" i="25"/>
  <c r="AA28" i="25" s="1"/>
  <c r="Y37" i="25"/>
  <c r="AA37" i="25" s="1"/>
  <c r="Y38" i="25"/>
  <c r="AA38" i="25" s="1"/>
  <c r="Y93" i="25"/>
  <c r="AA93" i="25" s="1"/>
  <c r="Y4" i="25"/>
  <c r="AA4" i="25" s="1"/>
  <c r="Y15" i="25"/>
  <c r="AA15" i="25" s="1"/>
  <c r="Y23" i="25"/>
  <c r="AA23" i="25" s="1"/>
  <c r="Y24" i="25"/>
  <c r="AA24" i="25" s="1"/>
  <c r="Y25" i="25"/>
  <c r="AA25" i="25" s="1"/>
  <c r="Y29" i="25"/>
  <c r="AA29" i="25" s="1"/>
  <c r="Y33" i="25"/>
  <c r="AA33" i="25" s="1"/>
  <c r="Y36" i="25"/>
  <c r="AA36" i="25" s="1"/>
  <c r="Y40" i="25"/>
  <c r="AA40" i="25" s="1"/>
  <c r="Y46" i="25"/>
  <c r="AA46" i="25" s="1"/>
  <c r="Y44" i="25"/>
  <c r="AA44" i="25" s="1"/>
  <c r="Y64" i="25"/>
  <c r="AA64" i="25" s="1"/>
  <c r="Y60" i="25"/>
  <c r="AA60" i="25" s="1"/>
  <c r="Y56" i="25"/>
  <c r="AA56" i="25" s="1"/>
  <c r="Y50" i="25"/>
  <c r="AA50" i="25" s="1"/>
  <c r="Y73" i="25"/>
  <c r="AA73" i="25" s="1"/>
  <c r="Y51" i="25"/>
  <c r="AA51" i="25" s="1"/>
  <c r="Y45" i="25"/>
  <c r="AA45" i="25" s="1"/>
  <c r="Y63" i="25"/>
  <c r="AA63" i="25" s="1"/>
  <c r="Y68" i="25"/>
  <c r="AA68" i="25" s="1"/>
  <c r="Y62" i="25"/>
  <c r="AA62" i="25" s="1"/>
  <c r="Y58" i="25"/>
  <c r="AA58" i="25" s="1"/>
  <c r="Y49" i="25"/>
  <c r="AA49" i="25" s="1"/>
  <c r="Y42" i="25"/>
  <c r="AA42" i="25" s="1"/>
  <c r="Y47" i="25"/>
  <c r="AA47" i="25" s="1"/>
  <c r="Y74" i="25"/>
  <c r="AA74" i="25" s="1"/>
  <c r="Y69" i="25"/>
  <c r="AA69" i="25" s="1"/>
  <c r="Y65" i="25"/>
  <c r="AA65" i="25" s="1"/>
  <c r="Y61" i="25"/>
  <c r="AA61" i="25" s="1"/>
  <c r="Y55" i="25"/>
  <c r="AA55" i="25" s="1"/>
  <c r="Y70" i="25"/>
  <c r="AA70" i="25" s="1"/>
  <c r="Y67" i="25"/>
  <c r="AA67" i="25" s="1"/>
  <c r="Y66" i="25"/>
  <c r="AA66" i="25" s="1"/>
  <c r="Y53" i="25"/>
  <c r="AA53" i="25" s="1"/>
  <c r="Y71" i="25"/>
  <c r="AA71" i="25" s="1"/>
  <c r="Y54" i="25"/>
  <c r="AA54" i="25" s="1"/>
  <c r="Y48" i="25"/>
  <c r="AA48" i="25" s="1"/>
  <c r="Y43" i="25"/>
  <c r="AA43" i="25" s="1"/>
  <c r="Y72" i="25"/>
  <c r="AA72" i="25" s="1"/>
  <c r="Y52" i="25"/>
  <c r="AA52" i="25" s="1"/>
  <c r="Y59" i="25"/>
  <c r="AA59" i="25" s="1"/>
  <c r="Y57" i="25"/>
  <c r="AA57" i="25" s="1"/>
  <c r="P72" i="25"/>
  <c r="BH93" i="25"/>
  <c r="BJ93" i="25" s="1"/>
  <c r="BH73" i="25"/>
  <c r="BJ73" i="25" s="1"/>
  <c r="BH74" i="25"/>
  <c r="BJ74" i="25" s="1"/>
  <c r="BH75" i="25"/>
  <c r="BJ75" i="25" s="1"/>
  <c r="BH80" i="25"/>
  <c r="BJ80" i="25" s="1"/>
  <c r="BL80" i="25" s="1"/>
  <c r="BH88" i="25"/>
  <c r="BJ88" i="25" s="1"/>
  <c r="BL88" i="25" s="1"/>
  <c r="BH89" i="25"/>
  <c r="BJ89" i="25" s="1"/>
  <c r="BL89" i="25" s="1"/>
  <c r="BH90" i="25"/>
  <c r="BJ90" i="25" s="1"/>
  <c r="BL90" i="25" s="1"/>
  <c r="BH91" i="25"/>
  <c r="BJ91" i="25" s="1"/>
  <c r="BL91" i="25" s="1"/>
  <c r="BH76" i="25"/>
  <c r="BJ76" i="25" s="1"/>
  <c r="BH77" i="25"/>
  <c r="BJ77" i="25" s="1"/>
  <c r="BL77" i="25" s="1"/>
  <c r="BH78" i="25"/>
  <c r="BJ78" i="25" s="1"/>
  <c r="BL78" i="25" s="1"/>
  <c r="BH79" i="25"/>
  <c r="BJ79" i="25" s="1"/>
  <c r="BL79" i="25" s="1"/>
  <c r="BH81" i="25"/>
  <c r="BJ81" i="25" s="1"/>
  <c r="BL81" i="25" s="1"/>
  <c r="BH82" i="25"/>
  <c r="BJ82" i="25" s="1"/>
  <c r="BL82" i="25" s="1"/>
  <c r="BH85" i="25"/>
  <c r="BJ85" i="25" s="1"/>
  <c r="BL85" i="25" s="1"/>
  <c r="BH86" i="25"/>
  <c r="BJ86" i="25" s="1"/>
  <c r="BL86" i="25" s="1"/>
  <c r="BH87" i="25"/>
  <c r="BJ87" i="25" s="1"/>
  <c r="BL87" i="25" s="1"/>
  <c r="BH92" i="25"/>
  <c r="BJ92" i="25" s="1"/>
  <c r="BL92" i="25" s="1"/>
  <c r="BH83" i="25"/>
  <c r="BJ83" i="25" s="1"/>
  <c r="BL83" i="25" s="1"/>
  <c r="BH84" i="25"/>
  <c r="BJ84" i="25" s="1"/>
  <c r="BL84" i="25" s="1"/>
  <c r="BI22" i="25"/>
  <c r="BK22" i="25" s="1"/>
  <c r="BI25" i="25"/>
  <c r="BK25" i="25" s="1"/>
  <c r="BI28" i="25"/>
  <c r="BK28" i="25" s="1"/>
  <c r="BI29" i="25"/>
  <c r="BK29" i="25" s="1"/>
  <c r="BI37" i="25"/>
  <c r="BK37" i="25" s="1"/>
  <c r="BI38" i="25"/>
  <c r="BK38" i="25" s="1"/>
  <c r="BI93" i="25"/>
  <c r="BK93" i="25" s="1"/>
  <c r="BI3" i="25"/>
  <c r="BI5" i="25"/>
  <c r="BK5" i="25" s="1"/>
  <c r="BI8" i="25"/>
  <c r="BK8" i="25" s="1"/>
  <c r="BI10" i="25"/>
  <c r="BK10" i="25" s="1"/>
  <c r="BI12" i="25"/>
  <c r="BK12" i="25" s="1"/>
  <c r="BI14" i="25"/>
  <c r="BK14" i="25" s="1"/>
  <c r="BI16" i="25"/>
  <c r="BK16" i="25" s="1"/>
  <c r="BI21" i="25"/>
  <c r="BK21" i="25" s="1"/>
  <c r="BI24" i="25"/>
  <c r="BK24" i="25" s="1"/>
  <c r="BI35" i="25"/>
  <c r="BK35" i="25" s="1"/>
  <c r="BI41" i="25"/>
  <c r="BK41" i="25" s="1"/>
  <c r="BI4" i="25"/>
  <c r="BK4" i="25" s="1"/>
  <c r="BI18" i="25"/>
  <c r="BK18" i="25" s="1"/>
  <c r="BI20" i="25"/>
  <c r="BK20" i="25" s="1"/>
  <c r="BI23" i="25"/>
  <c r="BK23" i="25" s="1"/>
  <c r="BI32" i="25"/>
  <c r="BK32" i="25" s="1"/>
  <c r="BI33" i="25"/>
  <c r="BK33" i="25" s="1"/>
  <c r="BI34" i="25"/>
  <c r="BK34" i="25" s="1"/>
  <c r="BI39" i="25"/>
  <c r="BK39" i="25" s="1"/>
  <c r="BI6" i="25"/>
  <c r="BK6" i="25" s="1"/>
  <c r="BI7" i="25"/>
  <c r="BK7" i="25" s="1"/>
  <c r="BI9" i="25"/>
  <c r="BK9" i="25" s="1"/>
  <c r="BI11" i="25"/>
  <c r="BK11" i="25" s="1"/>
  <c r="BI13" i="25"/>
  <c r="BK13" i="25" s="1"/>
  <c r="BI15" i="25"/>
  <c r="BK15" i="25" s="1"/>
  <c r="BI17" i="25"/>
  <c r="BK17" i="25" s="1"/>
  <c r="BI19" i="25"/>
  <c r="BK19" i="25" s="1"/>
  <c r="BI26" i="25"/>
  <c r="BK26" i="25" s="1"/>
  <c r="BI27" i="25"/>
  <c r="BK27" i="25" s="1"/>
  <c r="BI30" i="25"/>
  <c r="BK30" i="25" s="1"/>
  <c r="BI31" i="25"/>
  <c r="BK31" i="25" s="1"/>
  <c r="BI36" i="25"/>
  <c r="BK36" i="25" s="1"/>
  <c r="BI40" i="25"/>
  <c r="BK40" i="25" s="1"/>
  <c r="BI74" i="25"/>
  <c r="BK74" i="25" s="1"/>
  <c r="BI66" i="25"/>
  <c r="BK66" i="25" s="1"/>
  <c r="BI43" i="25"/>
  <c r="BK43" i="25" s="1"/>
  <c r="BI70" i="25"/>
  <c r="BK70" i="25" s="1"/>
  <c r="BI65" i="25"/>
  <c r="BK65" i="25" s="1"/>
  <c r="BI59" i="25"/>
  <c r="BK59" i="25" s="1"/>
  <c r="BI52" i="25"/>
  <c r="BK52" i="25" s="1"/>
  <c r="BI72" i="25"/>
  <c r="BK72" i="25" s="1"/>
  <c r="BI57" i="25"/>
  <c r="BK57" i="25" s="1"/>
  <c r="BI69" i="25"/>
  <c r="BK69" i="25" s="1"/>
  <c r="BI53" i="25"/>
  <c r="BK53" i="25" s="1"/>
  <c r="BI71" i="25"/>
  <c r="BK71" i="25" s="1"/>
  <c r="BI67" i="25"/>
  <c r="BK67" i="25" s="1"/>
  <c r="BI54" i="25"/>
  <c r="BK54" i="25" s="1"/>
  <c r="BI64" i="25"/>
  <c r="BK64" i="25" s="1"/>
  <c r="BI42" i="25"/>
  <c r="BK42" i="25" s="1"/>
  <c r="BI46" i="25"/>
  <c r="BK46" i="25" s="1"/>
  <c r="BI45" i="25"/>
  <c r="BK45" i="25" s="1"/>
  <c r="BI68" i="25"/>
  <c r="BK68" i="25" s="1"/>
  <c r="BI63" i="25"/>
  <c r="BK63" i="25" s="1"/>
  <c r="BI61" i="25"/>
  <c r="BK61" i="25" s="1"/>
  <c r="BI60" i="25"/>
  <c r="BK60" i="25" s="1"/>
  <c r="BI56" i="25"/>
  <c r="BK56" i="25" s="1"/>
  <c r="BI48" i="25"/>
  <c r="BK48" i="25" s="1"/>
  <c r="BI55" i="25"/>
  <c r="BK55" i="25" s="1"/>
  <c r="BI51" i="25"/>
  <c r="BK51" i="25" s="1"/>
  <c r="BI47" i="25"/>
  <c r="BK47" i="25" s="1"/>
  <c r="BI44" i="25"/>
  <c r="BK44" i="25" s="1"/>
  <c r="BI50" i="25"/>
  <c r="BK50" i="25" s="1"/>
  <c r="BI58" i="25"/>
  <c r="BK58" i="25" s="1"/>
  <c r="BI49" i="25"/>
  <c r="BK49" i="25" s="1"/>
  <c r="BI73" i="25"/>
  <c r="BK73" i="25" s="1"/>
  <c r="BI62" i="25"/>
  <c r="BK62" i="25" s="1"/>
  <c r="AN93" i="25"/>
  <c r="AH93" i="25"/>
  <c r="P92" i="25"/>
  <c r="BU3" i="25"/>
  <c r="BU4" i="25"/>
  <c r="BW4" i="25" s="1"/>
  <c r="BU17" i="25"/>
  <c r="BW17" i="25" s="1"/>
  <c r="BU20" i="25"/>
  <c r="BW20" i="25" s="1"/>
  <c r="BU24" i="25"/>
  <c r="BW24" i="25" s="1"/>
  <c r="BU28" i="25"/>
  <c r="BW28" i="25" s="1"/>
  <c r="BU32" i="25"/>
  <c r="BW32" i="25" s="1"/>
  <c r="BU37" i="25"/>
  <c r="BW37" i="25" s="1"/>
  <c r="BU41" i="25"/>
  <c r="BW41" i="25" s="1"/>
  <c r="BU6" i="25"/>
  <c r="BW6" i="25" s="1"/>
  <c r="BU7" i="25"/>
  <c r="BW7" i="25" s="1"/>
  <c r="BU9" i="25"/>
  <c r="BW9" i="25" s="1"/>
  <c r="BU11" i="25"/>
  <c r="BW11" i="25" s="1"/>
  <c r="BU13" i="25"/>
  <c r="BW13" i="25" s="1"/>
  <c r="BU15" i="25"/>
  <c r="BW15" i="25" s="1"/>
  <c r="BU16" i="25"/>
  <c r="BW16" i="25" s="1"/>
  <c r="BU19" i="25"/>
  <c r="BW19" i="25" s="1"/>
  <c r="BU27" i="25"/>
  <c r="BW27" i="25" s="1"/>
  <c r="BU31" i="25"/>
  <c r="BW31" i="25" s="1"/>
  <c r="BU33" i="25"/>
  <c r="BW33" i="25" s="1"/>
  <c r="BU34" i="25"/>
  <c r="BW34" i="25" s="1"/>
  <c r="BU36" i="25"/>
  <c r="BW36" i="25" s="1"/>
  <c r="BU40" i="25"/>
  <c r="BW40" i="25" s="1"/>
  <c r="BU22" i="25"/>
  <c r="BW22" i="25" s="1"/>
  <c r="BU23" i="25"/>
  <c r="BW23" i="25" s="1"/>
  <c r="BU26" i="25"/>
  <c r="BW26" i="25" s="1"/>
  <c r="BU30" i="25"/>
  <c r="BW30" i="25" s="1"/>
  <c r="BU35" i="25"/>
  <c r="BW35" i="25" s="1"/>
  <c r="BU39" i="25"/>
  <c r="BW39" i="25" s="1"/>
  <c r="BU93" i="25"/>
  <c r="BW93" i="25" s="1"/>
  <c r="BX93" i="25" s="1"/>
  <c r="BU5" i="25"/>
  <c r="BW5" i="25" s="1"/>
  <c r="BU8" i="25"/>
  <c r="BW8" i="25" s="1"/>
  <c r="BU10" i="25"/>
  <c r="BW10" i="25" s="1"/>
  <c r="BU12" i="25"/>
  <c r="BW12" i="25" s="1"/>
  <c r="BU14" i="25"/>
  <c r="BW14" i="25" s="1"/>
  <c r="BU18" i="25"/>
  <c r="BW18" i="25" s="1"/>
  <c r="BU21" i="25"/>
  <c r="BW21" i="25" s="1"/>
  <c r="BU25" i="25"/>
  <c r="BW25" i="25" s="1"/>
  <c r="BU29" i="25"/>
  <c r="BW29" i="25" s="1"/>
  <c r="BU38" i="25"/>
  <c r="BW38" i="25" s="1"/>
  <c r="BU49" i="25"/>
  <c r="BW49" i="25" s="1"/>
  <c r="BU42" i="25"/>
  <c r="BW42" i="25" s="1"/>
  <c r="BU46" i="25"/>
  <c r="BW46" i="25" s="1"/>
  <c r="BU48" i="25"/>
  <c r="BW48" i="25" s="1"/>
  <c r="BU69" i="25"/>
  <c r="BW69" i="25" s="1"/>
  <c r="BU53" i="25"/>
  <c r="BW53" i="25" s="1"/>
  <c r="BU50" i="25"/>
  <c r="BW50" i="25" s="1"/>
  <c r="BU68" i="25"/>
  <c r="BW68" i="25" s="1"/>
  <c r="BU66" i="25"/>
  <c r="BW66" i="25" s="1"/>
  <c r="BU47" i="25"/>
  <c r="BW47" i="25" s="1"/>
  <c r="BU44" i="25"/>
  <c r="BW44" i="25" s="1"/>
  <c r="BU45" i="25"/>
  <c r="BW45" i="25" s="1"/>
  <c r="BU58" i="25"/>
  <c r="BW58" i="25" s="1"/>
  <c r="BU52" i="25"/>
  <c r="BW52" i="25" s="1"/>
  <c r="BU73" i="25"/>
  <c r="BW73" i="25" s="1"/>
  <c r="BU72" i="25"/>
  <c r="BW72" i="25" s="1"/>
  <c r="BU54" i="25"/>
  <c r="BW54" i="25" s="1"/>
  <c r="BU59" i="25"/>
  <c r="BW59" i="25" s="1"/>
  <c r="BU74" i="25"/>
  <c r="BW74" i="25" s="1"/>
  <c r="BX74" i="25" s="1"/>
  <c r="BU60" i="25"/>
  <c r="BW60" i="25" s="1"/>
  <c r="BU43" i="25"/>
  <c r="BW43" i="25" s="1"/>
  <c r="BU65" i="25"/>
  <c r="BW65" i="25" s="1"/>
  <c r="BU63" i="25"/>
  <c r="BW63" i="25" s="1"/>
  <c r="BU64" i="25"/>
  <c r="BW64" i="25" s="1"/>
  <c r="BU62" i="25"/>
  <c r="BW62" i="25" s="1"/>
  <c r="BU61" i="25"/>
  <c r="BW61" i="25" s="1"/>
  <c r="BU57" i="25"/>
  <c r="BW57" i="25" s="1"/>
  <c r="BU71" i="25"/>
  <c r="BW71" i="25" s="1"/>
  <c r="BU70" i="25"/>
  <c r="BW70" i="25" s="1"/>
  <c r="BU67" i="25"/>
  <c r="BW67" i="25" s="1"/>
  <c r="BU55" i="25"/>
  <c r="BW55" i="25" s="1"/>
  <c r="BU56" i="25"/>
  <c r="BW56" i="25" s="1"/>
  <c r="BU51" i="25"/>
  <c r="BW51" i="25" s="1"/>
  <c r="P82" i="25"/>
  <c r="BN93" i="25"/>
  <c r="BP93" i="25" s="1"/>
  <c r="BN84" i="25"/>
  <c r="BP84" i="25" s="1"/>
  <c r="BR84" i="25" s="1"/>
  <c r="BN88" i="25"/>
  <c r="BP88" i="25" s="1"/>
  <c r="BR88" i="25" s="1"/>
  <c r="BN75" i="25"/>
  <c r="BP75" i="25" s="1"/>
  <c r="BN77" i="25"/>
  <c r="BP77" i="25" s="1"/>
  <c r="BN79" i="25"/>
  <c r="BP79" i="25" s="1"/>
  <c r="BR79" i="25" s="1"/>
  <c r="BN80" i="25"/>
  <c r="BP80" i="25" s="1"/>
  <c r="BR80" i="25" s="1"/>
  <c r="BN81" i="25"/>
  <c r="BP81" i="25" s="1"/>
  <c r="BR81" i="25" s="1"/>
  <c r="BN85" i="25"/>
  <c r="BP85" i="25" s="1"/>
  <c r="BR85" i="25" s="1"/>
  <c r="BN87" i="25"/>
  <c r="BP87" i="25" s="1"/>
  <c r="BR87" i="25" s="1"/>
  <c r="BN91" i="25"/>
  <c r="BP91" i="25" s="1"/>
  <c r="BR91" i="25" s="1"/>
  <c r="BN74" i="25"/>
  <c r="BP74" i="25" s="1"/>
  <c r="BN83" i="25"/>
  <c r="BP83" i="25" s="1"/>
  <c r="BR83" i="25" s="1"/>
  <c r="BN89" i="25"/>
  <c r="BP89" i="25" s="1"/>
  <c r="BR89" i="25" s="1"/>
  <c r="BN73" i="25"/>
  <c r="BP73" i="25" s="1"/>
  <c r="BN76" i="25"/>
  <c r="BP76" i="25" s="1"/>
  <c r="BN78" i="25"/>
  <c r="BP78" i="25" s="1"/>
  <c r="BR78" i="25" s="1"/>
  <c r="BN82" i="25"/>
  <c r="BP82" i="25" s="1"/>
  <c r="BR82" i="25" s="1"/>
  <c r="BN86" i="25"/>
  <c r="BP86" i="25" s="1"/>
  <c r="BR86" i="25" s="1"/>
  <c r="BN90" i="25"/>
  <c r="BP90" i="25" s="1"/>
  <c r="BR90" i="25" s="1"/>
  <c r="BN92" i="25"/>
  <c r="BP92" i="25" s="1"/>
  <c r="BR92" i="25" s="1"/>
  <c r="BO5" i="25"/>
  <c r="BQ5" i="25" s="1"/>
  <c r="BO8" i="25"/>
  <c r="BQ8" i="25" s="1"/>
  <c r="BO10" i="25"/>
  <c r="BQ10" i="25" s="1"/>
  <c r="BO12" i="25"/>
  <c r="BQ12" i="25" s="1"/>
  <c r="BO14" i="25"/>
  <c r="BQ14" i="25" s="1"/>
  <c r="BO18" i="25"/>
  <c r="BQ18" i="25" s="1"/>
  <c r="BO21" i="25"/>
  <c r="BQ21" i="25" s="1"/>
  <c r="BO24" i="25"/>
  <c r="BQ24" i="25" s="1"/>
  <c r="BO28" i="25"/>
  <c r="BQ28" i="25" s="1"/>
  <c r="BO33" i="25"/>
  <c r="BQ33" i="25" s="1"/>
  <c r="BO35" i="25"/>
  <c r="BQ35" i="25" s="1"/>
  <c r="BO39" i="25"/>
  <c r="BQ39" i="25" s="1"/>
  <c r="BO40" i="25"/>
  <c r="BQ40" i="25" s="1"/>
  <c r="BO3" i="25"/>
  <c r="BO4" i="25"/>
  <c r="BQ4" i="25" s="1"/>
  <c r="BO17" i="25"/>
  <c r="BQ17" i="25" s="1"/>
  <c r="BO20" i="25"/>
  <c r="BQ20" i="25" s="1"/>
  <c r="BO23" i="25"/>
  <c r="BQ23" i="25" s="1"/>
  <c r="BO27" i="25"/>
  <c r="BQ27" i="25" s="1"/>
  <c r="BO31" i="25"/>
  <c r="BQ31" i="25" s="1"/>
  <c r="BO37" i="25"/>
  <c r="BQ37" i="25" s="1"/>
  <c r="BO93" i="25"/>
  <c r="BQ93" i="25" s="1"/>
  <c r="BO6" i="25"/>
  <c r="BQ6" i="25" s="1"/>
  <c r="BO7" i="25"/>
  <c r="BQ7" i="25" s="1"/>
  <c r="BO9" i="25"/>
  <c r="BQ9" i="25" s="1"/>
  <c r="BO11" i="25"/>
  <c r="BQ11" i="25" s="1"/>
  <c r="BO13" i="25"/>
  <c r="BQ13" i="25" s="1"/>
  <c r="BO15" i="25"/>
  <c r="BQ15" i="25" s="1"/>
  <c r="BO16" i="25"/>
  <c r="BQ16" i="25" s="1"/>
  <c r="BO19" i="25"/>
  <c r="BQ19" i="25" s="1"/>
  <c r="BO26" i="25"/>
  <c r="BQ26" i="25" s="1"/>
  <c r="BO30" i="25"/>
  <c r="BQ30" i="25" s="1"/>
  <c r="BO36" i="25"/>
  <c r="BQ36" i="25" s="1"/>
  <c r="BO41" i="25"/>
  <c r="BQ41" i="25" s="1"/>
  <c r="BO22" i="25"/>
  <c r="BQ22" i="25" s="1"/>
  <c r="BO25" i="25"/>
  <c r="BQ25" i="25" s="1"/>
  <c r="BO29" i="25"/>
  <c r="BQ29" i="25" s="1"/>
  <c r="BO32" i="25"/>
  <c r="BQ32" i="25" s="1"/>
  <c r="BO34" i="25"/>
  <c r="BQ34" i="25" s="1"/>
  <c r="BO38" i="25"/>
  <c r="BQ38" i="25" s="1"/>
  <c r="BO47" i="25"/>
  <c r="BQ47" i="25" s="1"/>
  <c r="BO73" i="25"/>
  <c r="BQ73" i="25" s="1"/>
  <c r="BO63" i="25"/>
  <c r="BQ63" i="25" s="1"/>
  <c r="BO53" i="25"/>
  <c r="BQ53" i="25" s="1"/>
  <c r="BO57" i="25"/>
  <c r="BQ57" i="25" s="1"/>
  <c r="BO69" i="25"/>
  <c r="BQ69" i="25" s="1"/>
  <c r="BO66" i="25"/>
  <c r="BQ66" i="25" s="1"/>
  <c r="BO62" i="25"/>
  <c r="BQ62" i="25" s="1"/>
  <c r="BO56" i="25"/>
  <c r="BQ56" i="25" s="1"/>
  <c r="BO45" i="25"/>
  <c r="BQ45" i="25" s="1"/>
  <c r="BO65" i="25"/>
  <c r="BQ65" i="25" s="1"/>
  <c r="BO60" i="25"/>
  <c r="BQ60" i="25" s="1"/>
  <c r="BO64" i="25"/>
  <c r="BQ64" i="25" s="1"/>
  <c r="BO61" i="25"/>
  <c r="BQ61" i="25" s="1"/>
  <c r="BO52" i="25"/>
  <c r="BQ52" i="25" s="1"/>
  <c r="BO70" i="25"/>
  <c r="BQ70" i="25" s="1"/>
  <c r="BO67" i="25"/>
  <c r="BQ67" i="25" s="1"/>
  <c r="BO58" i="25"/>
  <c r="BQ58" i="25" s="1"/>
  <c r="BO51" i="25"/>
  <c r="BQ51" i="25" s="1"/>
  <c r="BO72" i="25"/>
  <c r="BQ72" i="25" s="1"/>
  <c r="BO44" i="25"/>
  <c r="BQ44" i="25" s="1"/>
  <c r="BO43" i="25"/>
  <c r="BQ43" i="25" s="1"/>
  <c r="BO46" i="25"/>
  <c r="BQ46" i="25" s="1"/>
  <c r="BO42" i="25"/>
  <c r="BQ42" i="25" s="1"/>
  <c r="BO71" i="25"/>
  <c r="BQ71" i="25" s="1"/>
  <c r="BO59" i="25"/>
  <c r="BQ59" i="25" s="1"/>
  <c r="BO55" i="25"/>
  <c r="BQ55" i="25" s="1"/>
  <c r="BO49" i="25"/>
  <c r="BQ49" i="25" s="1"/>
  <c r="BO74" i="25"/>
  <c r="BQ74" i="25" s="1"/>
  <c r="BO68" i="25"/>
  <c r="BQ68" i="25" s="1"/>
  <c r="BO50" i="25"/>
  <c r="BQ50" i="25" s="1"/>
  <c r="BO54" i="25"/>
  <c r="BQ54" i="25" s="1"/>
  <c r="BO48" i="25"/>
  <c r="BQ48" i="25" s="1"/>
  <c r="V93" i="25"/>
  <c r="BT73" i="25"/>
  <c r="BV73" i="25" s="1"/>
  <c r="X72" i="25"/>
  <c r="Z72" i="25" s="1"/>
  <c r="X80" i="26"/>
  <c r="Z80" i="26" s="1"/>
  <c r="AB80" i="26" s="1"/>
  <c r="BT80" i="26"/>
  <c r="BV80" i="26" s="1"/>
  <c r="BX80" i="26" s="1"/>
  <c r="BF93" i="26"/>
  <c r="AZ93" i="26"/>
  <c r="AT93" i="26"/>
  <c r="AB93" i="26"/>
  <c r="AH93" i="26"/>
  <c r="BL93" i="26"/>
  <c r="BR93" i="26"/>
  <c r="V93" i="26"/>
  <c r="E8" i="22"/>
  <c r="F8" i="22" s="1"/>
  <c r="G8" i="22" s="1"/>
  <c r="AN93" i="26"/>
  <c r="J8" i="2"/>
  <c r="C9" i="22" s="1"/>
  <c r="AT76" i="25" l="1"/>
  <c r="AT75" i="25"/>
  <c r="AZ76" i="25"/>
  <c r="BR75" i="25"/>
  <c r="AT77" i="25"/>
  <c r="V73" i="25"/>
  <c r="BF74" i="25"/>
  <c r="BF73" i="25"/>
  <c r="AB72" i="25"/>
  <c r="BL75" i="25"/>
  <c r="BR76" i="25"/>
  <c r="AB76" i="25"/>
  <c r="BL76" i="25"/>
  <c r="AB75" i="25"/>
  <c r="AZ77" i="25"/>
  <c r="BR73" i="25"/>
  <c r="BT6" i="27"/>
  <c r="BV6" i="27" s="1"/>
  <c r="BX6" i="27" s="1"/>
  <c r="T6" i="27"/>
  <c r="V6" i="27" s="1"/>
  <c r="BB6" i="27"/>
  <c r="BD6" i="27" s="1"/>
  <c r="BF6" i="27" s="1"/>
  <c r="BH6" i="27"/>
  <c r="BJ6" i="27" s="1"/>
  <c r="BL6" i="27" s="1"/>
  <c r="AF6" i="27"/>
  <c r="AH6" i="27" s="1"/>
  <c r="AP6" i="27"/>
  <c r="AR6" i="27" s="1"/>
  <c r="AT6" i="27" s="1"/>
  <c r="Z6" i="27"/>
  <c r="AB6" i="27" s="1"/>
  <c r="AV6" i="27"/>
  <c r="AX6" i="27" s="1"/>
  <c r="AZ6" i="27" s="1"/>
  <c r="BN6" i="27"/>
  <c r="BP6" i="27" s="1"/>
  <c r="BR6" i="27" s="1"/>
  <c r="AJ6" i="27"/>
  <c r="AL6" i="27" s="1"/>
  <c r="AN6" i="27" s="1"/>
  <c r="AZ74" i="25"/>
  <c r="AZ75" i="25"/>
  <c r="AB77" i="25"/>
  <c r="BR77" i="25"/>
  <c r="AB93" i="25"/>
  <c r="BX73" i="25"/>
  <c r="BL73" i="25"/>
  <c r="BN72" i="25"/>
  <c r="BP72" i="25" s="1"/>
  <c r="BR72" i="25" s="1"/>
  <c r="BH72" i="25"/>
  <c r="BJ72" i="25" s="1"/>
  <c r="BL72" i="25" s="1"/>
  <c r="BL93" i="25"/>
  <c r="BL74" i="25"/>
  <c r="AB74" i="25"/>
  <c r="BT72" i="25"/>
  <c r="BV72" i="25" s="1"/>
  <c r="BX72" i="25" s="1"/>
  <c r="AD72" i="25"/>
  <c r="AF72" i="25" s="1"/>
  <c r="AH72" i="25" s="1"/>
  <c r="AV72" i="25"/>
  <c r="AX72" i="25" s="1"/>
  <c r="AZ72" i="25" s="1"/>
  <c r="R72" i="25"/>
  <c r="T72" i="25" s="1"/>
  <c r="V72" i="25" s="1"/>
  <c r="BB72" i="25"/>
  <c r="BD72" i="25" s="1"/>
  <c r="BF72" i="25" s="1"/>
  <c r="AP72" i="25"/>
  <c r="AR72" i="25" s="1"/>
  <c r="AT72" i="25" s="1"/>
  <c r="AJ72" i="25"/>
  <c r="AL72" i="25" s="1"/>
  <c r="AN72" i="25" s="1"/>
  <c r="BR74" i="25"/>
  <c r="BR93" i="25"/>
  <c r="AB73" i="25"/>
  <c r="X79" i="26"/>
  <c r="Z79" i="26" s="1"/>
  <c r="AB79" i="26" s="1"/>
  <c r="BT79" i="26"/>
  <c r="BV79" i="26" s="1"/>
  <c r="BX79" i="26" s="1"/>
  <c r="R79" i="26"/>
  <c r="T79" i="26" s="1"/>
  <c r="V79" i="26" s="1"/>
  <c r="BN79" i="26"/>
  <c r="BP79" i="26" s="1"/>
  <c r="BR79" i="26" s="1"/>
  <c r="BB79" i="26"/>
  <c r="BD79" i="26" s="1"/>
  <c r="BF79" i="26" s="1"/>
  <c r="AJ79" i="26"/>
  <c r="AL79" i="26" s="1"/>
  <c r="AN79" i="26" s="1"/>
  <c r="AV79" i="26"/>
  <c r="AX79" i="26" s="1"/>
  <c r="AZ79" i="26" s="1"/>
  <c r="AP79" i="26"/>
  <c r="AR79" i="26" s="1"/>
  <c r="AT79" i="26" s="1"/>
  <c r="AD79" i="26"/>
  <c r="AF79" i="26" s="1"/>
  <c r="AH79" i="26" s="1"/>
  <c r="BH79" i="26"/>
  <c r="BJ79" i="26" s="1"/>
  <c r="BL79" i="26" s="1"/>
  <c r="I8" i="22"/>
  <c r="E9" i="22"/>
  <c r="F9" i="22" s="1"/>
  <c r="G9" i="22" s="1"/>
  <c r="J9" i="2"/>
  <c r="C10" i="22" s="1"/>
  <c r="BT5" i="27" l="1"/>
  <c r="BV5" i="27" s="1"/>
  <c r="BX5" i="27" s="1"/>
  <c r="T5" i="27"/>
  <c r="V5" i="27" s="1"/>
  <c r="BB5" i="27"/>
  <c r="BD5" i="27" s="1"/>
  <c r="BF5" i="27" s="1"/>
  <c r="AF5" i="27"/>
  <c r="AH5" i="27" s="1"/>
  <c r="BH5" i="27"/>
  <c r="BJ5" i="27" s="1"/>
  <c r="BL5" i="27" s="1"/>
  <c r="BN5" i="27"/>
  <c r="BP5" i="27" s="1"/>
  <c r="BR5" i="27" s="1"/>
  <c r="Z5" i="27"/>
  <c r="AB5" i="27" s="1"/>
  <c r="AV5" i="27"/>
  <c r="AX5" i="27" s="1"/>
  <c r="AZ5" i="27" s="1"/>
  <c r="AP5" i="27"/>
  <c r="AR5" i="27" s="1"/>
  <c r="AT5" i="27" s="1"/>
  <c r="AJ5" i="27"/>
  <c r="AL5" i="27" s="1"/>
  <c r="AN5" i="27" s="1"/>
  <c r="BT71" i="25"/>
  <c r="BV71" i="25" s="1"/>
  <c r="BX71" i="25" s="1"/>
  <c r="AP71" i="25"/>
  <c r="AR71" i="25" s="1"/>
  <c r="AT71" i="25" s="1"/>
  <c r="AV71" i="25"/>
  <c r="AX71" i="25" s="1"/>
  <c r="AZ71" i="25" s="1"/>
  <c r="AJ71" i="25"/>
  <c r="AL71" i="25" s="1"/>
  <c r="AN71" i="25" s="1"/>
  <c r="BB71" i="25"/>
  <c r="BD71" i="25" s="1"/>
  <c r="BF71" i="25" s="1"/>
  <c r="R71" i="25"/>
  <c r="T71" i="25" s="1"/>
  <c r="V71" i="25" s="1"/>
  <c r="AD71" i="25"/>
  <c r="AF71" i="25" s="1"/>
  <c r="AH71" i="25" s="1"/>
  <c r="BH71" i="25"/>
  <c r="BJ71" i="25" s="1"/>
  <c r="BL71" i="25" s="1"/>
  <c r="BN71" i="25"/>
  <c r="BP71" i="25" s="1"/>
  <c r="BR71" i="25" s="1"/>
  <c r="X71" i="25"/>
  <c r="Z71" i="25" s="1"/>
  <c r="AB71" i="25" s="1"/>
  <c r="X78" i="26"/>
  <c r="Z78" i="26" s="1"/>
  <c r="AB78" i="26" s="1"/>
  <c r="BT78" i="26"/>
  <c r="BV78" i="26" s="1"/>
  <c r="BX78" i="26" s="1"/>
  <c r="R78" i="26"/>
  <c r="T78" i="26" s="1"/>
  <c r="V78" i="26" s="1"/>
  <c r="AP78" i="26"/>
  <c r="AR78" i="26" s="1"/>
  <c r="AT78" i="26" s="1"/>
  <c r="BB78" i="26"/>
  <c r="BD78" i="26" s="1"/>
  <c r="BF78" i="26" s="1"/>
  <c r="AD78" i="26"/>
  <c r="AF78" i="26" s="1"/>
  <c r="AH78" i="26" s="1"/>
  <c r="BH78" i="26"/>
  <c r="BJ78" i="26" s="1"/>
  <c r="BL78" i="26" s="1"/>
  <c r="BN78" i="26"/>
  <c r="BP78" i="26" s="1"/>
  <c r="BR78" i="26" s="1"/>
  <c r="AV78" i="26"/>
  <c r="AX78" i="26" s="1"/>
  <c r="AZ78" i="26" s="1"/>
  <c r="AJ78" i="26"/>
  <c r="AL78" i="26" s="1"/>
  <c r="AN78" i="26" s="1"/>
  <c r="E10" i="22"/>
  <c r="F10" i="22" s="1"/>
  <c r="G10" i="22" s="1"/>
  <c r="I10" i="22" s="1"/>
  <c r="I9" i="22"/>
  <c r="J10" i="2"/>
  <c r="C11" i="22" s="1"/>
  <c r="BT4" i="27" l="1"/>
  <c r="BV4" i="27" s="1"/>
  <c r="BX4" i="27" s="1"/>
  <c r="BB4" i="27"/>
  <c r="BD4" i="27" s="1"/>
  <c r="BF4" i="27" s="1"/>
  <c r="AF4" i="27"/>
  <c r="AH4" i="27" s="1"/>
  <c r="T4" i="27"/>
  <c r="V4" i="27" s="1"/>
  <c r="BH4" i="27"/>
  <c r="BJ4" i="27" s="1"/>
  <c r="BL4" i="27" s="1"/>
  <c r="BN4" i="27"/>
  <c r="BP4" i="27" s="1"/>
  <c r="BR4" i="27" s="1"/>
  <c r="AP4" i="27"/>
  <c r="AR4" i="27" s="1"/>
  <c r="AT4" i="27" s="1"/>
  <c r="AV4" i="27"/>
  <c r="AX4" i="27" s="1"/>
  <c r="AZ4" i="27" s="1"/>
  <c r="Z4" i="27"/>
  <c r="AB4" i="27" s="1"/>
  <c r="AJ4" i="27"/>
  <c r="AL4" i="27" s="1"/>
  <c r="AN4" i="27" s="1"/>
  <c r="BT70" i="25"/>
  <c r="BV70" i="25" s="1"/>
  <c r="BX70" i="25" s="1"/>
  <c r="BB70" i="25"/>
  <c r="BD70" i="25" s="1"/>
  <c r="BF70" i="25" s="1"/>
  <c r="R70" i="25"/>
  <c r="T70" i="25" s="1"/>
  <c r="V70" i="25" s="1"/>
  <c r="AP70" i="25"/>
  <c r="AR70" i="25" s="1"/>
  <c r="AT70" i="25" s="1"/>
  <c r="AD70" i="25"/>
  <c r="AF70" i="25" s="1"/>
  <c r="AH70" i="25" s="1"/>
  <c r="AV70" i="25"/>
  <c r="AX70" i="25" s="1"/>
  <c r="AZ70" i="25" s="1"/>
  <c r="AJ70" i="25"/>
  <c r="AL70" i="25" s="1"/>
  <c r="AN70" i="25" s="1"/>
  <c r="X70" i="25"/>
  <c r="Z70" i="25" s="1"/>
  <c r="AB70" i="25" s="1"/>
  <c r="BH70" i="25"/>
  <c r="BJ70" i="25" s="1"/>
  <c r="BL70" i="25" s="1"/>
  <c r="BN70" i="25"/>
  <c r="BP70" i="25" s="1"/>
  <c r="BR70" i="25" s="1"/>
  <c r="X77" i="26"/>
  <c r="Z77" i="26" s="1"/>
  <c r="AB77" i="26" s="1"/>
  <c r="BT77" i="26"/>
  <c r="BV77" i="26" s="1"/>
  <c r="BX77" i="26" s="1"/>
  <c r="BH77" i="26"/>
  <c r="BJ77" i="26" s="1"/>
  <c r="BL77" i="26" s="1"/>
  <c r="BB77" i="26"/>
  <c r="BD77" i="26" s="1"/>
  <c r="BF77" i="26" s="1"/>
  <c r="AV77" i="26"/>
  <c r="AX77" i="26" s="1"/>
  <c r="AZ77" i="26" s="1"/>
  <c r="AD77" i="26"/>
  <c r="AF77" i="26" s="1"/>
  <c r="AH77" i="26" s="1"/>
  <c r="AP77" i="26"/>
  <c r="AR77" i="26" s="1"/>
  <c r="AT77" i="26" s="1"/>
  <c r="R77" i="26"/>
  <c r="T77" i="26" s="1"/>
  <c r="V77" i="26" s="1"/>
  <c r="AJ77" i="26"/>
  <c r="AL77" i="26" s="1"/>
  <c r="AN77" i="26" s="1"/>
  <c r="BN77" i="26"/>
  <c r="BP77" i="26" s="1"/>
  <c r="BR77" i="26" s="1"/>
  <c r="E11" i="22"/>
  <c r="F11" i="22" s="1"/>
  <c r="G11" i="22" s="1"/>
  <c r="J11" i="2"/>
  <c r="C12" i="22" s="1"/>
  <c r="BT3" i="27" l="1"/>
  <c r="BH3" i="27"/>
  <c r="BB3" i="27"/>
  <c r="AJ3" i="27"/>
  <c r="BN3" i="27"/>
  <c r="AV3" i="27"/>
  <c r="AP3" i="27"/>
  <c r="BT69" i="25"/>
  <c r="BV69" i="25" s="1"/>
  <c r="BX69" i="25" s="1"/>
  <c r="BB69" i="25"/>
  <c r="BD69" i="25" s="1"/>
  <c r="BF69" i="25" s="1"/>
  <c r="AP69" i="25"/>
  <c r="AR69" i="25" s="1"/>
  <c r="AT69" i="25" s="1"/>
  <c r="AV69" i="25"/>
  <c r="AX69" i="25" s="1"/>
  <c r="AZ69" i="25" s="1"/>
  <c r="AJ69" i="25"/>
  <c r="AL69" i="25" s="1"/>
  <c r="AN69" i="25" s="1"/>
  <c r="R69" i="25"/>
  <c r="T69" i="25" s="1"/>
  <c r="V69" i="25" s="1"/>
  <c r="AD69" i="25"/>
  <c r="AF69" i="25" s="1"/>
  <c r="AH69" i="25" s="1"/>
  <c r="BN69" i="25"/>
  <c r="BP69" i="25" s="1"/>
  <c r="BR69" i="25" s="1"/>
  <c r="X69" i="25"/>
  <c r="Z69" i="25" s="1"/>
  <c r="AB69" i="25" s="1"/>
  <c r="BH69" i="25"/>
  <c r="BJ69" i="25" s="1"/>
  <c r="BL69" i="25" s="1"/>
  <c r="X76" i="26"/>
  <c r="Z76" i="26" s="1"/>
  <c r="AB76" i="26" s="1"/>
  <c r="BT76" i="26"/>
  <c r="BV76" i="26" s="1"/>
  <c r="BX76" i="26" s="1"/>
  <c r="BH76" i="26"/>
  <c r="BJ76" i="26" s="1"/>
  <c r="BL76" i="26" s="1"/>
  <c r="BN76" i="26"/>
  <c r="BP76" i="26" s="1"/>
  <c r="BR76" i="26" s="1"/>
  <c r="AV76" i="26"/>
  <c r="AX76" i="26" s="1"/>
  <c r="AZ76" i="26" s="1"/>
  <c r="BB76" i="26"/>
  <c r="BD76" i="26" s="1"/>
  <c r="BF76" i="26" s="1"/>
  <c r="R76" i="26"/>
  <c r="T76" i="26" s="1"/>
  <c r="V76" i="26" s="1"/>
  <c r="AJ76" i="26"/>
  <c r="AL76" i="26" s="1"/>
  <c r="AN76" i="26" s="1"/>
  <c r="AD76" i="26"/>
  <c r="AF76" i="26" s="1"/>
  <c r="AH76" i="26" s="1"/>
  <c r="AP76" i="26"/>
  <c r="AR76" i="26" s="1"/>
  <c r="AT76" i="26" s="1"/>
  <c r="I11" i="22"/>
  <c r="E12" i="22"/>
  <c r="F12" i="22" s="1"/>
  <c r="G12" i="22" s="1"/>
  <c r="J12" i="2"/>
  <c r="C13" i="22" s="1"/>
  <c r="R68" i="25" l="1"/>
  <c r="T68" i="25" s="1"/>
  <c r="V68" i="25" s="1"/>
  <c r="AV68" i="25"/>
  <c r="AX68" i="25" s="1"/>
  <c r="AZ68" i="25" s="1"/>
  <c r="AP68" i="25"/>
  <c r="AR68" i="25" s="1"/>
  <c r="AT68" i="25" s="1"/>
  <c r="AJ68" i="25"/>
  <c r="AL68" i="25" s="1"/>
  <c r="AN68" i="25" s="1"/>
  <c r="BT68" i="25"/>
  <c r="BV68" i="25" s="1"/>
  <c r="BX68" i="25" s="1"/>
  <c r="AD68" i="25"/>
  <c r="AF68" i="25" s="1"/>
  <c r="AH68" i="25" s="1"/>
  <c r="BB68" i="25"/>
  <c r="BD68" i="25" s="1"/>
  <c r="BF68" i="25" s="1"/>
  <c r="BN68" i="25"/>
  <c r="BP68" i="25" s="1"/>
  <c r="BR68" i="25" s="1"/>
  <c r="X68" i="25"/>
  <c r="Z68" i="25" s="1"/>
  <c r="AB68" i="25" s="1"/>
  <c r="BH68" i="25"/>
  <c r="BJ68" i="25" s="1"/>
  <c r="BL68" i="25" s="1"/>
  <c r="X75" i="26"/>
  <c r="Z75" i="26" s="1"/>
  <c r="AB75" i="26" s="1"/>
  <c r="BT75" i="26"/>
  <c r="BV75" i="26" s="1"/>
  <c r="BX75" i="26" s="1"/>
  <c r="AV75" i="26"/>
  <c r="AX75" i="26" s="1"/>
  <c r="AZ75" i="26" s="1"/>
  <c r="AJ75" i="26"/>
  <c r="AL75" i="26" s="1"/>
  <c r="AN75" i="26" s="1"/>
  <c r="R75" i="26"/>
  <c r="T75" i="26" s="1"/>
  <c r="V75" i="26" s="1"/>
  <c r="BB75" i="26"/>
  <c r="BD75" i="26" s="1"/>
  <c r="BF75" i="26" s="1"/>
  <c r="AD75" i="26"/>
  <c r="AF75" i="26" s="1"/>
  <c r="AH75" i="26" s="1"/>
  <c r="BH75" i="26"/>
  <c r="BJ75" i="26" s="1"/>
  <c r="BL75" i="26" s="1"/>
  <c r="BN75" i="26"/>
  <c r="BP75" i="26" s="1"/>
  <c r="BR75" i="26" s="1"/>
  <c r="AP75" i="26"/>
  <c r="AR75" i="26" s="1"/>
  <c r="AT75" i="26" s="1"/>
  <c r="E13" i="22"/>
  <c r="F13" i="22" s="1"/>
  <c r="G13" i="22" s="1"/>
  <c r="I12" i="22"/>
  <c r="J13" i="2"/>
  <c r="C14" i="22" s="1"/>
  <c r="BT67" i="25" l="1"/>
  <c r="BV67" i="25" s="1"/>
  <c r="BX67" i="25" s="1"/>
  <c r="AP67" i="25"/>
  <c r="AR67" i="25" s="1"/>
  <c r="AT67" i="25" s="1"/>
  <c r="AJ67" i="25"/>
  <c r="AL67" i="25" s="1"/>
  <c r="AN67" i="25" s="1"/>
  <c r="R67" i="25"/>
  <c r="T67" i="25" s="1"/>
  <c r="V67" i="25" s="1"/>
  <c r="AD67" i="25"/>
  <c r="AF67" i="25" s="1"/>
  <c r="AH67" i="25" s="1"/>
  <c r="AV67" i="25"/>
  <c r="AX67" i="25" s="1"/>
  <c r="AZ67" i="25" s="1"/>
  <c r="BB67" i="25"/>
  <c r="BD67" i="25" s="1"/>
  <c r="BF67" i="25" s="1"/>
  <c r="X67" i="25"/>
  <c r="Z67" i="25" s="1"/>
  <c r="AB67" i="25" s="1"/>
  <c r="BN67" i="25"/>
  <c r="BP67" i="25" s="1"/>
  <c r="BR67" i="25" s="1"/>
  <c r="BH67" i="25"/>
  <c r="BJ67" i="25" s="1"/>
  <c r="BL67" i="25" s="1"/>
  <c r="X74" i="26"/>
  <c r="Z74" i="26" s="1"/>
  <c r="AB74" i="26" s="1"/>
  <c r="BT74" i="26"/>
  <c r="BV74" i="26" s="1"/>
  <c r="BX74" i="26" s="1"/>
  <c r="AP74" i="26"/>
  <c r="AR74" i="26" s="1"/>
  <c r="AT74" i="26" s="1"/>
  <c r="AJ74" i="26"/>
  <c r="AL74" i="26" s="1"/>
  <c r="AN74" i="26" s="1"/>
  <c r="BN74" i="26"/>
  <c r="BP74" i="26" s="1"/>
  <c r="BR74" i="26" s="1"/>
  <c r="BH74" i="26"/>
  <c r="BJ74" i="26" s="1"/>
  <c r="BL74" i="26" s="1"/>
  <c r="BB74" i="26"/>
  <c r="BD74" i="26" s="1"/>
  <c r="BF74" i="26" s="1"/>
  <c r="AD74" i="26"/>
  <c r="AF74" i="26" s="1"/>
  <c r="AH74" i="26" s="1"/>
  <c r="AV74" i="26"/>
  <c r="AX74" i="26" s="1"/>
  <c r="AZ74" i="26" s="1"/>
  <c r="R74" i="26"/>
  <c r="T74" i="26" s="1"/>
  <c r="V74" i="26" s="1"/>
  <c r="E14" i="22"/>
  <c r="F14" i="22" s="1"/>
  <c r="G14" i="22" s="1"/>
  <c r="I13" i="22"/>
  <c r="J14" i="2"/>
  <c r="C15" i="22" s="1"/>
  <c r="AV66" i="25" l="1"/>
  <c r="AX66" i="25" s="1"/>
  <c r="AZ66" i="25" s="1"/>
  <c r="AD66" i="25"/>
  <c r="AF66" i="25" s="1"/>
  <c r="AH66" i="25" s="1"/>
  <c r="BT66" i="25"/>
  <c r="BV66" i="25" s="1"/>
  <c r="BX66" i="25" s="1"/>
  <c r="R66" i="25"/>
  <c r="T66" i="25" s="1"/>
  <c r="V66" i="25" s="1"/>
  <c r="AP66" i="25"/>
  <c r="AR66" i="25" s="1"/>
  <c r="AT66" i="25" s="1"/>
  <c r="AJ66" i="25"/>
  <c r="AL66" i="25" s="1"/>
  <c r="AN66" i="25" s="1"/>
  <c r="BB66" i="25"/>
  <c r="BD66" i="25" s="1"/>
  <c r="BF66" i="25" s="1"/>
  <c r="X66" i="25"/>
  <c r="Z66" i="25" s="1"/>
  <c r="AB66" i="25" s="1"/>
  <c r="BH66" i="25"/>
  <c r="BJ66" i="25" s="1"/>
  <c r="BL66" i="25" s="1"/>
  <c r="BN66" i="25"/>
  <c r="BP66" i="25" s="1"/>
  <c r="BR66" i="25" s="1"/>
  <c r="X73" i="26"/>
  <c r="Z73" i="26" s="1"/>
  <c r="AB73" i="26" s="1"/>
  <c r="BH73" i="26"/>
  <c r="BJ73" i="26" s="1"/>
  <c r="BL73" i="26" s="1"/>
  <c r="AD73" i="26"/>
  <c r="AF73" i="26" s="1"/>
  <c r="AH73" i="26" s="1"/>
  <c r="BB73" i="26"/>
  <c r="BD73" i="26" s="1"/>
  <c r="BF73" i="26" s="1"/>
  <c r="R73" i="26"/>
  <c r="T73" i="26" s="1"/>
  <c r="V73" i="26" s="1"/>
  <c r="BN73" i="26"/>
  <c r="BP73" i="26" s="1"/>
  <c r="BR73" i="26" s="1"/>
  <c r="AP73" i="26"/>
  <c r="AR73" i="26" s="1"/>
  <c r="AT73" i="26" s="1"/>
  <c r="BT73" i="26"/>
  <c r="BV73" i="26" s="1"/>
  <c r="BX73" i="26" s="1"/>
  <c r="AV73" i="26"/>
  <c r="AX73" i="26" s="1"/>
  <c r="AZ73" i="26" s="1"/>
  <c r="AJ73" i="26"/>
  <c r="AL73" i="26" s="1"/>
  <c r="AN73" i="26" s="1"/>
  <c r="I14" i="22"/>
  <c r="E15" i="22"/>
  <c r="F15" i="22" s="1"/>
  <c r="G15" i="22" s="1"/>
  <c r="J15" i="2"/>
  <c r="C16" i="22" s="1"/>
  <c r="BT65" i="25" l="1"/>
  <c r="BV65" i="25" s="1"/>
  <c r="BX65" i="25" s="1"/>
  <c r="R65" i="25"/>
  <c r="T65" i="25" s="1"/>
  <c r="V65" i="25" s="1"/>
  <c r="AP65" i="25"/>
  <c r="AR65" i="25" s="1"/>
  <c r="AT65" i="25" s="1"/>
  <c r="BB65" i="25"/>
  <c r="BD65" i="25" s="1"/>
  <c r="BF65" i="25" s="1"/>
  <c r="AD65" i="25"/>
  <c r="AF65" i="25" s="1"/>
  <c r="AH65" i="25" s="1"/>
  <c r="AJ65" i="25"/>
  <c r="AL65" i="25" s="1"/>
  <c r="AN65" i="25" s="1"/>
  <c r="AV65" i="25"/>
  <c r="AX65" i="25" s="1"/>
  <c r="AZ65" i="25" s="1"/>
  <c r="BN65" i="25"/>
  <c r="BP65" i="25" s="1"/>
  <c r="BR65" i="25" s="1"/>
  <c r="X65" i="25"/>
  <c r="Z65" i="25" s="1"/>
  <c r="AB65" i="25" s="1"/>
  <c r="BH65" i="25"/>
  <c r="BJ65" i="25" s="1"/>
  <c r="BL65" i="25" s="1"/>
  <c r="X72" i="26"/>
  <c r="Z72" i="26" s="1"/>
  <c r="AB72" i="26" s="1"/>
  <c r="AJ72" i="26"/>
  <c r="AL72" i="26" s="1"/>
  <c r="AN72" i="26" s="1"/>
  <c r="BN72" i="26"/>
  <c r="BP72" i="26" s="1"/>
  <c r="BR72" i="26" s="1"/>
  <c r="AD72" i="26"/>
  <c r="AF72" i="26" s="1"/>
  <c r="AH72" i="26" s="1"/>
  <c r="AV72" i="26"/>
  <c r="AX72" i="26" s="1"/>
  <c r="AZ72" i="26" s="1"/>
  <c r="BB72" i="26"/>
  <c r="BD72" i="26" s="1"/>
  <c r="BF72" i="26" s="1"/>
  <c r="BT72" i="26"/>
  <c r="BV72" i="26" s="1"/>
  <c r="BX72" i="26" s="1"/>
  <c r="BH72" i="26"/>
  <c r="BJ72" i="26" s="1"/>
  <c r="BL72" i="26" s="1"/>
  <c r="AP72" i="26"/>
  <c r="AR72" i="26" s="1"/>
  <c r="AT72" i="26" s="1"/>
  <c r="R72" i="26"/>
  <c r="T72" i="26" s="1"/>
  <c r="V72" i="26" s="1"/>
  <c r="I15" i="22"/>
  <c r="E16" i="22"/>
  <c r="F16" i="22" s="1"/>
  <c r="G16" i="22" s="1"/>
  <c r="J16" i="2"/>
  <c r="C17" i="22" s="1"/>
  <c r="BT64" i="25" l="1"/>
  <c r="BV64" i="25" s="1"/>
  <c r="BX64" i="25" s="1"/>
  <c r="AP64" i="25"/>
  <c r="AR64" i="25" s="1"/>
  <c r="AT64" i="25" s="1"/>
  <c r="AD64" i="25"/>
  <c r="AF64" i="25" s="1"/>
  <c r="AH64" i="25" s="1"/>
  <c r="BB64" i="25"/>
  <c r="BD64" i="25" s="1"/>
  <c r="BF64" i="25" s="1"/>
  <c r="R64" i="25"/>
  <c r="T64" i="25" s="1"/>
  <c r="V64" i="25" s="1"/>
  <c r="AJ64" i="25"/>
  <c r="AL64" i="25" s="1"/>
  <c r="AN64" i="25" s="1"/>
  <c r="AV64" i="25"/>
  <c r="AX64" i="25" s="1"/>
  <c r="AZ64" i="25" s="1"/>
  <c r="BH64" i="25"/>
  <c r="BJ64" i="25" s="1"/>
  <c r="BL64" i="25" s="1"/>
  <c r="X64" i="25"/>
  <c r="Z64" i="25" s="1"/>
  <c r="AB64" i="25" s="1"/>
  <c r="BN64" i="25"/>
  <c r="BP64" i="25" s="1"/>
  <c r="BR64" i="25" s="1"/>
  <c r="X71" i="26"/>
  <c r="Z71" i="26" s="1"/>
  <c r="AB71" i="26" s="1"/>
  <c r="BB71" i="26"/>
  <c r="BD71" i="26" s="1"/>
  <c r="BF71" i="26" s="1"/>
  <c r="BH71" i="26"/>
  <c r="BJ71" i="26" s="1"/>
  <c r="BL71" i="26" s="1"/>
  <c r="BT71" i="26"/>
  <c r="BV71" i="26" s="1"/>
  <c r="BX71" i="26" s="1"/>
  <c r="AV71" i="26"/>
  <c r="AX71" i="26" s="1"/>
  <c r="AZ71" i="26" s="1"/>
  <c r="AJ71" i="26"/>
  <c r="AL71" i="26" s="1"/>
  <c r="AN71" i="26" s="1"/>
  <c r="AP71" i="26"/>
  <c r="AR71" i="26" s="1"/>
  <c r="AT71" i="26" s="1"/>
  <c r="AD71" i="26"/>
  <c r="AF71" i="26" s="1"/>
  <c r="AH71" i="26" s="1"/>
  <c r="BN71" i="26"/>
  <c r="BP71" i="26" s="1"/>
  <c r="BR71" i="26" s="1"/>
  <c r="R71" i="26"/>
  <c r="T71" i="26" s="1"/>
  <c r="V71" i="26" s="1"/>
  <c r="I16" i="22"/>
  <c r="E17" i="22"/>
  <c r="F17" i="22" s="1"/>
  <c r="G17" i="22" s="1"/>
  <c r="J17" i="2"/>
  <c r="C18" i="22" s="1"/>
  <c r="E18" i="22" s="1"/>
  <c r="F18" i="22" s="1"/>
  <c r="G18" i="22" s="1"/>
  <c r="BT63" i="25" l="1"/>
  <c r="BV63" i="25" s="1"/>
  <c r="BX63" i="25" s="1"/>
  <c r="AP63" i="25"/>
  <c r="AR63" i="25" s="1"/>
  <c r="AT63" i="25" s="1"/>
  <c r="AD63" i="25"/>
  <c r="AF63" i="25" s="1"/>
  <c r="AH63" i="25" s="1"/>
  <c r="AJ63" i="25"/>
  <c r="AL63" i="25" s="1"/>
  <c r="AN63" i="25" s="1"/>
  <c r="R63" i="25"/>
  <c r="T63" i="25" s="1"/>
  <c r="V63" i="25" s="1"/>
  <c r="AV63" i="25"/>
  <c r="AX63" i="25" s="1"/>
  <c r="AZ63" i="25" s="1"/>
  <c r="BB63" i="25"/>
  <c r="BD63" i="25" s="1"/>
  <c r="BF63" i="25" s="1"/>
  <c r="BN63" i="25"/>
  <c r="BP63" i="25" s="1"/>
  <c r="BR63" i="25" s="1"/>
  <c r="BH63" i="25"/>
  <c r="BJ63" i="25" s="1"/>
  <c r="BL63" i="25" s="1"/>
  <c r="X63" i="25"/>
  <c r="Z63" i="25" s="1"/>
  <c r="AB63" i="25" s="1"/>
  <c r="X70" i="26"/>
  <c r="Z70" i="26" s="1"/>
  <c r="AB70" i="26" s="1"/>
  <c r="BT70" i="26"/>
  <c r="BV70" i="26" s="1"/>
  <c r="BX70" i="26" s="1"/>
  <c r="AD70" i="26"/>
  <c r="AF70" i="26" s="1"/>
  <c r="AH70" i="26" s="1"/>
  <c r="R70" i="26"/>
  <c r="T70" i="26" s="1"/>
  <c r="V70" i="26" s="1"/>
  <c r="AV70" i="26"/>
  <c r="AX70" i="26" s="1"/>
  <c r="AZ70" i="26" s="1"/>
  <c r="AP70" i="26"/>
  <c r="AR70" i="26" s="1"/>
  <c r="AT70" i="26" s="1"/>
  <c r="BH70" i="26"/>
  <c r="BJ70" i="26" s="1"/>
  <c r="BL70" i="26" s="1"/>
  <c r="BN70" i="26"/>
  <c r="BP70" i="26" s="1"/>
  <c r="BR70" i="26" s="1"/>
  <c r="AJ70" i="26"/>
  <c r="AL70" i="26" s="1"/>
  <c r="AN70" i="26" s="1"/>
  <c r="BB70" i="26"/>
  <c r="BD70" i="26" s="1"/>
  <c r="BF70" i="26" s="1"/>
  <c r="I18" i="22"/>
  <c r="I17" i="22"/>
  <c r="J18" i="2"/>
  <c r="C19" i="22" s="1"/>
  <c r="BT62" i="25" l="1"/>
  <c r="BV62" i="25" s="1"/>
  <c r="BX62" i="25" s="1"/>
  <c r="AD62" i="25"/>
  <c r="AF62" i="25" s="1"/>
  <c r="AH62" i="25" s="1"/>
  <c r="AJ62" i="25"/>
  <c r="AL62" i="25" s="1"/>
  <c r="AN62" i="25" s="1"/>
  <c r="R62" i="25"/>
  <c r="T62" i="25" s="1"/>
  <c r="V62" i="25" s="1"/>
  <c r="AV62" i="25"/>
  <c r="AX62" i="25" s="1"/>
  <c r="AZ62" i="25" s="1"/>
  <c r="BB62" i="25"/>
  <c r="BD62" i="25" s="1"/>
  <c r="BF62" i="25" s="1"/>
  <c r="AP62" i="25"/>
  <c r="AR62" i="25" s="1"/>
  <c r="AT62" i="25" s="1"/>
  <c r="X62" i="25"/>
  <c r="Z62" i="25" s="1"/>
  <c r="AB62" i="25" s="1"/>
  <c r="BN62" i="25"/>
  <c r="BP62" i="25" s="1"/>
  <c r="BR62" i="25" s="1"/>
  <c r="BH62" i="25"/>
  <c r="BJ62" i="25" s="1"/>
  <c r="BL62" i="25" s="1"/>
  <c r="X69" i="26"/>
  <c r="Z69" i="26" s="1"/>
  <c r="AB69" i="26" s="1"/>
  <c r="AD69" i="26"/>
  <c r="AF69" i="26" s="1"/>
  <c r="AH69" i="26" s="1"/>
  <c r="R69" i="26"/>
  <c r="T69" i="26" s="1"/>
  <c r="V69" i="26" s="1"/>
  <c r="AP69" i="26"/>
  <c r="AR69" i="26" s="1"/>
  <c r="AT69" i="26" s="1"/>
  <c r="AJ69" i="26"/>
  <c r="AL69" i="26" s="1"/>
  <c r="AN69" i="26" s="1"/>
  <c r="BH69" i="26"/>
  <c r="BJ69" i="26" s="1"/>
  <c r="BL69" i="26" s="1"/>
  <c r="BN69" i="26"/>
  <c r="BP69" i="26" s="1"/>
  <c r="BR69" i="26" s="1"/>
  <c r="BT69" i="26"/>
  <c r="BV69" i="26" s="1"/>
  <c r="BX69" i="26" s="1"/>
  <c r="BB69" i="26"/>
  <c r="BD69" i="26" s="1"/>
  <c r="BF69" i="26" s="1"/>
  <c r="AV69" i="26"/>
  <c r="AX69" i="26" s="1"/>
  <c r="AZ69" i="26" s="1"/>
  <c r="E19" i="22"/>
  <c r="F19" i="22" s="1"/>
  <c r="G19" i="22" s="1"/>
  <c r="J19" i="2"/>
  <c r="C20" i="22" s="1"/>
  <c r="BT61" i="25" l="1"/>
  <c r="BV61" i="25" s="1"/>
  <c r="BX61" i="25" s="1"/>
  <c r="BB61" i="25"/>
  <c r="BD61" i="25" s="1"/>
  <c r="BF61" i="25" s="1"/>
  <c r="AJ61" i="25"/>
  <c r="AL61" i="25" s="1"/>
  <c r="AN61" i="25" s="1"/>
  <c r="AP61" i="25"/>
  <c r="AR61" i="25" s="1"/>
  <c r="AT61" i="25" s="1"/>
  <c r="AV61" i="25"/>
  <c r="AX61" i="25" s="1"/>
  <c r="AZ61" i="25" s="1"/>
  <c r="R61" i="25"/>
  <c r="T61" i="25" s="1"/>
  <c r="V61" i="25" s="1"/>
  <c r="AD61" i="25"/>
  <c r="AF61" i="25" s="1"/>
  <c r="AH61" i="25" s="1"/>
  <c r="BH61" i="25"/>
  <c r="BJ61" i="25" s="1"/>
  <c r="BL61" i="25" s="1"/>
  <c r="BN61" i="25"/>
  <c r="BP61" i="25" s="1"/>
  <c r="BR61" i="25" s="1"/>
  <c r="X61" i="25"/>
  <c r="Z61" i="25" s="1"/>
  <c r="AB61" i="25" s="1"/>
  <c r="X68" i="26"/>
  <c r="Z68" i="26" s="1"/>
  <c r="AB68" i="26" s="1"/>
  <c r="BN68" i="26"/>
  <c r="BP68" i="26" s="1"/>
  <c r="BR68" i="26" s="1"/>
  <c r="AD68" i="26"/>
  <c r="AF68" i="26" s="1"/>
  <c r="AH68" i="26" s="1"/>
  <c r="BT68" i="26"/>
  <c r="BV68" i="26" s="1"/>
  <c r="BX68" i="26" s="1"/>
  <c r="AJ68" i="26"/>
  <c r="AL68" i="26" s="1"/>
  <c r="AN68" i="26" s="1"/>
  <c r="AV68" i="26"/>
  <c r="AX68" i="26" s="1"/>
  <c r="AZ68" i="26" s="1"/>
  <c r="AP68" i="26"/>
  <c r="AR68" i="26" s="1"/>
  <c r="AT68" i="26" s="1"/>
  <c r="BB68" i="26"/>
  <c r="BD68" i="26" s="1"/>
  <c r="BF68" i="26" s="1"/>
  <c r="BH68" i="26"/>
  <c r="BJ68" i="26" s="1"/>
  <c r="BL68" i="26" s="1"/>
  <c r="R68" i="26"/>
  <c r="T68" i="26" s="1"/>
  <c r="V68" i="26" s="1"/>
  <c r="I19" i="22"/>
  <c r="E20" i="22"/>
  <c r="F20" i="22" s="1"/>
  <c r="G20" i="22" s="1"/>
  <c r="J20" i="2"/>
  <c r="C21" i="22" s="1"/>
  <c r="R60" i="25" l="1"/>
  <c r="T60" i="25" s="1"/>
  <c r="V60" i="25" s="1"/>
  <c r="BB60" i="25"/>
  <c r="BD60" i="25" s="1"/>
  <c r="BF60" i="25" s="1"/>
  <c r="AV60" i="25"/>
  <c r="AX60" i="25" s="1"/>
  <c r="AZ60" i="25" s="1"/>
  <c r="AD60" i="25"/>
  <c r="AF60" i="25" s="1"/>
  <c r="AH60" i="25" s="1"/>
  <c r="BT60" i="25"/>
  <c r="BV60" i="25" s="1"/>
  <c r="BX60" i="25" s="1"/>
  <c r="AP60" i="25"/>
  <c r="AR60" i="25" s="1"/>
  <c r="AT60" i="25" s="1"/>
  <c r="AJ60" i="25"/>
  <c r="AL60" i="25" s="1"/>
  <c r="AN60" i="25" s="1"/>
  <c r="X60" i="25"/>
  <c r="Z60" i="25" s="1"/>
  <c r="AB60" i="25" s="1"/>
  <c r="BH60" i="25"/>
  <c r="BJ60" i="25" s="1"/>
  <c r="BL60" i="25" s="1"/>
  <c r="BN60" i="25"/>
  <c r="BP60" i="25" s="1"/>
  <c r="BR60" i="25" s="1"/>
  <c r="X67" i="26"/>
  <c r="Z67" i="26" s="1"/>
  <c r="AB67" i="26" s="1"/>
  <c r="AP67" i="26"/>
  <c r="AR67" i="26" s="1"/>
  <c r="AT67" i="26" s="1"/>
  <c r="R67" i="26"/>
  <c r="T67" i="26" s="1"/>
  <c r="V67" i="26" s="1"/>
  <c r="BN67" i="26"/>
  <c r="BP67" i="26" s="1"/>
  <c r="BR67" i="26" s="1"/>
  <c r="BT67" i="26"/>
  <c r="BV67" i="26" s="1"/>
  <c r="BX67" i="26" s="1"/>
  <c r="BB67" i="26"/>
  <c r="BD67" i="26" s="1"/>
  <c r="BF67" i="26" s="1"/>
  <c r="AD67" i="26"/>
  <c r="AF67" i="26" s="1"/>
  <c r="AH67" i="26" s="1"/>
  <c r="BH67" i="26"/>
  <c r="BJ67" i="26" s="1"/>
  <c r="BL67" i="26" s="1"/>
  <c r="AJ67" i="26"/>
  <c r="AL67" i="26" s="1"/>
  <c r="AN67" i="26" s="1"/>
  <c r="AV67" i="26"/>
  <c r="AX67" i="26" s="1"/>
  <c r="AZ67" i="26" s="1"/>
  <c r="I20" i="22"/>
  <c r="E21" i="22"/>
  <c r="F21" i="22" s="1"/>
  <c r="G21" i="22" s="1"/>
  <c r="J21" i="2"/>
  <c r="C22" i="22" s="1"/>
  <c r="BT59" i="25" l="1"/>
  <c r="BV59" i="25" s="1"/>
  <c r="BX59" i="25" s="1"/>
  <c r="AV59" i="25"/>
  <c r="AX59" i="25" s="1"/>
  <c r="AZ59" i="25" s="1"/>
  <c r="AJ59" i="25"/>
  <c r="AL59" i="25" s="1"/>
  <c r="AN59" i="25" s="1"/>
  <c r="BB59" i="25"/>
  <c r="BD59" i="25" s="1"/>
  <c r="BF59" i="25" s="1"/>
  <c r="AP59" i="25"/>
  <c r="AR59" i="25" s="1"/>
  <c r="AT59" i="25" s="1"/>
  <c r="R59" i="25"/>
  <c r="T59" i="25" s="1"/>
  <c r="V59" i="25" s="1"/>
  <c r="AD59" i="25"/>
  <c r="AF59" i="25" s="1"/>
  <c r="AH59" i="25" s="1"/>
  <c r="BH59" i="25"/>
  <c r="BJ59" i="25" s="1"/>
  <c r="BL59" i="25" s="1"/>
  <c r="BN59" i="25"/>
  <c r="BP59" i="25" s="1"/>
  <c r="BR59" i="25" s="1"/>
  <c r="X59" i="25"/>
  <c r="Z59" i="25" s="1"/>
  <c r="AB59" i="25" s="1"/>
  <c r="X66" i="26"/>
  <c r="Z66" i="26" s="1"/>
  <c r="AB66" i="26" s="1"/>
  <c r="BN66" i="26"/>
  <c r="BP66" i="26" s="1"/>
  <c r="BR66" i="26" s="1"/>
  <c r="AD66" i="26"/>
  <c r="AF66" i="26" s="1"/>
  <c r="AH66" i="26" s="1"/>
  <c r="BT66" i="26"/>
  <c r="BV66" i="26" s="1"/>
  <c r="BX66" i="26" s="1"/>
  <c r="BH66" i="26"/>
  <c r="BJ66" i="26" s="1"/>
  <c r="BL66" i="26" s="1"/>
  <c r="AJ66" i="26"/>
  <c r="AL66" i="26" s="1"/>
  <c r="AN66" i="26" s="1"/>
  <c r="AV66" i="26"/>
  <c r="AX66" i="26" s="1"/>
  <c r="AZ66" i="26" s="1"/>
  <c r="AP66" i="26"/>
  <c r="AR66" i="26" s="1"/>
  <c r="AT66" i="26" s="1"/>
  <c r="R66" i="26"/>
  <c r="T66" i="26" s="1"/>
  <c r="V66" i="26" s="1"/>
  <c r="BB66" i="26"/>
  <c r="BD66" i="26" s="1"/>
  <c r="BF66" i="26" s="1"/>
  <c r="I21" i="22"/>
  <c r="E22" i="22"/>
  <c r="F22" i="22" s="1"/>
  <c r="G22" i="22" s="1"/>
  <c r="J22" i="2"/>
  <c r="C23" i="22" s="1"/>
  <c r="BT58" i="25" l="1"/>
  <c r="BV58" i="25" s="1"/>
  <c r="BX58" i="25" s="1"/>
  <c r="R58" i="25"/>
  <c r="T58" i="25" s="1"/>
  <c r="V58" i="25" s="1"/>
  <c r="AD58" i="25"/>
  <c r="AF58" i="25" s="1"/>
  <c r="AH58" i="25" s="1"/>
  <c r="AP58" i="25"/>
  <c r="AR58" i="25" s="1"/>
  <c r="AT58" i="25" s="1"/>
  <c r="AJ58" i="25"/>
  <c r="AL58" i="25" s="1"/>
  <c r="AN58" i="25" s="1"/>
  <c r="AV58" i="25"/>
  <c r="AX58" i="25" s="1"/>
  <c r="AZ58" i="25" s="1"/>
  <c r="BB58" i="25"/>
  <c r="BD58" i="25" s="1"/>
  <c r="BF58" i="25" s="1"/>
  <c r="BH58" i="25"/>
  <c r="BJ58" i="25" s="1"/>
  <c r="BL58" i="25" s="1"/>
  <c r="X58" i="25"/>
  <c r="Z58" i="25" s="1"/>
  <c r="AB58" i="25" s="1"/>
  <c r="BN58" i="25"/>
  <c r="BP58" i="25" s="1"/>
  <c r="BR58" i="25" s="1"/>
  <c r="X65" i="26"/>
  <c r="Z65" i="26" s="1"/>
  <c r="AB65" i="26" s="1"/>
  <c r="BB65" i="26"/>
  <c r="BD65" i="26" s="1"/>
  <c r="BF65" i="26" s="1"/>
  <c r="BT65" i="26"/>
  <c r="BV65" i="26" s="1"/>
  <c r="BX65" i="26" s="1"/>
  <c r="AV65" i="26"/>
  <c r="AX65" i="26" s="1"/>
  <c r="AZ65" i="26" s="1"/>
  <c r="BH65" i="26"/>
  <c r="BJ65" i="26" s="1"/>
  <c r="BL65" i="26" s="1"/>
  <c r="R65" i="26"/>
  <c r="T65" i="26" s="1"/>
  <c r="V65" i="26" s="1"/>
  <c r="AD65" i="26"/>
  <c r="AF65" i="26" s="1"/>
  <c r="AH65" i="26" s="1"/>
  <c r="BN65" i="26"/>
  <c r="BP65" i="26" s="1"/>
  <c r="BR65" i="26" s="1"/>
  <c r="AJ65" i="26"/>
  <c r="AL65" i="26" s="1"/>
  <c r="AN65" i="26" s="1"/>
  <c r="AP65" i="26"/>
  <c r="AR65" i="26" s="1"/>
  <c r="AT65" i="26" s="1"/>
  <c r="I22" i="22"/>
  <c r="E23" i="22"/>
  <c r="F23" i="22" s="1"/>
  <c r="G23" i="22" s="1"/>
  <c r="J23" i="2"/>
  <c r="C24" i="22" s="1"/>
  <c r="AP57" i="25" l="1"/>
  <c r="AR57" i="25" s="1"/>
  <c r="AT57" i="25" s="1"/>
  <c r="AV57" i="25"/>
  <c r="AX57" i="25" s="1"/>
  <c r="AZ57" i="25" s="1"/>
  <c r="AJ57" i="25"/>
  <c r="AL57" i="25" s="1"/>
  <c r="AN57" i="25" s="1"/>
  <c r="R57" i="25"/>
  <c r="T57" i="25" s="1"/>
  <c r="V57" i="25" s="1"/>
  <c r="AD57" i="25"/>
  <c r="AF57" i="25" s="1"/>
  <c r="AH57" i="25" s="1"/>
  <c r="BB57" i="25"/>
  <c r="BD57" i="25" s="1"/>
  <c r="BF57" i="25" s="1"/>
  <c r="BN57" i="25"/>
  <c r="BP57" i="25" s="1"/>
  <c r="BR57" i="25" s="1"/>
  <c r="X57" i="25"/>
  <c r="Z57" i="25" s="1"/>
  <c r="AB57" i="25" s="1"/>
  <c r="BT57" i="25"/>
  <c r="BV57" i="25" s="1"/>
  <c r="BX57" i="25" s="1"/>
  <c r="BH57" i="25"/>
  <c r="BJ57" i="25" s="1"/>
  <c r="BL57" i="25" s="1"/>
  <c r="X64" i="26"/>
  <c r="Z64" i="26" s="1"/>
  <c r="AB64" i="26" s="1"/>
  <c r="BH64" i="26"/>
  <c r="BJ64" i="26" s="1"/>
  <c r="BL64" i="26" s="1"/>
  <c r="BB64" i="26"/>
  <c r="BD64" i="26" s="1"/>
  <c r="BF64" i="26" s="1"/>
  <c r="R64" i="26"/>
  <c r="T64" i="26" s="1"/>
  <c r="V64" i="26" s="1"/>
  <c r="BN64" i="26"/>
  <c r="BP64" i="26" s="1"/>
  <c r="BR64" i="26" s="1"/>
  <c r="AD64" i="26"/>
  <c r="AF64" i="26" s="1"/>
  <c r="AH64" i="26" s="1"/>
  <c r="AV64" i="26"/>
  <c r="AX64" i="26" s="1"/>
  <c r="AZ64" i="26" s="1"/>
  <c r="BT64" i="26"/>
  <c r="BV64" i="26" s="1"/>
  <c r="BX64" i="26" s="1"/>
  <c r="AJ64" i="26"/>
  <c r="AL64" i="26" s="1"/>
  <c r="AN64" i="26" s="1"/>
  <c r="AP64" i="26"/>
  <c r="AR64" i="26" s="1"/>
  <c r="AT64" i="26" s="1"/>
  <c r="I23" i="22"/>
  <c r="E24" i="22"/>
  <c r="F24" i="22" s="1"/>
  <c r="G24" i="22" s="1"/>
  <c r="J24" i="2"/>
  <c r="C25" i="22" s="1"/>
  <c r="E25" i="22" s="1"/>
  <c r="F25" i="22" s="1"/>
  <c r="G25" i="22" s="1"/>
  <c r="AD56" i="25" l="1"/>
  <c r="AF56" i="25" s="1"/>
  <c r="AH56" i="25" s="1"/>
  <c r="AJ56" i="25"/>
  <c r="AL56" i="25" s="1"/>
  <c r="AN56" i="25" s="1"/>
  <c r="BT56" i="25"/>
  <c r="BV56" i="25" s="1"/>
  <c r="BX56" i="25" s="1"/>
  <c r="BB56" i="25"/>
  <c r="BD56" i="25" s="1"/>
  <c r="BF56" i="25" s="1"/>
  <c r="BN56" i="25"/>
  <c r="BP56" i="25" s="1"/>
  <c r="BR56" i="25" s="1"/>
  <c r="BH56" i="25"/>
  <c r="BJ56" i="25" s="1"/>
  <c r="BL56" i="25" s="1"/>
  <c r="X56" i="25"/>
  <c r="Z56" i="25" s="1"/>
  <c r="AB56" i="25" s="1"/>
  <c r="R56" i="25"/>
  <c r="T56" i="25" s="1"/>
  <c r="V56" i="25" s="1"/>
  <c r="AP56" i="25"/>
  <c r="AR56" i="25" s="1"/>
  <c r="AT56" i="25" s="1"/>
  <c r="AV56" i="25"/>
  <c r="AX56" i="25" s="1"/>
  <c r="AZ56" i="25" s="1"/>
  <c r="X63" i="26"/>
  <c r="Z63" i="26" s="1"/>
  <c r="AB63" i="26" s="1"/>
  <c r="AV63" i="26"/>
  <c r="AX63" i="26" s="1"/>
  <c r="AZ63" i="26" s="1"/>
  <c r="AP63" i="26"/>
  <c r="AR63" i="26" s="1"/>
  <c r="AT63" i="26" s="1"/>
  <c r="R63" i="26"/>
  <c r="T63" i="26" s="1"/>
  <c r="V63" i="26" s="1"/>
  <c r="BH63" i="26"/>
  <c r="BJ63" i="26" s="1"/>
  <c r="BL63" i="26" s="1"/>
  <c r="AD63" i="26"/>
  <c r="AF63" i="26" s="1"/>
  <c r="AH63" i="26" s="1"/>
  <c r="BN63" i="26"/>
  <c r="BP63" i="26" s="1"/>
  <c r="BR63" i="26" s="1"/>
  <c r="BT63" i="26"/>
  <c r="BV63" i="26" s="1"/>
  <c r="BX63" i="26" s="1"/>
  <c r="AJ63" i="26"/>
  <c r="AL63" i="26" s="1"/>
  <c r="AN63" i="26" s="1"/>
  <c r="BB63" i="26"/>
  <c r="BD63" i="26" s="1"/>
  <c r="BF63" i="26" s="1"/>
  <c r="I25" i="22"/>
  <c r="I24" i="22"/>
  <c r="J25" i="2"/>
  <c r="C26" i="22" s="1"/>
  <c r="AV55" i="25" l="1"/>
  <c r="AX55" i="25" s="1"/>
  <c r="AZ55" i="25" s="1"/>
  <c r="BN55" i="25"/>
  <c r="BP55" i="25" s="1"/>
  <c r="BR55" i="25" s="1"/>
  <c r="AJ55" i="25"/>
  <c r="AL55" i="25" s="1"/>
  <c r="AN55" i="25" s="1"/>
  <c r="AP55" i="25"/>
  <c r="AR55" i="25" s="1"/>
  <c r="AT55" i="25" s="1"/>
  <c r="R55" i="25"/>
  <c r="T55" i="25" s="1"/>
  <c r="V55" i="25" s="1"/>
  <c r="X55" i="25"/>
  <c r="Z55" i="25" s="1"/>
  <c r="AB55" i="25" s="1"/>
  <c r="BT55" i="25"/>
  <c r="BV55" i="25" s="1"/>
  <c r="BX55" i="25" s="1"/>
  <c r="AD55" i="25"/>
  <c r="AF55" i="25" s="1"/>
  <c r="AH55" i="25" s="1"/>
  <c r="BH55" i="25"/>
  <c r="BJ55" i="25" s="1"/>
  <c r="BL55" i="25" s="1"/>
  <c r="BB55" i="25"/>
  <c r="BD55" i="25" s="1"/>
  <c r="BF55" i="25" s="1"/>
  <c r="X62" i="26"/>
  <c r="Z62" i="26" s="1"/>
  <c r="AB62" i="26" s="1"/>
  <c r="AP62" i="26"/>
  <c r="AR62" i="26" s="1"/>
  <c r="AT62" i="26" s="1"/>
  <c r="AD62" i="26"/>
  <c r="AF62" i="26" s="1"/>
  <c r="AH62" i="26" s="1"/>
  <c r="BT62" i="26"/>
  <c r="BV62" i="26" s="1"/>
  <c r="BX62" i="26" s="1"/>
  <c r="BB62" i="26"/>
  <c r="BD62" i="26" s="1"/>
  <c r="BF62" i="26" s="1"/>
  <c r="BH62" i="26"/>
  <c r="BJ62" i="26" s="1"/>
  <c r="BL62" i="26" s="1"/>
  <c r="BN62" i="26"/>
  <c r="BP62" i="26" s="1"/>
  <c r="BR62" i="26" s="1"/>
  <c r="AV62" i="26"/>
  <c r="AX62" i="26" s="1"/>
  <c r="AZ62" i="26" s="1"/>
  <c r="AJ62" i="26"/>
  <c r="AL62" i="26" s="1"/>
  <c r="AN62" i="26" s="1"/>
  <c r="R62" i="26"/>
  <c r="T62" i="26" s="1"/>
  <c r="V62" i="26" s="1"/>
  <c r="E26" i="22"/>
  <c r="F26" i="22" s="1"/>
  <c r="G26" i="22" s="1"/>
  <c r="J26" i="2"/>
  <c r="C27" i="22" s="1"/>
  <c r="AJ54" i="25" l="1"/>
  <c r="AL54" i="25" s="1"/>
  <c r="AN54" i="25" s="1"/>
  <c r="X54" i="25"/>
  <c r="Z54" i="25" s="1"/>
  <c r="AB54" i="25" s="1"/>
  <c r="BT54" i="25"/>
  <c r="BV54" i="25" s="1"/>
  <c r="BX54" i="25" s="1"/>
  <c r="AD54" i="25"/>
  <c r="AF54" i="25" s="1"/>
  <c r="AH54" i="25" s="1"/>
  <c r="BH54" i="25"/>
  <c r="BJ54" i="25" s="1"/>
  <c r="BL54" i="25" s="1"/>
  <c r="R54" i="25"/>
  <c r="T54" i="25" s="1"/>
  <c r="V54" i="25" s="1"/>
  <c r="BB54" i="25"/>
  <c r="BD54" i="25" s="1"/>
  <c r="BF54" i="25" s="1"/>
  <c r="BN54" i="25"/>
  <c r="BP54" i="25" s="1"/>
  <c r="BR54" i="25" s="1"/>
  <c r="AV54" i="25"/>
  <c r="AX54" i="25" s="1"/>
  <c r="AZ54" i="25" s="1"/>
  <c r="AP54" i="25"/>
  <c r="AR54" i="25" s="1"/>
  <c r="AT54" i="25" s="1"/>
  <c r="X61" i="26"/>
  <c r="Z61" i="26" s="1"/>
  <c r="AB61" i="26" s="1"/>
  <c r="BT61" i="26"/>
  <c r="BV61" i="26" s="1"/>
  <c r="BX61" i="26" s="1"/>
  <c r="AP61" i="26"/>
  <c r="AR61" i="26" s="1"/>
  <c r="AT61" i="26" s="1"/>
  <c r="AD61" i="26"/>
  <c r="AF61" i="26" s="1"/>
  <c r="AH61" i="26" s="1"/>
  <c r="BB61" i="26"/>
  <c r="BD61" i="26" s="1"/>
  <c r="BF61" i="26" s="1"/>
  <c r="AV61" i="26"/>
  <c r="AX61" i="26" s="1"/>
  <c r="AZ61" i="26" s="1"/>
  <c r="BN61" i="26"/>
  <c r="BP61" i="26" s="1"/>
  <c r="BR61" i="26" s="1"/>
  <c r="BH61" i="26"/>
  <c r="BJ61" i="26" s="1"/>
  <c r="BL61" i="26" s="1"/>
  <c r="AJ61" i="26"/>
  <c r="AL61" i="26" s="1"/>
  <c r="AN61" i="26" s="1"/>
  <c r="R61" i="26"/>
  <c r="T61" i="26" s="1"/>
  <c r="V61" i="26" s="1"/>
  <c r="I26" i="22"/>
  <c r="E27" i="22"/>
  <c r="F27" i="22" s="1"/>
  <c r="G27" i="22" s="1"/>
  <c r="J27" i="2"/>
  <c r="C28" i="22" s="1"/>
  <c r="R53" i="25" l="1"/>
  <c r="T53" i="25" s="1"/>
  <c r="V53" i="25" s="1"/>
  <c r="AJ53" i="25"/>
  <c r="AL53" i="25" s="1"/>
  <c r="AN53" i="25" s="1"/>
  <c r="X53" i="25"/>
  <c r="Z53" i="25" s="1"/>
  <c r="AB53" i="25" s="1"/>
  <c r="BB53" i="25"/>
  <c r="BD53" i="25" s="1"/>
  <c r="BF53" i="25" s="1"/>
  <c r="AD53" i="25"/>
  <c r="AF53" i="25" s="1"/>
  <c r="AH53" i="25" s="1"/>
  <c r="BT53" i="25"/>
  <c r="BV53" i="25" s="1"/>
  <c r="BX53" i="25" s="1"/>
  <c r="AP53" i="25"/>
  <c r="AR53" i="25" s="1"/>
  <c r="AT53" i="25" s="1"/>
  <c r="BH53" i="25"/>
  <c r="BJ53" i="25" s="1"/>
  <c r="BL53" i="25" s="1"/>
  <c r="AV53" i="25"/>
  <c r="AX53" i="25" s="1"/>
  <c r="AZ53" i="25" s="1"/>
  <c r="BN53" i="25"/>
  <c r="BP53" i="25" s="1"/>
  <c r="BR53" i="25" s="1"/>
  <c r="X60" i="26"/>
  <c r="Z60" i="26" s="1"/>
  <c r="AB60" i="26" s="1"/>
  <c r="AV60" i="26"/>
  <c r="AX60" i="26" s="1"/>
  <c r="AZ60" i="26" s="1"/>
  <c r="BB60" i="26"/>
  <c r="BD60" i="26" s="1"/>
  <c r="BF60" i="26" s="1"/>
  <c r="AJ60" i="26"/>
  <c r="AL60" i="26" s="1"/>
  <c r="AN60" i="26" s="1"/>
  <c r="BN60" i="26"/>
  <c r="BP60" i="26" s="1"/>
  <c r="BR60" i="26" s="1"/>
  <c r="BT60" i="26"/>
  <c r="BV60" i="26" s="1"/>
  <c r="BX60" i="26" s="1"/>
  <c r="AD60" i="26"/>
  <c r="AF60" i="26" s="1"/>
  <c r="AH60" i="26" s="1"/>
  <c r="BH60" i="26"/>
  <c r="BJ60" i="26" s="1"/>
  <c r="BL60" i="26" s="1"/>
  <c r="AP60" i="26"/>
  <c r="AR60" i="26" s="1"/>
  <c r="AT60" i="26" s="1"/>
  <c r="R60" i="26"/>
  <c r="T60" i="26" s="1"/>
  <c r="V60" i="26" s="1"/>
  <c r="I27" i="22"/>
  <c r="E28" i="22"/>
  <c r="F28" i="22" s="1"/>
  <c r="G28" i="22" s="1"/>
  <c r="J28" i="2"/>
  <c r="C29" i="22" s="1"/>
  <c r="E29" i="22" s="1"/>
  <c r="F29" i="22" s="1"/>
  <c r="G29" i="22" s="1"/>
  <c r="AV52" i="25" l="1"/>
  <c r="AX52" i="25" s="1"/>
  <c r="AZ52" i="25" s="1"/>
  <c r="X52" i="25"/>
  <c r="Z52" i="25" s="1"/>
  <c r="AB52" i="25" s="1"/>
  <c r="BT52" i="25"/>
  <c r="BV52" i="25" s="1"/>
  <c r="BX52" i="25" s="1"/>
  <c r="BB52" i="25"/>
  <c r="BD52" i="25" s="1"/>
  <c r="BF52" i="25" s="1"/>
  <c r="BH52" i="25"/>
  <c r="BJ52" i="25" s="1"/>
  <c r="BL52" i="25" s="1"/>
  <c r="R52" i="25"/>
  <c r="T52" i="25" s="1"/>
  <c r="V52" i="25" s="1"/>
  <c r="AD52" i="25"/>
  <c r="AF52" i="25" s="1"/>
  <c r="AH52" i="25" s="1"/>
  <c r="BN52" i="25"/>
  <c r="BP52" i="25" s="1"/>
  <c r="BR52" i="25" s="1"/>
  <c r="AP52" i="25"/>
  <c r="AR52" i="25" s="1"/>
  <c r="AT52" i="25" s="1"/>
  <c r="AJ52" i="25"/>
  <c r="AL52" i="25" s="1"/>
  <c r="AN52" i="25" s="1"/>
  <c r="X59" i="26"/>
  <c r="Z59" i="26" s="1"/>
  <c r="AB59" i="26" s="1"/>
  <c r="AV59" i="26"/>
  <c r="AX59" i="26" s="1"/>
  <c r="AZ59" i="26" s="1"/>
  <c r="BT59" i="26"/>
  <c r="BV59" i="26" s="1"/>
  <c r="BX59" i="26" s="1"/>
  <c r="BH59" i="26"/>
  <c r="BJ59" i="26" s="1"/>
  <c r="BL59" i="26" s="1"/>
  <c r="BB59" i="26"/>
  <c r="BD59" i="26" s="1"/>
  <c r="BF59" i="26" s="1"/>
  <c r="R59" i="26"/>
  <c r="T59" i="26" s="1"/>
  <c r="V59" i="26" s="1"/>
  <c r="AD59" i="26"/>
  <c r="AF59" i="26" s="1"/>
  <c r="AH59" i="26" s="1"/>
  <c r="AP59" i="26"/>
  <c r="AR59" i="26" s="1"/>
  <c r="AT59" i="26" s="1"/>
  <c r="AJ59" i="26"/>
  <c r="AL59" i="26" s="1"/>
  <c r="AN59" i="26" s="1"/>
  <c r="BN59" i="26"/>
  <c r="BP59" i="26" s="1"/>
  <c r="BR59" i="26" s="1"/>
  <c r="I29" i="22"/>
  <c r="I28" i="22"/>
  <c r="J29" i="2"/>
  <c r="C30" i="22" s="1"/>
  <c r="AP51" i="25" l="1"/>
  <c r="AR51" i="25" s="1"/>
  <c r="AT51" i="25" s="1"/>
  <c r="AV51" i="25"/>
  <c r="AX51" i="25" s="1"/>
  <c r="AZ51" i="25" s="1"/>
  <c r="AD51" i="25"/>
  <c r="AF51" i="25" s="1"/>
  <c r="AH51" i="25" s="1"/>
  <c r="AJ51" i="25"/>
  <c r="AL51" i="25" s="1"/>
  <c r="AN51" i="25" s="1"/>
  <c r="BT51" i="25"/>
  <c r="BV51" i="25" s="1"/>
  <c r="BX51" i="25" s="1"/>
  <c r="X51" i="25"/>
  <c r="Z51" i="25" s="1"/>
  <c r="AB51" i="25" s="1"/>
  <c r="BB51" i="25"/>
  <c r="BD51" i="25" s="1"/>
  <c r="BF51" i="25" s="1"/>
  <c r="BH51" i="25"/>
  <c r="BJ51" i="25" s="1"/>
  <c r="BL51" i="25" s="1"/>
  <c r="R51" i="25"/>
  <c r="T51" i="25" s="1"/>
  <c r="V51" i="25" s="1"/>
  <c r="BN51" i="25"/>
  <c r="BP51" i="25" s="1"/>
  <c r="BR51" i="25" s="1"/>
  <c r="X58" i="26"/>
  <c r="Z58" i="26" s="1"/>
  <c r="AB58" i="26" s="1"/>
  <c r="AV58" i="26"/>
  <c r="AX58" i="26" s="1"/>
  <c r="AZ58" i="26" s="1"/>
  <c r="R58" i="26"/>
  <c r="T58" i="26" s="1"/>
  <c r="V58" i="26" s="1"/>
  <c r="BH58" i="26"/>
  <c r="BJ58" i="26" s="1"/>
  <c r="BL58" i="26" s="1"/>
  <c r="BB58" i="26"/>
  <c r="BD58" i="26" s="1"/>
  <c r="BF58" i="26" s="1"/>
  <c r="BT58" i="26"/>
  <c r="BV58" i="26" s="1"/>
  <c r="BX58" i="26" s="1"/>
  <c r="AD58" i="26"/>
  <c r="AF58" i="26" s="1"/>
  <c r="AH58" i="26" s="1"/>
  <c r="AP58" i="26"/>
  <c r="AR58" i="26" s="1"/>
  <c r="AT58" i="26" s="1"/>
  <c r="AJ58" i="26"/>
  <c r="AL58" i="26" s="1"/>
  <c r="AN58" i="26" s="1"/>
  <c r="BN58" i="26"/>
  <c r="BP58" i="26" s="1"/>
  <c r="BR58" i="26" s="1"/>
  <c r="E30" i="22"/>
  <c r="F30" i="22" s="1"/>
  <c r="G30" i="22" s="1"/>
  <c r="J30" i="2"/>
  <c r="C31" i="22" s="1"/>
  <c r="AV50" i="25" l="1"/>
  <c r="AX50" i="25" s="1"/>
  <c r="AZ50" i="25" s="1"/>
  <c r="X50" i="25"/>
  <c r="Z50" i="25" s="1"/>
  <c r="AB50" i="25" s="1"/>
  <c r="BT50" i="25"/>
  <c r="BV50" i="25" s="1"/>
  <c r="BX50" i="25" s="1"/>
  <c r="R50" i="25"/>
  <c r="T50" i="25" s="1"/>
  <c r="V50" i="25" s="1"/>
  <c r="BH50" i="25"/>
  <c r="BJ50" i="25" s="1"/>
  <c r="BL50" i="25" s="1"/>
  <c r="AP50" i="25"/>
  <c r="AR50" i="25" s="1"/>
  <c r="AT50" i="25" s="1"/>
  <c r="AJ50" i="25"/>
  <c r="AL50" i="25" s="1"/>
  <c r="AN50" i="25" s="1"/>
  <c r="BN50" i="25"/>
  <c r="BP50" i="25" s="1"/>
  <c r="BR50" i="25" s="1"/>
  <c r="AD50" i="25"/>
  <c r="AF50" i="25" s="1"/>
  <c r="AH50" i="25" s="1"/>
  <c r="BB50" i="25"/>
  <c r="BD50" i="25" s="1"/>
  <c r="BF50" i="25" s="1"/>
  <c r="X57" i="26"/>
  <c r="Z57" i="26" s="1"/>
  <c r="AB57" i="26" s="1"/>
  <c r="BN57" i="26"/>
  <c r="BP57" i="26" s="1"/>
  <c r="BR57" i="26" s="1"/>
  <c r="AV57" i="26"/>
  <c r="AX57" i="26" s="1"/>
  <c r="AZ57" i="26" s="1"/>
  <c r="BT57" i="26"/>
  <c r="BV57" i="26" s="1"/>
  <c r="BX57" i="26" s="1"/>
  <c r="AJ57" i="26"/>
  <c r="AL57" i="26" s="1"/>
  <c r="AN57" i="26" s="1"/>
  <c r="R57" i="26"/>
  <c r="T57" i="26" s="1"/>
  <c r="V57" i="26" s="1"/>
  <c r="AD57" i="26"/>
  <c r="AF57" i="26" s="1"/>
  <c r="AH57" i="26" s="1"/>
  <c r="BB57" i="26"/>
  <c r="BD57" i="26" s="1"/>
  <c r="BF57" i="26" s="1"/>
  <c r="AP57" i="26"/>
  <c r="AR57" i="26" s="1"/>
  <c r="AT57" i="26" s="1"/>
  <c r="BH57" i="26"/>
  <c r="BJ57" i="26" s="1"/>
  <c r="BL57" i="26" s="1"/>
  <c r="I30" i="22"/>
  <c r="E31" i="22"/>
  <c r="F31" i="22" s="1"/>
  <c r="G31" i="22" s="1"/>
  <c r="J31" i="2"/>
  <c r="C32" i="22" s="1"/>
  <c r="BN49" i="25" l="1"/>
  <c r="BP49" i="25" s="1"/>
  <c r="BR49" i="25" s="1"/>
  <c r="AP49" i="25"/>
  <c r="AR49" i="25" s="1"/>
  <c r="AT49" i="25" s="1"/>
  <c r="AD49" i="25"/>
  <c r="AF49" i="25" s="1"/>
  <c r="AH49" i="25" s="1"/>
  <c r="AV49" i="25"/>
  <c r="AX49" i="25" s="1"/>
  <c r="AZ49" i="25" s="1"/>
  <c r="BH49" i="25"/>
  <c r="BJ49" i="25" s="1"/>
  <c r="BL49" i="25" s="1"/>
  <c r="BT49" i="25"/>
  <c r="BV49" i="25" s="1"/>
  <c r="BX49" i="25" s="1"/>
  <c r="AJ49" i="25"/>
  <c r="AL49" i="25" s="1"/>
  <c r="AN49" i="25" s="1"/>
  <c r="X49" i="25"/>
  <c r="Z49" i="25" s="1"/>
  <c r="AB49" i="25" s="1"/>
  <c r="R49" i="25"/>
  <c r="T49" i="25" s="1"/>
  <c r="V49" i="25" s="1"/>
  <c r="BB49" i="25"/>
  <c r="BD49" i="25" s="1"/>
  <c r="BF49" i="25" s="1"/>
  <c r="X56" i="26"/>
  <c r="Z56" i="26" s="1"/>
  <c r="AB56" i="26" s="1"/>
  <c r="AV56" i="26"/>
  <c r="AX56" i="26" s="1"/>
  <c r="AZ56" i="26" s="1"/>
  <c r="AD56" i="26"/>
  <c r="AF56" i="26" s="1"/>
  <c r="AH56" i="26" s="1"/>
  <c r="R56" i="26"/>
  <c r="T56" i="26" s="1"/>
  <c r="V56" i="26" s="1"/>
  <c r="BN56" i="26"/>
  <c r="BP56" i="26" s="1"/>
  <c r="BR56" i="26" s="1"/>
  <c r="BH56" i="26"/>
  <c r="BJ56" i="26" s="1"/>
  <c r="BL56" i="26" s="1"/>
  <c r="AP56" i="26"/>
  <c r="AR56" i="26" s="1"/>
  <c r="AT56" i="26" s="1"/>
  <c r="BB56" i="26"/>
  <c r="BD56" i="26" s="1"/>
  <c r="BF56" i="26" s="1"/>
  <c r="BT56" i="26"/>
  <c r="BV56" i="26" s="1"/>
  <c r="BX56" i="26" s="1"/>
  <c r="AJ56" i="26"/>
  <c r="AL56" i="26" s="1"/>
  <c r="AN56" i="26" s="1"/>
  <c r="I31" i="22"/>
  <c r="E32" i="22"/>
  <c r="F32" i="22" s="1"/>
  <c r="G32" i="22" s="1"/>
  <c r="J32" i="2"/>
  <c r="C33" i="22" s="1"/>
  <c r="BN48" i="25" l="1"/>
  <c r="BP48" i="25" s="1"/>
  <c r="BR48" i="25" s="1"/>
  <c r="R48" i="25"/>
  <c r="T48" i="25" s="1"/>
  <c r="V48" i="25" s="1"/>
  <c r="AP48" i="25"/>
  <c r="AR48" i="25" s="1"/>
  <c r="AT48" i="25" s="1"/>
  <c r="X48" i="25"/>
  <c r="Z48" i="25" s="1"/>
  <c r="AB48" i="25" s="1"/>
  <c r="BB48" i="25"/>
  <c r="BD48" i="25" s="1"/>
  <c r="BF48" i="25" s="1"/>
  <c r="AV48" i="25"/>
  <c r="AX48" i="25" s="1"/>
  <c r="AZ48" i="25" s="1"/>
  <c r="BT48" i="25"/>
  <c r="BV48" i="25" s="1"/>
  <c r="BX48" i="25" s="1"/>
  <c r="AD48" i="25"/>
  <c r="AF48" i="25" s="1"/>
  <c r="AH48" i="25" s="1"/>
  <c r="BH48" i="25"/>
  <c r="BJ48" i="25" s="1"/>
  <c r="BL48" i="25" s="1"/>
  <c r="AJ48" i="25"/>
  <c r="AL48" i="25" s="1"/>
  <c r="AN48" i="25" s="1"/>
  <c r="X55" i="26"/>
  <c r="Z55" i="26" s="1"/>
  <c r="AB55" i="26" s="1"/>
  <c r="BN55" i="26"/>
  <c r="BP55" i="26" s="1"/>
  <c r="BR55" i="26" s="1"/>
  <c r="BB55" i="26"/>
  <c r="BD55" i="26" s="1"/>
  <c r="BF55" i="26" s="1"/>
  <c r="R55" i="26"/>
  <c r="T55" i="26" s="1"/>
  <c r="V55" i="26" s="1"/>
  <c r="AP55" i="26"/>
  <c r="AR55" i="26" s="1"/>
  <c r="AT55" i="26" s="1"/>
  <c r="BH55" i="26"/>
  <c r="BJ55" i="26" s="1"/>
  <c r="BL55" i="26" s="1"/>
  <c r="AD55" i="26"/>
  <c r="AF55" i="26" s="1"/>
  <c r="AH55" i="26" s="1"/>
  <c r="BT55" i="26"/>
  <c r="BV55" i="26" s="1"/>
  <c r="BX55" i="26" s="1"/>
  <c r="AV55" i="26"/>
  <c r="AX55" i="26" s="1"/>
  <c r="AZ55" i="26" s="1"/>
  <c r="AJ55" i="26"/>
  <c r="AL55" i="26" s="1"/>
  <c r="AN55" i="26" s="1"/>
  <c r="I32" i="22"/>
  <c r="E33" i="22"/>
  <c r="F33" i="22" s="1"/>
  <c r="G33" i="22" s="1"/>
  <c r="J33" i="2"/>
  <c r="C34" i="22" s="1"/>
  <c r="E34" i="22" s="1"/>
  <c r="F34" i="22" s="1"/>
  <c r="G34" i="22" s="1"/>
  <c r="AP47" i="25" l="1"/>
  <c r="AR47" i="25" s="1"/>
  <c r="AT47" i="25" s="1"/>
  <c r="AD47" i="25"/>
  <c r="AF47" i="25" s="1"/>
  <c r="AH47" i="25" s="1"/>
  <c r="AV47" i="25"/>
  <c r="AX47" i="25" s="1"/>
  <c r="AZ47" i="25" s="1"/>
  <c r="AJ47" i="25"/>
  <c r="AL47" i="25" s="1"/>
  <c r="AN47" i="25" s="1"/>
  <c r="X47" i="25"/>
  <c r="Z47" i="25" s="1"/>
  <c r="AB47" i="25" s="1"/>
  <c r="BN47" i="25"/>
  <c r="BP47" i="25" s="1"/>
  <c r="BR47" i="25" s="1"/>
  <c r="BT47" i="25"/>
  <c r="BV47" i="25" s="1"/>
  <c r="BX47" i="25" s="1"/>
  <c r="BB47" i="25"/>
  <c r="BD47" i="25" s="1"/>
  <c r="BF47" i="25" s="1"/>
  <c r="BH47" i="25"/>
  <c r="BJ47" i="25" s="1"/>
  <c r="BL47" i="25" s="1"/>
  <c r="R47" i="25"/>
  <c r="T47" i="25" s="1"/>
  <c r="V47" i="25" s="1"/>
  <c r="X54" i="26"/>
  <c r="Z54" i="26" s="1"/>
  <c r="AB54" i="26" s="1"/>
  <c r="R54" i="26"/>
  <c r="T54" i="26" s="1"/>
  <c r="V54" i="26" s="1"/>
  <c r="BN54" i="26"/>
  <c r="BP54" i="26" s="1"/>
  <c r="BR54" i="26" s="1"/>
  <c r="BT54" i="26"/>
  <c r="BV54" i="26" s="1"/>
  <c r="BX54" i="26" s="1"/>
  <c r="AJ54" i="26"/>
  <c r="AL54" i="26" s="1"/>
  <c r="AN54" i="26" s="1"/>
  <c r="AP54" i="26"/>
  <c r="AR54" i="26" s="1"/>
  <c r="AT54" i="26" s="1"/>
  <c r="BH54" i="26"/>
  <c r="BJ54" i="26" s="1"/>
  <c r="BL54" i="26" s="1"/>
  <c r="AV54" i="26"/>
  <c r="AX54" i="26" s="1"/>
  <c r="AZ54" i="26" s="1"/>
  <c r="BB54" i="26"/>
  <c r="BD54" i="26" s="1"/>
  <c r="BF54" i="26" s="1"/>
  <c r="AD54" i="26"/>
  <c r="AF54" i="26" s="1"/>
  <c r="AH54" i="26" s="1"/>
  <c r="I34" i="22"/>
  <c r="I33" i="22"/>
  <c r="J34" i="2"/>
  <c r="C35" i="22" s="1"/>
  <c r="BT46" i="25" l="1"/>
  <c r="BV46" i="25" s="1"/>
  <c r="BX46" i="25" s="1"/>
  <c r="AV46" i="25"/>
  <c r="AX46" i="25" s="1"/>
  <c r="AZ46" i="25" s="1"/>
  <c r="X46" i="25"/>
  <c r="Z46" i="25" s="1"/>
  <c r="AB46" i="25" s="1"/>
  <c r="AD46" i="25"/>
  <c r="AF46" i="25" s="1"/>
  <c r="AH46" i="25" s="1"/>
  <c r="AJ46" i="25"/>
  <c r="AL46" i="25" s="1"/>
  <c r="AN46" i="25" s="1"/>
  <c r="BH46" i="25"/>
  <c r="BJ46" i="25" s="1"/>
  <c r="BL46" i="25" s="1"/>
  <c r="AP46" i="25"/>
  <c r="AR46" i="25" s="1"/>
  <c r="AT46" i="25" s="1"/>
  <c r="BB46" i="25"/>
  <c r="BD46" i="25" s="1"/>
  <c r="BF46" i="25" s="1"/>
  <c r="R46" i="25"/>
  <c r="T46" i="25" s="1"/>
  <c r="V46" i="25" s="1"/>
  <c r="BN46" i="25"/>
  <c r="BP46" i="25" s="1"/>
  <c r="BR46" i="25" s="1"/>
  <c r="X53" i="26"/>
  <c r="Z53" i="26" s="1"/>
  <c r="AB53" i="26" s="1"/>
  <c r="BN53" i="26"/>
  <c r="BP53" i="26" s="1"/>
  <c r="BR53" i="26" s="1"/>
  <c r="BH53" i="26"/>
  <c r="BJ53" i="26" s="1"/>
  <c r="BL53" i="26" s="1"/>
  <c r="BT53" i="26"/>
  <c r="BV53" i="26" s="1"/>
  <c r="BX53" i="26" s="1"/>
  <c r="AJ53" i="26"/>
  <c r="AL53" i="26" s="1"/>
  <c r="AN53" i="26" s="1"/>
  <c r="BB53" i="26"/>
  <c r="BD53" i="26" s="1"/>
  <c r="BF53" i="26" s="1"/>
  <c r="AD53" i="26"/>
  <c r="AF53" i="26" s="1"/>
  <c r="AH53" i="26" s="1"/>
  <c r="AV53" i="26"/>
  <c r="AX53" i="26" s="1"/>
  <c r="AZ53" i="26" s="1"/>
  <c r="AP53" i="26"/>
  <c r="AR53" i="26" s="1"/>
  <c r="AT53" i="26" s="1"/>
  <c r="R53" i="26"/>
  <c r="T53" i="26" s="1"/>
  <c r="V53" i="26" s="1"/>
  <c r="E35" i="22"/>
  <c r="F35" i="22" s="1"/>
  <c r="G35" i="22" s="1"/>
  <c r="J35" i="2"/>
  <c r="C36" i="22" s="1"/>
  <c r="BB45" i="25" l="1"/>
  <c r="BD45" i="25" s="1"/>
  <c r="BF45" i="25" s="1"/>
  <c r="BH45" i="25"/>
  <c r="BJ45" i="25" s="1"/>
  <c r="BL45" i="25" s="1"/>
  <c r="AP45" i="25"/>
  <c r="AR45" i="25" s="1"/>
  <c r="AT45" i="25" s="1"/>
  <c r="AD45" i="25"/>
  <c r="AF45" i="25" s="1"/>
  <c r="AH45" i="25" s="1"/>
  <c r="BN45" i="25"/>
  <c r="BP45" i="25" s="1"/>
  <c r="BR45" i="25" s="1"/>
  <c r="R45" i="25"/>
  <c r="T45" i="25" s="1"/>
  <c r="V45" i="25" s="1"/>
  <c r="AV45" i="25"/>
  <c r="AX45" i="25" s="1"/>
  <c r="AZ45" i="25" s="1"/>
  <c r="BT45" i="25"/>
  <c r="BV45" i="25" s="1"/>
  <c r="BX45" i="25" s="1"/>
  <c r="AJ45" i="25"/>
  <c r="AL45" i="25" s="1"/>
  <c r="AN45" i="25" s="1"/>
  <c r="X45" i="25"/>
  <c r="Z45" i="25" s="1"/>
  <c r="AB45" i="25" s="1"/>
  <c r="X52" i="26"/>
  <c r="Z52" i="26" s="1"/>
  <c r="AB52" i="26" s="1"/>
  <c r="AD52" i="26"/>
  <c r="AF52" i="26" s="1"/>
  <c r="AH52" i="26" s="1"/>
  <c r="AV52" i="26"/>
  <c r="AX52" i="26" s="1"/>
  <c r="AZ52" i="26" s="1"/>
  <c r="BH52" i="26"/>
  <c r="BJ52" i="26" s="1"/>
  <c r="BL52" i="26" s="1"/>
  <c r="R52" i="26"/>
  <c r="T52" i="26" s="1"/>
  <c r="V52" i="26" s="1"/>
  <c r="BN52" i="26"/>
  <c r="BP52" i="26" s="1"/>
  <c r="BR52" i="26" s="1"/>
  <c r="BB52" i="26"/>
  <c r="BD52" i="26" s="1"/>
  <c r="BF52" i="26" s="1"/>
  <c r="BT52" i="26"/>
  <c r="BV52" i="26" s="1"/>
  <c r="BX52" i="26" s="1"/>
  <c r="AP52" i="26"/>
  <c r="AR52" i="26" s="1"/>
  <c r="AT52" i="26" s="1"/>
  <c r="AJ52" i="26"/>
  <c r="AL52" i="26" s="1"/>
  <c r="AN52" i="26" s="1"/>
  <c r="I35" i="22"/>
  <c r="E36" i="22"/>
  <c r="F36" i="22" s="1"/>
  <c r="G36" i="22" s="1"/>
  <c r="J36" i="2"/>
  <c r="C37" i="22" s="1"/>
  <c r="AP44" i="25" l="1"/>
  <c r="AR44" i="25" s="1"/>
  <c r="AT44" i="25" s="1"/>
  <c r="AD44" i="25"/>
  <c r="AF44" i="25" s="1"/>
  <c r="AH44" i="25" s="1"/>
  <c r="AJ44" i="25"/>
  <c r="AL44" i="25" s="1"/>
  <c r="AN44" i="25" s="1"/>
  <c r="BB44" i="25"/>
  <c r="BD44" i="25" s="1"/>
  <c r="BF44" i="25" s="1"/>
  <c r="BT44" i="25"/>
  <c r="BV44" i="25" s="1"/>
  <c r="BX44" i="25" s="1"/>
  <c r="R44" i="25"/>
  <c r="T44" i="25" s="1"/>
  <c r="V44" i="25" s="1"/>
  <c r="AV44" i="25"/>
  <c r="AX44" i="25" s="1"/>
  <c r="AZ44" i="25" s="1"/>
  <c r="BN44" i="25"/>
  <c r="BP44" i="25" s="1"/>
  <c r="BR44" i="25" s="1"/>
  <c r="X44" i="25"/>
  <c r="Z44" i="25" s="1"/>
  <c r="AB44" i="25" s="1"/>
  <c r="BH44" i="25"/>
  <c r="BJ44" i="25" s="1"/>
  <c r="BL44" i="25" s="1"/>
  <c r="X51" i="26"/>
  <c r="Z51" i="26" s="1"/>
  <c r="AB51" i="26" s="1"/>
  <c r="AP51" i="26"/>
  <c r="AR51" i="26" s="1"/>
  <c r="AT51" i="26" s="1"/>
  <c r="BN51" i="26"/>
  <c r="BP51" i="26" s="1"/>
  <c r="BR51" i="26" s="1"/>
  <c r="AJ51" i="26"/>
  <c r="AL51" i="26" s="1"/>
  <c r="AN51" i="26" s="1"/>
  <c r="AD51" i="26"/>
  <c r="AF51" i="26" s="1"/>
  <c r="AH51" i="26" s="1"/>
  <c r="R51" i="26"/>
  <c r="T51" i="26" s="1"/>
  <c r="V51" i="26" s="1"/>
  <c r="AV51" i="26"/>
  <c r="AX51" i="26" s="1"/>
  <c r="AZ51" i="26" s="1"/>
  <c r="BT51" i="26"/>
  <c r="BV51" i="26" s="1"/>
  <c r="BX51" i="26" s="1"/>
  <c r="BH51" i="26"/>
  <c r="BJ51" i="26" s="1"/>
  <c r="BL51" i="26" s="1"/>
  <c r="BB51" i="26"/>
  <c r="BD51" i="26" s="1"/>
  <c r="BF51" i="26" s="1"/>
  <c r="I36" i="22"/>
  <c r="E37" i="22"/>
  <c r="F37" i="22" s="1"/>
  <c r="G37" i="22" s="1"/>
  <c r="J37" i="2"/>
  <c r="C38" i="22" s="1"/>
  <c r="E38" i="22" s="1"/>
  <c r="F38" i="22" s="1"/>
  <c r="G38" i="22" s="1"/>
  <c r="AJ43" i="25" l="1"/>
  <c r="AL43" i="25" s="1"/>
  <c r="AN43" i="25" s="1"/>
  <c r="BH43" i="25"/>
  <c r="BJ43" i="25" s="1"/>
  <c r="BL43" i="25" s="1"/>
  <c r="BT43" i="25"/>
  <c r="BV43" i="25" s="1"/>
  <c r="BX43" i="25" s="1"/>
  <c r="R43" i="25"/>
  <c r="T43" i="25" s="1"/>
  <c r="V43" i="25" s="1"/>
  <c r="X43" i="25"/>
  <c r="Z43" i="25" s="1"/>
  <c r="AB43" i="25" s="1"/>
  <c r="AP43" i="25"/>
  <c r="AR43" i="25" s="1"/>
  <c r="AT43" i="25" s="1"/>
  <c r="AD43" i="25"/>
  <c r="AF43" i="25" s="1"/>
  <c r="AH43" i="25" s="1"/>
  <c r="BN43" i="25"/>
  <c r="BP43" i="25" s="1"/>
  <c r="BR43" i="25" s="1"/>
  <c r="AV43" i="25"/>
  <c r="AX43" i="25" s="1"/>
  <c r="AZ43" i="25" s="1"/>
  <c r="BB43" i="25"/>
  <c r="BD43" i="25" s="1"/>
  <c r="BF43" i="25" s="1"/>
  <c r="X50" i="26"/>
  <c r="Z50" i="26" s="1"/>
  <c r="AB50" i="26" s="1"/>
  <c r="AV50" i="26"/>
  <c r="AX50" i="26" s="1"/>
  <c r="AZ50" i="26" s="1"/>
  <c r="AP50" i="26"/>
  <c r="AR50" i="26" s="1"/>
  <c r="AT50" i="26" s="1"/>
  <c r="AJ50" i="26"/>
  <c r="AL50" i="26" s="1"/>
  <c r="AN50" i="26" s="1"/>
  <c r="BB50" i="26"/>
  <c r="BD50" i="26" s="1"/>
  <c r="BF50" i="26" s="1"/>
  <c r="BT50" i="26"/>
  <c r="BV50" i="26" s="1"/>
  <c r="BX50" i="26" s="1"/>
  <c r="R50" i="26"/>
  <c r="T50" i="26" s="1"/>
  <c r="V50" i="26" s="1"/>
  <c r="BH50" i="26"/>
  <c r="BJ50" i="26" s="1"/>
  <c r="BL50" i="26" s="1"/>
  <c r="AD50" i="26"/>
  <c r="AF50" i="26" s="1"/>
  <c r="AH50" i="26" s="1"/>
  <c r="BN50" i="26"/>
  <c r="BP50" i="26" s="1"/>
  <c r="BR50" i="26" s="1"/>
  <c r="I38" i="22"/>
  <c r="I37" i="22"/>
  <c r="J38" i="2"/>
  <c r="C39" i="22" s="1"/>
  <c r="R42" i="25" l="1"/>
  <c r="T42" i="25" s="1"/>
  <c r="V42" i="25" s="1"/>
  <c r="AV42" i="25"/>
  <c r="AX42" i="25" s="1"/>
  <c r="AZ42" i="25" s="1"/>
  <c r="BN42" i="25"/>
  <c r="BP42" i="25" s="1"/>
  <c r="BR42" i="25" s="1"/>
  <c r="AD42" i="25"/>
  <c r="AF42" i="25" s="1"/>
  <c r="AH42" i="25" s="1"/>
  <c r="BB42" i="25"/>
  <c r="BD42" i="25" s="1"/>
  <c r="BF42" i="25" s="1"/>
  <c r="BT42" i="25"/>
  <c r="BV42" i="25" s="1"/>
  <c r="BX42" i="25" s="1"/>
  <c r="AP42" i="25"/>
  <c r="AR42" i="25" s="1"/>
  <c r="AT42" i="25" s="1"/>
  <c r="BH42" i="25"/>
  <c r="BJ42" i="25" s="1"/>
  <c r="BL42" i="25" s="1"/>
  <c r="AJ42" i="25"/>
  <c r="AL42" i="25" s="1"/>
  <c r="AN42" i="25" s="1"/>
  <c r="X42" i="25"/>
  <c r="Z42" i="25" s="1"/>
  <c r="AB42" i="25" s="1"/>
  <c r="X49" i="26"/>
  <c r="Z49" i="26" s="1"/>
  <c r="AB49" i="26" s="1"/>
  <c r="BH49" i="26"/>
  <c r="BJ49" i="26" s="1"/>
  <c r="BL49" i="26" s="1"/>
  <c r="AJ49" i="26"/>
  <c r="AL49" i="26" s="1"/>
  <c r="AN49" i="26" s="1"/>
  <c r="AV49" i="26"/>
  <c r="AX49" i="26" s="1"/>
  <c r="AZ49" i="26" s="1"/>
  <c r="BB49" i="26"/>
  <c r="BD49" i="26" s="1"/>
  <c r="BF49" i="26" s="1"/>
  <c r="BN49" i="26"/>
  <c r="BP49" i="26" s="1"/>
  <c r="BR49" i="26" s="1"/>
  <c r="BT49" i="26"/>
  <c r="BV49" i="26" s="1"/>
  <c r="BX49" i="26" s="1"/>
  <c r="R49" i="26"/>
  <c r="T49" i="26" s="1"/>
  <c r="V49" i="26" s="1"/>
  <c r="AP49" i="26"/>
  <c r="AR49" i="26" s="1"/>
  <c r="AT49" i="26" s="1"/>
  <c r="AD49" i="26"/>
  <c r="AF49" i="26" s="1"/>
  <c r="AH49" i="26" s="1"/>
  <c r="E39" i="22"/>
  <c r="F39" i="22" s="1"/>
  <c r="G39" i="22" s="1"/>
  <c r="J39" i="2"/>
  <c r="C40" i="22" s="1"/>
  <c r="BT41" i="25" l="1"/>
  <c r="BV41" i="25" s="1"/>
  <c r="BX41" i="25" s="1"/>
  <c r="AP41" i="25"/>
  <c r="AR41" i="25" s="1"/>
  <c r="AT41" i="25" s="1"/>
  <c r="X41" i="25"/>
  <c r="Z41" i="25" s="1"/>
  <c r="AB41" i="25" s="1"/>
  <c r="AV41" i="25"/>
  <c r="AX41" i="25" s="1"/>
  <c r="AZ41" i="25" s="1"/>
  <c r="BN41" i="25"/>
  <c r="BP41" i="25" s="1"/>
  <c r="BR41" i="25" s="1"/>
  <c r="AD41" i="25"/>
  <c r="AF41" i="25" s="1"/>
  <c r="AH41" i="25" s="1"/>
  <c r="AJ41" i="25"/>
  <c r="AL41" i="25" s="1"/>
  <c r="AN41" i="25" s="1"/>
  <c r="BH41" i="25"/>
  <c r="BJ41" i="25" s="1"/>
  <c r="BL41" i="25" s="1"/>
  <c r="BB41" i="25"/>
  <c r="BD41" i="25" s="1"/>
  <c r="BF41" i="25" s="1"/>
  <c r="R41" i="25"/>
  <c r="T41" i="25" s="1"/>
  <c r="V41" i="25" s="1"/>
  <c r="X48" i="26"/>
  <c r="Z48" i="26" s="1"/>
  <c r="AB48" i="26" s="1"/>
  <c r="BT48" i="26"/>
  <c r="BV48" i="26" s="1"/>
  <c r="BX48" i="26" s="1"/>
  <c r="AD48" i="26"/>
  <c r="AF48" i="26" s="1"/>
  <c r="AH48" i="26" s="1"/>
  <c r="AV48" i="26"/>
  <c r="AX48" i="26" s="1"/>
  <c r="AZ48" i="26" s="1"/>
  <c r="BH48" i="26"/>
  <c r="BJ48" i="26" s="1"/>
  <c r="BL48" i="26" s="1"/>
  <c r="BB48" i="26"/>
  <c r="BD48" i="26" s="1"/>
  <c r="BF48" i="26" s="1"/>
  <c r="AP48" i="26"/>
  <c r="AR48" i="26" s="1"/>
  <c r="AT48" i="26" s="1"/>
  <c r="BN48" i="26"/>
  <c r="BP48" i="26" s="1"/>
  <c r="BR48" i="26" s="1"/>
  <c r="AJ48" i="26"/>
  <c r="AL48" i="26" s="1"/>
  <c r="AN48" i="26" s="1"/>
  <c r="R48" i="26"/>
  <c r="T48" i="26" s="1"/>
  <c r="V48" i="26" s="1"/>
  <c r="I39" i="22"/>
  <c r="E40" i="22"/>
  <c r="F40" i="22" s="1"/>
  <c r="G40" i="22" s="1"/>
  <c r="J40" i="2"/>
  <c r="C41" i="22" s="1"/>
  <c r="AP40" i="25" l="1"/>
  <c r="AR40" i="25" s="1"/>
  <c r="AT40" i="25" s="1"/>
  <c r="BT40" i="25"/>
  <c r="BV40" i="25" s="1"/>
  <c r="BX40" i="25" s="1"/>
  <c r="BH40" i="25"/>
  <c r="BJ40" i="25" s="1"/>
  <c r="BL40" i="25" s="1"/>
  <c r="AV40" i="25"/>
  <c r="AX40" i="25" s="1"/>
  <c r="AZ40" i="25" s="1"/>
  <c r="AD40" i="25"/>
  <c r="AF40" i="25" s="1"/>
  <c r="AH40" i="25" s="1"/>
  <c r="X40" i="25"/>
  <c r="Z40" i="25" s="1"/>
  <c r="AB40" i="25" s="1"/>
  <c r="AJ40" i="25"/>
  <c r="AL40" i="25" s="1"/>
  <c r="AN40" i="25" s="1"/>
  <c r="BB40" i="25"/>
  <c r="BD40" i="25" s="1"/>
  <c r="BF40" i="25" s="1"/>
  <c r="R40" i="25"/>
  <c r="T40" i="25" s="1"/>
  <c r="V40" i="25" s="1"/>
  <c r="BN40" i="25"/>
  <c r="BP40" i="25" s="1"/>
  <c r="BR40" i="25" s="1"/>
  <c r="X47" i="26"/>
  <c r="Z47" i="26" s="1"/>
  <c r="AB47" i="26" s="1"/>
  <c r="AD47" i="26"/>
  <c r="AF47" i="26" s="1"/>
  <c r="AH47" i="26" s="1"/>
  <c r="BN47" i="26"/>
  <c r="BP47" i="26" s="1"/>
  <c r="BR47" i="26" s="1"/>
  <c r="BT47" i="26"/>
  <c r="BV47" i="26" s="1"/>
  <c r="BX47" i="26" s="1"/>
  <c r="R47" i="26"/>
  <c r="T47" i="26" s="1"/>
  <c r="V47" i="26" s="1"/>
  <c r="BB47" i="26"/>
  <c r="BD47" i="26" s="1"/>
  <c r="BF47" i="26" s="1"/>
  <c r="AV47" i="26"/>
  <c r="AX47" i="26" s="1"/>
  <c r="AZ47" i="26" s="1"/>
  <c r="AP47" i="26"/>
  <c r="AR47" i="26" s="1"/>
  <c r="AT47" i="26" s="1"/>
  <c r="BH47" i="26"/>
  <c r="BJ47" i="26" s="1"/>
  <c r="BL47" i="26" s="1"/>
  <c r="AJ47" i="26"/>
  <c r="AL47" i="26" s="1"/>
  <c r="AN47" i="26" s="1"/>
  <c r="E41" i="22"/>
  <c r="F41" i="22" s="1"/>
  <c r="G41" i="22" s="1"/>
  <c r="I40" i="22"/>
  <c r="J41" i="2"/>
  <c r="C42" i="22" s="1"/>
  <c r="E42" i="22" s="1"/>
  <c r="F42" i="22" s="1"/>
  <c r="G42" i="22" s="1"/>
  <c r="BB39" i="25" l="1"/>
  <c r="BD39" i="25" s="1"/>
  <c r="BF39" i="25" s="1"/>
  <c r="AJ39" i="25"/>
  <c r="AL39" i="25" s="1"/>
  <c r="AN39" i="25" s="1"/>
  <c r="BT39" i="25"/>
  <c r="BV39" i="25" s="1"/>
  <c r="BX39" i="25" s="1"/>
  <c r="AV39" i="25"/>
  <c r="AX39" i="25" s="1"/>
  <c r="AZ39" i="25" s="1"/>
  <c r="AD39" i="25"/>
  <c r="AF39" i="25" s="1"/>
  <c r="AH39" i="25" s="1"/>
  <c r="X39" i="25"/>
  <c r="Z39" i="25" s="1"/>
  <c r="AB39" i="25" s="1"/>
  <c r="R39" i="25"/>
  <c r="T39" i="25" s="1"/>
  <c r="V39" i="25" s="1"/>
  <c r="BN39" i="25"/>
  <c r="BP39" i="25" s="1"/>
  <c r="BR39" i="25" s="1"/>
  <c r="BH39" i="25"/>
  <c r="BJ39" i="25" s="1"/>
  <c r="BL39" i="25" s="1"/>
  <c r="AP39" i="25"/>
  <c r="AR39" i="25" s="1"/>
  <c r="AT39" i="25" s="1"/>
  <c r="X46" i="26"/>
  <c r="Z46" i="26" s="1"/>
  <c r="AB46" i="26" s="1"/>
  <c r="AP46" i="26"/>
  <c r="AR46" i="26" s="1"/>
  <c r="AT46" i="26" s="1"/>
  <c r="R46" i="26"/>
  <c r="T46" i="26" s="1"/>
  <c r="V46" i="26" s="1"/>
  <c r="AD46" i="26"/>
  <c r="AF46" i="26" s="1"/>
  <c r="AH46" i="26" s="1"/>
  <c r="BN46" i="26"/>
  <c r="BP46" i="26" s="1"/>
  <c r="BR46" i="26" s="1"/>
  <c r="BH46" i="26"/>
  <c r="BJ46" i="26" s="1"/>
  <c r="BL46" i="26" s="1"/>
  <c r="BT46" i="26"/>
  <c r="BV46" i="26" s="1"/>
  <c r="BX46" i="26" s="1"/>
  <c r="AV46" i="26"/>
  <c r="AX46" i="26" s="1"/>
  <c r="AZ46" i="26" s="1"/>
  <c r="BB46" i="26"/>
  <c r="BD46" i="26" s="1"/>
  <c r="BF46" i="26" s="1"/>
  <c r="AJ46" i="26"/>
  <c r="AL46" i="26" s="1"/>
  <c r="AN46" i="26" s="1"/>
  <c r="I42" i="22"/>
  <c r="I41" i="22"/>
  <c r="J42" i="2"/>
  <c r="C43" i="22" s="1"/>
  <c r="BB38" i="25" l="1"/>
  <c r="BD38" i="25" s="1"/>
  <c r="BF38" i="25" s="1"/>
  <c r="BT38" i="25"/>
  <c r="BV38" i="25" s="1"/>
  <c r="BX38" i="25" s="1"/>
  <c r="BH38" i="25"/>
  <c r="BJ38" i="25" s="1"/>
  <c r="BL38" i="25" s="1"/>
  <c r="X38" i="25"/>
  <c r="Z38" i="25" s="1"/>
  <c r="AB38" i="25" s="1"/>
  <c r="AJ38" i="25"/>
  <c r="AL38" i="25" s="1"/>
  <c r="AN38" i="25" s="1"/>
  <c r="BN38" i="25"/>
  <c r="BP38" i="25" s="1"/>
  <c r="BR38" i="25" s="1"/>
  <c r="AV38" i="25"/>
  <c r="AX38" i="25" s="1"/>
  <c r="AZ38" i="25" s="1"/>
  <c r="AD38" i="25"/>
  <c r="AF38" i="25" s="1"/>
  <c r="AH38" i="25" s="1"/>
  <c r="R38" i="25"/>
  <c r="T38" i="25" s="1"/>
  <c r="V38" i="25" s="1"/>
  <c r="AP38" i="25"/>
  <c r="AR38" i="25" s="1"/>
  <c r="AT38" i="25" s="1"/>
  <c r="X45" i="26"/>
  <c r="Z45" i="26" s="1"/>
  <c r="AB45" i="26" s="1"/>
  <c r="R45" i="26"/>
  <c r="T45" i="26" s="1"/>
  <c r="V45" i="26" s="1"/>
  <c r="BN45" i="26"/>
  <c r="BP45" i="26" s="1"/>
  <c r="BR45" i="26" s="1"/>
  <c r="AP45" i="26"/>
  <c r="AR45" i="26" s="1"/>
  <c r="AT45" i="26" s="1"/>
  <c r="AD45" i="26"/>
  <c r="AF45" i="26" s="1"/>
  <c r="AH45" i="26" s="1"/>
  <c r="BB45" i="26"/>
  <c r="BD45" i="26" s="1"/>
  <c r="BF45" i="26" s="1"/>
  <c r="AV45" i="26"/>
  <c r="AX45" i="26" s="1"/>
  <c r="AZ45" i="26" s="1"/>
  <c r="BT45" i="26"/>
  <c r="BV45" i="26" s="1"/>
  <c r="BX45" i="26" s="1"/>
  <c r="AJ45" i="26"/>
  <c r="AL45" i="26" s="1"/>
  <c r="AN45" i="26" s="1"/>
  <c r="BH45" i="26"/>
  <c r="BJ45" i="26" s="1"/>
  <c r="BL45" i="26" s="1"/>
  <c r="E43" i="22"/>
  <c r="F43" i="22" s="1"/>
  <c r="G43" i="22" s="1"/>
  <c r="J43" i="2"/>
  <c r="C44" i="22" s="1"/>
  <c r="E44" i="22" s="1"/>
  <c r="F44" i="22" s="1"/>
  <c r="G44" i="22" s="1"/>
  <c r="BB37" i="25" l="1"/>
  <c r="BD37" i="25" s="1"/>
  <c r="BF37" i="25" s="1"/>
  <c r="AJ37" i="25"/>
  <c r="AL37" i="25" s="1"/>
  <c r="AN37" i="25" s="1"/>
  <c r="X37" i="25"/>
  <c r="Z37" i="25" s="1"/>
  <c r="AB37" i="25" s="1"/>
  <c r="R37" i="25"/>
  <c r="T37" i="25" s="1"/>
  <c r="V37" i="25" s="1"/>
  <c r="AD37" i="25"/>
  <c r="AF37" i="25" s="1"/>
  <c r="AH37" i="25" s="1"/>
  <c r="BN37" i="25"/>
  <c r="BP37" i="25" s="1"/>
  <c r="BR37" i="25" s="1"/>
  <c r="AV37" i="25"/>
  <c r="AX37" i="25" s="1"/>
  <c r="AZ37" i="25" s="1"/>
  <c r="BT37" i="25"/>
  <c r="BV37" i="25" s="1"/>
  <c r="BX37" i="25" s="1"/>
  <c r="BH37" i="25"/>
  <c r="BJ37" i="25" s="1"/>
  <c r="BL37" i="25" s="1"/>
  <c r="AP37" i="25"/>
  <c r="AR37" i="25" s="1"/>
  <c r="AT37" i="25" s="1"/>
  <c r="X44" i="26"/>
  <c r="Z44" i="26" s="1"/>
  <c r="AB44" i="26" s="1"/>
  <c r="BH44" i="26"/>
  <c r="BJ44" i="26" s="1"/>
  <c r="BL44" i="26" s="1"/>
  <c r="BN44" i="26"/>
  <c r="BP44" i="26" s="1"/>
  <c r="BR44" i="26" s="1"/>
  <c r="R44" i="26"/>
  <c r="T44" i="26" s="1"/>
  <c r="V44" i="26" s="1"/>
  <c r="AJ44" i="26"/>
  <c r="AL44" i="26" s="1"/>
  <c r="AN44" i="26" s="1"/>
  <c r="BB44" i="26"/>
  <c r="BD44" i="26" s="1"/>
  <c r="BF44" i="26" s="1"/>
  <c r="AV44" i="26"/>
  <c r="AX44" i="26" s="1"/>
  <c r="AZ44" i="26" s="1"/>
  <c r="AP44" i="26"/>
  <c r="AR44" i="26" s="1"/>
  <c r="AT44" i="26" s="1"/>
  <c r="BT44" i="26"/>
  <c r="BV44" i="26" s="1"/>
  <c r="BX44" i="26" s="1"/>
  <c r="AD44" i="26"/>
  <c r="AF44" i="26" s="1"/>
  <c r="AH44" i="26" s="1"/>
  <c r="I44" i="22"/>
  <c r="I43" i="22"/>
  <c r="J44" i="2"/>
  <c r="C45" i="22" s="1"/>
  <c r="AD36" i="25" l="1"/>
  <c r="AF36" i="25" s="1"/>
  <c r="AH36" i="25" s="1"/>
  <c r="X36" i="25"/>
  <c r="Z36" i="25" s="1"/>
  <c r="AB36" i="25" s="1"/>
  <c r="AP36" i="25"/>
  <c r="AR36" i="25" s="1"/>
  <c r="AT36" i="25" s="1"/>
  <c r="BN36" i="25"/>
  <c r="BP36" i="25" s="1"/>
  <c r="BR36" i="25" s="1"/>
  <c r="AJ36" i="25"/>
  <c r="AL36" i="25" s="1"/>
  <c r="AN36" i="25" s="1"/>
  <c r="R36" i="25"/>
  <c r="T36" i="25" s="1"/>
  <c r="V36" i="25" s="1"/>
  <c r="BB36" i="25"/>
  <c r="BD36" i="25" s="1"/>
  <c r="BF36" i="25" s="1"/>
  <c r="BH36" i="25"/>
  <c r="BJ36" i="25" s="1"/>
  <c r="BL36" i="25" s="1"/>
  <c r="BT36" i="25"/>
  <c r="BV36" i="25" s="1"/>
  <c r="BX36" i="25" s="1"/>
  <c r="AV36" i="25"/>
  <c r="AX36" i="25" s="1"/>
  <c r="AZ36" i="25" s="1"/>
  <c r="X43" i="26"/>
  <c r="Z43" i="26" s="1"/>
  <c r="AB43" i="26" s="1"/>
  <c r="BH43" i="26"/>
  <c r="BJ43" i="26" s="1"/>
  <c r="BL43" i="26" s="1"/>
  <c r="BN43" i="26"/>
  <c r="BP43" i="26" s="1"/>
  <c r="BR43" i="26" s="1"/>
  <c r="R43" i="26"/>
  <c r="T43" i="26" s="1"/>
  <c r="V43" i="26" s="1"/>
  <c r="AJ43" i="26"/>
  <c r="AL43" i="26" s="1"/>
  <c r="AN43" i="26" s="1"/>
  <c r="AD43" i="26"/>
  <c r="AF43" i="26" s="1"/>
  <c r="AH43" i="26" s="1"/>
  <c r="AV43" i="26"/>
  <c r="AX43" i="26" s="1"/>
  <c r="AZ43" i="26" s="1"/>
  <c r="BT43" i="26"/>
  <c r="BV43" i="26" s="1"/>
  <c r="BX43" i="26" s="1"/>
  <c r="BB43" i="26"/>
  <c r="BD43" i="26" s="1"/>
  <c r="BF43" i="26" s="1"/>
  <c r="AP43" i="26"/>
  <c r="AR43" i="26" s="1"/>
  <c r="AT43" i="26" s="1"/>
  <c r="E45" i="22"/>
  <c r="F45" i="22" s="1"/>
  <c r="G45" i="22" s="1"/>
  <c r="J45" i="2"/>
  <c r="C46" i="22" s="1"/>
  <c r="AP35" i="25" l="1"/>
  <c r="AR35" i="25" s="1"/>
  <c r="AT35" i="25" s="1"/>
  <c r="AJ35" i="25"/>
  <c r="AL35" i="25" s="1"/>
  <c r="AN35" i="25" s="1"/>
  <c r="X35" i="25"/>
  <c r="Z35" i="25" s="1"/>
  <c r="AB35" i="25" s="1"/>
  <c r="R35" i="25"/>
  <c r="T35" i="25" s="1"/>
  <c r="V35" i="25" s="1"/>
  <c r="AD35" i="25"/>
  <c r="AF35" i="25" s="1"/>
  <c r="AH35" i="25" s="1"/>
  <c r="BT35" i="25"/>
  <c r="BV35" i="25" s="1"/>
  <c r="BX35" i="25" s="1"/>
  <c r="BH35" i="25"/>
  <c r="BJ35" i="25" s="1"/>
  <c r="BL35" i="25" s="1"/>
  <c r="BB35" i="25"/>
  <c r="BD35" i="25" s="1"/>
  <c r="BF35" i="25" s="1"/>
  <c r="AV35" i="25"/>
  <c r="AX35" i="25" s="1"/>
  <c r="AZ35" i="25" s="1"/>
  <c r="BN35" i="25"/>
  <c r="BP35" i="25" s="1"/>
  <c r="BR35" i="25" s="1"/>
  <c r="X42" i="26"/>
  <c r="Z42" i="26" s="1"/>
  <c r="AB42" i="26" s="1"/>
  <c r="BT42" i="26"/>
  <c r="BV42" i="26" s="1"/>
  <c r="BX42" i="26" s="1"/>
  <c r="BH42" i="26"/>
  <c r="BJ42" i="26" s="1"/>
  <c r="BL42" i="26" s="1"/>
  <c r="R42" i="26"/>
  <c r="T42" i="26" s="1"/>
  <c r="V42" i="26" s="1"/>
  <c r="BB42" i="26"/>
  <c r="BD42" i="26" s="1"/>
  <c r="BF42" i="26" s="1"/>
  <c r="AP42" i="26"/>
  <c r="AR42" i="26" s="1"/>
  <c r="AT42" i="26" s="1"/>
  <c r="BN42" i="26"/>
  <c r="BP42" i="26" s="1"/>
  <c r="BR42" i="26" s="1"/>
  <c r="AD42" i="26"/>
  <c r="AF42" i="26" s="1"/>
  <c r="AH42" i="26" s="1"/>
  <c r="AV42" i="26"/>
  <c r="AX42" i="26" s="1"/>
  <c r="AZ42" i="26" s="1"/>
  <c r="AJ42" i="26"/>
  <c r="AL42" i="26" s="1"/>
  <c r="AN42" i="26" s="1"/>
  <c r="I45" i="22"/>
  <c r="E46" i="22"/>
  <c r="F46" i="22" s="1"/>
  <c r="G46" i="22" s="1"/>
  <c r="J46" i="2"/>
  <c r="C47" i="22" s="1"/>
  <c r="AP34" i="25" l="1"/>
  <c r="AR34" i="25" s="1"/>
  <c r="AT34" i="25" s="1"/>
  <c r="X34" i="25"/>
  <c r="Z34" i="25" s="1"/>
  <c r="AB34" i="25" s="1"/>
  <c r="AV34" i="25"/>
  <c r="AX34" i="25" s="1"/>
  <c r="AZ34" i="25" s="1"/>
  <c r="BN34" i="25"/>
  <c r="BP34" i="25" s="1"/>
  <c r="BR34" i="25" s="1"/>
  <c r="R34" i="25"/>
  <c r="T34" i="25" s="1"/>
  <c r="V34" i="25" s="1"/>
  <c r="BH34" i="25"/>
  <c r="BJ34" i="25" s="1"/>
  <c r="BL34" i="25" s="1"/>
  <c r="AJ34" i="25"/>
  <c r="AL34" i="25" s="1"/>
  <c r="AN34" i="25" s="1"/>
  <c r="BB34" i="25"/>
  <c r="BD34" i="25" s="1"/>
  <c r="BF34" i="25" s="1"/>
  <c r="AD34" i="25"/>
  <c r="AF34" i="25" s="1"/>
  <c r="AH34" i="25" s="1"/>
  <c r="BT34" i="25"/>
  <c r="BV34" i="25" s="1"/>
  <c r="BX34" i="25" s="1"/>
  <c r="X41" i="26"/>
  <c r="Z41" i="26" s="1"/>
  <c r="AB41" i="26" s="1"/>
  <c r="BB41" i="26"/>
  <c r="BD41" i="26" s="1"/>
  <c r="BF41" i="26" s="1"/>
  <c r="AP41" i="26"/>
  <c r="AR41" i="26" s="1"/>
  <c r="AT41" i="26" s="1"/>
  <c r="BT41" i="26"/>
  <c r="BV41" i="26" s="1"/>
  <c r="BX41" i="26" s="1"/>
  <c r="AV41" i="26"/>
  <c r="AX41" i="26" s="1"/>
  <c r="AZ41" i="26" s="1"/>
  <c r="AD41" i="26"/>
  <c r="AF41" i="26" s="1"/>
  <c r="AH41" i="26" s="1"/>
  <c r="BN41" i="26"/>
  <c r="BP41" i="26" s="1"/>
  <c r="BR41" i="26" s="1"/>
  <c r="BH41" i="26"/>
  <c r="BJ41" i="26" s="1"/>
  <c r="BL41" i="26" s="1"/>
  <c r="R41" i="26"/>
  <c r="T41" i="26" s="1"/>
  <c r="V41" i="26" s="1"/>
  <c r="AJ41" i="26"/>
  <c r="AL41" i="26" s="1"/>
  <c r="AN41" i="26" s="1"/>
  <c r="I46" i="22"/>
  <c r="E47" i="22"/>
  <c r="F47" i="22" s="1"/>
  <c r="G47" i="22" s="1"/>
  <c r="J47" i="2"/>
  <c r="C48" i="22" s="1"/>
  <c r="BB33" i="25" l="1"/>
  <c r="BD33" i="25" s="1"/>
  <c r="BF33" i="25" s="1"/>
  <c r="BN33" i="25"/>
  <c r="BP33" i="25" s="1"/>
  <c r="BR33" i="25" s="1"/>
  <c r="AJ33" i="25"/>
  <c r="AL33" i="25" s="1"/>
  <c r="AN33" i="25" s="1"/>
  <c r="AV33" i="25"/>
  <c r="AX33" i="25" s="1"/>
  <c r="AZ33" i="25" s="1"/>
  <c r="BH33" i="25"/>
  <c r="BJ33" i="25" s="1"/>
  <c r="BL33" i="25" s="1"/>
  <c r="AD33" i="25"/>
  <c r="AF33" i="25" s="1"/>
  <c r="AH33" i="25" s="1"/>
  <c r="X33" i="25"/>
  <c r="Z33" i="25" s="1"/>
  <c r="AB33" i="25" s="1"/>
  <c r="R33" i="25"/>
  <c r="T33" i="25" s="1"/>
  <c r="V33" i="25" s="1"/>
  <c r="AP33" i="25"/>
  <c r="AR33" i="25" s="1"/>
  <c r="AT33" i="25" s="1"/>
  <c r="BT33" i="25"/>
  <c r="BV33" i="25" s="1"/>
  <c r="BX33" i="25" s="1"/>
  <c r="X40" i="26"/>
  <c r="Z40" i="26" s="1"/>
  <c r="AB40" i="26" s="1"/>
  <c r="BH40" i="26"/>
  <c r="BJ40" i="26" s="1"/>
  <c r="BL40" i="26" s="1"/>
  <c r="BN40" i="26"/>
  <c r="BP40" i="26" s="1"/>
  <c r="BR40" i="26" s="1"/>
  <c r="AD40" i="26"/>
  <c r="AF40" i="26" s="1"/>
  <c r="AH40" i="26" s="1"/>
  <c r="AJ40" i="26"/>
  <c r="AL40" i="26" s="1"/>
  <c r="AN40" i="26" s="1"/>
  <c r="R40" i="26"/>
  <c r="T40" i="26" s="1"/>
  <c r="V40" i="26" s="1"/>
  <c r="BB40" i="26"/>
  <c r="BD40" i="26" s="1"/>
  <c r="BF40" i="26" s="1"/>
  <c r="BT40" i="26"/>
  <c r="BV40" i="26" s="1"/>
  <c r="BX40" i="26" s="1"/>
  <c r="AV40" i="26"/>
  <c r="AX40" i="26" s="1"/>
  <c r="AZ40" i="26" s="1"/>
  <c r="AP40" i="26"/>
  <c r="AR40" i="26" s="1"/>
  <c r="AT40" i="26" s="1"/>
  <c r="I47" i="22"/>
  <c r="E48" i="22"/>
  <c r="F48" i="22" s="1"/>
  <c r="G48" i="22" s="1"/>
  <c r="J48" i="2"/>
  <c r="C49" i="22" s="1"/>
  <c r="AD32" i="25" l="1"/>
  <c r="AF32" i="25" s="1"/>
  <c r="AH32" i="25" s="1"/>
  <c r="BN32" i="25"/>
  <c r="BP32" i="25" s="1"/>
  <c r="BR32" i="25" s="1"/>
  <c r="AV32" i="25"/>
  <c r="AX32" i="25" s="1"/>
  <c r="AZ32" i="25" s="1"/>
  <c r="AJ32" i="25"/>
  <c r="AL32" i="25" s="1"/>
  <c r="AN32" i="25" s="1"/>
  <c r="X32" i="25"/>
  <c r="Z32" i="25" s="1"/>
  <c r="AB32" i="25" s="1"/>
  <c r="BH32" i="25"/>
  <c r="BJ32" i="25" s="1"/>
  <c r="BL32" i="25" s="1"/>
  <c r="BT32" i="25"/>
  <c r="BV32" i="25" s="1"/>
  <c r="BX32" i="25" s="1"/>
  <c r="R32" i="25"/>
  <c r="T32" i="25" s="1"/>
  <c r="V32" i="25" s="1"/>
  <c r="BB32" i="25"/>
  <c r="BD32" i="25" s="1"/>
  <c r="BF32" i="25" s="1"/>
  <c r="AP32" i="25"/>
  <c r="AR32" i="25" s="1"/>
  <c r="AT32" i="25" s="1"/>
  <c r="X39" i="26"/>
  <c r="Z39" i="26" s="1"/>
  <c r="AB39" i="26" s="1"/>
  <c r="AJ39" i="26"/>
  <c r="AL39" i="26" s="1"/>
  <c r="AN39" i="26" s="1"/>
  <c r="BB39" i="26"/>
  <c r="BD39" i="26" s="1"/>
  <c r="BF39" i="26" s="1"/>
  <c r="AV39" i="26"/>
  <c r="AX39" i="26" s="1"/>
  <c r="AZ39" i="26" s="1"/>
  <c r="AD39" i="26"/>
  <c r="AF39" i="26" s="1"/>
  <c r="AH39" i="26" s="1"/>
  <c r="BT39" i="26"/>
  <c r="BV39" i="26" s="1"/>
  <c r="BX39" i="26" s="1"/>
  <c r="BN39" i="26"/>
  <c r="BP39" i="26" s="1"/>
  <c r="BR39" i="26" s="1"/>
  <c r="AP39" i="26"/>
  <c r="AR39" i="26" s="1"/>
  <c r="AT39" i="26" s="1"/>
  <c r="BH39" i="26"/>
  <c r="BJ39" i="26" s="1"/>
  <c r="BL39" i="26" s="1"/>
  <c r="R39" i="26"/>
  <c r="T39" i="26" s="1"/>
  <c r="V39" i="26" s="1"/>
  <c r="E49" i="22"/>
  <c r="F49" i="22" s="1"/>
  <c r="G49" i="22" s="1"/>
  <c r="I48" i="22"/>
  <c r="J49" i="2"/>
  <c r="C50" i="22" s="1"/>
  <c r="BT31" i="25" l="1"/>
  <c r="BV31" i="25" s="1"/>
  <c r="BX31" i="25" s="1"/>
  <c r="X31" i="25"/>
  <c r="Z31" i="25" s="1"/>
  <c r="AB31" i="25" s="1"/>
  <c r="AJ31" i="25"/>
  <c r="AL31" i="25" s="1"/>
  <c r="AN31" i="25" s="1"/>
  <c r="BB31" i="25"/>
  <c r="BD31" i="25" s="1"/>
  <c r="BF31" i="25" s="1"/>
  <c r="AP31" i="25"/>
  <c r="AR31" i="25" s="1"/>
  <c r="AT31" i="25" s="1"/>
  <c r="AD31" i="25"/>
  <c r="AF31" i="25" s="1"/>
  <c r="AH31" i="25" s="1"/>
  <c r="BN31" i="25"/>
  <c r="BP31" i="25" s="1"/>
  <c r="BR31" i="25" s="1"/>
  <c r="R31" i="25"/>
  <c r="T31" i="25" s="1"/>
  <c r="V31" i="25" s="1"/>
  <c r="AV31" i="25"/>
  <c r="AX31" i="25" s="1"/>
  <c r="AZ31" i="25" s="1"/>
  <c r="BH31" i="25"/>
  <c r="BJ31" i="25" s="1"/>
  <c r="BL31" i="25" s="1"/>
  <c r="X38" i="26"/>
  <c r="Z38" i="26" s="1"/>
  <c r="AB38" i="26" s="1"/>
  <c r="BT38" i="26"/>
  <c r="BV38" i="26" s="1"/>
  <c r="BX38" i="26" s="1"/>
  <c r="BH38" i="26"/>
  <c r="BJ38" i="26" s="1"/>
  <c r="BL38" i="26" s="1"/>
  <c r="AV38" i="26"/>
  <c r="AX38" i="26" s="1"/>
  <c r="AZ38" i="26" s="1"/>
  <c r="R38" i="26"/>
  <c r="T38" i="26" s="1"/>
  <c r="V38" i="26" s="1"/>
  <c r="BB38" i="26"/>
  <c r="BD38" i="26" s="1"/>
  <c r="BF38" i="26" s="1"/>
  <c r="AD38" i="26"/>
  <c r="AF38" i="26" s="1"/>
  <c r="AH38" i="26" s="1"/>
  <c r="AP38" i="26"/>
  <c r="AR38" i="26" s="1"/>
  <c r="AT38" i="26" s="1"/>
  <c r="AJ38" i="26"/>
  <c r="AL38" i="26" s="1"/>
  <c r="AN38" i="26" s="1"/>
  <c r="BN38" i="26"/>
  <c r="BP38" i="26" s="1"/>
  <c r="BR38" i="26" s="1"/>
  <c r="I49" i="22"/>
  <c r="E50" i="22"/>
  <c r="F50" i="22" s="1"/>
  <c r="G50" i="22" s="1"/>
  <c r="J50" i="2"/>
  <c r="C51" i="22" s="1"/>
  <c r="E51" i="22" s="1"/>
  <c r="F51" i="22" s="1"/>
  <c r="G51" i="22" s="1"/>
  <c r="AJ30" i="25" l="1"/>
  <c r="AL30" i="25" s="1"/>
  <c r="AN30" i="25" s="1"/>
  <c r="BB30" i="25"/>
  <c r="BD30" i="25" s="1"/>
  <c r="BF30" i="25" s="1"/>
  <c r="BN30" i="25"/>
  <c r="BP30" i="25" s="1"/>
  <c r="BR30" i="25" s="1"/>
  <c r="R30" i="25"/>
  <c r="T30" i="25" s="1"/>
  <c r="V30" i="25" s="1"/>
  <c r="X30" i="25"/>
  <c r="Z30" i="25" s="1"/>
  <c r="AB30" i="25" s="1"/>
  <c r="AV30" i="25"/>
  <c r="AX30" i="25" s="1"/>
  <c r="AZ30" i="25" s="1"/>
  <c r="BT30" i="25"/>
  <c r="BV30" i="25" s="1"/>
  <c r="BX30" i="25" s="1"/>
  <c r="AP30" i="25"/>
  <c r="AR30" i="25" s="1"/>
  <c r="AT30" i="25" s="1"/>
  <c r="AD30" i="25"/>
  <c r="AF30" i="25" s="1"/>
  <c r="AH30" i="25" s="1"/>
  <c r="BH30" i="25"/>
  <c r="BJ30" i="25" s="1"/>
  <c r="BL30" i="25" s="1"/>
  <c r="X37" i="26"/>
  <c r="Z37" i="26" s="1"/>
  <c r="AB37" i="26" s="1"/>
  <c r="AD37" i="26"/>
  <c r="AF37" i="26" s="1"/>
  <c r="AH37" i="26" s="1"/>
  <c r="BB37" i="26"/>
  <c r="BD37" i="26" s="1"/>
  <c r="BF37" i="26" s="1"/>
  <c r="AV37" i="26"/>
  <c r="AX37" i="26" s="1"/>
  <c r="AZ37" i="26" s="1"/>
  <c r="BN37" i="26"/>
  <c r="BP37" i="26" s="1"/>
  <c r="BR37" i="26" s="1"/>
  <c r="R37" i="26"/>
  <c r="T37" i="26" s="1"/>
  <c r="V37" i="26" s="1"/>
  <c r="AJ37" i="26"/>
  <c r="AL37" i="26" s="1"/>
  <c r="AN37" i="26" s="1"/>
  <c r="BH37" i="26"/>
  <c r="BJ37" i="26" s="1"/>
  <c r="BL37" i="26" s="1"/>
  <c r="BT37" i="26"/>
  <c r="BV37" i="26" s="1"/>
  <c r="BX37" i="26" s="1"/>
  <c r="AP37" i="26"/>
  <c r="AR37" i="26" s="1"/>
  <c r="AT37" i="26" s="1"/>
  <c r="I51" i="22"/>
  <c r="I50" i="22"/>
  <c r="J51" i="2"/>
  <c r="C52" i="22" s="1"/>
  <c r="AD29" i="25" l="1"/>
  <c r="AF29" i="25" s="1"/>
  <c r="AH29" i="25" s="1"/>
  <c r="AJ29" i="25"/>
  <c r="AL29" i="25" s="1"/>
  <c r="AN29" i="25" s="1"/>
  <c r="BB29" i="25"/>
  <c r="BD29" i="25" s="1"/>
  <c r="BF29" i="25" s="1"/>
  <c r="X29" i="25"/>
  <c r="Z29" i="25" s="1"/>
  <c r="AB29" i="25" s="1"/>
  <c r="AP29" i="25"/>
  <c r="AR29" i="25" s="1"/>
  <c r="AT29" i="25" s="1"/>
  <c r="AV29" i="25"/>
  <c r="AX29" i="25" s="1"/>
  <c r="AZ29" i="25" s="1"/>
  <c r="BN29" i="25"/>
  <c r="BP29" i="25" s="1"/>
  <c r="BR29" i="25" s="1"/>
  <c r="BT29" i="25"/>
  <c r="BV29" i="25" s="1"/>
  <c r="BX29" i="25" s="1"/>
  <c r="BH29" i="25"/>
  <c r="BJ29" i="25" s="1"/>
  <c r="BL29" i="25" s="1"/>
  <c r="R29" i="25"/>
  <c r="T29" i="25" s="1"/>
  <c r="V29" i="25" s="1"/>
  <c r="X36" i="26"/>
  <c r="Z36" i="26" s="1"/>
  <c r="AB36" i="26" s="1"/>
  <c r="BT36" i="26"/>
  <c r="BV36" i="26" s="1"/>
  <c r="BX36" i="26" s="1"/>
  <c r="BN36" i="26"/>
  <c r="BP36" i="26" s="1"/>
  <c r="BR36" i="26" s="1"/>
  <c r="BB36" i="26"/>
  <c r="BD36" i="26" s="1"/>
  <c r="BF36" i="26" s="1"/>
  <c r="AV36" i="26"/>
  <c r="AX36" i="26" s="1"/>
  <c r="AZ36" i="26" s="1"/>
  <c r="AD36" i="26"/>
  <c r="AF36" i="26" s="1"/>
  <c r="AH36" i="26" s="1"/>
  <c r="BH36" i="26"/>
  <c r="BJ36" i="26" s="1"/>
  <c r="BL36" i="26" s="1"/>
  <c r="R36" i="26"/>
  <c r="T36" i="26" s="1"/>
  <c r="V36" i="26" s="1"/>
  <c r="AJ36" i="26"/>
  <c r="AL36" i="26" s="1"/>
  <c r="AN36" i="26" s="1"/>
  <c r="AP36" i="26"/>
  <c r="AR36" i="26" s="1"/>
  <c r="AT36" i="26" s="1"/>
  <c r="E52" i="22"/>
  <c r="F52" i="22" s="1"/>
  <c r="G52" i="22" s="1"/>
  <c r="J52" i="2"/>
  <c r="C53" i="22" s="1"/>
  <c r="R28" i="25" l="1"/>
  <c r="T28" i="25" s="1"/>
  <c r="V28" i="25" s="1"/>
  <c r="AP28" i="25"/>
  <c r="AR28" i="25" s="1"/>
  <c r="AT28" i="25" s="1"/>
  <c r="BH28" i="25"/>
  <c r="BJ28" i="25" s="1"/>
  <c r="BL28" i="25" s="1"/>
  <c r="AV28" i="25"/>
  <c r="AX28" i="25" s="1"/>
  <c r="AZ28" i="25" s="1"/>
  <c r="X28" i="25"/>
  <c r="Z28" i="25" s="1"/>
  <c r="AB28" i="25" s="1"/>
  <c r="AJ28" i="25"/>
  <c r="AL28" i="25" s="1"/>
  <c r="AN28" i="25" s="1"/>
  <c r="BN28" i="25"/>
  <c r="BP28" i="25" s="1"/>
  <c r="BR28" i="25" s="1"/>
  <c r="BT28" i="25"/>
  <c r="BV28" i="25" s="1"/>
  <c r="BX28" i="25" s="1"/>
  <c r="AD28" i="25"/>
  <c r="AF28" i="25" s="1"/>
  <c r="AH28" i="25" s="1"/>
  <c r="BB28" i="25"/>
  <c r="BD28" i="25" s="1"/>
  <c r="BF28" i="25" s="1"/>
  <c r="X35" i="26"/>
  <c r="Z35" i="26" s="1"/>
  <c r="AB35" i="26" s="1"/>
  <c r="BT35" i="26"/>
  <c r="BV35" i="26" s="1"/>
  <c r="BX35" i="26" s="1"/>
  <c r="AD35" i="26"/>
  <c r="AF35" i="26" s="1"/>
  <c r="AH35" i="26" s="1"/>
  <c r="BB35" i="26"/>
  <c r="BD35" i="26" s="1"/>
  <c r="BF35" i="26" s="1"/>
  <c r="AP35" i="26"/>
  <c r="AR35" i="26" s="1"/>
  <c r="AT35" i="26" s="1"/>
  <c r="AJ35" i="26"/>
  <c r="AL35" i="26" s="1"/>
  <c r="AN35" i="26" s="1"/>
  <c r="R35" i="26"/>
  <c r="T35" i="26" s="1"/>
  <c r="V35" i="26" s="1"/>
  <c r="AV35" i="26"/>
  <c r="AX35" i="26" s="1"/>
  <c r="AZ35" i="26" s="1"/>
  <c r="BH35" i="26"/>
  <c r="BJ35" i="26" s="1"/>
  <c r="BL35" i="26" s="1"/>
  <c r="BN35" i="26"/>
  <c r="BP35" i="26" s="1"/>
  <c r="BR35" i="26" s="1"/>
  <c r="I52" i="22"/>
  <c r="E53" i="22"/>
  <c r="F53" i="22" s="1"/>
  <c r="G53" i="22" s="1"/>
  <c r="J53" i="2"/>
  <c r="C54" i="22" s="1"/>
  <c r="AD27" i="25" l="1"/>
  <c r="AF27" i="25" s="1"/>
  <c r="AH27" i="25" s="1"/>
  <c r="BN27" i="25"/>
  <c r="BP27" i="25" s="1"/>
  <c r="BR27" i="25" s="1"/>
  <c r="BT27" i="25"/>
  <c r="BV27" i="25" s="1"/>
  <c r="BX27" i="25" s="1"/>
  <c r="X27" i="25"/>
  <c r="Z27" i="25" s="1"/>
  <c r="AB27" i="25" s="1"/>
  <c r="BB27" i="25"/>
  <c r="BD27" i="25" s="1"/>
  <c r="BF27" i="25" s="1"/>
  <c r="AP27" i="25"/>
  <c r="AR27" i="25" s="1"/>
  <c r="AT27" i="25" s="1"/>
  <c r="R27" i="25"/>
  <c r="T27" i="25" s="1"/>
  <c r="V27" i="25" s="1"/>
  <c r="AJ27" i="25"/>
  <c r="AL27" i="25" s="1"/>
  <c r="AN27" i="25" s="1"/>
  <c r="BH27" i="25"/>
  <c r="BJ27" i="25" s="1"/>
  <c r="BL27" i="25" s="1"/>
  <c r="AV27" i="25"/>
  <c r="AX27" i="25" s="1"/>
  <c r="AZ27" i="25" s="1"/>
  <c r="X34" i="26"/>
  <c r="Z34" i="26" s="1"/>
  <c r="AB34" i="26" s="1"/>
  <c r="BB34" i="26"/>
  <c r="BD34" i="26" s="1"/>
  <c r="BF34" i="26" s="1"/>
  <c r="BT34" i="26"/>
  <c r="BV34" i="26" s="1"/>
  <c r="BX34" i="26" s="1"/>
  <c r="BH34" i="26"/>
  <c r="BJ34" i="26" s="1"/>
  <c r="BL34" i="26" s="1"/>
  <c r="R34" i="26"/>
  <c r="T34" i="26" s="1"/>
  <c r="V34" i="26" s="1"/>
  <c r="AJ34" i="26"/>
  <c r="AL34" i="26" s="1"/>
  <c r="AN34" i="26" s="1"/>
  <c r="AP34" i="26"/>
  <c r="AR34" i="26" s="1"/>
  <c r="AT34" i="26" s="1"/>
  <c r="AV34" i="26"/>
  <c r="AX34" i="26" s="1"/>
  <c r="AZ34" i="26" s="1"/>
  <c r="AD34" i="26"/>
  <c r="AF34" i="26" s="1"/>
  <c r="AH34" i="26" s="1"/>
  <c r="BN34" i="26"/>
  <c r="BP34" i="26" s="1"/>
  <c r="BR34" i="26" s="1"/>
  <c r="I53" i="22"/>
  <c r="E54" i="22"/>
  <c r="F54" i="22" s="1"/>
  <c r="G54" i="22" s="1"/>
  <c r="J54" i="2"/>
  <c r="C55" i="22" s="1"/>
  <c r="E55" i="22" s="1"/>
  <c r="F55" i="22" s="1"/>
  <c r="G55" i="22" s="1"/>
  <c r="AV26" i="25" l="1"/>
  <c r="AX26" i="25" s="1"/>
  <c r="AZ26" i="25" s="1"/>
  <c r="AD26" i="25"/>
  <c r="AF26" i="25" s="1"/>
  <c r="AH26" i="25" s="1"/>
  <c r="BB26" i="25"/>
  <c r="BD26" i="25" s="1"/>
  <c r="BF26" i="25" s="1"/>
  <c r="AJ26" i="25"/>
  <c r="AL26" i="25" s="1"/>
  <c r="AN26" i="25" s="1"/>
  <c r="BT26" i="25"/>
  <c r="BV26" i="25" s="1"/>
  <c r="BX26" i="25" s="1"/>
  <c r="AP26" i="25"/>
  <c r="AR26" i="25" s="1"/>
  <c r="AT26" i="25" s="1"/>
  <c r="BN26" i="25"/>
  <c r="BP26" i="25" s="1"/>
  <c r="BR26" i="25" s="1"/>
  <c r="R26" i="25"/>
  <c r="T26" i="25" s="1"/>
  <c r="V26" i="25" s="1"/>
  <c r="BH26" i="25"/>
  <c r="BJ26" i="25" s="1"/>
  <c r="BL26" i="25" s="1"/>
  <c r="X26" i="25"/>
  <c r="Z26" i="25" s="1"/>
  <c r="AB26" i="25" s="1"/>
  <c r="X33" i="26"/>
  <c r="Z33" i="26" s="1"/>
  <c r="AB33" i="26" s="1"/>
  <c r="BH33" i="26"/>
  <c r="BJ33" i="26" s="1"/>
  <c r="BL33" i="26" s="1"/>
  <c r="AD33" i="26"/>
  <c r="AF33" i="26" s="1"/>
  <c r="AH33" i="26" s="1"/>
  <c r="AP33" i="26"/>
  <c r="AR33" i="26" s="1"/>
  <c r="AT33" i="26" s="1"/>
  <c r="AV33" i="26"/>
  <c r="AX33" i="26" s="1"/>
  <c r="AZ33" i="26" s="1"/>
  <c r="BN33" i="26"/>
  <c r="BP33" i="26" s="1"/>
  <c r="BR33" i="26" s="1"/>
  <c r="AJ33" i="26"/>
  <c r="AL33" i="26" s="1"/>
  <c r="AN33" i="26" s="1"/>
  <c r="R33" i="26"/>
  <c r="T33" i="26" s="1"/>
  <c r="V33" i="26" s="1"/>
  <c r="BT33" i="26"/>
  <c r="BV33" i="26" s="1"/>
  <c r="BX33" i="26" s="1"/>
  <c r="BB33" i="26"/>
  <c r="BD33" i="26" s="1"/>
  <c r="BF33" i="26" s="1"/>
  <c r="I55" i="22"/>
  <c r="I54" i="22"/>
  <c r="J55" i="2"/>
  <c r="C56" i="22" s="1"/>
  <c r="E56" i="22" s="1"/>
  <c r="F56" i="22" s="1"/>
  <c r="G56" i="22" s="1"/>
  <c r="BB25" i="25" l="1"/>
  <c r="BD25" i="25" s="1"/>
  <c r="BF25" i="25" s="1"/>
  <c r="BN25" i="25"/>
  <c r="BP25" i="25" s="1"/>
  <c r="BR25" i="25" s="1"/>
  <c r="AV25" i="25"/>
  <c r="AX25" i="25" s="1"/>
  <c r="AZ25" i="25" s="1"/>
  <c r="BH25" i="25"/>
  <c r="BJ25" i="25" s="1"/>
  <c r="BL25" i="25" s="1"/>
  <c r="AD25" i="25"/>
  <c r="AF25" i="25" s="1"/>
  <c r="AH25" i="25" s="1"/>
  <c r="X25" i="25"/>
  <c r="Z25" i="25" s="1"/>
  <c r="AB25" i="25" s="1"/>
  <c r="R25" i="25"/>
  <c r="T25" i="25" s="1"/>
  <c r="V25" i="25" s="1"/>
  <c r="AJ25" i="25"/>
  <c r="AL25" i="25" s="1"/>
  <c r="AN25" i="25" s="1"/>
  <c r="AP25" i="25"/>
  <c r="AR25" i="25" s="1"/>
  <c r="AT25" i="25" s="1"/>
  <c r="BT25" i="25"/>
  <c r="BV25" i="25" s="1"/>
  <c r="BX25" i="25" s="1"/>
  <c r="X32" i="26"/>
  <c r="Z32" i="26" s="1"/>
  <c r="AB32" i="26" s="1"/>
  <c r="BH32" i="26"/>
  <c r="BJ32" i="26" s="1"/>
  <c r="BL32" i="26" s="1"/>
  <c r="AJ32" i="26"/>
  <c r="AL32" i="26" s="1"/>
  <c r="AN32" i="26" s="1"/>
  <c r="BB32" i="26"/>
  <c r="BD32" i="26" s="1"/>
  <c r="BF32" i="26" s="1"/>
  <c r="BT32" i="26"/>
  <c r="BV32" i="26" s="1"/>
  <c r="BX32" i="26" s="1"/>
  <c r="AV32" i="26"/>
  <c r="AX32" i="26" s="1"/>
  <c r="AZ32" i="26" s="1"/>
  <c r="R32" i="26"/>
  <c r="T32" i="26" s="1"/>
  <c r="V32" i="26" s="1"/>
  <c r="AP32" i="26"/>
  <c r="AR32" i="26" s="1"/>
  <c r="AT32" i="26" s="1"/>
  <c r="AD32" i="26"/>
  <c r="AF32" i="26" s="1"/>
  <c r="AH32" i="26" s="1"/>
  <c r="BN32" i="26"/>
  <c r="BP32" i="26" s="1"/>
  <c r="BR32" i="26" s="1"/>
  <c r="I56" i="22"/>
  <c r="J56" i="2"/>
  <c r="C57" i="22" s="1"/>
  <c r="E57" i="22" s="1"/>
  <c r="F57" i="22" s="1"/>
  <c r="G57" i="22" s="1"/>
  <c r="R24" i="25" l="1"/>
  <c r="T24" i="25" s="1"/>
  <c r="V24" i="25" s="1"/>
  <c r="BT24" i="25"/>
  <c r="BV24" i="25" s="1"/>
  <c r="BX24" i="25" s="1"/>
  <c r="AV24" i="25"/>
  <c r="AX24" i="25" s="1"/>
  <c r="AZ24" i="25" s="1"/>
  <c r="X24" i="25"/>
  <c r="Z24" i="25" s="1"/>
  <c r="AB24" i="25" s="1"/>
  <c r="AD24" i="25"/>
  <c r="AF24" i="25" s="1"/>
  <c r="AH24" i="25" s="1"/>
  <c r="BN24" i="25"/>
  <c r="BP24" i="25" s="1"/>
  <c r="BR24" i="25" s="1"/>
  <c r="BB24" i="25"/>
  <c r="BD24" i="25" s="1"/>
  <c r="BF24" i="25" s="1"/>
  <c r="BH24" i="25"/>
  <c r="BJ24" i="25" s="1"/>
  <c r="BL24" i="25" s="1"/>
  <c r="AP24" i="25"/>
  <c r="AR24" i="25" s="1"/>
  <c r="AT24" i="25" s="1"/>
  <c r="AJ24" i="25"/>
  <c r="AL24" i="25" s="1"/>
  <c r="AN24" i="25" s="1"/>
  <c r="X31" i="26"/>
  <c r="Z31" i="26" s="1"/>
  <c r="AB31" i="26" s="1"/>
  <c r="BT31" i="26"/>
  <c r="BV31" i="26" s="1"/>
  <c r="BX31" i="26" s="1"/>
  <c r="AD31" i="26"/>
  <c r="AF31" i="26" s="1"/>
  <c r="AH31" i="26" s="1"/>
  <c r="AV31" i="26"/>
  <c r="AX31" i="26" s="1"/>
  <c r="AZ31" i="26" s="1"/>
  <c r="BH31" i="26"/>
  <c r="BJ31" i="26" s="1"/>
  <c r="BL31" i="26" s="1"/>
  <c r="AP31" i="26"/>
  <c r="AR31" i="26" s="1"/>
  <c r="AT31" i="26" s="1"/>
  <c r="BB31" i="26"/>
  <c r="BD31" i="26" s="1"/>
  <c r="BF31" i="26" s="1"/>
  <c r="BN31" i="26"/>
  <c r="BP31" i="26" s="1"/>
  <c r="BR31" i="26" s="1"/>
  <c r="AJ31" i="26"/>
  <c r="AL31" i="26" s="1"/>
  <c r="AN31" i="26" s="1"/>
  <c r="R31" i="26"/>
  <c r="T31" i="26" s="1"/>
  <c r="V31" i="26" s="1"/>
  <c r="I57" i="22"/>
  <c r="J57" i="2"/>
  <c r="C58" i="22" s="1"/>
  <c r="X23" i="25" l="1"/>
  <c r="Z23" i="25" s="1"/>
  <c r="AB23" i="25" s="1"/>
  <c r="AJ23" i="25"/>
  <c r="AL23" i="25" s="1"/>
  <c r="AN23" i="25" s="1"/>
  <c r="AP23" i="25"/>
  <c r="AR23" i="25" s="1"/>
  <c r="AT23" i="25" s="1"/>
  <c r="AD23" i="25"/>
  <c r="AF23" i="25" s="1"/>
  <c r="AH23" i="25" s="1"/>
  <c r="AV23" i="25"/>
  <c r="AX23" i="25" s="1"/>
  <c r="AZ23" i="25" s="1"/>
  <c r="BB23" i="25"/>
  <c r="BD23" i="25" s="1"/>
  <c r="BF23" i="25" s="1"/>
  <c r="BN23" i="25"/>
  <c r="BP23" i="25" s="1"/>
  <c r="BR23" i="25" s="1"/>
  <c r="R23" i="25"/>
  <c r="T23" i="25" s="1"/>
  <c r="V23" i="25" s="1"/>
  <c r="BH23" i="25"/>
  <c r="BJ23" i="25" s="1"/>
  <c r="BL23" i="25" s="1"/>
  <c r="BT23" i="25"/>
  <c r="BV23" i="25" s="1"/>
  <c r="BX23" i="25" s="1"/>
  <c r="X30" i="26"/>
  <c r="Z30" i="26" s="1"/>
  <c r="AB30" i="26" s="1"/>
  <c r="BN30" i="26"/>
  <c r="BP30" i="26" s="1"/>
  <c r="BR30" i="26" s="1"/>
  <c r="BB30" i="26"/>
  <c r="BD30" i="26" s="1"/>
  <c r="BF30" i="26" s="1"/>
  <c r="AD30" i="26"/>
  <c r="AF30" i="26" s="1"/>
  <c r="AH30" i="26" s="1"/>
  <c r="R30" i="26"/>
  <c r="T30" i="26" s="1"/>
  <c r="V30" i="26" s="1"/>
  <c r="AV30" i="26"/>
  <c r="AX30" i="26" s="1"/>
  <c r="AZ30" i="26" s="1"/>
  <c r="AP30" i="26"/>
  <c r="AR30" i="26" s="1"/>
  <c r="AT30" i="26" s="1"/>
  <c r="BT30" i="26"/>
  <c r="BV30" i="26" s="1"/>
  <c r="BX30" i="26" s="1"/>
  <c r="BH30" i="26"/>
  <c r="BJ30" i="26" s="1"/>
  <c r="BL30" i="26" s="1"/>
  <c r="AJ30" i="26"/>
  <c r="AL30" i="26" s="1"/>
  <c r="AN30" i="26" s="1"/>
  <c r="E58" i="22"/>
  <c r="F58" i="22" s="1"/>
  <c r="G58" i="22" s="1"/>
  <c r="J58" i="2"/>
  <c r="C59" i="22" s="1"/>
  <c r="E59" i="22" s="1"/>
  <c r="F59" i="22" s="1"/>
  <c r="G59" i="22" s="1"/>
  <c r="BB22" i="25" l="1"/>
  <c r="BD22" i="25" s="1"/>
  <c r="BF22" i="25" s="1"/>
  <c r="AJ22" i="25"/>
  <c r="AL22" i="25" s="1"/>
  <c r="AN22" i="25" s="1"/>
  <c r="AD22" i="25"/>
  <c r="AF22" i="25" s="1"/>
  <c r="AH22" i="25" s="1"/>
  <c r="BT22" i="25"/>
  <c r="BV22" i="25" s="1"/>
  <c r="BX22" i="25" s="1"/>
  <c r="BN22" i="25"/>
  <c r="BP22" i="25" s="1"/>
  <c r="BR22" i="25" s="1"/>
  <c r="R22" i="25"/>
  <c r="T22" i="25" s="1"/>
  <c r="V22" i="25" s="1"/>
  <c r="AP22" i="25"/>
  <c r="AR22" i="25" s="1"/>
  <c r="AT22" i="25" s="1"/>
  <c r="BH22" i="25"/>
  <c r="BJ22" i="25" s="1"/>
  <c r="BL22" i="25" s="1"/>
  <c r="AV22" i="25"/>
  <c r="AX22" i="25" s="1"/>
  <c r="AZ22" i="25" s="1"/>
  <c r="X22" i="25"/>
  <c r="Z22" i="25" s="1"/>
  <c r="AB22" i="25" s="1"/>
  <c r="X29" i="26"/>
  <c r="Z29" i="26" s="1"/>
  <c r="AB29" i="26" s="1"/>
  <c r="AP29" i="26"/>
  <c r="AR29" i="26" s="1"/>
  <c r="AT29" i="26" s="1"/>
  <c r="R29" i="26"/>
  <c r="T29" i="26" s="1"/>
  <c r="V29" i="26" s="1"/>
  <c r="BH29" i="26"/>
  <c r="BJ29" i="26" s="1"/>
  <c r="BL29" i="26" s="1"/>
  <c r="BT29" i="26"/>
  <c r="BV29" i="26" s="1"/>
  <c r="BX29" i="26" s="1"/>
  <c r="AD29" i="26"/>
  <c r="AF29" i="26" s="1"/>
  <c r="AH29" i="26" s="1"/>
  <c r="BN29" i="26"/>
  <c r="BP29" i="26" s="1"/>
  <c r="BR29" i="26" s="1"/>
  <c r="AJ29" i="26"/>
  <c r="AL29" i="26" s="1"/>
  <c r="AN29" i="26" s="1"/>
  <c r="AV29" i="26"/>
  <c r="AX29" i="26" s="1"/>
  <c r="AZ29" i="26" s="1"/>
  <c r="BB29" i="26"/>
  <c r="BD29" i="26" s="1"/>
  <c r="BF29" i="26" s="1"/>
  <c r="I58" i="22"/>
  <c r="I59" i="22"/>
  <c r="J59" i="2"/>
  <c r="C60" i="22" s="1"/>
  <c r="BH21" i="25" l="1"/>
  <c r="BJ21" i="25" s="1"/>
  <c r="BL21" i="25" s="1"/>
  <c r="AD21" i="25"/>
  <c r="AF21" i="25" s="1"/>
  <c r="AH21" i="25" s="1"/>
  <c r="AP21" i="25"/>
  <c r="AR21" i="25" s="1"/>
  <c r="AT21" i="25" s="1"/>
  <c r="X21" i="25"/>
  <c r="Z21" i="25" s="1"/>
  <c r="AB21" i="25" s="1"/>
  <c r="BT21" i="25"/>
  <c r="BV21" i="25" s="1"/>
  <c r="BX21" i="25" s="1"/>
  <c r="BN21" i="25"/>
  <c r="BP21" i="25" s="1"/>
  <c r="BR21" i="25" s="1"/>
  <c r="BB21" i="25"/>
  <c r="BD21" i="25" s="1"/>
  <c r="BF21" i="25" s="1"/>
  <c r="R21" i="25"/>
  <c r="T21" i="25" s="1"/>
  <c r="V21" i="25" s="1"/>
  <c r="AV21" i="25"/>
  <c r="AX21" i="25" s="1"/>
  <c r="AZ21" i="25" s="1"/>
  <c r="AJ21" i="25"/>
  <c r="AL21" i="25" s="1"/>
  <c r="AN21" i="25" s="1"/>
  <c r="X28" i="26"/>
  <c r="Z28" i="26" s="1"/>
  <c r="AB28" i="26" s="1"/>
  <c r="BH28" i="26"/>
  <c r="BJ28" i="26" s="1"/>
  <c r="BL28" i="26" s="1"/>
  <c r="BN28" i="26"/>
  <c r="BP28" i="26" s="1"/>
  <c r="BR28" i="26" s="1"/>
  <c r="BT28" i="26"/>
  <c r="BV28" i="26" s="1"/>
  <c r="BX28" i="26" s="1"/>
  <c r="AD28" i="26"/>
  <c r="AF28" i="26" s="1"/>
  <c r="AH28" i="26" s="1"/>
  <c r="BB28" i="26"/>
  <c r="BD28" i="26" s="1"/>
  <c r="BF28" i="26" s="1"/>
  <c r="AJ28" i="26"/>
  <c r="AL28" i="26" s="1"/>
  <c r="AN28" i="26" s="1"/>
  <c r="AP28" i="26"/>
  <c r="AR28" i="26" s="1"/>
  <c r="AT28" i="26" s="1"/>
  <c r="AV28" i="26"/>
  <c r="AX28" i="26" s="1"/>
  <c r="AZ28" i="26" s="1"/>
  <c r="R28" i="26"/>
  <c r="T28" i="26" s="1"/>
  <c r="V28" i="26" s="1"/>
  <c r="E60" i="22"/>
  <c r="F60" i="22" s="1"/>
  <c r="G60" i="22" s="1"/>
  <c r="J60" i="2"/>
  <c r="C61" i="22" s="1"/>
  <c r="E61" i="22" s="1"/>
  <c r="F61" i="22" s="1"/>
  <c r="G61" i="22" s="1"/>
  <c r="BB20" i="25" l="1"/>
  <c r="BD20" i="25" s="1"/>
  <c r="BF20" i="25" s="1"/>
  <c r="BH20" i="25"/>
  <c r="BJ20" i="25" s="1"/>
  <c r="BL20" i="25" s="1"/>
  <c r="AD20" i="25"/>
  <c r="AF20" i="25" s="1"/>
  <c r="AH20" i="25" s="1"/>
  <c r="AJ20" i="25"/>
  <c r="AL20" i="25" s="1"/>
  <c r="AN20" i="25" s="1"/>
  <c r="BT20" i="25"/>
  <c r="BV20" i="25" s="1"/>
  <c r="BX20" i="25" s="1"/>
  <c r="AP20" i="25"/>
  <c r="AR20" i="25" s="1"/>
  <c r="AT20" i="25" s="1"/>
  <c r="R20" i="25"/>
  <c r="T20" i="25" s="1"/>
  <c r="V20" i="25" s="1"/>
  <c r="X20" i="25"/>
  <c r="Z20" i="25" s="1"/>
  <c r="AB20" i="25" s="1"/>
  <c r="AV20" i="25"/>
  <c r="AX20" i="25" s="1"/>
  <c r="AZ20" i="25" s="1"/>
  <c r="BN20" i="25"/>
  <c r="BP20" i="25" s="1"/>
  <c r="BR20" i="25" s="1"/>
  <c r="X27" i="26"/>
  <c r="Z27" i="26" s="1"/>
  <c r="AB27" i="26" s="1"/>
  <c r="BN27" i="26"/>
  <c r="BP27" i="26" s="1"/>
  <c r="BR27" i="26" s="1"/>
  <c r="BB27" i="26"/>
  <c r="BD27" i="26" s="1"/>
  <c r="BF27" i="26" s="1"/>
  <c r="BH27" i="26"/>
  <c r="BJ27" i="26" s="1"/>
  <c r="BL27" i="26" s="1"/>
  <c r="BT27" i="26"/>
  <c r="BV27" i="26" s="1"/>
  <c r="BX27" i="26" s="1"/>
  <c r="AP27" i="26"/>
  <c r="AR27" i="26" s="1"/>
  <c r="AT27" i="26" s="1"/>
  <c r="R27" i="26"/>
  <c r="T27" i="26" s="1"/>
  <c r="V27" i="26" s="1"/>
  <c r="AD27" i="26"/>
  <c r="AF27" i="26" s="1"/>
  <c r="AH27" i="26" s="1"/>
  <c r="AV27" i="26"/>
  <c r="AX27" i="26" s="1"/>
  <c r="AZ27" i="26" s="1"/>
  <c r="AJ27" i="26"/>
  <c r="AL27" i="26" s="1"/>
  <c r="AN27" i="26" s="1"/>
  <c r="I61" i="22"/>
  <c r="I60" i="22"/>
  <c r="J61" i="2"/>
  <c r="C62" i="22" s="1"/>
  <c r="BB19" i="25" l="1"/>
  <c r="BD19" i="25" s="1"/>
  <c r="BF19" i="25" s="1"/>
  <c r="BN19" i="25"/>
  <c r="BP19" i="25" s="1"/>
  <c r="BR19" i="25" s="1"/>
  <c r="BT19" i="25"/>
  <c r="BV19" i="25" s="1"/>
  <c r="BX19" i="25" s="1"/>
  <c r="X19" i="25"/>
  <c r="Z19" i="25" s="1"/>
  <c r="AB19" i="25" s="1"/>
  <c r="AV19" i="25"/>
  <c r="AX19" i="25" s="1"/>
  <c r="AZ19" i="25" s="1"/>
  <c r="AJ19" i="25"/>
  <c r="AL19" i="25" s="1"/>
  <c r="AN19" i="25" s="1"/>
  <c r="R19" i="25"/>
  <c r="T19" i="25" s="1"/>
  <c r="V19" i="25" s="1"/>
  <c r="AD19" i="25"/>
  <c r="AF19" i="25" s="1"/>
  <c r="AH19" i="25" s="1"/>
  <c r="AP19" i="25"/>
  <c r="AR19" i="25" s="1"/>
  <c r="AT19" i="25" s="1"/>
  <c r="BH19" i="25"/>
  <c r="BJ19" i="25" s="1"/>
  <c r="BL19" i="25" s="1"/>
  <c r="X26" i="26"/>
  <c r="Z26" i="26" s="1"/>
  <c r="AB26" i="26" s="1"/>
  <c r="BB26" i="26"/>
  <c r="BD26" i="26" s="1"/>
  <c r="BF26" i="26" s="1"/>
  <c r="AJ26" i="26"/>
  <c r="AL26" i="26" s="1"/>
  <c r="AN26" i="26" s="1"/>
  <c r="BH26" i="26"/>
  <c r="BJ26" i="26" s="1"/>
  <c r="BL26" i="26" s="1"/>
  <c r="BT26" i="26"/>
  <c r="BV26" i="26" s="1"/>
  <c r="BX26" i="26" s="1"/>
  <c r="AD26" i="26"/>
  <c r="AF26" i="26" s="1"/>
  <c r="AH26" i="26" s="1"/>
  <c r="R26" i="26"/>
  <c r="T26" i="26" s="1"/>
  <c r="V26" i="26" s="1"/>
  <c r="BN26" i="26"/>
  <c r="BP26" i="26" s="1"/>
  <c r="BR26" i="26" s="1"/>
  <c r="AP26" i="26"/>
  <c r="AR26" i="26" s="1"/>
  <c r="AT26" i="26" s="1"/>
  <c r="AV26" i="26"/>
  <c r="AX26" i="26" s="1"/>
  <c r="AZ26" i="26" s="1"/>
  <c r="E62" i="22"/>
  <c r="F62" i="22" s="1"/>
  <c r="G62" i="22" s="1"/>
  <c r="J62" i="2"/>
  <c r="C63" i="22" s="1"/>
  <c r="AV18" i="25" l="1"/>
  <c r="AX18" i="25" s="1"/>
  <c r="AZ18" i="25" s="1"/>
  <c r="AD18" i="25"/>
  <c r="AF18" i="25" s="1"/>
  <c r="AH18" i="25" s="1"/>
  <c r="R18" i="25"/>
  <c r="T18" i="25" s="1"/>
  <c r="V18" i="25" s="1"/>
  <c r="BB18" i="25"/>
  <c r="BD18" i="25" s="1"/>
  <c r="BF18" i="25" s="1"/>
  <c r="BH18" i="25"/>
  <c r="BJ18" i="25" s="1"/>
  <c r="BL18" i="25" s="1"/>
  <c r="AP18" i="25"/>
  <c r="AR18" i="25" s="1"/>
  <c r="AT18" i="25" s="1"/>
  <c r="AJ18" i="25"/>
  <c r="AL18" i="25" s="1"/>
  <c r="AN18" i="25" s="1"/>
  <c r="BT18" i="25"/>
  <c r="BV18" i="25" s="1"/>
  <c r="BX18" i="25" s="1"/>
  <c r="X18" i="25"/>
  <c r="Z18" i="25" s="1"/>
  <c r="AB18" i="25" s="1"/>
  <c r="BN18" i="25"/>
  <c r="BP18" i="25" s="1"/>
  <c r="BR18" i="25" s="1"/>
  <c r="X25" i="26"/>
  <c r="Z25" i="26" s="1"/>
  <c r="AB25" i="26" s="1"/>
  <c r="BN25" i="26"/>
  <c r="BP25" i="26" s="1"/>
  <c r="BR25" i="26" s="1"/>
  <c r="BT25" i="26"/>
  <c r="BV25" i="26" s="1"/>
  <c r="BX25" i="26" s="1"/>
  <c r="AP25" i="26"/>
  <c r="AR25" i="26" s="1"/>
  <c r="AT25" i="26" s="1"/>
  <c r="R25" i="26"/>
  <c r="T25" i="26" s="1"/>
  <c r="V25" i="26" s="1"/>
  <c r="AJ25" i="26"/>
  <c r="AL25" i="26" s="1"/>
  <c r="AN25" i="26" s="1"/>
  <c r="AV25" i="26"/>
  <c r="AX25" i="26" s="1"/>
  <c r="AZ25" i="26" s="1"/>
  <c r="AD25" i="26"/>
  <c r="AF25" i="26" s="1"/>
  <c r="AH25" i="26" s="1"/>
  <c r="BH25" i="26"/>
  <c r="BJ25" i="26" s="1"/>
  <c r="BL25" i="26" s="1"/>
  <c r="BB25" i="26"/>
  <c r="BD25" i="26" s="1"/>
  <c r="BF25" i="26" s="1"/>
  <c r="I62" i="22"/>
  <c r="E63" i="22"/>
  <c r="F63" i="22" s="1"/>
  <c r="G63" i="22" s="1"/>
  <c r="J63" i="2"/>
  <c r="C64" i="22" s="1"/>
  <c r="AV17" i="25" l="1"/>
  <c r="AX17" i="25" s="1"/>
  <c r="AZ17" i="25" s="1"/>
  <c r="AJ17" i="25"/>
  <c r="AL17" i="25" s="1"/>
  <c r="AN17" i="25" s="1"/>
  <c r="BT17" i="25"/>
  <c r="BV17" i="25" s="1"/>
  <c r="BX17" i="25" s="1"/>
  <c r="BH17" i="25"/>
  <c r="BJ17" i="25" s="1"/>
  <c r="BL17" i="25" s="1"/>
  <c r="BN17" i="25"/>
  <c r="BP17" i="25" s="1"/>
  <c r="BR17" i="25" s="1"/>
  <c r="R17" i="25"/>
  <c r="T17" i="25" s="1"/>
  <c r="V17" i="25" s="1"/>
  <c r="AP17" i="25"/>
  <c r="AR17" i="25" s="1"/>
  <c r="AT17" i="25" s="1"/>
  <c r="X17" i="25"/>
  <c r="Z17" i="25" s="1"/>
  <c r="AB17" i="25" s="1"/>
  <c r="BB17" i="25"/>
  <c r="BD17" i="25" s="1"/>
  <c r="BF17" i="25" s="1"/>
  <c r="AD17" i="25"/>
  <c r="AF17" i="25" s="1"/>
  <c r="AH17" i="25" s="1"/>
  <c r="X24" i="26"/>
  <c r="Z24" i="26" s="1"/>
  <c r="AB24" i="26" s="1"/>
  <c r="BN24" i="26"/>
  <c r="BP24" i="26" s="1"/>
  <c r="BR24" i="26" s="1"/>
  <c r="AV24" i="26"/>
  <c r="AX24" i="26" s="1"/>
  <c r="AZ24" i="26" s="1"/>
  <c r="BH24" i="26"/>
  <c r="BJ24" i="26" s="1"/>
  <c r="BL24" i="26" s="1"/>
  <c r="AP24" i="26"/>
  <c r="AR24" i="26" s="1"/>
  <c r="AT24" i="26" s="1"/>
  <c r="AJ24" i="26"/>
  <c r="AL24" i="26" s="1"/>
  <c r="AN24" i="26" s="1"/>
  <c r="BT24" i="26"/>
  <c r="BV24" i="26" s="1"/>
  <c r="BX24" i="26" s="1"/>
  <c r="AD24" i="26"/>
  <c r="AF24" i="26" s="1"/>
  <c r="AH24" i="26" s="1"/>
  <c r="R24" i="26"/>
  <c r="T24" i="26" s="1"/>
  <c r="V24" i="26" s="1"/>
  <c r="BB24" i="26"/>
  <c r="BD24" i="26" s="1"/>
  <c r="BF24" i="26" s="1"/>
  <c r="I63" i="22"/>
  <c r="E64" i="22"/>
  <c r="F64" i="22" s="1"/>
  <c r="G64" i="22" s="1"/>
  <c r="J64" i="2"/>
  <c r="C65" i="22" s="1"/>
  <c r="AV16" i="25" l="1"/>
  <c r="AX16" i="25" s="1"/>
  <c r="AZ16" i="25" s="1"/>
  <c r="X16" i="25"/>
  <c r="Z16" i="25" s="1"/>
  <c r="AB16" i="25" s="1"/>
  <c r="AP16" i="25"/>
  <c r="AR16" i="25" s="1"/>
  <c r="AT16" i="25" s="1"/>
  <c r="BN16" i="25"/>
  <c r="BP16" i="25" s="1"/>
  <c r="BR16" i="25" s="1"/>
  <c r="AD16" i="25"/>
  <c r="AF16" i="25" s="1"/>
  <c r="AH16" i="25" s="1"/>
  <c r="R16" i="25"/>
  <c r="T16" i="25" s="1"/>
  <c r="V16" i="25" s="1"/>
  <c r="BT16" i="25"/>
  <c r="BV16" i="25" s="1"/>
  <c r="BX16" i="25" s="1"/>
  <c r="BB16" i="25"/>
  <c r="BD16" i="25" s="1"/>
  <c r="BF16" i="25" s="1"/>
  <c r="AJ16" i="25"/>
  <c r="AL16" i="25" s="1"/>
  <c r="AN16" i="25" s="1"/>
  <c r="BH16" i="25"/>
  <c r="BJ16" i="25" s="1"/>
  <c r="BL16" i="25" s="1"/>
  <c r="X23" i="26"/>
  <c r="Z23" i="26" s="1"/>
  <c r="AB23" i="26" s="1"/>
  <c r="AP23" i="26"/>
  <c r="AR23" i="26" s="1"/>
  <c r="AT23" i="26" s="1"/>
  <c r="BB23" i="26"/>
  <c r="BD23" i="26" s="1"/>
  <c r="BF23" i="26" s="1"/>
  <c r="R23" i="26"/>
  <c r="T23" i="26" s="1"/>
  <c r="V23" i="26" s="1"/>
  <c r="AD23" i="26"/>
  <c r="AF23" i="26" s="1"/>
  <c r="AH23" i="26" s="1"/>
  <c r="BT23" i="26"/>
  <c r="BV23" i="26" s="1"/>
  <c r="BX23" i="26" s="1"/>
  <c r="BH23" i="26"/>
  <c r="BJ23" i="26" s="1"/>
  <c r="BL23" i="26" s="1"/>
  <c r="BN23" i="26"/>
  <c r="BP23" i="26" s="1"/>
  <c r="BR23" i="26" s="1"/>
  <c r="AJ23" i="26"/>
  <c r="AL23" i="26" s="1"/>
  <c r="AN23" i="26" s="1"/>
  <c r="AV23" i="26"/>
  <c r="AX23" i="26" s="1"/>
  <c r="AZ23" i="26" s="1"/>
  <c r="E65" i="22"/>
  <c r="F65" i="22" s="1"/>
  <c r="G65" i="22" s="1"/>
  <c r="I64" i="22"/>
  <c r="J65" i="2"/>
  <c r="C66" i="22" s="1"/>
  <c r="R15" i="25" l="1"/>
  <c r="T15" i="25" s="1"/>
  <c r="V15" i="25" s="1"/>
  <c r="AD15" i="25"/>
  <c r="AF15" i="25" s="1"/>
  <c r="AH15" i="25" s="1"/>
  <c r="AP15" i="25"/>
  <c r="AR15" i="25" s="1"/>
  <c r="AT15" i="25" s="1"/>
  <c r="AJ15" i="25"/>
  <c r="AL15" i="25" s="1"/>
  <c r="AN15" i="25" s="1"/>
  <c r="BH15" i="25"/>
  <c r="BJ15" i="25" s="1"/>
  <c r="BL15" i="25" s="1"/>
  <c r="BN15" i="25"/>
  <c r="BP15" i="25" s="1"/>
  <c r="BR15" i="25" s="1"/>
  <c r="AV15" i="25"/>
  <c r="AX15" i="25" s="1"/>
  <c r="AZ15" i="25" s="1"/>
  <c r="BB15" i="25"/>
  <c r="BD15" i="25" s="1"/>
  <c r="BF15" i="25" s="1"/>
  <c r="X15" i="25"/>
  <c r="Z15" i="25" s="1"/>
  <c r="AB15" i="25" s="1"/>
  <c r="BT15" i="25"/>
  <c r="BV15" i="25" s="1"/>
  <c r="BX15" i="25" s="1"/>
  <c r="X22" i="26"/>
  <c r="Z22" i="26" s="1"/>
  <c r="AB22" i="26" s="1"/>
  <c r="BH22" i="26"/>
  <c r="BJ22" i="26" s="1"/>
  <c r="BL22" i="26" s="1"/>
  <c r="AJ22" i="26"/>
  <c r="AL22" i="26" s="1"/>
  <c r="AN22" i="26" s="1"/>
  <c r="BB22" i="26"/>
  <c r="BD22" i="26" s="1"/>
  <c r="BF22" i="26" s="1"/>
  <c r="BN22" i="26"/>
  <c r="BP22" i="26" s="1"/>
  <c r="BR22" i="26" s="1"/>
  <c r="BT22" i="26"/>
  <c r="BV22" i="26" s="1"/>
  <c r="BX22" i="26" s="1"/>
  <c r="AP22" i="26"/>
  <c r="AR22" i="26" s="1"/>
  <c r="AT22" i="26" s="1"/>
  <c r="AD22" i="26"/>
  <c r="AF22" i="26" s="1"/>
  <c r="AH22" i="26" s="1"/>
  <c r="AV22" i="26"/>
  <c r="AX22" i="26" s="1"/>
  <c r="AZ22" i="26" s="1"/>
  <c r="R22" i="26"/>
  <c r="T22" i="26" s="1"/>
  <c r="V22" i="26" s="1"/>
  <c r="I65" i="22"/>
  <c r="E66" i="22"/>
  <c r="F66" i="22" s="1"/>
  <c r="G66" i="22" s="1"/>
  <c r="J66" i="2"/>
  <c r="C67" i="22" s="1"/>
  <c r="E67" i="22" s="1"/>
  <c r="F67" i="22" s="1"/>
  <c r="G67" i="22" s="1"/>
  <c r="AV14" i="25" l="1"/>
  <c r="AX14" i="25" s="1"/>
  <c r="AZ14" i="25" s="1"/>
  <c r="BN14" i="25"/>
  <c r="BP14" i="25" s="1"/>
  <c r="BR14" i="25" s="1"/>
  <c r="BB14" i="25"/>
  <c r="BD14" i="25" s="1"/>
  <c r="BF14" i="25" s="1"/>
  <c r="AJ14" i="25"/>
  <c r="AL14" i="25" s="1"/>
  <c r="AN14" i="25" s="1"/>
  <c r="BH14" i="25"/>
  <c r="BJ14" i="25" s="1"/>
  <c r="BL14" i="25" s="1"/>
  <c r="BT14" i="25"/>
  <c r="BV14" i="25" s="1"/>
  <c r="BX14" i="25" s="1"/>
  <c r="AP14" i="25"/>
  <c r="AR14" i="25" s="1"/>
  <c r="AT14" i="25" s="1"/>
  <c r="AD14" i="25"/>
  <c r="AF14" i="25" s="1"/>
  <c r="AH14" i="25" s="1"/>
  <c r="R14" i="25"/>
  <c r="T14" i="25" s="1"/>
  <c r="V14" i="25" s="1"/>
  <c r="X14" i="25"/>
  <c r="Z14" i="25" s="1"/>
  <c r="AB14" i="25" s="1"/>
  <c r="X21" i="26"/>
  <c r="Z21" i="26" s="1"/>
  <c r="AB21" i="26" s="1"/>
  <c r="BB21" i="26"/>
  <c r="BD21" i="26" s="1"/>
  <c r="BF21" i="26" s="1"/>
  <c r="R21" i="26"/>
  <c r="T21" i="26" s="1"/>
  <c r="V21" i="26" s="1"/>
  <c r="AJ21" i="26"/>
  <c r="AL21" i="26" s="1"/>
  <c r="AN21" i="26" s="1"/>
  <c r="BH21" i="26"/>
  <c r="BJ21" i="26" s="1"/>
  <c r="BL21" i="26" s="1"/>
  <c r="AP21" i="26"/>
  <c r="AR21" i="26" s="1"/>
  <c r="AT21" i="26" s="1"/>
  <c r="BN21" i="26"/>
  <c r="BP21" i="26" s="1"/>
  <c r="BR21" i="26" s="1"/>
  <c r="BT21" i="26"/>
  <c r="BV21" i="26" s="1"/>
  <c r="BX21" i="26" s="1"/>
  <c r="AV21" i="26"/>
  <c r="AX21" i="26" s="1"/>
  <c r="AZ21" i="26" s="1"/>
  <c r="AD21" i="26"/>
  <c r="AF21" i="26" s="1"/>
  <c r="AH21" i="26" s="1"/>
  <c r="I67" i="22"/>
  <c r="I66" i="22"/>
  <c r="J67" i="2"/>
  <c r="C68" i="22" s="1"/>
  <c r="E68" i="22" s="1"/>
  <c r="F68" i="22" s="1"/>
  <c r="G68" i="22" s="1"/>
  <c r="R13" i="25" l="1"/>
  <c r="T13" i="25" s="1"/>
  <c r="V13" i="25" s="1"/>
  <c r="X13" i="25"/>
  <c r="Z13" i="25" s="1"/>
  <c r="AB13" i="25" s="1"/>
  <c r="AJ13" i="25"/>
  <c r="AL13" i="25" s="1"/>
  <c r="AN13" i="25" s="1"/>
  <c r="BH13" i="25"/>
  <c r="BJ13" i="25" s="1"/>
  <c r="BL13" i="25" s="1"/>
  <c r="BB13" i="25"/>
  <c r="BD13" i="25" s="1"/>
  <c r="BF13" i="25" s="1"/>
  <c r="BN13" i="25"/>
  <c r="BP13" i="25" s="1"/>
  <c r="BR13" i="25" s="1"/>
  <c r="BT13" i="25"/>
  <c r="BV13" i="25" s="1"/>
  <c r="BX13" i="25" s="1"/>
  <c r="AD13" i="25"/>
  <c r="AF13" i="25" s="1"/>
  <c r="AH13" i="25" s="1"/>
  <c r="AP13" i="25"/>
  <c r="AR13" i="25" s="1"/>
  <c r="AT13" i="25" s="1"/>
  <c r="AV13" i="25"/>
  <c r="AX13" i="25" s="1"/>
  <c r="AZ13" i="25" s="1"/>
  <c r="X20" i="26"/>
  <c r="Z20" i="26" s="1"/>
  <c r="AB20" i="26" s="1"/>
  <c r="BH20" i="26"/>
  <c r="BJ20" i="26" s="1"/>
  <c r="BL20" i="26" s="1"/>
  <c r="AP20" i="26"/>
  <c r="AR20" i="26" s="1"/>
  <c r="AT20" i="26" s="1"/>
  <c r="BN20" i="26"/>
  <c r="BP20" i="26" s="1"/>
  <c r="BR20" i="26" s="1"/>
  <c r="AJ20" i="26"/>
  <c r="AL20" i="26" s="1"/>
  <c r="AN20" i="26" s="1"/>
  <c r="R20" i="26"/>
  <c r="T20" i="26" s="1"/>
  <c r="V20" i="26" s="1"/>
  <c r="BB20" i="26"/>
  <c r="BD20" i="26" s="1"/>
  <c r="BF20" i="26" s="1"/>
  <c r="AD20" i="26"/>
  <c r="AF20" i="26" s="1"/>
  <c r="AH20" i="26" s="1"/>
  <c r="BT20" i="26"/>
  <c r="BV20" i="26" s="1"/>
  <c r="BX20" i="26" s="1"/>
  <c r="AV20" i="26"/>
  <c r="AX20" i="26" s="1"/>
  <c r="AZ20" i="26" s="1"/>
  <c r="I68" i="22"/>
  <c r="J68" i="2"/>
  <c r="C69" i="22" s="1"/>
  <c r="BT12" i="25" l="1"/>
  <c r="BV12" i="25" s="1"/>
  <c r="BX12" i="25" s="1"/>
  <c r="BB12" i="25"/>
  <c r="BD12" i="25" s="1"/>
  <c r="BF12" i="25" s="1"/>
  <c r="AD12" i="25"/>
  <c r="AF12" i="25" s="1"/>
  <c r="AH12" i="25" s="1"/>
  <c r="R12" i="25"/>
  <c r="T12" i="25" s="1"/>
  <c r="V12" i="25" s="1"/>
  <c r="AV12" i="25"/>
  <c r="AX12" i="25" s="1"/>
  <c r="AZ12" i="25" s="1"/>
  <c r="BN12" i="25"/>
  <c r="BP12" i="25" s="1"/>
  <c r="BR12" i="25" s="1"/>
  <c r="AJ12" i="25"/>
  <c r="AL12" i="25" s="1"/>
  <c r="AN12" i="25" s="1"/>
  <c r="AP12" i="25"/>
  <c r="AR12" i="25" s="1"/>
  <c r="AT12" i="25" s="1"/>
  <c r="BH12" i="25"/>
  <c r="BJ12" i="25" s="1"/>
  <c r="BL12" i="25" s="1"/>
  <c r="X12" i="25"/>
  <c r="Z12" i="25" s="1"/>
  <c r="AB12" i="25" s="1"/>
  <c r="X19" i="26"/>
  <c r="Z19" i="26" s="1"/>
  <c r="AB19" i="26" s="1"/>
  <c r="AJ19" i="26"/>
  <c r="AL19" i="26" s="1"/>
  <c r="AN19" i="26" s="1"/>
  <c r="AP19" i="26"/>
  <c r="AR19" i="26" s="1"/>
  <c r="AT19" i="26" s="1"/>
  <c r="BN19" i="26"/>
  <c r="BP19" i="26" s="1"/>
  <c r="BR19" i="26" s="1"/>
  <c r="BH19" i="26"/>
  <c r="BJ19" i="26" s="1"/>
  <c r="BL19" i="26" s="1"/>
  <c r="BB19" i="26"/>
  <c r="BD19" i="26" s="1"/>
  <c r="BF19" i="26" s="1"/>
  <c r="BT19" i="26"/>
  <c r="BV19" i="26" s="1"/>
  <c r="BX19" i="26" s="1"/>
  <c r="R19" i="26"/>
  <c r="T19" i="26" s="1"/>
  <c r="V19" i="26" s="1"/>
  <c r="AV19" i="26"/>
  <c r="AX19" i="26" s="1"/>
  <c r="AZ19" i="26" s="1"/>
  <c r="AD19" i="26"/>
  <c r="AF19" i="26" s="1"/>
  <c r="AH19" i="26" s="1"/>
  <c r="E69" i="22"/>
  <c r="F69" i="22" s="1"/>
  <c r="G69" i="22" s="1"/>
  <c r="J69" i="2"/>
  <c r="C70" i="22" s="1"/>
  <c r="J70" i="2"/>
  <c r="C71" i="22" s="1"/>
  <c r="E71" i="22" l="1"/>
  <c r="F71" i="22" s="1"/>
  <c r="G71" i="22" s="1"/>
  <c r="AD11" i="25"/>
  <c r="AF11" i="25" s="1"/>
  <c r="AH11" i="25" s="1"/>
  <c r="BN11" i="25"/>
  <c r="BP11" i="25" s="1"/>
  <c r="BR11" i="25" s="1"/>
  <c r="R11" i="25"/>
  <c r="T11" i="25" s="1"/>
  <c r="V11" i="25" s="1"/>
  <c r="X11" i="25"/>
  <c r="Z11" i="25" s="1"/>
  <c r="AB11" i="25" s="1"/>
  <c r="AV11" i="25"/>
  <c r="AX11" i="25" s="1"/>
  <c r="AZ11" i="25" s="1"/>
  <c r="BH11" i="25"/>
  <c r="BJ11" i="25" s="1"/>
  <c r="BL11" i="25" s="1"/>
  <c r="AP11" i="25"/>
  <c r="AR11" i="25" s="1"/>
  <c r="AT11" i="25" s="1"/>
  <c r="AJ11" i="25"/>
  <c r="AL11" i="25" s="1"/>
  <c r="AN11" i="25" s="1"/>
  <c r="BT11" i="25"/>
  <c r="BV11" i="25" s="1"/>
  <c r="BX11" i="25" s="1"/>
  <c r="BB11" i="25"/>
  <c r="BD11" i="25" s="1"/>
  <c r="BF11" i="25" s="1"/>
  <c r="X18" i="26"/>
  <c r="Z18" i="26" s="1"/>
  <c r="AB18" i="26" s="1"/>
  <c r="AV18" i="26"/>
  <c r="AX18" i="26" s="1"/>
  <c r="AZ18" i="26" s="1"/>
  <c r="BB18" i="26"/>
  <c r="BD18" i="26" s="1"/>
  <c r="BF18" i="26" s="1"/>
  <c r="AP18" i="26"/>
  <c r="AR18" i="26" s="1"/>
  <c r="AT18" i="26" s="1"/>
  <c r="AJ18" i="26"/>
  <c r="AL18" i="26" s="1"/>
  <c r="AN18" i="26" s="1"/>
  <c r="BH18" i="26"/>
  <c r="BJ18" i="26" s="1"/>
  <c r="BL18" i="26" s="1"/>
  <c r="BT18" i="26"/>
  <c r="BV18" i="26" s="1"/>
  <c r="BX18" i="26" s="1"/>
  <c r="AD18" i="26"/>
  <c r="AF18" i="26" s="1"/>
  <c r="AH18" i="26" s="1"/>
  <c r="BN18" i="26"/>
  <c r="BP18" i="26" s="1"/>
  <c r="BR18" i="26" s="1"/>
  <c r="R18" i="26"/>
  <c r="T18" i="26" s="1"/>
  <c r="V18" i="26" s="1"/>
  <c r="I69" i="22"/>
  <c r="H70" i="22"/>
  <c r="E70" i="22"/>
  <c r="F70" i="22" s="1"/>
  <c r="G70" i="22" s="1"/>
  <c r="H64" i="22" s="1"/>
  <c r="J64" i="22" s="1"/>
  <c r="AA70" i="13"/>
  <c r="Y70" i="13"/>
  <c r="T70" i="13"/>
  <c r="R70" i="13"/>
  <c r="E70" i="13"/>
  <c r="G70" i="13" s="1"/>
  <c r="AA69" i="13"/>
  <c r="Y69" i="13"/>
  <c r="T69" i="13"/>
  <c r="R69" i="13"/>
  <c r="E69" i="13"/>
  <c r="G69" i="13" s="1"/>
  <c r="AA68" i="13"/>
  <c r="Y68" i="13"/>
  <c r="T68" i="13"/>
  <c r="R68" i="13"/>
  <c r="E68" i="13"/>
  <c r="G68" i="13" s="1"/>
  <c r="AA67" i="13"/>
  <c r="Y67" i="13"/>
  <c r="T67" i="13"/>
  <c r="R67" i="13"/>
  <c r="E67" i="13"/>
  <c r="AA66" i="13"/>
  <c r="Y66" i="13"/>
  <c r="T66" i="13"/>
  <c r="R66" i="13"/>
  <c r="E66" i="13"/>
  <c r="AA65" i="13"/>
  <c r="Y65" i="13"/>
  <c r="T65" i="13"/>
  <c r="R65" i="13"/>
  <c r="E65" i="13"/>
  <c r="AA64" i="13"/>
  <c r="Y64" i="13"/>
  <c r="T64" i="13"/>
  <c r="R64" i="13"/>
  <c r="E64" i="13"/>
  <c r="AA63" i="13"/>
  <c r="Y63" i="13"/>
  <c r="T63" i="13"/>
  <c r="R63" i="13"/>
  <c r="E63" i="13"/>
  <c r="AA62" i="13"/>
  <c r="Y62" i="13"/>
  <c r="T62" i="13"/>
  <c r="R62" i="13"/>
  <c r="E62" i="13"/>
  <c r="G62" i="13" s="1"/>
  <c r="AA61" i="13"/>
  <c r="Y61" i="13"/>
  <c r="T61" i="13"/>
  <c r="R61" i="13"/>
  <c r="E61" i="13"/>
  <c r="AA60" i="13"/>
  <c r="Y60" i="13"/>
  <c r="T60" i="13"/>
  <c r="R60" i="13"/>
  <c r="E60" i="13"/>
  <c r="AA59" i="13"/>
  <c r="Y59" i="13"/>
  <c r="T59" i="13"/>
  <c r="R59" i="13"/>
  <c r="E59" i="13"/>
  <c r="AA58" i="13"/>
  <c r="Y58" i="13"/>
  <c r="T58" i="13"/>
  <c r="R58" i="13"/>
  <c r="E58" i="13"/>
  <c r="AA57" i="13"/>
  <c r="Y57" i="13"/>
  <c r="T57" i="13"/>
  <c r="R57" i="13"/>
  <c r="E57" i="13"/>
  <c r="AA56" i="13"/>
  <c r="Y56" i="13"/>
  <c r="T56" i="13"/>
  <c r="R56" i="13"/>
  <c r="E56" i="13"/>
  <c r="AA55" i="13"/>
  <c r="Y55" i="13"/>
  <c r="T55" i="13"/>
  <c r="R55" i="13"/>
  <c r="E55" i="13"/>
  <c r="G55" i="13" s="1"/>
  <c r="AA54" i="13"/>
  <c r="Y54" i="13"/>
  <c r="T54" i="13"/>
  <c r="R54" i="13"/>
  <c r="E54" i="13"/>
  <c r="F54" i="13" s="1"/>
  <c r="AA53" i="13"/>
  <c r="Y53" i="13"/>
  <c r="T53" i="13"/>
  <c r="R53" i="13"/>
  <c r="E53" i="13"/>
  <c r="AA52" i="13"/>
  <c r="Y52" i="13"/>
  <c r="T52" i="13"/>
  <c r="R52" i="13"/>
  <c r="E52" i="13"/>
  <c r="G52" i="13" s="1"/>
  <c r="AA51" i="13"/>
  <c r="Y51" i="13"/>
  <c r="T51" i="13"/>
  <c r="R51" i="13"/>
  <c r="E51" i="13"/>
  <c r="AA50" i="13"/>
  <c r="Y50" i="13"/>
  <c r="T50" i="13"/>
  <c r="R50" i="13"/>
  <c r="E50" i="13"/>
  <c r="G50" i="13" s="1"/>
  <c r="AA49" i="13"/>
  <c r="Y49" i="13"/>
  <c r="T49" i="13"/>
  <c r="R49" i="13"/>
  <c r="E49" i="13"/>
  <c r="AA48" i="13"/>
  <c r="Y48" i="13"/>
  <c r="T48" i="13"/>
  <c r="R48" i="13"/>
  <c r="E48" i="13"/>
  <c r="AA47" i="13"/>
  <c r="Y47" i="13"/>
  <c r="T47" i="13"/>
  <c r="R47" i="13"/>
  <c r="E47" i="13"/>
  <c r="G47" i="13" s="1"/>
  <c r="AA46" i="13"/>
  <c r="Y46" i="13"/>
  <c r="T46" i="13"/>
  <c r="R46" i="13"/>
  <c r="E46" i="13"/>
  <c r="G46" i="13" s="1"/>
  <c r="AA45" i="13"/>
  <c r="Y45" i="13"/>
  <c r="T45" i="13"/>
  <c r="R45" i="13"/>
  <c r="E45" i="13"/>
  <c r="F45" i="13" s="1"/>
  <c r="AA44" i="13"/>
  <c r="Y44" i="13"/>
  <c r="T44" i="13"/>
  <c r="R44" i="13"/>
  <c r="E44" i="13"/>
  <c r="G44" i="13" s="1"/>
  <c r="AA43" i="13"/>
  <c r="Y43" i="13"/>
  <c r="T43" i="13"/>
  <c r="R43" i="13"/>
  <c r="E43" i="13"/>
  <c r="AA42" i="13"/>
  <c r="Y42" i="13"/>
  <c r="T42" i="13"/>
  <c r="R42" i="13"/>
  <c r="E42" i="13"/>
  <c r="G42" i="13" s="1"/>
  <c r="AA41" i="13"/>
  <c r="Y41" i="13"/>
  <c r="T41" i="13"/>
  <c r="R41" i="13"/>
  <c r="E41" i="13"/>
  <c r="AA40" i="13"/>
  <c r="Y40" i="13"/>
  <c r="T40" i="13"/>
  <c r="R40" i="13"/>
  <c r="E40" i="13"/>
  <c r="G40" i="13" s="1"/>
  <c r="AA39" i="13"/>
  <c r="Y39" i="13"/>
  <c r="T39" i="13"/>
  <c r="R39" i="13"/>
  <c r="E39" i="13"/>
  <c r="F39" i="13" s="1"/>
  <c r="AA38" i="13"/>
  <c r="Y38" i="13"/>
  <c r="T38" i="13"/>
  <c r="R38" i="13"/>
  <c r="E38" i="13"/>
  <c r="J38" i="13" s="1"/>
  <c r="AA37" i="13"/>
  <c r="Y37" i="13"/>
  <c r="T37" i="13"/>
  <c r="R37" i="13"/>
  <c r="E37" i="13"/>
  <c r="AA36" i="13"/>
  <c r="Y36" i="13"/>
  <c r="T36" i="13"/>
  <c r="R36" i="13"/>
  <c r="E36" i="13"/>
  <c r="AA35" i="13"/>
  <c r="Y35" i="13"/>
  <c r="T35" i="13"/>
  <c r="R35" i="13"/>
  <c r="E35" i="13"/>
  <c r="AA34" i="13"/>
  <c r="Y34" i="13"/>
  <c r="T34" i="13"/>
  <c r="R34" i="13"/>
  <c r="E34" i="13"/>
  <c r="AA33" i="13"/>
  <c r="Y33" i="13"/>
  <c r="T33" i="13"/>
  <c r="R33" i="13"/>
  <c r="E33" i="13"/>
  <c r="F33" i="13" s="1"/>
  <c r="AA32" i="13"/>
  <c r="Y32" i="13"/>
  <c r="T32" i="13"/>
  <c r="R32" i="13"/>
  <c r="E32" i="13"/>
  <c r="J32" i="13" s="1"/>
  <c r="AA31" i="13"/>
  <c r="Y31" i="13"/>
  <c r="T31" i="13"/>
  <c r="R31" i="13"/>
  <c r="E31" i="13"/>
  <c r="F31" i="13" s="1"/>
  <c r="AA30" i="13"/>
  <c r="Y30" i="13"/>
  <c r="T30" i="13"/>
  <c r="R30" i="13"/>
  <c r="E30" i="13"/>
  <c r="J30" i="13" s="1"/>
  <c r="AA29" i="13"/>
  <c r="Y29" i="13"/>
  <c r="T29" i="13"/>
  <c r="R29" i="13"/>
  <c r="E29" i="13"/>
  <c r="AA28" i="13"/>
  <c r="Y28" i="13"/>
  <c r="T28" i="13"/>
  <c r="R28" i="13"/>
  <c r="E28" i="13"/>
  <c r="AA27" i="13"/>
  <c r="Y27" i="13"/>
  <c r="T27" i="13"/>
  <c r="R27" i="13"/>
  <c r="E27" i="13"/>
  <c r="AA26" i="13"/>
  <c r="Y26" i="13"/>
  <c r="T26" i="13"/>
  <c r="R26" i="13"/>
  <c r="E26" i="13"/>
  <c r="AA25" i="13"/>
  <c r="Y25" i="13"/>
  <c r="T25" i="13"/>
  <c r="R25" i="13"/>
  <c r="E25" i="13"/>
  <c r="F25" i="13" s="1"/>
  <c r="AA24" i="13"/>
  <c r="Y24" i="13"/>
  <c r="T24" i="13"/>
  <c r="R24" i="13"/>
  <c r="E24" i="13"/>
  <c r="J24" i="13" s="1"/>
  <c r="AA23" i="13"/>
  <c r="Y23" i="13"/>
  <c r="T23" i="13"/>
  <c r="R23" i="13"/>
  <c r="E23" i="13"/>
  <c r="F23" i="13" s="1"/>
  <c r="AA22" i="13"/>
  <c r="Y22" i="13"/>
  <c r="T22" i="13"/>
  <c r="R22" i="13"/>
  <c r="E22" i="13"/>
  <c r="J22" i="13" s="1"/>
  <c r="AA21" i="13"/>
  <c r="Y21" i="13"/>
  <c r="T21" i="13"/>
  <c r="R21" i="13"/>
  <c r="E21" i="13"/>
  <c r="F21" i="13" s="1"/>
  <c r="AA20" i="13"/>
  <c r="Y20" i="13"/>
  <c r="T20" i="13"/>
  <c r="R20" i="13"/>
  <c r="E20" i="13"/>
  <c r="AA19" i="13"/>
  <c r="Y19" i="13"/>
  <c r="T19" i="13"/>
  <c r="R19" i="13"/>
  <c r="E19" i="13"/>
  <c r="J19" i="13" s="1"/>
  <c r="AA18" i="13"/>
  <c r="Y18" i="13"/>
  <c r="T18" i="13"/>
  <c r="R18" i="13"/>
  <c r="E18" i="13"/>
  <c r="AA17" i="13"/>
  <c r="Y17" i="13"/>
  <c r="T17" i="13"/>
  <c r="R17" i="13"/>
  <c r="E17" i="13"/>
  <c r="AA16" i="13"/>
  <c r="Y16" i="13"/>
  <c r="T16" i="13"/>
  <c r="R16" i="13"/>
  <c r="E16" i="13"/>
  <c r="G16" i="13" s="1"/>
  <c r="AA15" i="13"/>
  <c r="Y15" i="13"/>
  <c r="T15" i="13"/>
  <c r="R15" i="13"/>
  <c r="E15" i="13"/>
  <c r="AA14" i="13"/>
  <c r="Y14" i="13"/>
  <c r="T14" i="13"/>
  <c r="R14" i="13"/>
  <c r="E14" i="13"/>
  <c r="G14" i="13" s="1"/>
  <c r="AA13" i="13"/>
  <c r="Y13" i="13"/>
  <c r="T13" i="13"/>
  <c r="R13" i="13"/>
  <c r="E13" i="13"/>
  <c r="AA12" i="13"/>
  <c r="Y12" i="13"/>
  <c r="T12" i="13"/>
  <c r="R12" i="13"/>
  <c r="E12" i="13"/>
  <c r="G12" i="13" s="1"/>
  <c r="AA11" i="13"/>
  <c r="Y11" i="13"/>
  <c r="T11" i="13"/>
  <c r="R11" i="13"/>
  <c r="E11" i="13"/>
  <c r="AA10" i="13"/>
  <c r="Y10" i="13"/>
  <c r="T10" i="13"/>
  <c r="R10" i="13"/>
  <c r="E10" i="13"/>
  <c r="G10" i="13" s="1"/>
  <c r="AA9" i="13"/>
  <c r="Y9" i="13"/>
  <c r="T9" i="13"/>
  <c r="R9" i="13"/>
  <c r="E9" i="13"/>
  <c r="AA8" i="13"/>
  <c r="Y8" i="13"/>
  <c r="T8" i="13"/>
  <c r="R8" i="13"/>
  <c r="E8" i="13"/>
  <c r="AA7" i="13"/>
  <c r="Y7" i="13"/>
  <c r="T7" i="13"/>
  <c r="R7" i="13"/>
  <c r="E7" i="13"/>
  <c r="AA6" i="13"/>
  <c r="Y6" i="13"/>
  <c r="T6" i="13"/>
  <c r="R6" i="13"/>
  <c r="E6" i="13"/>
  <c r="G6" i="13" s="1"/>
  <c r="AA5" i="13"/>
  <c r="Y5" i="13"/>
  <c r="T5" i="13"/>
  <c r="R5" i="13"/>
  <c r="E5" i="13"/>
  <c r="AA4" i="13"/>
  <c r="Y4" i="13"/>
  <c r="T4" i="13"/>
  <c r="R4" i="13"/>
  <c r="E4" i="13"/>
  <c r="AB7" i="13" l="1"/>
  <c r="AB11" i="13"/>
  <c r="AB15" i="13"/>
  <c r="AB19" i="13"/>
  <c r="AB23" i="13"/>
  <c r="AB27" i="13"/>
  <c r="AB31" i="13"/>
  <c r="AB35" i="13"/>
  <c r="AB39" i="13"/>
  <c r="AB43" i="13"/>
  <c r="AB47" i="13"/>
  <c r="AB51" i="13"/>
  <c r="AB55" i="13"/>
  <c r="AB59" i="13"/>
  <c r="AB5" i="13"/>
  <c r="AB9" i="13"/>
  <c r="AB13" i="13"/>
  <c r="AB17" i="13"/>
  <c r="AB21" i="13"/>
  <c r="AB25" i="13"/>
  <c r="AB29" i="13"/>
  <c r="AB33" i="13"/>
  <c r="AB37" i="13"/>
  <c r="AB41" i="13"/>
  <c r="AB45" i="13"/>
  <c r="AB49" i="13"/>
  <c r="AB53" i="13"/>
  <c r="AB57" i="13"/>
  <c r="AB61" i="13"/>
  <c r="AB65" i="13"/>
  <c r="AB69" i="13"/>
  <c r="AB63" i="13"/>
  <c r="AB67" i="13"/>
  <c r="AB6" i="13"/>
  <c r="AB10" i="13"/>
  <c r="AB14" i="13"/>
  <c r="AB18" i="13"/>
  <c r="AB22" i="13"/>
  <c r="AB26" i="13"/>
  <c r="AB30" i="13"/>
  <c r="AB34" i="13"/>
  <c r="AB38" i="13"/>
  <c r="AB42" i="13"/>
  <c r="AB46" i="13"/>
  <c r="AB50" i="13"/>
  <c r="AB54" i="13"/>
  <c r="AB58" i="13"/>
  <c r="AB62" i="13"/>
  <c r="AB66" i="13"/>
  <c r="AB70" i="13"/>
  <c r="AB8" i="13"/>
  <c r="AB12" i="13"/>
  <c r="AB16" i="13"/>
  <c r="AB20" i="13"/>
  <c r="AB24" i="13"/>
  <c r="AB28" i="13"/>
  <c r="AB32" i="13"/>
  <c r="AB36" i="13"/>
  <c r="AB40" i="13"/>
  <c r="AB44" i="13"/>
  <c r="AB48" i="13"/>
  <c r="AB52" i="13"/>
  <c r="AB56" i="13"/>
  <c r="AB60" i="13"/>
  <c r="AB64" i="13"/>
  <c r="AB68" i="13"/>
  <c r="R10" i="25"/>
  <c r="T10" i="25" s="1"/>
  <c r="V10" i="25" s="1"/>
  <c r="AP10" i="25"/>
  <c r="AR10" i="25" s="1"/>
  <c r="AT10" i="25" s="1"/>
  <c r="BH10" i="25"/>
  <c r="BJ10" i="25" s="1"/>
  <c r="BL10" i="25" s="1"/>
  <c r="AD10" i="25"/>
  <c r="AF10" i="25" s="1"/>
  <c r="AH10" i="25" s="1"/>
  <c r="BN10" i="25"/>
  <c r="BP10" i="25" s="1"/>
  <c r="BR10" i="25" s="1"/>
  <c r="X10" i="25"/>
  <c r="Z10" i="25" s="1"/>
  <c r="AB10" i="25" s="1"/>
  <c r="BT10" i="25"/>
  <c r="BV10" i="25" s="1"/>
  <c r="BX10" i="25" s="1"/>
  <c r="BB10" i="25"/>
  <c r="BD10" i="25" s="1"/>
  <c r="BF10" i="25" s="1"/>
  <c r="AJ10" i="25"/>
  <c r="AL10" i="25" s="1"/>
  <c r="AN10" i="25" s="1"/>
  <c r="AV10" i="25"/>
  <c r="AX10" i="25" s="1"/>
  <c r="AZ10" i="25" s="1"/>
  <c r="X17" i="26"/>
  <c r="Z17" i="26" s="1"/>
  <c r="AB17" i="26" s="1"/>
  <c r="R17" i="26"/>
  <c r="T17" i="26" s="1"/>
  <c r="V17" i="26" s="1"/>
  <c r="BH17" i="26"/>
  <c r="BJ17" i="26" s="1"/>
  <c r="BL17" i="26" s="1"/>
  <c r="BB17" i="26"/>
  <c r="BD17" i="26" s="1"/>
  <c r="BF17" i="26" s="1"/>
  <c r="AP17" i="26"/>
  <c r="AR17" i="26" s="1"/>
  <c r="AT17" i="26" s="1"/>
  <c r="AD17" i="26"/>
  <c r="AF17" i="26" s="1"/>
  <c r="AH17" i="26" s="1"/>
  <c r="AJ17" i="26"/>
  <c r="AL17" i="26" s="1"/>
  <c r="AN17" i="26" s="1"/>
  <c r="BN17" i="26"/>
  <c r="BP17" i="26" s="1"/>
  <c r="BR17" i="26" s="1"/>
  <c r="BT17" i="26"/>
  <c r="BV17" i="26" s="1"/>
  <c r="BX17" i="26" s="1"/>
  <c r="AV17" i="26"/>
  <c r="AX17" i="26" s="1"/>
  <c r="AZ17" i="26" s="1"/>
  <c r="H61" i="22"/>
  <c r="J61" i="22" s="1"/>
  <c r="H57" i="22"/>
  <c r="J57" i="22" s="1"/>
  <c r="H54" i="22"/>
  <c r="J54" i="22" s="1"/>
  <c r="H51" i="22"/>
  <c r="J51" i="22" s="1"/>
  <c r="H46" i="22"/>
  <c r="J46" i="22" s="1"/>
  <c r="H41" i="22"/>
  <c r="J41" i="22" s="1"/>
  <c r="H38" i="22"/>
  <c r="J38" i="22" s="1"/>
  <c r="H34" i="22"/>
  <c r="J34" i="22" s="1"/>
  <c r="H30" i="22"/>
  <c r="J30" i="22" s="1"/>
  <c r="H28" i="22"/>
  <c r="J28" i="22" s="1"/>
  <c r="H22" i="22"/>
  <c r="J22" i="22" s="1"/>
  <c r="H16" i="22"/>
  <c r="J16" i="22" s="1"/>
  <c r="H13" i="22"/>
  <c r="J13" i="22" s="1"/>
  <c r="H10" i="22"/>
  <c r="J10" i="22" s="1"/>
  <c r="H6" i="22"/>
  <c r="J6" i="22" s="1"/>
  <c r="M6" i="22"/>
  <c r="H66" i="22"/>
  <c r="J66" i="22" s="1"/>
  <c r="H63" i="22"/>
  <c r="J63" i="22" s="1"/>
  <c r="H55" i="22"/>
  <c r="J55" i="22" s="1"/>
  <c r="H53" i="22"/>
  <c r="J53" i="22" s="1"/>
  <c r="H50" i="22"/>
  <c r="J50" i="22" s="1"/>
  <c r="H45" i="22"/>
  <c r="J45" i="22" s="1"/>
  <c r="H40" i="22"/>
  <c r="J40" i="22" s="1"/>
  <c r="H37" i="22"/>
  <c r="J37" i="22" s="1"/>
  <c r="H33" i="22"/>
  <c r="J33" i="22" s="1"/>
  <c r="H31" i="22"/>
  <c r="J31" i="22" s="1"/>
  <c r="H23" i="22"/>
  <c r="J23" i="22" s="1"/>
  <c r="H21" i="22"/>
  <c r="J21" i="22" s="1"/>
  <c r="H18" i="22"/>
  <c r="J18" i="22" s="1"/>
  <c r="H11" i="22"/>
  <c r="J11" i="22" s="1"/>
  <c r="H8" i="22"/>
  <c r="J8" i="22" s="1"/>
  <c r="H5" i="22"/>
  <c r="J5" i="22" s="1"/>
  <c r="H69" i="22"/>
  <c r="J69" i="22" s="1"/>
  <c r="I70" i="22"/>
  <c r="J70" i="22" s="1"/>
  <c r="H60" i="22"/>
  <c r="J60" i="22" s="1"/>
  <c r="H59" i="22"/>
  <c r="J59" i="22" s="1"/>
  <c r="H49" i="22"/>
  <c r="J49" i="22" s="1"/>
  <c r="H48" i="22"/>
  <c r="J48" i="22" s="1"/>
  <c r="H44" i="22"/>
  <c r="J44" i="22" s="1"/>
  <c r="H42" i="22"/>
  <c r="J42" i="22" s="1"/>
  <c r="H35" i="22"/>
  <c r="J35" i="22" s="1"/>
  <c r="H32" i="22"/>
  <c r="J32" i="22" s="1"/>
  <c r="H27" i="22"/>
  <c r="J27" i="22" s="1"/>
  <c r="H25" i="22"/>
  <c r="J25" i="22" s="1"/>
  <c r="H20" i="22"/>
  <c r="J20" i="22" s="1"/>
  <c r="H17" i="22"/>
  <c r="J17" i="22" s="1"/>
  <c r="H12" i="22"/>
  <c r="J12" i="22" s="1"/>
  <c r="H9" i="22"/>
  <c r="J9" i="22" s="1"/>
  <c r="H4" i="22"/>
  <c r="J4" i="22" s="1"/>
  <c r="H67" i="22"/>
  <c r="J67" i="22" s="1"/>
  <c r="H62" i="22"/>
  <c r="J62" i="22" s="1"/>
  <c r="H58" i="22"/>
  <c r="J58" i="22" s="1"/>
  <c r="H56" i="22"/>
  <c r="J56" i="22" s="1"/>
  <c r="H52" i="22"/>
  <c r="J52" i="22" s="1"/>
  <c r="H47" i="22"/>
  <c r="J47" i="22" s="1"/>
  <c r="H43" i="22"/>
  <c r="J43" i="22" s="1"/>
  <c r="H39" i="22"/>
  <c r="J39" i="22" s="1"/>
  <c r="H36" i="22"/>
  <c r="J36" i="22" s="1"/>
  <c r="H29" i="22"/>
  <c r="J29" i="22" s="1"/>
  <c r="H26" i="22"/>
  <c r="J26" i="22" s="1"/>
  <c r="H24" i="22"/>
  <c r="J24" i="22" s="1"/>
  <c r="H19" i="22"/>
  <c r="J19" i="22" s="1"/>
  <c r="H15" i="22"/>
  <c r="J15" i="22" s="1"/>
  <c r="H14" i="22"/>
  <c r="J14" i="22" s="1"/>
  <c r="H7" i="22"/>
  <c r="J7" i="22" s="1"/>
  <c r="I71" i="22"/>
  <c r="J71" i="22" s="1"/>
  <c r="H65" i="22"/>
  <c r="J65" i="22" s="1"/>
  <c r="H68" i="22"/>
  <c r="J68" i="22" s="1"/>
  <c r="J21" i="13"/>
  <c r="J47" i="13"/>
  <c r="G18" i="13"/>
  <c r="J18" i="13"/>
  <c r="F43" i="13"/>
  <c r="J43" i="13"/>
  <c r="G48" i="13"/>
  <c r="F48" i="13"/>
  <c r="F18" i="13"/>
  <c r="G43" i="13"/>
  <c r="J48" i="13"/>
  <c r="J14" i="13"/>
  <c r="G4" i="13"/>
  <c r="J4" i="13"/>
  <c r="F19" i="13"/>
  <c r="G19" i="13"/>
  <c r="G8" i="13"/>
  <c r="J8" i="13"/>
  <c r="F27" i="13"/>
  <c r="J27" i="13"/>
  <c r="F29" i="13"/>
  <c r="J29" i="13"/>
  <c r="F41" i="13"/>
  <c r="J41" i="13"/>
  <c r="G41" i="13"/>
  <c r="G27" i="13"/>
  <c r="F37" i="13"/>
  <c r="J37" i="13"/>
  <c r="F35" i="13"/>
  <c r="J35" i="13"/>
  <c r="G35" i="13"/>
  <c r="G58" i="13"/>
  <c r="J58" i="13"/>
  <c r="G53" i="13"/>
  <c r="J53" i="13"/>
  <c r="G60" i="13"/>
  <c r="J60" i="13"/>
  <c r="J63" i="13"/>
  <c r="G63" i="13"/>
  <c r="F63" i="13"/>
  <c r="G56" i="13"/>
  <c r="F56" i="13"/>
  <c r="J56" i="13"/>
  <c r="J65" i="13"/>
  <c r="G65" i="13"/>
  <c r="F65" i="13"/>
  <c r="J54" i="13"/>
  <c r="G49" i="13"/>
  <c r="J49" i="13"/>
  <c r="G51" i="13"/>
  <c r="J51" i="13"/>
  <c r="F6" i="13"/>
  <c r="H6" i="13" s="1"/>
  <c r="I6" i="13" s="1"/>
  <c r="F12" i="13"/>
  <c r="H12" i="13" s="1"/>
  <c r="I12" i="13" s="1"/>
  <c r="F16" i="13"/>
  <c r="H16" i="13" s="1"/>
  <c r="I16" i="13" s="1"/>
  <c r="G45" i="13"/>
  <c r="H45" i="13" s="1"/>
  <c r="I45" i="13" s="1"/>
  <c r="F50" i="13"/>
  <c r="H50" i="13" s="1"/>
  <c r="I50" i="13" s="1"/>
  <c r="F52" i="13"/>
  <c r="H52" i="13" s="1"/>
  <c r="I52" i="13" s="1"/>
  <c r="J6" i="13"/>
  <c r="F10" i="13"/>
  <c r="H10" i="13" s="1"/>
  <c r="I10" i="13" s="1"/>
  <c r="J12" i="13"/>
  <c r="J16" i="13"/>
  <c r="G23" i="13"/>
  <c r="H23" i="13" s="1"/>
  <c r="I23" i="13" s="1"/>
  <c r="G25" i="13"/>
  <c r="H25" i="13" s="1"/>
  <c r="I25" i="13" s="1"/>
  <c r="G31" i="13"/>
  <c r="H31" i="13" s="1"/>
  <c r="I31" i="13" s="1"/>
  <c r="G33" i="13"/>
  <c r="H33" i="13" s="1"/>
  <c r="I33" i="13" s="1"/>
  <c r="G39" i="13"/>
  <c r="H39" i="13" s="1"/>
  <c r="I39" i="13" s="1"/>
  <c r="J45" i="13"/>
  <c r="J50" i="13"/>
  <c r="J52" i="13"/>
  <c r="J55" i="13"/>
  <c r="G57" i="13"/>
  <c r="J57" i="13"/>
  <c r="G59" i="13"/>
  <c r="J59" i="13"/>
  <c r="F4" i="13"/>
  <c r="F8" i="13"/>
  <c r="J10" i="13"/>
  <c r="F14" i="13"/>
  <c r="H14" i="13" s="1"/>
  <c r="I14" i="13" s="1"/>
  <c r="G21" i="13"/>
  <c r="H21" i="13" s="1"/>
  <c r="I21" i="13" s="1"/>
  <c r="J23" i="13"/>
  <c r="J25" i="13"/>
  <c r="G29" i="13"/>
  <c r="J31" i="13"/>
  <c r="J33" i="13"/>
  <c r="G37" i="13"/>
  <c r="J39" i="13"/>
  <c r="G54" i="13"/>
  <c r="H54" i="13" s="1"/>
  <c r="I54" i="13" s="1"/>
  <c r="F58" i="13"/>
  <c r="F60" i="13"/>
  <c r="J69" i="13"/>
  <c r="G11" i="13"/>
  <c r="J11" i="13"/>
  <c r="F11" i="13"/>
  <c r="G26" i="13"/>
  <c r="F26" i="13"/>
  <c r="G34" i="13"/>
  <c r="F34" i="13"/>
  <c r="J64" i="13"/>
  <c r="F64" i="13"/>
  <c r="G64" i="13"/>
  <c r="G5" i="13"/>
  <c r="J5" i="13"/>
  <c r="F5" i="13"/>
  <c r="G13" i="13"/>
  <c r="J13" i="13"/>
  <c r="F13" i="13"/>
  <c r="G20" i="13"/>
  <c r="F20" i="13"/>
  <c r="G28" i="13"/>
  <c r="F28" i="13"/>
  <c r="G36" i="13"/>
  <c r="F36" i="13"/>
  <c r="G7" i="13"/>
  <c r="J7" i="13"/>
  <c r="F7" i="13"/>
  <c r="G15" i="13"/>
  <c r="J15" i="13"/>
  <c r="F15" i="13"/>
  <c r="G22" i="13"/>
  <c r="F22" i="13"/>
  <c r="J26" i="13"/>
  <c r="G30" i="13"/>
  <c r="F30" i="13"/>
  <c r="J34" i="13"/>
  <c r="G38" i="13"/>
  <c r="F38" i="13"/>
  <c r="G9" i="13"/>
  <c r="J9" i="13"/>
  <c r="F9" i="13"/>
  <c r="G17" i="13"/>
  <c r="J17" i="13"/>
  <c r="F17" i="13"/>
  <c r="J20" i="13"/>
  <c r="G24" i="13"/>
  <c r="F24" i="13"/>
  <c r="J28" i="13"/>
  <c r="G32" i="13"/>
  <c r="F32" i="13"/>
  <c r="J36" i="13"/>
  <c r="J40" i="13"/>
  <c r="J42" i="13"/>
  <c r="J44" i="13"/>
  <c r="J46" i="13"/>
  <c r="J66" i="13"/>
  <c r="F66" i="13"/>
  <c r="G66" i="13"/>
  <c r="F67" i="13"/>
  <c r="G67" i="13"/>
  <c r="F40" i="13"/>
  <c r="H40" i="13" s="1"/>
  <c r="I40" i="13" s="1"/>
  <c r="F42" i="13"/>
  <c r="H42" i="13" s="1"/>
  <c r="I42" i="13" s="1"/>
  <c r="F44" i="13"/>
  <c r="H44" i="13" s="1"/>
  <c r="I44" i="13" s="1"/>
  <c r="F46" i="13"/>
  <c r="H46" i="13" s="1"/>
  <c r="I46" i="13" s="1"/>
  <c r="G61" i="13"/>
  <c r="J61" i="13"/>
  <c r="F47" i="13"/>
  <c r="H47" i="13" s="1"/>
  <c r="I47" i="13" s="1"/>
  <c r="F49" i="13"/>
  <c r="F51" i="13"/>
  <c r="F53" i="13"/>
  <c r="F55" i="13"/>
  <c r="H55" i="13" s="1"/>
  <c r="I55" i="13" s="1"/>
  <c r="F57" i="13"/>
  <c r="F59" i="13"/>
  <c r="F61" i="13"/>
  <c r="J67" i="13"/>
  <c r="F69" i="13"/>
  <c r="H69" i="13" s="1"/>
  <c r="I69" i="13" s="1"/>
  <c r="J68" i="13"/>
  <c r="F68" i="13"/>
  <c r="H68" i="13" s="1"/>
  <c r="I68" i="13" s="1"/>
  <c r="J62" i="13"/>
  <c r="F62" i="13"/>
  <c r="H62" i="13" s="1"/>
  <c r="I62" i="13" s="1"/>
  <c r="J70" i="13"/>
  <c r="F70" i="13"/>
  <c r="H70" i="13" s="1"/>
  <c r="I70" i="13" s="1"/>
  <c r="AD9" i="25" l="1"/>
  <c r="AF9" i="25" s="1"/>
  <c r="AH9" i="25" s="1"/>
  <c r="BB9" i="25"/>
  <c r="BD9" i="25" s="1"/>
  <c r="BF9" i="25" s="1"/>
  <c r="BT9" i="25"/>
  <c r="BV9" i="25" s="1"/>
  <c r="BX9" i="25" s="1"/>
  <c r="AV9" i="25"/>
  <c r="AX9" i="25" s="1"/>
  <c r="AZ9" i="25" s="1"/>
  <c r="AP9" i="25"/>
  <c r="AR9" i="25" s="1"/>
  <c r="AT9" i="25" s="1"/>
  <c r="R9" i="25"/>
  <c r="T9" i="25" s="1"/>
  <c r="V9" i="25" s="1"/>
  <c r="X9" i="25"/>
  <c r="Z9" i="25" s="1"/>
  <c r="AB9" i="25" s="1"/>
  <c r="BH9" i="25"/>
  <c r="BJ9" i="25" s="1"/>
  <c r="BL9" i="25" s="1"/>
  <c r="BN9" i="25"/>
  <c r="BP9" i="25" s="1"/>
  <c r="BR9" i="25" s="1"/>
  <c r="AJ9" i="25"/>
  <c r="AL9" i="25" s="1"/>
  <c r="AN9" i="25" s="1"/>
  <c r="X16" i="26"/>
  <c r="Z16" i="26" s="1"/>
  <c r="AB16" i="26" s="1"/>
  <c r="BH16" i="26"/>
  <c r="BJ16" i="26" s="1"/>
  <c r="BL16" i="26" s="1"/>
  <c r="BB16" i="26"/>
  <c r="BD16" i="26" s="1"/>
  <c r="BF16" i="26" s="1"/>
  <c r="BT16" i="26"/>
  <c r="BV16" i="26" s="1"/>
  <c r="BX16" i="26" s="1"/>
  <c r="AV16" i="26"/>
  <c r="AX16" i="26" s="1"/>
  <c r="AZ16" i="26" s="1"/>
  <c r="AJ16" i="26"/>
  <c r="AL16" i="26" s="1"/>
  <c r="AN16" i="26" s="1"/>
  <c r="BN16" i="26"/>
  <c r="BP16" i="26" s="1"/>
  <c r="BR16" i="26" s="1"/>
  <c r="AP16" i="26"/>
  <c r="AR16" i="26" s="1"/>
  <c r="AT16" i="26" s="1"/>
  <c r="R16" i="26"/>
  <c r="T16" i="26" s="1"/>
  <c r="V16" i="26" s="1"/>
  <c r="AD16" i="26"/>
  <c r="AF16" i="26" s="1"/>
  <c r="AH16" i="26" s="1"/>
  <c r="L4" i="22"/>
  <c r="M4" i="22" s="1"/>
  <c r="H63" i="13"/>
  <c r="I63" i="13" s="1"/>
  <c r="H8" i="13"/>
  <c r="I8" i="13" s="1"/>
  <c r="H30" i="13"/>
  <c r="I30" i="13" s="1"/>
  <c r="H26" i="13"/>
  <c r="I26" i="13" s="1"/>
  <c r="H48" i="13"/>
  <c r="I48" i="13" s="1"/>
  <c r="H19" i="13"/>
  <c r="I19" i="13" s="1"/>
  <c r="H58" i="13"/>
  <c r="I58" i="13" s="1"/>
  <c r="H53" i="13"/>
  <c r="I53" i="13" s="1"/>
  <c r="H35" i="13"/>
  <c r="I35" i="13" s="1"/>
  <c r="H51" i="13"/>
  <c r="I51" i="13" s="1"/>
  <c r="H4" i="13"/>
  <c r="I4" i="13" s="1"/>
  <c r="H18" i="13"/>
  <c r="I18" i="13" s="1"/>
  <c r="H43" i="13"/>
  <c r="I43" i="13" s="1"/>
  <c r="H49" i="13"/>
  <c r="I49" i="13" s="1"/>
  <c r="H60" i="13"/>
  <c r="I60" i="13" s="1"/>
  <c r="H29" i="13"/>
  <c r="I29" i="13" s="1"/>
  <c r="H65" i="13"/>
  <c r="I65" i="13" s="1"/>
  <c r="H56" i="13"/>
  <c r="I56" i="13" s="1"/>
  <c r="H41" i="13"/>
  <c r="I41" i="13" s="1"/>
  <c r="H27" i="13"/>
  <c r="I27" i="13" s="1"/>
  <c r="H57" i="13"/>
  <c r="I57" i="13" s="1"/>
  <c r="H37" i="13"/>
  <c r="I37" i="13" s="1"/>
  <c r="H9" i="13"/>
  <c r="I9" i="13" s="1"/>
  <c r="H7" i="13"/>
  <c r="I7" i="13" s="1"/>
  <c r="H5" i="13"/>
  <c r="I5" i="13" s="1"/>
  <c r="H38" i="13"/>
  <c r="I38" i="13" s="1"/>
  <c r="H28" i="13"/>
  <c r="I28" i="13" s="1"/>
  <c r="H64" i="13"/>
  <c r="I64" i="13" s="1"/>
  <c r="H61" i="13"/>
  <c r="I61" i="13" s="1"/>
  <c r="H59" i="13"/>
  <c r="I59" i="13" s="1"/>
  <c r="H34" i="13"/>
  <c r="I34" i="13" s="1"/>
  <c r="H67" i="13"/>
  <c r="I67" i="13" s="1"/>
  <c r="H17" i="13"/>
  <c r="I17" i="13" s="1"/>
  <c r="H11" i="13"/>
  <c r="I11" i="13" s="1"/>
  <c r="H66" i="13"/>
  <c r="I66" i="13" s="1"/>
  <c r="H32" i="13"/>
  <c r="I32" i="13" s="1"/>
  <c r="H24" i="13"/>
  <c r="I24" i="13" s="1"/>
  <c r="H22" i="13"/>
  <c r="I22" i="13" s="1"/>
  <c r="H15" i="13"/>
  <c r="I15" i="13" s="1"/>
  <c r="H36" i="13"/>
  <c r="I36" i="13" s="1"/>
  <c r="H20" i="13"/>
  <c r="I20" i="13" s="1"/>
  <c r="H13" i="13"/>
  <c r="I13" i="13" s="1"/>
  <c r="AD8" i="25" l="1"/>
  <c r="AF8" i="25" s="1"/>
  <c r="AH8" i="25" s="1"/>
  <c r="X8" i="25"/>
  <c r="Z8" i="25" s="1"/>
  <c r="AB8" i="25" s="1"/>
  <c r="R8" i="25"/>
  <c r="T8" i="25" s="1"/>
  <c r="V8" i="25" s="1"/>
  <c r="AV8" i="25"/>
  <c r="AX8" i="25" s="1"/>
  <c r="AZ8" i="25" s="1"/>
  <c r="BN8" i="25"/>
  <c r="BP8" i="25" s="1"/>
  <c r="BR8" i="25" s="1"/>
  <c r="BT8" i="25"/>
  <c r="BV8" i="25" s="1"/>
  <c r="BX8" i="25" s="1"/>
  <c r="BB8" i="25"/>
  <c r="BD8" i="25" s="1"/>
  <c r="BF8" i="25" s="1"/>
  <c r="AP8" i="25"/>
  <c r="AR8" i="25" s="1"/>
  <c r="AT8" i="25" s="1"/>
  <c r="AJ8" i="25"/>
  <c r="AL8" i="25" s="1"/>
  <c r="AN8" i="25" s="1"/>
  <c r="BH8" i="25"/>
  <c r="BJ8" i="25" s="1"/>
  <c r="BL8" i="25" s="1"/>
  <c r="X15" i="26"/>
  <c r="Z15" i="26" s="1"/>
  <c r="AB15" i="26" s="1"/>
  <c r="AJ15" i="26"/>
  <c r="AL15" i="26" s="1"/>
  <c r="AN15" i="26" s="1"/>
  <c r="BB15" i="26"/>
  <c r="BD15" i="26" s="1"/>
  <c r="BF15" i="26" s="1"/>
  <c r="AP15" i="26"/>
  <c r="AR15" i="26" s="1"/>
  <c r="AT15" i="26" s="1"/>
  <c r="BH15" i="26"/>
  <c r="BJ15" i="26" s="1"/>
  <c r="BL15" i="26" s="1"/>
  <c r="BN15" i="26"/>
  <c r="BP15" i="26" s="1"/>
  <c r="BR15" i="26" s="1"/>
  <c r="AD15" i="26"/>
  <c r="AF15" i="26" s="1"/>
  <c r="AH15" i="26" s="1"/>
  <c r="R15" i="26"/>
  <c r="T15" i="26" s="1"/>
  <c r="V15" i="26" s="1"/>
  <c r="BT15" i="26"/>
  <c r="BV15" i="26" s="1"/>
  <c r="BX15" i="26" s="1"/>
  <c r="AV15" i="26"/>
  <c r="AX15" i="26" s="1"/>
  <c r="AZ15" i="26" s="1"/>
  <c r="AI69" i="12"/>
  <c r="A69" i="12"/>
  <c r="AN68" i="12"/>
  <c r="AI68" i="12"/>
  <c r="F68" i="12"/>
  <c r="F67" i="12" s="1"/>
  <c r="F66" i="12" s="1"/>
  <c r="F65" i="12" s="1"/>
  <c r="C68" i="12"/>
  <c r="C67" i="12" s="1"/>
  <c r="C66" i="12" s="1"/>
  <c r="C65" i="12" s="1"/>
  <c r="C64" i="12" s="1"/>
  <c r="C63" i="12" s="1"/>
  <c r="C62" i="12" s="1"/>
  <c r="C61" i="12" s="1"/>
  <c r="C60" i="12" s="1"/>
  <c r="C59" i="12" s="1"/>
  <c r="C58" i="12" s="1"/>
  <c r="C57" i="12" s="1"/>
  <c r="C56" i="12" s="1"/>
  <c r="C55" i="12" s="1"/>
  <c r="C54" i="12" s="1"/>
  <c r="C53" i="12" s="1"/>
  <c r="C52" i="12" s="1"/>
  <c r="C51" i="12" s="1"/>
  <c r="C50" i="12" s="1"/>
  <c r="C49" i="12" s="1"/>
  <c r="C48" i="12" s="1"/>
  <c r="C47" i="12" s="1"/>
  <c r="C46" i="12" s="1"/>
  <c r="C45" i="12" s="1"/>
  <c r="C44" i="12" s="1"/>
  <c r="C43" i="12" s="1"/>
  <c r="C42" i="12" s="1"/>
  <c r="C41" i="12" s="1"/>
  <c r="C40" i="12" s="1"/>
  <c r="C39" i="12" s="1"/>
  <c r="C38" i="12" s="1"/>
  <c r="C37" i="12" s="1"/>
  <c r="C36" i="12" s="1"/>
  <c r="C35" i="12" s="1"/>
  <c r="C34" i="12" s="1"/>
  <c r="C33" i="12" s="1"/>
  <c r="C32" i="12" s="1"/>
  <c r="C31" i="12" s="1"/>
  <c r="C30" i="12" s="1"/>
  <c r="C29" i="12" s="1"/>
  <c r="C28" i="12" s="1"/>
  <c r="C27" i="12" s="1"/>
  <c r="C26" i="12" s="1"/>
  <c r="C25" i="12" s="1"/>
  <c r="C24" i="12" s="1"/>
  <c r="C23" i="12" s="1"/>
  <c r="C22" i="12" s="1"/>
  <c r="C21" i="12" s="1"/>
  <c r="C20" i="12" s="1"/>
  <c r="C19" i="12" s="1"/>
  <c r="C18" i="12" s="1"/>
  <c r="C17" i="12" s="1"/>
  <c r="C16" i="12" s="1"/>
  <c r="C15" i="12" s="1"/>
  <c r="C14" i="12" s="1"/>
  <c r="C13" i="12" s="1"/>
  <c r="C12" i="12" s="1"/>
  <c r="C11" i="12" s="1"/>
  <c r="C10" i="12" s="1"/>
  <c r="C9" i="12" s="1"/>
  <c r="C8" i="12" s="1"/>
  <c r="C7" i="12" s="1"/>
  <c r="C6" i="12" s="1"/>
  <c r="C5" i="12" s="1"/>
  <c r="C4" i="12" s="1"/>
  <c r="C3" i="12" s="1"/>
  <c r="B68" i="12"/>
  <c r="B67" i="12" s="1"/>
  <c r="A68" i="12"/>
  <c r="AI67" i="12"/>
  <c r="A67" i="12"/>
  <c r="AI66" i="12"/>
  <c r="A66" i="12"/>
  <c r="AI65" i="12"/>
  <c r="A65" i="12"/>
  <c r="AI64" i="12"/>
  <c r="A64" i="12"/>
  <c r="AI63" i="12"/>
  <c r="A63" i="12"/>
  <c r="AI62" i="12"/>
  <c r="A62" i="12"/>
  <c r="AI61" i="12"/>
  <c r="A61" i="12"/>
  <c r="AI60" i="12"/>
  <c r="A60" i="12"/>
  <c r="AI59" i="12"/>
  <c r="A59" i="12"/>
  <c r="AI58" i="12"/>
  <c r="A58" i="12"/>
  <c r="AI57" i="12"/>
  <c r="A57" i="12"/>
  <c r="AI56" i="12"/>
  <c r="A56" i="12"/>
  <c r="AI55" i="12"/>
  <c r="A55" i="12"/>
  <c r="AI54" i="12"/>
  <c r="A54" i="12"/>
  <c r="AI53" i="12"/>
  <c r="A53" i="12"/>
  <c r="AI52" i="12"/>
  <c r="A52" i="12"/>
  <c r="AI51" i="12"/>
  <c r="A51" i="12"/>
  <c r="AI50" i="12"/>
  <c r="A50" i="12"/>
  <c r="AI49" i="12"/>
  <c r="A49" i="12"/>
  <c r="AI48" i="12"/>
  <c r="A48" i="12"/>
  <c r="AI47" i="12"/>
  <c r="A47" i="12"/>
  <c r="AI46" i="12"/>
  <c r="A46" i="12"/>
  <c r="AI45" i="12"/>
  <c r="A45" i="12"/>
  <c r="AI44" i="12"/>
  <c r="A44" i="12"/>
  <c r="AI43" i="12"/>
  <c r="A43" i="12"/>
  <c r="AI42" i="12"/>
  <c r="A42" i="12"/>
  <c r="AI41" i="12"/>
  <c r="A41" i="12"/>
  <c r="AI40" i="12"/>
  <c r="A40" i="12"/>
  <c r="AI39" i="12"/>
  <c r="A39" i="12"/>
  <c r="AI38" i="12"/>
  <c r="A38" i="12"/>
  <c r="AI37" i="12"/>
  <c r="A37" i="12"/>
  <c r="AI36" i="12"/>
  <c r="A36" i="12"/>
  <c r="AI35" i="12"/>
  <c r="A35" i="12"/>
  <c r="AI34" i="12"/>
  <c r="A34" i="12"/>
  <c r="AI33" i="12"/>
  <c r="A33" i="12"/>
  <c r="AI32" i="12"/>
  <c r="A32" i="12"/>
  <c r="AI31" i="12"/>
  <c r="A31" i="12"/>
  <c r="AI30" i="12"/>
  <c r="A30" i="12"/>
  <c r="AI29" i="12"/>
  <c r="A29" i="12"/>
  <c r="AI28" i="12"/>
  <c r="A28" i="12"/>
  <c r="AI27" i="12"/>
  <c r="A27" i="12"/>
  <c r="AI26" i="12"/>
  <c r="A26" i="12"/>
  <c r="AI25" i="12"/>
  <c r="A25" i="12"/>
  <c r="AI24" i="12"/>
  <c r="A24" i="12"/>
  <c r="AI23" i="12"/>
  <c r="A23" i="12"/>
  <c r="AI22" i="12"/>
  <c r="A22" i="12"/>
  <c r="AP21" i="12"/>
  <c r="AI21" i="12"/>
  <c r="A21" i="12"/>
  <c r="AI20" i="12"/>
  <c r="AE20" i="12"/>
  <c r="A20" i="12"/>
  <c r="AI19" i="12"/>
  <c r="A19" i="12"/>
  <c r="AI18" i="12"/>
  <c r="A18" i="12"/>
  <c r="AI17" i="12"/>
  <c r="A17" i="12"/>
  <c r="AI16" i="12"/>
  <c r="A16" i="12"/>
  <c r="AI15" i="12"/>
  <c r="A15" i="12"/>
  <c r="AI14" i="12"/>
  <c r="A14" i="12"/>
  <c r="AI13" i="12"/>
  <c r="A13" i="12"/>
  <c r="AI12" i="12"/>
  <c r="A12" i="12"/>
  <c r="AI11" i="12"/>
  <c r="A11" i="12"/>
  <c r="AI10" i="12"/>
  <c r="A10" i="12"/>
  <c r="AI9" i="12"/>
  <c r="A9" i="12"/>
  <c r="AI8" i="12"/>
  <c r="A8" i="12"/>
  <c r="AI7" i="12"/>
  <c r="A7" i="12"/>
  <c r="AI6" i="12"/>
  <c r="A6" i="12"/>
  <c r="AI5" i="12"/>
  <c r="A5" i="12"/>
  <c r="AI4" i="12"/>
  <c r="AJ4" i="12" s="1"/>
  <c r="A4" i="12"/>
  <c r="AI3" i="12"/>
  <c r="A3" i="12"/>
  <c r="AN67" i="12" l="1"/>
  <c r="AO68" i="12"/>
  <c r="BN7" i="25"/>
  <c r="BP7" i="25" s="1"/>
  <c r="BR7" i="25" s="1"/>
  <c r="AP7" i="25"/>
  <c r="AR7" i="25" s="1"/>
  <c r="AT7" i="25" s="1"/>
  <c r="R7" i="25"/>
  <c r="T7" i="25" s="1"/>
  <c r="V7" i="25" s="1"/>
  <c r="AD7" i="25"/>
  <c r="AF7" i="25" s="1"/>
  <c r="AH7" i="25" s="1"/>
  <c r="X7" i="25"/>
  <c r="Z7" i="25" s="1"/>
  <c r="AB7" i="25" s="1"/>
  <c r="AV7" i="25"/>
  <c r="AX7" i="25" s="1"/>
  <c r="AZ7" i="25" s="1"/>
  <c r="BB7" i="25"/>
  <c r="BD7" i="25" s="1"/>
  <c r="BF7" i="25" s="1"/>
  <c r="AJ7" i="25"/>
  <c r="AL7" i="25" s="1"/>
  <c r="AN7" i="25" s="1"/>
  <c r="BH7" i="25"/>
  <c r="BJ7" i="25" s="1"/>
  <c r="BL7" i="25" s="1"/>
  <c r="BT7" i="25"/>
  <c r="BV7" i="25" s="1"/>
  <c r="BX7" i="25" s="1"/>
  <c r="X14" i="26"/>
  <c r="Z14" i="26" s="1"/>
  <c r="AB14" i="26" s="1"/>
  <c r="BB14" i="26"/>
  <c r="BD14" i="26" s="1"/>
  <c r="BF14" i="26" s="1"/>
  <c r="AP14" i="26"/>
  <c r="AR14" i="26" s="1"/>
  <c r="AT14" i="26" s="1"/>
  <c r="BH14" i="26"/>
  <c r="BJ14" i="26" s="1"/>
  <c r="BL14" i="26" s="1"/>
  <c r="BN14" i="26"/>
  <c r="BP14" i="26" s="1"/>
  <c r="BR14" i="26" s="1"/>
  <c r="AV14" i="26"/>
  <c r="AX14" i="26" s="1"/>
  <c r="AZ14" i="26" s="1"/>
  <c r="BT14" i="26"/>
  <c r="BV14" i="26" s="1"/>
  <c r="BX14" i="26" s="1"/>
  <c r="R14" i="26"/>
  <c r="T14" i="26" s="1"/>
  <c r="V14" i="26" s="1"/>
  <c r="AD14" i="26"/>
  <c r="AF14" i="26" s="1"/>
  <c r="AH14" i="26" s="1"/>
  <c r="AJ14" i="26"/>
  <c r="AL14" i="26" s="1"/>
  <c r="AN14" i="26" s="1"/>
  <c r="AJ5" i="12"/>
  <c r="AJ6" i="12" s="1"/>
  <c r="AJ7" i="12" s="1"/>
  <c r="AJ8" i="12" s="1"/>
  <c r="AJ9" i="12" s="1"/>
  <c r="AJ10" i="12" s="1"/>
  <c r="AJ11" i="12" s="1"/>
  <c r="AJ12" i="12" s="1"/>
  <c r="AJ13" i="12" s="1"/>
  <c r="AJ14" i="12" s="1"/>
  <c r="AJ15" i="12" s="1"/>
  <c r="AJ16" i="12" s="1"/>
  <c r="AJ17" i="12" s="1"/>
  <c r="AJ18" i="12" s="1"/>
  <c r="AJ19" i="12" s="1"/>
  <c r="AJ20" i="12" s="1"/>
  <c r="AJ21" i="12" s="1"/>
  <c r="AJ22" i="12" s="1"/>
  <c r="AJ23" i="12" s="1"/>
  <c r="AJ24" i="12" s="1"/>
  <c r="AJ25" i="12" s="1"/>
  <c r="AJ26" i="12" s="1"/>
  <c r="AJ27" i="12" s="1"/>
  <c r="AJ28" i="12" s="1"/>
  <c r="AJ29" i="12" s="1"/>
  <c r="AJ30" i="12" s="1"/>
  <c r="AJ31" i="12" s="1"/>
  <c r="AJ32" i="12" s="1"/>
  <c r="AJ33" i="12" s="1"/>
  <c r="AJ34" i="12" s="1"/>
  <c r="AJ35" i="12" s="1"/>
  <c r="AJ36" i="12" s="1"/>
  <c r="AJ37" i="12" s="1"/>
  <c r="AJ38" i="12" s="1"/>
  <c r="AJ39" i="12" s="1"/>
  <c r="AJ40" i="12" s="1"/>
  <c r="AJ41" i="12" s="1"/>
  <c r="AJ42" i="12" s="1"/>
  <c r="AJ43" i="12" s="1"/>
  <c r="AJ44" i="12" s="1"/>
  <c r="AJ45" i="12" s="1"/>
  <c r="AJ46" i="12" s="1"/>
  <c r="AJ47" i="12" s="1"/>
  <c r="AJ48" i="12" s="1"/>
  <c r="AJ49" i="12" s="1"/>
  <c r="AJ50" i="12" s="1"/>
  <c r="AJ51" i="12" s="1"/>
  <c r="AJ52" i="12" s="1"/>
  <c r="AJ53" i="12" s="1"/>
  <c r="AJ54" i="12" s="1"/>
  <c r="AJ55" i="12" s="1"/>
  <c r="AJ56" i="12" s="1"/>
  <c r="AJ57" i="12" s="1"/>
  <c r="AJ58" i="12" s="1"/>
  <c r="AJ59" i="12" s="1"/>
  <c r="AJ60" i="12" s="1"/>
  <c r="AJ61" i="12" s="1"/>
  <c r="AJ62" i="12" s="1"/>
  <c r="AJ63" i="12" s="1"/>
  <c r="AJ64" i="12" s="1"/>
  <c r="AJ65" i="12" s="1"/>
  <c r="AJ66" i="12" s="1"/>
  <c r="AJ67" i="12" s="1"/>
  <c r="AJ68" i="12" s="1"/>
  <c r="AJ69" i="12" s="1"/>
  <c r="AJ70" i="12" s="1"/>
  <c r="AJ71" i="12" s="1"/>
  <c r="AJ72" i="12" s="1"/>
  <c r="AJ73" i="12" s="1"/>
  <c r="AJ74" i="12" s="1"/>
  <c r="AJ75" i="12" s="1"/>
  <c r="AJ76" i="12" s="1"/>
  <c r="AJ77" i="12" s="1"/>
  <c r="AJ78" i="12" s="1"/>
  <c r="AJ79" i="12" s="1"/>
  <c r="AJ80" i="12" s="1"/>
  <c r="AJ81" i="12" s="1"/>
  <c r="AJ82" i="12" s="1"/>
  <c r="AJ83" i="12" s="1"/>
  <c r="AJ84" i="12" s="1"/>
  <c r="AJ85" i="12" s="1"/>
  <c r="AJ86" i="12" s="1"/>
  <c r="AJ87" i="12" s="1"/>
  <c r="AJ88" i="12" s="1"/>
  <c r="AJ89" i="12" s="1"/>
  <c r="AJ90" i="12" s="1"/>
  <c r="AJ91" i="12" s="1"/>
  <c r="AJ92" i="12" s="1"/>
  <c r="F64" i="12"/>
  <c r="B66" i="12"/>
  <c r="R7" i="10"/>
  <c r="M7" i="10"/>
  <c r="H7" i="10"/>
  <c r="C7" i="10"/>
  <c r="R6" i="10"/>
  <c r="M6" i="10"/>
  <c r="H6" i="10"/>
  <c r="C6" i="10"/>
  <c r="R5" i="10"/>
  <c r="M5" i="10"/>
  <c r="H5" i="10"/>
  <c r="C5" i="10"/>
  <c r="R4" i="10"/>
  <c r="M4" i="10"/>
  <c r="H4" i="10"/>
  <c r="C4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R3" i="10"/>
  <c r="M3" i="10"/>
  <c r="H3" i="10"/>
  <c r="C3" i="10"/>
  <c r="AN66" i="12" l="1"/>
  <c r="AO67" i="12"/>
  <c r="AP6" i="25"/>
  <c r="AR6" i="25" s="1"/>
  <c r="AT6" i="25" s="1"/>
  <c r="AJ6" i="25"/>
  <c r="AL6" i="25" s="1"/>
  <c r="AN6" i="25" s="1"/>
  <c r="AV6" i="25"/>
  <c r="AX6" i="25" s="1"/>
  <c r="AZ6" i="25" s="1"/>
  <c r="BH6" i="25"/>
  <c r="BJ6" i="25" s="1"/>
  <c r="BL6" i="25" s="1"/>
  <c r="BN6" i="25"/>
  <c r="BP6" i="25" s="1"/>
  <c r="BR6" i="25" s="1"/>
  <c r="X6" i="25"/>
  <c r="Z6" i="25" s="1"/>
  <c r="AB6" i="25" s="1"/>
  <c r="BB6" i="25"/>
  <c r="BD6" i="25" s="1"/>
  <c r="BF6" i="25" s="1"/>
  <c r="AD6" i="25"/>
  <c r="AF6" i="25" s="1"/>
  <c r="AH6" i="25" s="1"/>
  <c r="R6" i="25"/>
  <c r="T6" i="25" s="1"/>
  <c r="V6" i="25" s="1"/>
  <c r="BT6" i="25"/>
  <c r="BV6" i="25" s="1"/>
  <c r="BX6" i="25" s="1"/>
  <c r="X13" i="26"/>
  <c r="Z13" i="26" s="1"/>
  <c r="AB13" i="26" s="1"/>
  <c r="BH13" i="26"/>
  <c r="BJ13" i="26" s="1"/>
  <c r="BL13" i="26" s="1"/>
  <c r="R13" i="26"/>
  <c r="T13" i="26" s="1"/>
  <c r="V13" i="26" s="1"/>
  <c r="BT13" i="26"/>
  <c r="BV13" i="26" s="1"/>
  <c r="BX13" i="26" s="1"/>
  <c r="AP13" i="26"/>
  <c r="AR13" i="26" s="1"/>
  <c r="AT13" i="26" s="1"/>
  <c r="BN13" i="26"/>
  <c r="BP13" i="26" s="1"/>
  <c r="BR13" i="26" s="1"/>
  <c r="AD13" i="26"/>
  <c r="AF13" i="26" s="1"/>
  <c r="AH13" i="26" s="1"/>
  <c r="BB13" i="26"/>
  <c r="BD13" i="26" s="1"/>
  <c r="BF13" i="26" s="1"/>
  <c r="AV13" i="26"/>
  <c r="AX13" i="26" s="1"/>
  <c r="AZ13" i="26" s="1"/>
  <c r="AJ13" i="26"/>
  <c r="AL13" i="26" s="1"/>
  <c r="AN13" i="26" s="1"/>
  <c r="B65" i="12"/>
  <c r="F63" i="12"/>
  <c r="AA4" i="11"/>
  <c r="AB4" i="11" s="1"/>
  <c r="AA5" i="11"/>
  <c r="AB5" i="11" s="1"/>
  <c r="AA6" i="11"/>
  <c r="AB6" i="11" s="1"/>
  <c r="AA3" i="11"/>
  <c r="AB3" i="11" s="1"/>
  <c r="S4" i="11"/>
  <c r="T4" i="11" s="1"/>
  <c r="S5" i="11"/>
  <c r="T5" i="11" s="1"/>
  <c r="S6" i="11"/>
  <c r="T6" i="11" s="1"/>
  <c r="S3" i="11"/>
  <c r="T3" i="11" s="1"/>
  <c r="K4" i="11"/>
  <c r="L4" i="11" s="1"/>
  <c r="K5" i="11"/>
  <c r="L5" i="11" s="1"/>
  <c r="K6" i="11"/>
  <c r="L6" i="11" s="1"/>
  <c r="K3" i="11"/>
  <c r="L3" i="11" s="1"/>
  <c r="K4" i="3"/>
  <c r="Z4" i="13" s="1"/>
  <c r="AB4" i="13" s="1"/>
  <c r="AN65" i="12" l="1"/>
  <c r="AO66" i="12"/>
  <c r="BB5" i="25"/>
  <c r="BD5" i="25" s="1"/>
  <c r="BF5" i="25" s="1"/>
  <c r="BT5" i="25"/>
  <c r="BV5" i="25" s="1"/>
  <c r="BX5" i="25" s="1"/>
  <c r="AV5" i="25"/>
  <c r="AX5" i="25" s="1"/>
  <c r="AZ5" i="25" s="1"/>
  <c r="BH5" i="25"/>
  <c r="BJ5" i="25" s="1"/>
  <c r="BL5" i="25" s="1"/>
  <c r="AD5" i="25"/>
  <c r="AF5" i="25" s="1"/>
  <c r="AH5" i="25" s="1"/>
  <c r="BN5" i="25"/>
  <c r="BP5" i="25" s="1"/>
  <c r="BR5" i="25" s="1"/>
  <c r="AP5" i="25"/>
  <c r="AR5" i="25" s="1"/>
  <c r="AT5" i="25" s="1"/>
  <c r="X5" i="25"/>
  <c r="Z5" i="25" s="1"/>
  <c r="AB5" i="25" s="1"/>
  <c r="AJ5" i="25"/>
  <c r="AL5" i="25" s="1"/>
  <c r="AN5" i="25" s="1"/>
  <c r="R5" i="25"/>
  <c r="T5" i="25" s="1"/>
  <c r="V5" i="25" s="1"/>
  <c r="X12" i="26"/>
  <c r="Z12" i="26" s="1"/>
  <c r="AB12" i="26" s="1"/>
  <c r="AP12" i="26"/>
  <c r="AR12" i="26" s="1"/>
  <c r="AT12" i="26" s="1"/>
  <c r="R12" i="26"/>
  <c r="T12" i="26" s="1"/>
  <c r="V12" i="26" s="1"/>
  <c r="BT12" i="26"/>
  <c r="BV12" i="26" s="1"/>
  <c r="BX12" i="26" s="1"/>
  <c r="AV12" i="26"/>
  <c r="AX12" i="26" s="1"/>
  <c r="AZ12" i="26" s="1"/>
  <c r="AJ12" i="26"/>
  <c r="AL12" i="26" s="1"/>
  <c r="AN12" i="26" s="1"/>
  <c r="BB12" i="26"/>
  <c r="BD12" i="26" s="1"/>
  <c r="BF12" i="26" s="1"/>
  <c r="AD12" i="26"/>
  <c r="AF12" i="26" s="1"/>
  <c r="AH12" i="26" s="1"/>
  <c r="BH12" i="26"/>
  <c r="BJ12" i="26" s="1"/>
  <c r="BL12" i="26" s="1"/>
  <c r="BN12" i="26"/>
  <c r="BP12" i="26" s="1"/>
  <c r="BR12" i="26" s="1"/>
  <c r="T11" i="12"/>
  <c r="T16" i="12"/>
  <c r="T34" i="12"/>
  <c r="T8" i="12"/>
  <c r="T4" i="12"/>
  <c r="T22" i="12"/>
  <c r="T14" i="12"/>
  <c r="T19" i="12"/>
  <c r="T6" i="12"/>
  <c r="T20" i="12"/>
  <c r="T29" i="12"/>
  <c r="T25" i="12"/>
  <c r="T63" i="12"/>
  <c r="T55" i="12"/>
  <c r="T31" i="12"/>
  <c r="T27" i="12"/>
  <c r="T57" i="12"/>
  <c r="T23" i="12"/>
  <c r="T12" i="12"/>
  <c r="F62" i="12"/>
  <c r="B64" i="12"/>
  <c r="T50" i="12"/>
  <c r="T36" i="12"/>
  <c r="T26" i="12"/>
  <c r="T52" i="12"/>
  <c r="T49" i="12"/>
  <c r="T53" i="12"/>
  <c r="T37" i="12"/>
  <c r="T7" i="12"/>
  <c r="T51" i="12"/>
  <c r="T43" i="12"/>
  <c r="T17" i="12"/>
  <c r="T9" i="12"/>
  <c r="M4" i="3"/>
  <c r="P4" i="3"/>
  <c r="AN64" i="12" l="1"/>
  <c r="AO65" i="12"/>
  <c r="AM3" i="25"/>
  <c r="BE3" i="25"/>
  <c r="AS3" i="25"/>
  <c r="AG3" i="25"/>
  <c r="U3" i="25"/>
  <c r="AY3" i="25"/>
  <c r="BK3" i="25"/>
  <c r="AA3" i="25"/>
  <c r="BW3" i="25"/>
  <c r="BQ3" i="25"/>
  <c r="BT4" i="25"/>
  <c r="BV4" i="25" s="1"/>
  <c r="BX4" i="25" s="1"/>
  <c r="AJ4" i="25"/>
  <c r="AL4" i="25" s="1"/>
  <c r="AN4" i="25" s="1"/>
  <c r="AV4" i="25"/>
  <c r="AX4" i="25" s="1"/>
  <c r="AZ4" i="25" s="1"/>
  <c r="R4" i="25"/>
  <c r="T4" i="25" s="1"/>
  <c r="V4" i="25" s="1"/>
  <c r="BH4" i="25"/>
  <c r="BJ4" i="25" s="1"/>
  <c r="BL4" i="25" s="1"/>
  <c r="BN4" i="25"/>
  <c r="BP4" i="25" s="1"/>
  <c r="BR4" i="25" s="1"/>
  <c r="AD4" i="25"/>
  <c r="AF4" i="25" s="1"/>
  <c r="AH4" i="25" s="1"/>
  <c r="AP4" i="25"/>
  <c r="AR4" i="25" s="1"/>
  <c r="AT4" i="25" s="1"/>
  <c r="BB4" i="25"/>
  <c r="BD4" i="25" s="1"/>
  <c r="BF4" i="25" s="1"/>
  <c r="X4" i="25"/>
  <c r="Z4" i="25" s="1"/>
  <c r="AB4" i="25" s="1"/>
  <c r="X11" i="26"/>
  <c r="Z11" i="26" s="1"/>
  <c r="AB11" i="26" s="1"/>
  <c r="AD11" i="26"/>
  <c r="AF11" i="26" s="1"/>
  <c r="AH11" i="26" s="1"/>
  <c r="R11" i="26"/>
  <c r="T11" i="26" s="1"/>
  <c r="V11" i="26" s="1"/>
  <c r="BH11" i="26"/>
  <c r="BJ11" i="26" s="1"/>
  <c r="BL11" i="26" s="1"/>
  <c r="AV11" i="26"/>
  <c r="AX11" i="26" s="1"/>
  <c r="AZ11" i="26" s="1"/>
  <c r="BB11" i="26"/>
  <c r="BD11" i="26" s="1"/>
  <c r="BF11" i="26" s="1"/>
  <c r="AP11" i="26"/>
  <c r="AR11" i="26" s="1"/>
  <c r="AT11" i="26" s="1"/>
  <c r="BT11" i="26"/>
  <c r="BV11" i="26" s="1"/>
  <c r="BX11" i="26" s="1"/>
  <c r="AJ11" i="26"/>
  <c r="AL11" i="26" s="1"/>
  <c r="AN11" i="26" s="1"/>
  <c r="BN11" i="26"/>
  <c r="BP11" i="26" s="1"/>
  <c r="BR11" i="26" s="1"/>
  <c r="T67" i="12"/>
  <c r="T59" i="12"/>
  <c r="T40" i="12"/>
  <c r="T24" i="12"/>
  <c r="T42" i="12"/>
  <c r="T39" i="12"/>
  <c r="T15" i="12"/>
  <c r="T32" i="12"/>
  <c r="T45" i="12"/>
  <c r="T69" i="12"/>
  <c r="T54" i="12"/>
  <c r="T33" i="12"/>
  <c r="T41" i="12"/>
  <c r="T21" i="12"/>
  <c r="T61" i="12"/>
  <c r="T18" i="12"/>
  <c r="T48" i="12"/>
  <c r="T60" i="12"/>
  <c r="T56" i="12"/>
  <c r="T58" i="12"/>
  <c r="T68" i="12"/>
  <c r="T28" i="12"/>
  <c r="T44" i="12"/>
  <c r="T65" i="12"/>
  <c r="T5" i="12"/>
  <c r="T13" i="12"/>
  <c r="T35" i="12"/>
  <c r="T47" i="12"/>
  <c r="T10" i="12"/>
  <c r="T64" i="12"/>
  <c r="T66" i="12"/>
  <c r="T62" i="12"/>
  <c r="T30" i="12"/>
  <c r="T38" i="12"/>
  <c r="T46" i="12"/>
  <c r="N4" i="3"/>
  <c r="O4" i="3" s="1"/>
  <c r="T3" i="12"/>
  <c r="F61" i="12"/>
  <c r="B63" i="12"/>
  <c r="C3" i="11"/>
  <c r="D3" i="11" s="1"/>
  <c r="AN63" i="12" l="1"/>
  <c r="AO64" i="12"/>
  <c r="BT3" i="25"/>
  <c r="BV3" i="25" s="1"/>
  <c r="BX3" i="25" s="1"/>
  <c r="BX96" i="25" s="1"/>
  <c r="BB3" i="25"/>
  <c r="BD3" i="25" s="1"/>
  <c r="BF3" i="25" s="1"/>
  <c r="BF96" i="25" s="1"/>
  <c r="AJ3" i="25"/>
  <c r="AL3" i="25" s="1"/>
  <c r="AN3" i="25" s="1"/>
  <c r="AN96" i="25" s="1"/>
  <c r="R3" i="25"/>
  <c r="T3" i="25" s="1"/>
  <c r="V3" i="25" s="1"/>
  <c r="BN3" i="25"/>
  <c r="BP3" i="25" s="1"/>
  <c r="BR3" i="25" s="1"/>
  <c r="BR96" i="25" s="1"/>
  <c r="X3" i="25"/>
  <c r="Z3" i="25" s="1"/>
  <c r="AB3" i="25" s="1"/>
  <c r="AB96" i="25" s="1"/>
  <c r="BH3" i="25"/>
  <c r="BJ3" i="25" s="1"/>
  <c r="BL3" i="25" s="1"/>
  <c r="BL96" i="25" s="1"/>
  <c r="AD3" i="25"/>
  <c r="AF3" i="25" s="1"/>
  <c r="AH3" i="25" s="1"/>
  <c r="AH96" i="25" s="1"/>
  <c r="AP3" i="25"/>
  <c r="AR3" i="25" s="1"/>
  <c r="AT3" i="25" s="1"/>
  <c r="AT96" i="25" s="1"/>
  <c r="AV3" i="25"/>
  <c r="AX3" i="25" s="1"/>
  <c r="AZ3" i="25" s="1"/>
  <c r="AZ96" i="25" s="1"/>
  <c r="X10" i="26"/>
  <c r="Z10" i="26" s="1"/>
  <c r="AB10" i="26" s="1"/>
  <c r="AD10" i="26"/>
  <c r="AF10" i="26" s="1"/>
  <c r="AH10" i="26" s="1"/>
  <c r="AJ10" i="26"/>
  <c r="AL10" i="26" s="1"/>
  <c r="AN10" i="26" s="1"/>
  <c r="AV10" i="26"/>
  <c r="AX10" i="26" s="1"/>
  <c r="AZ10" i="26" s="1"/>
  <c r="BT10" i="26"/>
  <c r="BV10" i="26" s="1"/>
  <c r="BX10" i="26" s="1"/>
  <c r="BN10" i="26"/>
  <c r="BP10" i="26" s="1"/>
  <c r="BR10" i="26" s="1"/>
  <c r="R10" i="26"/>
  <c r="T10" i="26" s="1"/>
  <c r="V10" i="26" s="1"/>
  <c r="AP10" i="26"/>
  <c r="AR10" i="26" s="1"/>
  <c r="AT10" i="26" s="1"/>
  <c r="BB10" i="26"/>
  <c r="BD10" i="26" s="1"/>
  <c r="BF10" i="26" s="1"/>
  <c r="BH10" i="26"/>
  <c r="BJ10" i="26" s="1"/>
  <c r="BL10" i="26" s="1"/>
  <c r="F60" i="12"/>
  <c r="B62" i="12"/>
  <c r="V96" i="25" l="1"/>
  <c r="C86" i="24"/>
  <c r="AN62" i="12"/>
  <c r="AO63" i="12"/>
  <c r="X9" i="26"/>
  <c r="Z9" i="26" s="1"/>
  <c r="AB9" i="26" s="1"/>
  <c r="BH9" i="26"/>
  <c r="BJ9" i="26" s="1"/>
  <c r="BL9" i="26" s="1"/>
  <c r="R9" i="26"/>
  <c r="T9" i="26" s="1"/>
  <c r="V9" i="26" s="1"/>
  <c r="AP9" i="26"/>
  <c r="AR9" i="26" s="1"/>
  <c r="AT9" i="26" s="1"/>
  <c r="BN9" i="26"/>
  <c r="BP9" i="26" s="1"/>
  <c r="BR9" i="26" s="1"/>
  <c r="BB9" i="26"/>
  <c r="BD9" i="26" s="1"/>
  <c r="BF9" i="26" s="1"/>
  <c r="BT9" i="26"/>
  <c r="BV9" i="26" s="1"/>
  <c r="BX9" i="26" s="1"/>
  <c r="AJ9" i="26"/>
  <c r="AL9" i="26" s="1"/>
  <c r="AN9" i="26" s="1"/>
  <c r="AV9" i="26"/>
  <c r="AX9" i="26" s="1"/>
  <c r="AZ9" i="26" s="1"/>
  <c r="AD9" i="26"/>
  <c r="AF9" i="26" s="1"/>
  <c r="AH9" i="26" s="1"/>
  <c r="H8" i="10"/>
  <c r="B61" i="12"/>
  <c r="F59" i="12"/>
  <c r="AN61" i="12" l="1"/>
  <c r="AO62" i="12"/>
  <c r="X8" i="26"/>
  <c r="Z8" i="26" s="1"/>
  <c r="AB8" i="26" s="1"/>
  <c r="R8" i="26"/>
  <c r="T8" i="26" s="1"/>
  <c r="V8" i="26" s="1"/>
  <c r="BB8" i="26"/>
  <c r="BD8" i="26" s="1"/>
  <c r="BF8" i="26" s="1"/>
  <c r="AJ8" i="26"/>
  <c r="AL8" i="26" s="1"/>
  <c r="AN8" i="26" s="1"/>
  <c r="BH8" i="26"/>
  <c r="BJ8" i="26" s="1"/>
  <c r="BL8" i="26" s="1"/>
  <c r="BT8" i="26"/>
  <c r="BV8" i="26" s="1"/>
  <c r="BX8" i="26" s="1"/>
  <c r="AD8" i="26"/>
  <c r="AF8" i="26" s="1"/>
  <c r="AH8" i="26" s="1"/>
  <c r="AV8" i="26"/>
  <c r="AX8" i="26" s="1"/>
  <c r="AZ8" i="26" s="1"/>
  <c r="AP8" i="26"/>
  <c r="AR8" i="26" s="1"/>
  <c r="AT8" i="26" s="1"/>
  <c r="BN8" i="26"/>
  <c r="BP8" i="26" s="1"/>
  <c r="BR8" i="26" s="1"/>
  <c r="H9" i="10"/>
  <c r="F58" i="12"/>
  <c r="B60" i="12"/>
  <c r="U6" i="11"/>
  <c r="U3" i="11"/>
  <c r="AC6" i="11"/>
  <c r="AC3" i="11"/>
  <c r="B36" i="4"/>
  <c r="AN60" i="12" l="1"/>
  <c r="AO61" i="12"/>
  <c r="X7" i="26"/>
  <c r="Z7" i="26" s="1"/>
  <c r="AB7" i="26" s="1"/>
  <c r="BT7" i="26"/>
  <c r="BV7" i="26" s="1"/>
  <c r="BX7" i="26" s="1"/>
  <c r="AD7" i="26"/>
  <c r="AF7" i="26" s="1"/>
  <c r="AH7" i="26" s="1"/>
  <c r="AV7" i="26"/>
  <c r="AX7" i="26" s="1"/>
  <c r="AZ7" i="26" s="1"/>
  <c r="R7" i="26"/>
  <c r="T7" i="26" s="1"/>
  <c r="V7" i="26" s="1"/>
  <c r="BB7" i="26"/>
  <c r="BD7" i="26" s="1"/>
  <c r="BF7" i="26" s="1"/>
  <c r="BH7" i="26"/>
  <c r="BJ7" i="26" s="1"/>
  <c r="BL7" i="26" s="1"/>
  <c r="AP7" i="26"/>
  <c r="AR7" i="26" s="1"/>
  <c r="AT7" i="26" s="1"/>
  <c r="AJ7" i="26"/>
  <c r="AL7" i="26" s="1"/>
  <c r="AN7" i="26" s="1"/>
  <c r="BN7" i="26"/>
  <c r="BP7" i="26" s="1"/>
  <c r="BR7" i="26" s="1"/>
  <c r="S6" i="12"/>
  <c r="S10" i="12"/>
  <c r="S14" i="12"/>
  <c r="S18" i="12"/>
  <c r="S22" i="12"/>
  <c r="S26" i="12"/>
  <c r="S30" i="12"/>
  <c r="S34" i="12"/>
  <c r="S38" i="12"/>
  <c r="S7" i="12"/>
  <c r="S11" i="12"/>
  <c r="S15" i="12"/>
  <c r="S19" i="12"/>
  <c r="S23" i="12"/>
  <c r="S27" i="12"/>
  <c r="S31" i="12"/>
  <c r="S35" i="12"/>
  <c r="S4" i="12"/>
  <c r="S8" i="12"/>
  <c r="S12" i="12"/>
  <c r="S16" i="12"/>
  <c r="S20" i="12"/>
  <c r="S24" i="12"/>
  <c r="S28" i="12"/>
  <c r="S32" i="12"/>
  <c r="S36" i="12"/>
  <c r="S3" i="12"/>
  <c r="S5" i="12"/>
  <c r="S9" i="12"/>
  <c r="S13" i="12"/>
  <c r="S17" i="12"/>
  <c r="S21" i="12"/>
  <c r="S25" i="12"/>
  <c r="S29" i="12"/>
  <c r="S33" i="12"/>
  <c r="S37" i="12"/>
  <c r="S70" i="10"/>
  <c r="T70" i="10" s="1"/>
  <c r="S71" i="10"/>
  <c r="T71" i="10" s="1"/>
  <c r="S72" i="10"/>
  <c r="T72" i="10" s="1"/>
  <c r="S73" i="10"/>
  <c r="T73" i="10" s="1"/>
  <c r="S74" i="10"/>
  <c r="T74" i="10" s="1"/>
  <c r="S75" i="10"/>
  <c r="T75" i="10" s="1"/>
  <c r="S76" i="10"/>
  <c r="T76" i="10" s="1"/>
  <c r="S77" i="10"/>
  <c r="T77" i="10" s="1"/>
  <c r="S78" i="10"/>
  <c r="T78" i="10" s="1"/>
  <c r="S79" i="10"/>
  <c r="T79" i="10" s="1"/>
  <c r="S80" i="10"/>
  <c r="T80" i="10" s="1"/>
  <c r="S81" i="10"/>
  <c r="T81" i="10" s="1"/>
  <c r="S82" i="10"/>
  <c r="T82" i="10" s="1"/>
  <c r="S83" i="10"/>
  <c r="T83" i="10" s="1"/>
  <c r="S84" i="10"/>
  <c r="T84" i="10" s="1"/>
  <c r="S85" i="10"/>
  <c r="T85" i="10" s="1"/>
  <c r="S86" i="10"/>
  <c r="T86" i="10" s="1"/>
  <c r="S87" i="10"/>
  <c r="T87" i="10" s="1"/>
  <c r="S88" i="10"/>
  <c r="T88" i="10" s="1"/>
  <c r="S89" i="10"/>
  <c r="T89" i="10" s="1"/>
  <c r="S90" i="10"/>
  <c r="T90" i="10" s="1"/>
  <c r="S91" i="10"/>
  <c r="T91" i="10" s="1"/>
  <c r="S92" i="10"/>
  <c r="T92" i="10" s="1"/>
  <c r="N70" i="10"/>
  <c r="O70" i="10" s="1"/>
  <c r="N71" i="10"/>
  <c r="O71" i="10" s="1"/>
  <c r="N72" i="10"/>
  <c r="O72" i="10" s="1"/>
  <c r="N73" i="10"/>
  <c r="O73" i="10" s="1"/>
  <c r="N74" i="10"/>
  <c r="O74" i="10" s="1"/>
  <c r="N75" i="10"/>
  <c r="O75" i="10" s="1"/>
  <c r="N76" i="10"/>
  <c r="O76" i="10" s="1"/>
  <c r="N77" i="10"/>
  <c r="O77" i="10" s="1"/>
  <c r="N78" i="10"/>
  <c r="O78" i="10" s="1"/>
  <c r="N79" i="10"/>
  <c r="O79" i="10" s="1"/>
  <c r="N80" i="10"/>
  <c r="O80" i="10" s="1"/>
  <c r="N81" i="10"/>
  <c r="O81" i="10" s="1"/>
  <c r="N82" i="10"/>
  <c r="O82" i="10" s="1"/>
  <c r="N83" i="10"/>
  <c r="O83" i="10" s="1"/>
  <c r="N84" i="10"/>
  <c r="O84" i="10" s="1"/>
  <c r="N85" i="10"/>
  <c r="O85" i="10" s="1"/>
  <c r="N86" i="10"/>
  <c r="O86" i="10" s="1"/>
  <c r="N87" i="10"/>
  <c r="O87" i="10" s="1"/>
  <c r="N88" i="10"/>
  <c r="O88" i="10" s="1"/>
  <c r="N89" i="10"/>
  <c r="O89" i="10" s="1"/>
  <c r="N90" i="10"/>
  <c r="O90" i="10" s="1"/>
  <c r="N91" i="10"/>
  <c r="O91" i="10" s="1"/>
  <c r="N92" i="10"/>
  <c r="O92" i="10" s="1"/>
  <c r="I70" i="10"/>
  <c r="J70" i="10" s="1"/>
  <c r="I71" i="10"/>
  <c r="J71" i="10" s="1"/>
  <c r="I72" i="10"/>
  <c r="J72" i="10" s="1"/>
  <c r="I73" i="10"/>
  <c r="J73" i="10" s="1"/>
  <c r="I74" i="10"/>
  <c r="J74" i="10" s="1"/>
  <c r="I75" i="10"/>
  <c r="J75" i="10" s="1"/>
  <c r="I76" i="10"/>
  <c r="J76" i="10" s="1"/>
  <c r="I77" i="10"/>
  <c r="J77" i="10" s="1"/>
  <c r="I78" i="10"/>
  <c r="J78" i="10" s="1"/>
  <c r="I79" i="10"/>
  <c r="J79" i="10" s="1"/>
  <c r="I80" i="10"/>
  <c r="J80" i="10" s="1"/>
  <c r="I81" i="10"/>
  <c r="J81" i="10" s="1"/>
  <c r="I82" i="10"/>
  <c r="J82" i="10" s="1"/>
  <c r="I83" i="10"/>
  <c r="J83" i="10" s="1"/>
  <c r="I84" i="10"/>
  <c r="J84" i="10" s="1"/>
  <c r="I85" i="10"/>
  <c r="J85" i="10" s="1"/>
  <c r="I86" i="10"/>
  <c r="J86" i="10" s="1"/>
  <c r="I87" i="10"/>
  <c r="J87" i="10" s="1"/>
  <c r="I88" i="10"/>
  <c r="J88" i="10" s="1"/>
  <c r="I89" i="10"/>
  <c r="J89" i="10" s="1"/>
  <c r="I90" i="10"/>
  <c r="J90" i="10" s="1"/>
  <c r="I91" i="10"/>
  <c r="J91" i="10" s="1"/>
  <c r="I92" i="10"/>
  <c r="J92" i="10" s="1"/>
  <c r="S4" i="10"/>
  <c r="S7" i="10"/>
  <c r="S6" i="10"/>
  <c r="S3" i="10"/>
  <c r="T3" i="10" s="1"/>
  <c r="U3" i="10" s="1"/>
  <c r="S5" i="10"/>
  <c r="AD69" i="12"/>
  <c r="AD68" i="12"/>
  <c r="AD67" i="12"/>
  <c r="AD66" i="12"/>
  <c r="AD65" i="12"/>
  <c r="AD64" i="12"/>
  <c r="AD63" i="12"/>
  <c r="AD62" i="12"/>
  <c r="AD61" i="12"/>
  <c r="AD60" i="12"/>
  <c r="N6" i="10"/>
  <c r="N5" i="10"/>
  <c r="N3" i="10"/>
  <c r="O3" i="10" s="1"/>
  <c r="P3" i="10" s="1"/>
  <c r="N7" i="10"/>
  <c r="N4" i="10"/>
  <c r="AD59" i="12"/>
  <c r="H10" i="10"/>
  <c r="I10" i="10" s="1"/>
  <c r="I5" i="10"/>
  <c r="J5" i="10" s="1"/>
  <c r="K5" i="10" s="1"/>
  <c r="I3" i="10"/>
  <c r="J3" i="10" s="1"/>
  <c r="K3" i="10" s="1"/>
  <c r="I6" i="10"/>
  <c r="J6" i="10" s="1"/>
  <c r="K6" i="10" s="1"/>
  <c r="I4" i="10"/>
  <c r="J4" i="10" s="1"/>
  <c r="K4" i="10" s="1"/>
  <c r="I7" i="10"/>
  <c r="J7" i="10" s="1"/>
  <c r="K7" i="10" s="1"/>
  <c r="I8" i="10"/>
  <c r="J8" i="10" s="1"/>
  <c r="K8" i="10" s="1"/>
  <c r="I9" i="10"/>
  <c r="J9" i="10" s="1"/>
  <c r="K9" i="10" s="1"/>
  <c r="U69" i="12"/>
  <c r="U68" i="12"/>
  <c r="U67" i="12"/>
  <c r="U66" i="12"/>
  <c r="U65" i="12"/>
  <c r="U64" i="12"/>
  <c r="U63" i="12"/>
  <c r="U62" i="12"/>
  <c r="B59" i="12"/>
  <c r="AD58" i="12"/>
  <c r="F57" i="12"/>
  <c r="O3" i="11"/>
  <c r="P3" i="11" s="1"/>
  <c r="O5" i="11"/>
  <c r="P5" i="11" s="1"/>
  <c r="O6" i="11"/>
  <c r="P6" i="11" s="1"/>
  <c r="O4" i="11"/>
  <c r="P4" i="11" s="1"/>
  <c r="W4" i="11"/>
  <c r="X4" i="11" s="1"/>
  <c r="Y4" i="11" s="1"/>
  <c r="W5" i="11"/>
  <c r="X5" i="11" s="1"/>
  <c r="Y5" i="11" s="1"/>
  <c r="W6" i="11"/>
  <c r="X6" i="11" s="1"/>
  <c r="Y6" i="11" s="1"/>
  <c r="W3" i="11"/>
  <c r="X3" i="11" s="1"/>
  <c r="Y3" i="11" s="1"/>
  <c r="AE4" i="11"/>
  <c r="AE5" i="11"/>
  <c r="AE6" i="11"/>
  <c r="AE3" i="11"/>
  <c r="AD3" i="11"/>
  <c r="V4" i="11"/>
  <c r="U4" i="11"/>
  <c r="V3" i="11"/>
  <c r="M5" i="11"/>
  <c r="N3" i="11"/>
  <c r="N4" i="11"/>
  <c r="M6" i="11"/>
  <c r="V5" i="11"/>
  <c r="U5" i="11"/>
  <c r="V6" i="11"/>
  <c r="AC5" i="11"/>
  <c r="AD5" i="11"/>
  <c r="AC4" i="11"/>
  <c r="AD4" i="11"/>
  <c r="AD6" i="11"/>
  <c r="N5" i="11"/>
  <c r="AN59" i="12" l="1"/>
  <c r="AO60" i="12"/>
  <c r="X6" i="26"/>
  <c r="Z6" i="26" s="1"/>
  <c r="AB6" i="26" s="1"/>
  <c r="BT6" i="26"/>
  <c r="BV6" i="26" s="1"/>
  <c r="BX6" i="26" s="1"/>
  <c r="R6" i="26"/>
  <c r="T6" i="26" s="1"/>
  <c r="V6" i="26" s="1"/>
  <c r="AV6" i="26"/>
  <c r="AX6" i="26" s="1"/>
  <c r="AZ6" i="26" s="1"/>
  <c r="BN6" i="26"/>
  <c r="BP6" i="26" s="1"/>
  <c r="BR6" i="26" s="1"/>
  <c r="AD6" i="26"/>
  <c r="AF6" i="26" s="1"/>
  <c r="AH6" i="26" s="1"/>
  <c r="AP6" i="26"/>
  <c r="AR6" i="26" s="1"/>
  <c r="AT6" i="26" s="1"/>
  <c r="AJ6" i="26"/>
  <c r="AL6" i="26" s="1"/>
  <c r="AN6" i="26" s="1"/>
  <c r="BB6" i="26"/>
  <c r="BD6" i="26" s="1"/>
  <c r="BF6" i="26" s="1"/>
  <c r="BH6" i="26"/>
  <c r="BJ6" i="26" s="1"/>
  <c r="BL6" i="26" s="1"/>
  <c r="B41" i="4"/>
  <c r="AF5" i="11"/>
  <c r="AG5" i="11" s="1"/>
  <c r="AF4" i="11"/>
  <c r="AG4" i="11" s="1"/>
  <c r="AF3" i="11"/>
  <c r="AG3" i="11" s="1"/>
  <c r="B41" i="5" s="1"/>
  <c r="AF6" i="11"/>
  <c r="AG6" i="11" s="1"/>
  <c r="J10" i="10"/>
  <c r="K10" i="10" s="1"/>
  <c r="H11" i="10"/>
  <c r="I11" i="10" s="1"/>
  <c r="F56" i="12"/>
  <c r="AD57" i="12"/>
  <c r="U61" i="12"/>
  <c r="B58" i="12"/>
  <c r="N6" i="11"/>
  <c r="M3" i="11"/>
  <c r="M4" i="11"/>
  <c r="B38" i="2"/>
  <c r="C5" i="11"/>
  <c r="D5" i="11" s="1"/>
  <c r="F5" i="11" s="1"/>
  <c r="C6" i="11"/>
  <c r="D6" i="11" s="1"/>
  <c r="C4" i="11"/>
  <c r="D4" i="11" s="1"/>
  <c r="F4" i="11" s="1"/>
  <c r="B48" i="2"/>
  <c r="B37" i="2"/>
  <c r="AN58" i="12" l="1"/>
  <c r="AO59" i="12"/>
  <c r="X5" i="26"/>
  <c r="Z5" i="26" s="1"/>
  <c r="AB5" i="26" s="1"/>
  <c r="BB5" i="26"/>
  <c r="BD5" i="26" s="1"/>
  <c r="BF5" i="26" s="1"/>
  <c r="BT5" i="26"/>
  <c r="BV5" i="26" s="1"/>
  <c r="BX5" i="26" s="1"/>
  <c r="AV5" i="26"/>
  <c r="AX5" i="26" s="1"/>
  <c r="AZ5" i="26" s="1"/>
  <c r="AJ5" i="26"/>
  <c r="AL5" i="26" s="1"/>
  <c r="AN5" i="26" s="1"/>
  <c r="BH5" i="26"/>
  <c r="BJ5" i="26" s="1"/>
  <c r="BL5" i="26" s="1"/>
  <c r="BN5" i="26"/>
  <c r="BP5" i="26" s="1"/>
  <c r="BR5" i="26" s="1"/>
  <c r="AP5" i="26"/>
  <c r="AR5" i="26" s="1"/>
  <c r="AT5" i="26" s="1"/>
  <c r="R5" i="26"/>
  <c r="T5" i="26" s="1"/>
  <c r="V5" i="26" s="1"/>
  <c r="AD5" i="26"/>
  <c r="AF5" i="26" s="1"/>
  <c r="AH5" i="26" s="1"/>
  <c r="J11" i="10"/>
  <c r="K11" i="10" s="1"/>
  <c r="H12" i="10"/>
  <c r="I12" i="10" s="1"/>
  <c r="G68" i="12"/>
  <c r="G69" i="12"/>
  <c r="G67" i="12"/>
  <c r="G65" i="12"/>
  <c r="G66" i="12"/>
  <c r="G64" i="12"/>
  <c r="G63" i="12"/>
  <c r="G62" i="12"/>
  <c r="G61" i="12"/>
  <c r="G60" i="12"/>
  <c r="G59" i="12"/>
  <c r="G58" i="12"/>
  <c r="G57" i="12"/>
  <c r="B57" i="12"/>
  <c r="U60" i="12"/>
  <c r="AD56" i="12"/>
  <c r="G56" i="12"/>
  <c r="F55" i="12"/>
  <c r="G3" i="11"/>
  <c r="H3" i="11" s="1"/>
  <c r="I3" i="11" s="1"/>
  <c r="G6" i="11"/>
  <c r="H6" i="11" s="1"/>
  <c r="I6" i="11" s="1"/>
  <c r="G4" i="11"/>
  <c r="H4" i="11" s="1"/>
  <c r="I4" i="11" s="1"/>
  <c r="G5" i="11"/>
  <c r="H5" i="11" s="1"/>
  <c r="I5" i="11" s="1"/>
  <c r="F6" i="11"/>
  <c r="E6" i="11"/>
  <c r="F3" i="11"/>
  <c r="E3" i="11"/>
  <c r="E4" i="11"/>
  <c r="E5" i="11"/>
  <c r="B35" i="2"/>
  <c r="F5" i="2"/>
  <c r="G5" i="2" s="1"/>
  <c r="AN57" i="12" l="1"/>
  <c r="AO58" i="12"/>
  <c r="X4" i="26"/>
  <c r="Z4" i="26" s="1"/>
  <c r="AB4" i="26" s="1"/>
  <c r="BH4" i="26"/>
  <c r="BJ4" i="26" s="1"/>
  <c r="BL4" i="26" s="1"/>
  <c r="AV4" i="26"/>
  <c r="AX4" i="26" s="1"/>
  <c r="AZ4" i="26" s="1"/>
  <c r="AD4" i="26"/>
  <c r="AF4" i="26" s="1"/>
  <c r="AH4" i="26" s="1"/>
  <c r="BN4" i="26"/>
  <c r="BP4" i="26" s="1"/>
  <c r="BR4" i="26" s="1"/>
  <c r="AP4" i="26"/>
  <c r="AR4" i="26" s="1"/>
  <c r="AT4" i="26" s="1"/>
  <c r="BB4" i="26"/>
  <c r="BD4" i="26" s="1"/>
  <c r="BF4" i="26" s="1"/>
  <c r="R4" i="26"/>
  <c r="T4" i="26" s="1"/>
  <c r="V4" i="26" s="1"/>
  <c r="AJ4" i="26"/>
  <c r="AL4" i="26" s="1"/>
  <c r="AN4" i="26" s="1"/>
  <c r="BT4" i="26"/>
  <c r="BV4" i="26" s="1"/>
  <c r="BX4" i="26" s="1"/>
  <c r="B30" i="3"/>
  <c r="O4" i="10"/>
  <c r="P4" i="10" s="1"/>
  <c r="T4" i="10"/>
  <c r="U4" i="10" s="1"/>
  <c r="J12" i="10"/>
  <c r="K12" i="10" s="1"/>
  <c r="H13" i="10"/>
  <c r="I13" i="10" s="1"/>
  <c r="F6" i="2"/>
  <c r="G6" i="2" s="1"/>
  <c r="D7" i="10"/>
  <c r="D5" i="10"/>
  <c r="D4" i="10"/>
  <c r="D3" i="10"/>
  <c r="E3" i="10" s="1"/>
  <c r="F3" i="10" s="1"/>
  <c r="D6" i="10"/>
  <c r="G55" i="12"/>
  <c r="F54" i="12"/>
  <c r="AD55" i="12"/>
  <c r="U59" i="12"/>
  <c r="B56" i="12"/>
  <c r="B40" i="2"/>
  <c r="AN56" i="12" l="1"/>
  <c r="AO57" i="12"/>
  <c r="X3" i="26"/>
  <c r="BT3" i="26"/>
  <c r="AJ3" i="26"/>
  <c r="R3" i="26"/>
  <c r="AP3" i="26"/>
  <c r="BB3" i="26"/>
  <c r="AV3" i="26"/>
  <c r="BH3" i="26"/>
  <c r="BN3" i="26"/>
  <c r="AD3" i="26"/>
  <c r="O5" i="10"/>
  <c r="P5" i="10" s="1"/>
  <c r="T5" i="10"/>
  <c r="U5" i="10" s="1"/>
  <c r="E4" i="10"/>
  <c r="F4" i="10" s="1"/>
  <c r="J13" i="10"/>
  <c r="K13" i="10" s="1"/>
  <c r="H14" i="10"/>
  <c r="I14" i="10" s="1"/>
  <c r="F7" i="2"/>
  <c r="G7" i="2" s="1"/>
  <c r="E5" i="10"/>
  <c r="F5" i="10" s="1"/>
  <c r="AD54" i="12"/>
  <c r="U58" i="12"/>
  <c r="G54" i="12"/>
  <c r="F53" i="12"/>
  <c r="B55" i="12"/>
  <c r="AN55" i="12" l="1"/>
  <c r="AO56" i="12"/>
  <c r="O6" i="10"/>
  <c r="P6" i="10" s="1"/>
  <c r="T6" i="10"/>
  <c r="U6" i="10" s="1"/>
  <c r="J14" i="10"/>
  <c r="K14" i="10" s="1"/>
  <c r="H15" i="10"/>
  <c r="I15" i="10" s="1"/>
  <c r="F8" i="2"/>
  <c r="G8" i="2" s="1"/>
  <c r="E6" i="10"/>
  <c r="F6" i="10" s="1"/>
  <c r="AD53" i="12"/>
  <c r="G53" i="12"/>
  <c r="F52" i="12"/>
  <c r="B54" i="12"/>
  <c r="U57" i="12"/>
  <c r="AN54" i="12" l="1"/>
  <c r="AO55" i="12"/>
  <c r="O7" i="10"/>
  <c r="P7" i="10" s="1"/>
  <c r="T7" i="10"/>
  <c r="U7" i="10" s="1"/>
  <c r="J15" i="10"/>
  <c r="K15" i="10" s="1"/>
  <c r="H16" i="10"/>
  <c r="I16" i="10" s="1"/>
  <c r="F9" i="2"/>
  <c r="G9" i="2" s="1"/>
  <c r="E7" i="10"/>
  <c r="F7" i="10" s="1"/>
  <c r="G52" i="12"/>
  <c r="F51" i="12"/>
  <c r="U56" i="12"/>
  <c r="B53" i="12"/>
  <c r="AD52" i="12"/>
  <c r="AN53" i="12" l="1"/>
  <c r="AO54" i="12"/>
  <c r="M8" i="10"/>
  <c r="N8" i="10" s="1"/>
  <c r="O8" i="10" s="1"/>
  <c r="P8" i="10" s="1"/>
  <c r="R8" i="10"/>
  <c r="S8" i="10" s="1"/>
  <c r="J16" i="10"/>
  <c r="K16" i="10" s="1"/>
  <c r="H17" i="10"/>
  <c r="I17" i="10" s="1"/>
  <c r="C8" i="10"/>
  <c r="D8" i="10" s="1"/>
  <c r="F10" i="2"/>
  <c r="G10" i="2" s="1"/>
  <c r="AD51" i="12"/>
  <c r="B52" i="12"/>
  <c r="G51" i="12"/>
  <c r="F50" i="12"/>
  <c r="U55" i="12"/>
  <c r="AN52" i="12" l="1"/>
  <c r="AO53" i="12"/>
  <c r="M9" i="10"/>
  <c r="N9" i="10" s="1"/>
  <c r="O9" i="10" s="1"/>
  <c r="P9" i="10" s="1"/>
  <c r="T8" i="10"/>
  <c r="U8" i="10" s="1"/>
  <c r="R9" i="10"/>
  <c r="S9" i="10" s="1"/>
  <c r="T9" i="10" s="1"/>
  <c r="U9" i="10" s="1"/>
  <c r="J17" i="10"/>
  <c r="K17" i="10" s="1"/>
  <c r="H18" i="10"/>
  <c r="I18" i="10" s="1"/>
  <c r="C9" i="10"/>
  <c r="D9" i="10" s="1"/>
  <c r="F11" i="2"/>
  <c r="G11" i="2" s="1"/>
  <c r="E8" i="10"/>
  <c r="F8" i="10" s="1"/>
  <c r="B51" i="12"/>
  <c r="U54" i="12"/>
  <c r="G50" i="12"/>
  <c r="F49" i="12"/>
  <c r="AD50" i="12"/>
  <c r="AN51" i="12" l="1"/>
  <c r="AO52" i="12"/>
  <c r="M10" i="10"/>
  <c r="N10" i="10" s="1"/>
  <c r="R10" i="10"/>
  <c r="S10" i="10" s="1"/>
  <c r="J18" i="10"/>
  <c r="K18" i="10" s="1"/>
  <c r="H19" i="10"/>
  <c r="I19" i="10" s="1"/>
  <c r="C10" i="10"/>
  <c r="D10" i="10" s="1"/>
  <c r="F12" i="2"/>
  <c r="G12" i="2" s="1"/>
  <c r="E9" i="10"/>
  <c r="F9" i="10" s="1"/>
  <c r="AD49" i="12"/>
  <c r="U53" i="12"/>
  <c r="G49" i="12"/>
  <c r="F48" i="12"/>
  <c r="B50" i="12"/>
  <c r="AN50" i="12" l="1"/>
  <c r="AO51" i="12"/>
  <c r="O10" i="10"/>
  <c r="P10" i="10" s="1"/>
  <c r="M11" i="10"/>
  <c r="N11" i="10" s="1"/>
  <c r="O11" i="10" s="1"/>
  <c r="P11" i="10" s="1"/>
  <c r="T10" i="10"/>
  <c r="U10" i="10" s="1"/>
  <c r="R11" i="10"/>
  <c r="S11" i="10" s="1"/>
  <c r="J19" i="10"/>
  <c r="K19" i="10" s="1"/>
  <c r="H20" i="10"/>
  <c r="I20" i="10" s="1"/>
  <c r="C11" i="10"/>
  <c r="D11" i="10" s="1"/>
  <c r="F13" i="2"/>
  <c r="G13" i="2" s="1"/>
  <c r="E10" i="10"/>
  <c r="F10" i="10" s="1"/>
  <c r="U52" i="12"/>
  <c r="G48" i="12"/>
  <c r="F47" i="12"/>
  <c r="AD48" i="12"/>
  <c r="B49" i="12"/>
  <c r="AN49" i="12" l="1"/>
  <c r="AO50" i="12"/>
  <c r="T11" i="10"/>
  <c r="U11" i="10" s="1"/>
  <c r="M12" i="10"/>
  <c r="N12" i="10" s="1"/>
  <c r="R12" i="10"/>
  <c r="S12" i="10" s="1"/>
  <c r="J20" i="10"/>
  <c r="K20" i="10" s="1"/>
  <c r="H21" i="10"/>
  <c r="I21" i="10" s="1"/>
  <c r="C12" i="10"/>
  <c r="D12" i="10" s="1"/>
  <c r="F14" i="2"/>
  <c r="G14" i="2" s="1"/>
  <c r="E11" i="10"/>
  <c r="F11" i="10" s="1"/>
  <c r="U51" i="12"/>
  <c r="AD47" i="12"/>
  <c r="B48" i="12"/>
  <c r="G47" i="12"/>
  <c r="F46" i="12"/>
  <c r="AN48" i="12" l="1"/>
  <c r="AO49" i="12"/>
  <c r="O12" i="10"/>
  <c r="P12" i="10" s="1"/>
  <c r="M13" i="10"/>
  <c r="N13" i="10" s="1"/>
  <c r="O13" i="10" s="1"/>
  <c r="P13" i="10" s="1"/>
  <c r="R13" i="10"/>
  <c r="S13" i="10" s="1"/>
  <c r="T12" i="10"/>
  <c r="U12" i="10" s="1"/>
  <c r="J21" i="10"/>
  <c r="K21" i="10" s="1"/>
  <c r="H22" i="10"/>
  <c r="I22" i="10" s="1"/>
  <c r="C13" i="10"/>
  <c r="D13" i="10" s="1"/>
  <c r="F15" i="2"/>
  <c r="G15" i="2" s="1"/>
  <c r="E12" i="10"/>
  <c r="F12" i="10" s="1"/>
  <c r="G46" i="12"/>
  <c r="F45" i="12"/>
  <c r="B47" i="12"/>
  <c r="AD46" i="12"/>
  <c r="U50" i="12"/>
  <c r="AO48" i="12" l="1"/>
  <c r="AN47" i="12"/>
  <c r="M14" i="10"/>
  <c r="N14" i="10" s="1"/>
  <c r="T13" i="10"/>
  <c r="U13" i="10" s="1"/>
  <c r="R14" i="10"/>
  <c r="S14" i="10" s="1"/>
  <c r="J22" i="10"/>
  <c r="K22" i="10" s="1"/>
  <c r="H23" i="10"/>
  <c r="I23" i="10" s="1"/>
  <c r="C14" i="10"/>
  <c r="D14" i="10" s="1"/>
  <c r="F16" i="2"/>
  <c r="G16" i="2" s="1"/>
  <c r="E13" i="10"/>
  <c r="F13" i="10" s="1"/>
  <c r="U49" i="12"/>
  <c r="G45" i="12"/>
  <c r="F44" i="12"/>
  <c r="B46" i="12"/>
  <c r="AD45" i="12"/>
  <c r="AO47" i="12" l="1"/>
  <c r="AN46" i="12"/>
  <c r="T14" i="10"/>
  <c r="U14" i="10" s="1"/>
  <c r="O14" i="10"/>
  <c r="P14" i="10" s="1"/>
  <c r="M15" i="10"/>
  <c r="N15" i="10" s="1"/>
  <c r="O15" i="10" s="1"/>
  <c r="P15" i="10" s="1"/>
  <c r="R15" i="10"/>
  <c r="S15" i="10" s="1"/>
  <c r="J23" i="10"/>
  <c r="K23" i="10" s="1"/>
  <c r="H24" i="10"/>
  <c r="I24" i="10" s="1"/>
  <c r="C15" i="10"/>
  <c r="D15" i="10" s="1"/>
  <c r="F17" i="2"/>
  <c r="G17" i="2" s="1"/>
  <c r="E14" i="10"/>
  <c r="F14" i="10" s="1"/>
  <c r="B45" i="12"/>
  <c r="U48" i="12"/>
  <c r="AD44" i="12"/>
  <c r="G44" i="12"/>
  <c r="F43" i="12"/>
  <c r="AO46" i="12" l="1"/>
  <c r="AN45" i="12"/>
  <c r="M16" i="10"/>
  <c r="N16" i="10" s="1"/>
  <c r="T15" i="10"/>
  <c r="U15" i="10" s="1"/>
  <c r="R16" i="10"/>
  <c r="S16" i="10" s="1"/>
  <c r="T16" i="10" s="1"/>
  <c r="U16" i="10" s="1"/>
  <c r="J24" i="10"/>
  <c r="K24" i="10" s="1"/>
  <c r="H25" i="10"/>
  <c r="I25" i="10" s="1"/>
  <c r="C16" i="10"/>
  <c r="D16" i="10" s="1"/>
  <c r="F18" i="2"/>
  <c r="G18" i="2" s="1"/>
  <c r="E15" i="10"/>
  <c r="F15" i="10" s="1"/>
  <c r="B44" i="12"/>
  <c r="G43" i="12"/>
  <c r="F42" i="12"/>
  <c r="AD43" i="12"/>
  <c r="U47" i="12"/>
  <c r="AO45" i="12" l="1"/>
  <c r="AN44" i="12"/>
  <c r="M17" i="10"/>
  <c r="N17" i="10" s="1"/>
  <c r="O16" i="10"/>
  <c r="P16" i="10" s="1"/>
  <c r="R17" i="10"/>
  <c r="S17" i="10" s="1"/>
  <c r="J25" i="10"/>
  <c r="K25" i="10" s="1"/>
  <c r="H26" i="10"/>
  <c r="I26" i="10" s="1"/>
  <c r="C17" i="10"/>
  <c r="D17" i="10" s="1"/>
  <c r="F19" i="2"/>
  <c r="G19" i="2" s="1"/>
  <c r="E16" i="10"/>
  <c r="F16" i="10" s="1"/>
  <c r="B43" i="12"/>
  <c r="U46" i="12"/>
  <c r="AD42" i="12"/>
  <c r="G42" i="12"/>
  <c r="F41" i="12"/>
  <c r="AO44" i="12" l="1"/>
  <c r="AN43" i="12"/>
  <c r="O17" i="10"/>
  <c r="P17" i="10" s="1"/>
  <c r="M18" i="10"/>
  <c r="N18" i="10" s="1"/>
  <c r="O18" i="10" s="1"/>
  <c r="P18" i="10" s="1"/>
  <c r="T17" i="10"/>
  <c r="U17" i="10" s="1"/>
  <c r="R18" i="10"/>
  <c r="S18" i="10" s="1"/>
  <c r="J26" i="10"/>
  <c r="K26" i="10" s="1"/>
  <c r="H27" i="10"/>
  <c r="I27" i="10" s="1"/>
  <c r="C18" i="10"/>
  <c r="D18" i="10" s="1"/>
  <c r="F20" i="2"/>
  <c r="G20" i="2" s="1"/>
  <c r="E17" i="10"/>
  <c r="F17" i="10" s="1"/>
  <c r="B42" i="12"/>
  <c r="AD41" i="12"/>
  <c r="U45" i="12"/>
  <c r="G41" i="12"/>
  <c r="F40" i="12"/>
  <c r="AO43" i="12" l="1"/>
  <c r="AN42" i="12"/>
  <c r="T18" i="10"/>
  <c r="U18" i="10" s="1"/>
  <c r="M19" i="10"/>
  <c r="N19" i="10" s="1"/>
  <c r="R19" i="10"/>
  <c r="S19" i="10" s="1"/>
  <c r="J27" i="10"/>
  <c r="K27" i="10" s="1"/>
  <c r="H28" i="10"/>
  <c r="I28" i="10" s="1"/>
  <c r="C19" i="10"/>
  <c r="D19" i="10" s="1"/>
  <c r="F21" i="2"/>
  <c r="G21" i="2" s="1"/>
  <c r="E18" i="10"/>
  <c r="F18" i="10" s="1"/>
  <c r="AD40" i="12"/>
  <c r="U44" i="12"/>
  <c r="G40" i="12"/>
  <c r="F39" i="12"/>
  <c r="B41" i="12"/>
  <c r="AO42" i="12" l="1"/>
  <c r="AN41" i="12"/>
  <c r="O19" i="10"/>
  <c r="P19" i="10" s="1"/>
  <c r="M20" i="10"/>
  <c r="N20" i="10" s="1"/>
  <c r="O20" i="10" s="1"/>
  <c r="P20" i="10" s="1"/>
  <c r="R20" i="10"/>
  <c r="S20" i="10" s="1"/>
  <c r="T19" i="10"/>
  <c r="U19" i="10" s="1"/>
  <c r="J28" i="10"/>
  <c r="K28" i="10" s="1"/>
  <c r="H29" i="10"/>
  <c r="I29" i="10" s="1"/>
  <c r="C20" i="10"/>
  <c r="D20" i="10" s="1"/>
  <c r="F22" i="2"/>
  <c r="G22" i="2" s="1"/>
  <c r="E19" i="10"/>
  <c r="F19" i="10" s="1"/>
  <c r="G39" i="12"/>
  <c r="F38" i="12"/>
  <c r="B40" i="12"/>
  <c r="AD39" i="12"/>
  <c r="U43" i="12"/>
  <c r="AO41" i="12" l="1"/>
  <c r="AN40" i="12"/>
  <c r="M21" i="10"/>
  <c r="N21" i="10" s="1"/>
  <c r="R21" i="10"/>
  <c r="S21" i="10" s="1"/>
  <c r="T20" i="10"/>
  <c r="U20" i="10" s="1"/>
  <c r="J29" i="10"/>
  <c r="K29" i="10" s="1"/>
  <c r="H30" i="10"/>
  <c r="I30" i="10" s="1"/>
  <c r="C21" i="10"/>
  <c r="D21" i="10" s="1"/>
  <c r="F23" i="2"/>
  <c r="G23" i="2" s="1"/>
  <c r="E20" i="10"/>
  <c r="F20" i="10" s="1"/>
  <c r="AD38" i="12"/>
  <c r="B39" i="12"/>
  <c r="U42" i="12"/>
  <c r="G38" i="12"/>
  <c r="F37" i="12"/>
  <c r="AO40" i="12" l="1"/>
  <c r="AN39" i="12"/>
  <c r="M22" i="10"/>
  <c r="N22" i="10" s="1"/>
  <c r="O21" i="10"/>
  <c r="P21" i="10" s="1"/>
  <c r="T21" i="10"/>
  <c r="U21" i="10" s="1"/>
  <c r="R22" i="10"/>
  <c r="S22" i="10" s="1"/>
  <c r="J30" i="10"/>
  <c r="K30" i="10" s="1"/>
  <c r="H31" i="10"/>
  <c r="I31" i="10" s="1"/>
  <c r="C22" i="10"/>
  <c r="D22" i="10" s="1"/>
  <c r="F24" i="2"/>
  <c r="G24" i="2" s="1"/>
  <c r="E21" i="10"/>
  <c r="F21" i="10" s="1"/>
  <c r="U41" i="12"/>
  <c r="G37" i="12"/>
  <c r="F36" i="12"/>
  <c r="B38" i="12"/>
  <c r="AD37" i="12"/>
  <c r="AO39" i="12" l="1"/>
  <c r="AN38" i="12"/>
  <c r="M23" i="10"/>
  <c r="N23" i="10" s="1"/>
  <c r="O22" i="10"/>
  <c r="P22" i="10" s="1"/>
  <c r="R23" i="10"/>
  <c r="S23" i="10" s="1"/>
  <c r="T23" i="10" s="1"/>
  <c r="U23" i="10" s="1"/>
  <c r="T22" i="10"/>
  <c r="U22" i="10" s="1"/>
  <c r="J31" i="10"/>
  <c r="K31" i="10" s="1"/>
  <c r="H32" i="10"/>
  <c r="I32" i="10" s="1"/>
  <c r="C23" i="10"/>
  <c r="D23" i="10" s="1"/>
  <c r="F25" i="2"/>
  <c r="G25" i="2" s="1"/>
  <c r="E22" i="10"/>
  <c r="F22" i="10" s="1"/>
  <c r="AD36" i="12"/>
  <c r="G36" i="12"/>
  <c r="F35" i="12"/>
  <c r="U40" i="12"/>
  <c r="B37" i="12"/>
  <c r="AO38" i="12" l="1"/>
  <c r="AN37" i="12"/>
  <c r="O23" i="10"/>
  <c r="P23" i="10" s="1"/>
  <c r="M24" i="10"/>
  <c r="N24" i="10" s="1"/>
  <c r="O24" i="10" s="1"/>
  <c r="P24" i="10" s="1"/>
  <c r="R24" i="10"/>
  <c r="S24" i="10" s="1"/>
  <c r="J32" i="10"/>
  <c r="K32" i="10" s="1"/>
  <c r="H33" i="10"/>
  <c r="I33" i="10" s="1"/>
  <c r="C24" i="10"/>
  <c r="D24" i="10" s="1"/>
  <c r="F26" i="2"/>
  <c r="G26" i="2" s="1"/>
  <c r="E23" i="10"/>
  <c r="F23" i="10" s="1"/>
  <c r="AD35" i="12"/>
  <c r="B36" i="12"/>
  <c r="U39" i="12"/>
  <c r="G35" i="12"/>
  <c r="F34" i="12"/>
  <c r="AO37" i="12" l="1"/>
  <c r="AN36" i="12"/>
  <c r="M25" i="10"/>
  <c r="N25" i="10" s="1"/>
  <c r="T24" i="10"/>
  <c r="U24" i="10" s="1"/>
  <c r="R25" i="10"/>
  <c r="S25" i="10" s="1"/>
  <c r="J33" i="10"/>
  <c r="K33" i="10" s="1"/>
  <c r="H34" i="10"/>
  <c r="I34" i="10" s="1"/>
  <c r="C25" i="10"/>
  <c r="D25" i="10" s="1"/>
  <c r="F27" i="2"/>
  <c r="G27" i="2" s="1"/>
  <c r="E24" i="10"/>
  <c r="F24" i="10" s="1"/>
  <c r="G34" i="12"/>
  <c r="F33" i="12"/>
  <c r="AD34" i="12"/>
  <c r="U38" i="12"/>
  <c r="B35" i="12"/>
  <c r="AO36" i="12" l="1"/>
  <c r="AN35" i="12"/>
  <c r="T25" i="10"/>
  <c r="U25" i="10" s="1"/>
  <c r="M26" i="10"/>
  <c r="N26" i="10" s="1"/>
  <c r="O26" i="10" s="1"/>
  <c r="P26" i="10" s="1"/>
  <c r="O25" i="10"/>
  <c r="P25" i="10" s="1"/>
  <c r="R26" i="10"/>
  <c r="S26" i="10" s="1"/>
  <c r="J34" i="10"/>
  <c r="K34" i="10" s="1"/>
  <c r="H35" i="10"/>
  <c r="I35" i="10" s="1"/>
  <c r="C26" i="10"/>
  <c r="D26" i="10" s="1"/>
  <c r="F28" i="2"/>
  <c r="G28" i="2" s="1"/>
  <c r="E25" i="10"/>
  <c r="F25" i="10" s="1"/>
  <c r="G33" i="12"/>
  <c r="F32" i="12"/>
  <c r="U37" i="12"/>
  <c r="B34" i="12"/>
  <c r="AD33" i="12"/>
  <c r="AO35" i="12" l="1"/>
  <c r="AN34" i="12"/>
  <c r="T26" i="10"/>
  <c r="U26" i="10" s="1"/>
  <c r="M27" i="10"/>
  <c r="N27" i="10" s="1"/>
  <c r="O27" i="10" s="1"/>
  <c r="P27" i="10" s="1"/>
  <c r="R27" i="10"/>
  <c r="S27" i="10" s="1"/>
  <c r="J35" i="10"/>
  <c r="K35" i="10" s="1"/>
  <c r="H36" i="10"/>
  <c r="I36" i="10" s="1"/>
  <c r="C27" i="10"/>
  <c r="D27" i="10" s="1"/>
  <c r="F29" i="2"/>
  <c r="G29" i="2" s="1"/>
  <c r="E26" i="10"/>
  <c r="F26" i="10" s="1"/>
  <c r="B33" i="12"/>
  <c r="U36" i="12"/>
  <c r="AD32" i="12"/>
  <c r="G32" i="12"/>
  <c r="F31" i="12"/>
  <c r="AO34" i="12" l="1"/>
  <c r="AN33" i="12"/>
  <c r="T27" i="10"/>
  <c r="U27" i="10" s="1"/>
  <c r="M28" i="10"/>
  <c r="N28" i="10" s="1"/>
  <c r="O28" i="10" s="1"/>
  <c r="P28" i="10" s="1"/>
  <c r="R28" i="10"/>
  <c r="S28" i="10" s="1"/>
  <c r="J36" i="10"/>
  <c r="K36" i="10" s="1"/>
  <c r="H37" i="10"/>
  <c r="I37" i="10" s="1"/>
  <c r="C28" i="10"/>
  <c r="D28" i="10" s="1"/>
  <c r="F30" i="2"/>
  <c r="G30" i="2" s="1"/>
  <c r="E27" i="10"/>
  <c r="F27" i="10" s="1"/>
  <c r="AD31" i="12"/>
  <c r="G31" i="12"/>
  <c r="F30" i="12"/>
  <c r="B32" i="12"/>
  <c r="U35" i="12"/>
  <c r="AO33" i="12" l="1"/>
  <c r="AN32" i="12"/>
  <c r="M29" i="10"/>
  <c r="N29" i="10" s="1"/>
  <c r="T28" i="10"/>
  <c r="U28" i="10" s="1"/>
  <c r="R29" i="10"/>
  <c r="S29" i="10" s="1"/>
  <c r="J37" i="10"/>
  <c r="K37" i="10" s="1"/>
  <c r="H38" i="10"/>
  <c r="I38" i="10" s="1"/>
  <c r="C29" i="10"/>
  <c r="D29" i="10" s="1"/>
  <c r="F31" i="2"/>
  <c r="G31" i="2" s="1"/>
  <c r="E28" i="10"/>
  <c r="F28" i="10" s="1"/>
  <c r="G30" i="12"/>
  <c r="F29" i="12"/>
  <c r="AD30" i="12"/>
  <c r="U34" i="12"/>
  <c r="B31" i="12"/>
  <c r="AO32" i="12" l="1"/>
  <c r="AN31" i="12"/>
  <c r="O29" i="10"/>
  <c r="P29" i="10" s="1"/>
  <c r="M30" i="10"/>
  <c r="N30" i="10" s="1"/>
  <c r="O30" i="10" s="1"/>
  <c r="P30" i="10" s="1"/>
  <c r="R30" i="10"/>
  <c r="S30" i="10" s="1"/>
  <c r="T29" i="10"/>
  <c r="U29" i="10" s="1"/>
  <c r="J38" i="10"/>
  <c r="K38" i="10" s="1"/>
  <c r="H39" i="10"/>
  <c r="I39" i="10" s="1"/>
  <c r="C30" i="10"/>
  <c r="D30" i="10" s="1"/>
  <c r="F32" i="2"/>
  <c r="G32" i="2" s="1"/>
  <c r="E29" i="10"/>
  <c r="F29" i="10" s="1"/>
  <c r="G29" i="12"/>
  <c r="F28" i="12"/>
  <c r="AD29" i="12"/>
  <c r="U33" i="12"/>
  <c r="B30" i="12"/>
  <c r="AO31" i="12" l="1"/>
  <c r="AN30" i="12"/>
  <c r="M31" i="10"/>
  <c r="N31" i="10" s="1"/>
  <c r="O31" i="10" s="1"/>
  <c r="P31" i="10" s="1"/>
  <c r="T30" i="10"/>
  <c r="U30" i="10" s="1"/>
  <c r="R31" i="10"/>
  <c r="S31" i="10" s="1"/>
  <c r="J39" i="10"/>
  <c r="K39" i="10" s="1"/>
  <c r="H40" i="10"/>
  <c r="I40" i="10" s="1"/>
  <c r="C31" i="10"/>
  <c r="D31" i="10" s="1"/>
  <c r="F33" i="2"/>
  <c r="G33" i="2" s="1"/>
  <c r="E30" i="10"/>
  <c r="F30" i="10" s="1"/>
  <c r="B29" i="12"/>
  <c r="U32" i="12"/>
  <c r="AD28" i="12"/>
  <c r="G28" i="12"/>
  <c r="F27" i="12"/>
  <c r="AO30" i="12" l="1"/>
  <c r="AN29" i="12"/>
  <c r="M32" i="10"/>
  <c r="N32" i="10" s="1"/>
  <c r="O32" i="10" s="1"/>
  <c r="P32" i="10" s="1"/>
  <c r="R32" i="10"/>
  <c r="S32" i="10" s="1"/>
  <c r="T31" i="10"/>
  <c r="U31" i="10" s="1"/>
  <c r="J40" i="10"/>
  <c r="K40" i="10" s="1"/>
  <c r="H41" i="10"/>
  <c r="I41" i="10" s="1"/>
  <c r="C32" i="10"/>
  <c r="D32" i="10" s="1"/>
  <c r="F34" i="2"/>
  <c r="G34" i="2" s="1"/>
  <c r="E31" i="10"/>
  <c r="F31" i="10" s="1"/>
  <c r="U31" i="12"/>
  <c r="AD27" i="12"/>
  <c r="B28" i="12"/>
  <c r="G27" i="12"/>
  <c r="F26" i="12"/>
  <c r="AO29" i="12" l="1"/>
  <c r="AN28" i="12"/>
  <c r="M33" i="10"/>
  <c r="N33" i="10" s="1"/>
  <c r="R33" i="10"/>
  <c r="S33" i="10" s="1"/>
  <c r="T32" i="10"/>
  <c r="U32" i="10" s="1"/>
  <c r="J41" i="10"/>
  <c r="K41" i="10" s="1"/>
  <c r="H42" i="10"/>
  <c r="I42" i="10" s="1"/>
  <c r="C33" i="10"/>
  <c r="D33" i="10" s="1"/>
  <c r="F35" i="2"/>
  <c r="G35" i="2" s="1"/>
  <c r="E32" i="10"/>
  <c r="F32" i="10" s="1"/>
  <c r="U30" i="12"/>
  <c r="AD26" i="12"/>
  <c r="G26" i="12"/>
  <c r="F25" i="12"/>
  <c r="B27" i="12"/>
  <c r="AO28" i="12" l="1"/>
  <c r="AN27" i="12"/>
  <c r="O33" i="10"/>
  <c r="P33" i="10" s="1"/>
  <c r="M34" i="10"/>
  <c r="N34" i="10" s="1"/>
  <c r="O34" i="10" s="1"/>
  <c r="P34" i="10" s="1"/>
  <c r="R34" i="10"/>
  <c r="S34" i="10" s="1"/>
  <c r="T33" i="10"/>
  <c r="U33" i="10" s="1"/>
  <c r="J42" i="10"/>
  <c r="K42" i="10" s="1"/>
  <c r="H43" i="10"/>
  <c r="I43" i="10" s="1"/>
  <c r="C34" i="10"/>
  <c r="D34" i="10" s="1"/>
  <c r="F36" i="2"/>
  <c r="G36" i="2" s="1"/>
  <c r="E33" i="10"/>
  <c r="F33" i="10" s="1"/>
  <c r="B26" i="12"/>
  <c r="AD25" i="12"/>
  <c r="U29" i="12"/>
  <c r="G25" i="12"/>
  <c r="F24" i="12"/>
  <c r="AO27" i="12" l="1"/>
  <c r="AN26" i="12"/>
  <c r="T34" i="10"/>
  <c r="U34" i="10" s="1"/>
  <c r="M35" i="10"/>
  <c r="N35" i="10" s="1"/>
  <c r="R35" i="10"/>
  <c r="S35" i="10" s="1"/>
  <c r="J43" i="10"/>
  <c r="K43" i="10" s="1"/>
  <c r="H44" i="10"/>
  <c r="I44" i="10" s="1"/>
  <c r="C35" i="10"/>
  <c r="D35" i="10" s="1"/>
  <c r="F37" i="2"/>
  <c r="G37" i="2" s="1"/>
  <c r="E34" i="10"/>
  <c r="F34" i="10" s="1"/>
  <c r="U28" i="12"/>
  <c r="B25" i="12"/>
  <c r="AD24" i="12"/>
  <c r="G24" i="12"/>
  <c r="F23" i="12"/>
  <c r="AO26" i="12" l="1"/>
  <c r="AN25" i="12"/>
  <c r="T35" i="10"/>
  <c r="U35" i="10" s="1"/>
  <c r="M36" i="10"/>
  <c r="N36" i="10" s="1"/>
  <c r="O36" i="10" s="1"/>
  <c r="P36" i="10" s="1"/>
  <c r="O35" i="10"/>
  <c r="P35" i="10" s="1"/>
  <c r="R36" i="10"/>
  <c r="S36" i="10" s="1"/>
  <c r="J44" i="10"/>
  <c r="K44" i="10" s="1"/>
  <c r="H45" i="10"/>
  <c r="I45" i="10" s="1"/>
  <c r="C36" i="10"/>
  <c r="D36" i="10" s="1"/>
  <c r="F38" i="2"/>
  <c r="G38" i="2" s="1"/>
  <c r="E35" i="10"/>
  <c r="F35" i="10" s="1"/>
  <c r="U27" i="12"/>
  <c r="B24" i="12"/>
  <c r="G23" i="12"/>
  <c r="F22" i="12"/>
  <c r="AD23" i="12"/>
  <c r="AO25" i="12" l="1"/>
  <c r="AN24" i="12"/>
  <c r="M37" i="10"/>
  <c r="N37" i="10" s="1"/>
  <c r="R37" i="10"/>
  <c r="S37" i="10" s="1"/>
  <c r="T36" i="10"/>
  <c r="U36" i="10" s="1"/>
  <c r="J45" i="10"/>
  <c r="K45" i="10" s="1"/>
  <c r="H46" i="10"/>
  <c r="I46" i="10" s="1"/>
  <c r="C37" i="10"/>
  <c r="D37" i="10" s="1"/>
  <c r="F39" i="2"/>
  <c r="G39" i="2" s="1"/>
  <c r="E36" i="10"/>
  <c r="F36" i="10" s="1"/>
  <c r="U26" i="12"/>
  <c r="AD22" i="12"/>
  <c r="G22" i="12"/>
  <c r="F21" i="12"/>
  <c r="B23" i="12"/>
  <c r="AO24" i="12" l="1"/>
  <c r="AN23" i="12"/>
  <c r="T37" i="10"/>
  <c r="U37" i="10" s="1"/>
  <c r="M38" i="10"/>
  <c r="N38" i="10" s="1"/>
  <c r="O37" i="10"/>
  <c r="P37" i="10" s="1"/>
  <c r="R38" i="10"/>
  <c r="S38" i="10" s="1"/>
  <c r="J46" i="10"/>
  <c r="K46" i="10" s="1"/>
  <c r="H47" i="10"/>
  <c r="I47" i="10" s="1"/>
  <c r="J47" i="10" s="1"/>
  <c r="K47" i="10" s="1"/>
  <c r="C38" i="10"/>
  <c r="D38" i="10" s="1"/>
  <c r="F40" i="2"/>
  <c r="G40" i="2" s="1"/>
  <c r="E37" i="10"/>
  <c r="F37" i="10" s="1"/>
  <c r="AD21" i="12"/>
  <c r="G21" i="12"/>
  <c r="F20" i="12"/>
  <c r="U25" i="12"/>
  <c r="B22" i="12"/>
  <c r="AO23" i="12" l="1"/>
  <c r="AN22" i="12"/>
  <c r="T38" i="10"/>
  <c r="U38" i="10" s="1"/>
  <c r="M39" i="10"/>
  <c r="N39" i="10" s="1"/>
  <c r="O38" i="10"/>
  <c r="P38" i="10" s="1"/>
  <c r="R39" i="10"/>
  <c r="S39" i="10" s="1"/>
  <c r="H48" i="10"/>
  <c r="I48" i="10" s="1"/>
  <c r="C39" i="10"/>
  <c r="D39" i="10" s="1"/>
  <c r="F41" i="2"/>
  <c r="G41" i="2" s="1"/>
  <c r="E38" i="10"/>
  <c r="F38" i="10" s="1"/>
  <c r="B21" i="12"/>
  <c r="G20" i="12"/>
  <c r="F19" i="12"/>
  <c r="U24" i="12"/>
  <c r="AD20" i="12"/>
  <c r="AF20" i="12" s="1"/>
  <c r="AO22" i="12" l="1"/>
  <c r="AN21" i="12"/>
  <c r="M40" i="10"/>
  <c r="N40" i="10" s="1"/>
  <c r="O40" i="10" s="1"/>
  <c r="P40" i="10" s="1"/>
  <c r="O39" i="10"/>
  <c r="P39" i="10" s="1"/>
  <c r="T39" i="10"/>
  <c r="U39" i="10" s="1"/>
  <c r="R40" i="10"/>
  <c r="S40" i="10" s="1"/>
  <c r="J48" i="10"/>
  <c r="K48" i="10" s="1"/>
  <c r="H49" i="10"/>
  <c r="I49" i="10" s="1"/>
  <c r="C40" i="10"/>
  <c r="D40" i="10" s="1"/>
  <c r="F42" i="2"/>
  <c r="G42" i="2" s="1"/>
  <c r="E39" i="10"/>
  <c r="F39" i="10" s="1"/>
  <c r="G19" i="12"/>
  <c r="F18" i="12"/>
  <c r="U23" i="12"/>
  <c r="AD19" i="12"/>
  <c r="B20" i="12"/>
  <c r="AO21" i="12" l="1"/>
  <c r="AQ21" i="12" s="1"/>
  <c r="AN20" i="12"/>
  <c r="M41" i="10"/>
  <c r="N41" i="10" s="1"/>
  <c r="R41" i="10"/>
  <c r="S41" i="10" s="1"/>
  <c r="T40" i="10"/>
  <c r="U40" i="10" s="1"/>
  <c r="J49" i="10"/>
  <c r="K49" i="10" s="1"/>
  <c r="H50" i="10"/>
  <c r="I50" i="10" s="1"/>
  <c r="C41" i="10"/>
  <c r="D41" i="10" s="1"/>
  <c r="F43" i="2"/>
  <c r="G43" i="2" s="1"/>
  <c r="E40" i="10"/>
  <c r="F40" i="10" s="1"/>
  <c r="G18" i="12"/>
  <c r="F17" i="12"/>
  <c r="U22" i="12"/>
  <c r="B19" i="12"/>
  <c r="AD18" i="12"/>
  <c r="AO20" i="12" l="1"/>
  <c r="AN19" i="12"/>
  <c r="T41" i="10"/>
  <c r="U41" i="10" s="1"/>
  <c r="M42" i="10"/>
  <c r="N42" i="10" s="1"/>
  <c r="O41" i="10"/>
  <c r="P41" i="10" s="1"/>
  <c r="R42" i="10"/>
  <c r="S42" i="10" s="1"/>
  <c r="J50" i="10"/>
  <c r="K50" i="10" s="1"/>
  <c r="H51" i="10"/>
  <c r="I51" i="10" s="1"/>
  <c r="C42" i="10"/>
  <c r="D42" i="10" s="1"/>
  <c r="F44" i="2"/>
  <c r="G44" i="2" s="1"/>
  <c r="E41" i="10"/>
  <c r="F41" i="10" s="1"/>
  <c r="B18" i="12"/>
  <c r="G17" i="12"/>
  <c r="F16" i="12"/>
  <c r="AD17" i="12"/>
  <c r="U21" i="12"/>
  <c r="AO19" i="12" l="1"/>
  <c r="AN18" i="12"/>
  <c r="T42" i="10"/>
  <c r="U42" i="10" s="1"/>
  <c r="M43" i="10"/>
  <c r="N43" i="10" s="1"/>
  <c r="O42" i="10"/>
  <c r="P42" i="10" s="1"/>
  <c r="R43" i="10"/>
  <c r="S43" i="10" s="1"/>
  <c r="J51" i="10"/>
  <c r="K51" i="10" s="1"/>
  <c r="H52" i="10"/>
  <c r="I52" i="10" s="1"/>
  <c r="C43" i="10"/>
  <c r="D43" i="10" s="1"/>
  <c r="F45" i="2"/>
  <c r="G45" i="2" s="1"/>
  <c r="E42" i="10"/>
  <c r="F42" i="10" s="1"/>
  <c r="U20" i="12"/>
  <c r="B17" i="12"/>
  <c r="AD16" i="12"/>
  <c r="G16" i="12"/>
  <c r="F15" i="12"/>
  <c r="AO18" i="12" l="1"/>
  <c r="AN17" i="12"/>
  <c r="M44" i="10"/>
  <c r="N44" i="10" s="1"/>
  <c r="O44" i="10" s="1"/>
  <c r="P44" i="10" s="1"/>
  <c r="O43" i="10"/>
  <c r="P43" i="10" s="1"/>
  <c r="R44" i="10"/>
  <c r="S44" i="10" s="1"/>
  <c r="T43" i="10"/>
  <c r="U43" i="10" s="1"/>
  <c r="J52" i="10"/>
  <c r="K52" i="10" s="1"/>
  <c r="H53" i="10"/>
  <c r="I53" i="10" s="1"/>
  <c r="C44" i="10"/>
  <c r="D44" i="10" s="1"/>
  <c r="F46" i="2"/>
  <c r="G46" i="2" s="1"/>
  <c r="E43" i="10"/>
  <c r="F43" i="10" s="1"/>
  <c r="AD15" i="12"/>
  <c r="U19" i="12"/>
  <c r="G15" i="12"/>
  <c r="F14" i="12"/>
  <c r="B16" i="12"/>
  <c r="AO17" i="12" l="1"/>
  <c r="AN16" i="12"/>
  <c r="T44" i="10"/>
  <c r="U44" i="10" s="1"/>
  <c r="M45" i="10"/>
  <c r="N45" i="10" s="1"/>
  <c r="O45" i="10" s="1"/>
  <c r="P45" i="10" s="1"/>
  <c r="R45" i="10"/>
  <c r="S45" i="10" s="1"/>
  <c r="J53" i="10"/>
  <c r="K53" i="10" s="1"/>
  <c r="H54" i="10"/>
  <c r="I54" i="10" s="1"/>
  <c r="C45" i="10"/>
  <c r="D45" i="10" s="1"/>
  <c r="F47" i="2"/>
  <c r="G47" i="2" s="1"/>
  <c r="E44" i="10"/>
  <c r="F44" i="10" s="1"/>
  <c r="AD14" i="12"/>
  <c r="B15" i="12"/>
  <c r="G14" i="12"/>
  <c r="F13" i="12"/>
  <c r="U18" i="12"/>
  <c r="AO16" i="12" l="1"/>
  <c r="AN15" i="12"/>
  <c r="M46" i="10"/>
  <c r="N46" i="10" s="1"/>
  <c r="O46" i="10" s="1"/>
  <c r="P46" i="10" s="1"/>
  <c r="T45" i="10"/>
  <c r="U45" i="10" s="1"/>
  <c r="R46" i="10"/>
  <c r="S46" i="10" s="1"/>
  <c r="T46" i="10" s="1"/>
  <c r="U46" i="10" s="1"/>
  <c r="J54" i="10"/>
  <c r="K54" i="10" s="1"/>
  <c r="H55" i="10"/>
  <c r="I55" i="10" s="1"/>
  <c r="C46" i="10"/>
  <c r="D46" i="10" s="1"/>
  <c r="F48" i="2"/>
  <c r="G48" i="2" s="1"/>
  <c r="E45" i="10"/>
  <c r="F45" i="10" s="1"/>
  <c r="AD13" i="12"/>
  <c r="U17" i="12"/>
  <c r="G13" i="12"/>
  <c r="F12" i="12"/>
  <c r="B14" i="12"/>
  <c r="AO15" i="12" l="1"/>
  <c r="AN14" i="12"/>
  <c r="M47" i="10"/>
  <c r="N47" i="10" s="1"/>
  <c r="R47" i="10"/>
  <c r="S47" i="10" s="1"/>
  <c r="J55" i="10"/>
  <c r="K55" i="10" s="1"/>
  <c r="H56" i="10"/>
  <c r="I56" i="10" s="1"/>
  <c r="C47" i="10"/>
  <c r="D47" i="10" s="1"/>
  <c r="F49" i="2"/>
  <c r="G49" i="2" s="1"/>
  <c r="E46" i="10"/>
  <c r="F46" i="10" s="1"/>
  <c r="B13" i="12"/>
  <c r="U16" i="12"/>
  <c r="G12" i="12"/>
  <c r="F11" i="12"/>
  <c r="AD12" i="12"/>
  <c r="AO14" i="12" l="1"/>
  <c r="AN13" i="12"/>
  <c r="O47" i="10"/>
  <c r="P47" i="10" s="1"/>
  <c r="M48" i="10"/>
  <c r="N48" i="10" s="1"/>
  <c r="O48" i="10" s="1"/>
  <c r="P48" i="10" s="1"/>
  <c r="T47" i="10"/>
  <c r="U47" i="10" s="1"/>
  <c r="R48" i="10"/>
  <c r="S48" i="10" s="1"/>
  <c r="J56" i="10"/>
  <c r="K56" i="10" s="1"/>
  <c r="H57" i="10"/>
  <c r="I57" i="10" s="1"/>
  <c r="C48" i="10"/>
  <c r="D48" i="10" s="1"/>
  <c r="F50" i="2"/>
  <c r="G50" i="2" s="1"/>
  <c r="E47" i="10"/>
  <c r="F47" i="10" s="1"/>
  <c r="AD11" i="12"/>
  <c r="G11" i="12"/>
  <c r="F10" i="12"/>
  <c r="U15" i="12"/>
  <c r="B12" i="12"/>
  <c r="AO13" i="12" l="1"/>
  <c r="AN12" i="12"/>
  <c r="T48" i="10"/>
  <c r="U48" i="10" s="1"/>
  <c r="M49" i="10"/>
  <c r="N49" i="10" s="1"/>
  <c r="R49" i="10"/>
  <c r="S49" i="10" s="1"/>
  <c r="J57" i="10"/>
  <c r="K57" i="10" s="1"/>
  <c r="H58" i="10"/>
  <c r="I58" i="10" s="1"/>
  <c r="C49" i="10"/>
  <c r="D49" i="10" s="1"/>
  <c r="F51" i="2"/>
  <c r="G51" i="2" s="1"/>
  <c r="E48" i="10"/>
  <c r="F48" i="10" s="1"/>
  <c r="B11" i="12"/>
  <c r="U14" i="12"/>
  <c r="AD10" i="12"/>
  <c r="G10" i="12"/>
  <c r="F9" i="12"/>
  <c r="AO12" i="12" l="1"/>
  <c r="AN11" i="12"/>
  <c r="O49" i="10"/>
  <c r="P49" i="10" s="1"/>
  <c r="M50" i="10"/>
  <c r="N50" i="10" s="1"/>
  <c r="O50" i="10" s="1"/>
  <c r="P50" i="10" s="1"/>
  <c r="T49" i="10"/>
  <c r="U49" i="10" s="1"/>
  <c r="R50" i="10"/>
  <c r="S50" i="10" s="1"/>
  <c r="T50" i="10" s="1"/>
  <c r="U50" i="10" s="1"/>
  <c r="J58" i="10"/>
  <c r="K58" i="10" s="1"/>
  <c r="H59" i="10"/>
  <c r="I59" i="10" s="1"/>
  <c r="C50" i="10"/>
  <c r="D50" i="10" s="1"/>
  <c r="F52" i="2"/>
  <c r="G52" i="2" s="1"/>
  <c r="E49" i="10"/>
  <c r="F49" i="10" s="1"/>
  <c r="G9" i="12"/>
  <c r="F8" i="12"/>
  <c r="AD9" i="12"/>
  <c r="U13" i="12"/>
  <c r="B10" i="12"/>
  <c r="AO11" i="12" l="1"/>
  <c r="AN10" i="12"/>
  <c r="M51" i="10"/>
  <c r="N51" i="10" s="1"/>
  <c r="O51" i="10" s="1"/>
  <c r="P51" i="10" s="1"/>
  <c r="R51" i="10"/>
  <c r="S51" i="10" s="1"/>
  <c r="J59" i="10"/>
  <c r="K59" i="10" s="1"/>
  <c r="H60" i="10"/>
  <c r="I60" i="10" s="1"/>
  <c r="C51" i="10"/>
  <c r="D51" i="10" s="1"/>
  <c r="F53" i="2"/>
  <c r="G53" i="2" s="1"/>
  <c r="E50" i="10"/>
  <c r="F50" i="10" s="1"/>
  <c r="U12" i="12"/>
  <c r="F7" i="12"/>
  <c r="G8" i="12"/>
  <c r="AD8" i="12"/>
  <c r="B9" i="12"/>
  <c r="AO10" i="12" l="1"/>
  <c r="AN9" i="12"/>
  <c r="M52" i="10"/>
  <c r="N52" i="10" s="1"/>
  <c r="O52" i="10" s="1"/>
  <c r="P52" i="10" s="1"/>
  <c r="T51" i="10"/>
  <c r="U51" i="10" s="1"/>
  <c r="R52" i="10"/>
  <c r="S52" i="10" s="1"/>
  <c r="J60" i="10"/>
  <c r="K60" i="10" s="1"/>
  <c r="H61" i="10"/>
  <c r="I61" i="10" s="1"/>
  <c r="C52" i="10"/>
  <c r="D52" i="10" s="1"/>
  <c r="F54" i="2"/>
  <c r="G54" i="2" s="1"/>
  <c r="E51" i="10"/>
  <c r="F51" i="10" s="1"/>
  <c r="F6" i="12"/>
  <c r="G7" i="12"/>
  <c r="B8" i="12"/>
  <c r="U11" i="12"/>
  <c r="AD7" i="12"/>
  <c r="AO9" i="12" l="1"/>
  <c r="AN8" i="12"/>
  <c r="T52" i="10"/>
  <c r="U52" i="10" s="1"/>
  <c r="M53" i="10"/>
  <c r="N53" i="10" s="1"/>
  <c r="R53" i="10"/>
  <c r="S53" i="10" s="1"/>
  <c r="T53" i="10" s="1"/>
  <c r="U53" i="10" s="1"/>
  <c r="J61" i="10"/>
  <c r="K61" i="10" s="1"/>
  <c r="H62" i="10"/>
  <c r="I62" i="10" s="1"/>
  <c r="C53" i="10"/>
  <c r="D53" i="10" s="1"/>
  <c r="F55" i="2"/>
  <c r="G55" i="2" s="1"/>
  <c r="E52" i="10"/>
  <c r="F52" i="10" s="1"/>
  <c r="AD6" i="12"/>
  <c r="F5" i="12"/>
  <c r="G6" i="12"/>
  <c r="U10" i="12"/>
  <c r="B7" i="12"/>
  <c r="AO8" i="12" l="1"/>
  <c r="AN7" i="12"/>
  <c r="O53" i="10"/>
  <c r="P53" i="10" s="1"/>
  <c r="M54" i="10"/>
  <c r="N54" i="10" s="1"/>
  <c r="O54" i="10" s="1"/>
  <c r="P54" i="10" s="1"/>
  <c r="R54" i="10"/>
  <c r="S54" i="10" s="1"/>
  <c r="T54" i="10" s="1"/>
  <c r="U54" i="10" s="1"/>
  <c r="J62" i="10"/>
  <c r="K62" i="10" s="1"/>
  <c r="H63" i="10"/>
  <c r="I63" i="10" s="1"/>
  <c r="C54" i="10"/>
  <c r="D54" i="10" s="1"/>
  <c r="F56" i="2"/>
  <c r="G56" i="2" s="1"/>
  <c r="E53" i="10"/>
  <c r="F53" i="10" s="1"/>
  <c r="AD5" i="12"/>
  <c r="U9" i="12"/>
  <c r="F4" i="12"/>
  <c r="G5" i="12"/>
  <c r="B6" i="12"/>
  <c r="AO7" i="12" l="1"/>
  <c r="AN6" i="12"/>
  <c r="M55" i="10"/>
  <c r="N55" i="10" s="1"/>
  <c r="O55" i="10" s="1"/>
  <c r="P55" i="10" s="1"/>
  <c r="R55" i="10"/>
  <c r="S55" i="10" s="1"/>
  <c r="J63" i="10"/>
  <c r="K63" i="10" s="1"/>
  <c r="H64" i="10"/>
  <c r="I64" i="10" s="1"/>
  <c r="C55" i="10"/>
  <c r="D55" i="10" s="1"/>
  <c r="F57" i="2"/>
  <c r="G57" i="2" s="1"/>
  <c r="E54" i="10"/>
  <c r="F54" i="10" s="1"/>
  <c r="U8" i="12"/>
  <c r="B5" i="12"/>
  <c r="F3" i="12"/>
  <c r="G3" i="12" s="1"/>
  <c r="G4" i="12"/>
  <c r="AD3" i="12"/>
  <c r="AD4" i="12"/>
  <c r="AO6" i="12" l="1"/>
  <c r="AN5" i="12"/>
  <c r="T55" i="10"/>
  <c r="U55" i="10" s="1"/>
  <c r="M56" i="10"/>
  <c r="N56" i="10" s="1"/>
  <c r="O56" i="10" s="1"/>
  <c r="P56" i="10" s="1"/>
  <c r="R56" i="10"/>
  <c r="S56" i="10" s="1"/>
  <c r="T56" i="10" s="1"/>
  <c r="U56" i="10" s="1"/>
  <c r="J64" i="10"/>
  <c r="K64" i="10" s="1"/>
  <c r="H65" i="10"/>
  <c r="I65" i="10" s="1"/>
  <c r="C56" i="10"/>
  <c r="D56" i="10" s="1"/>
  <c r="F58" i="2"/>
  <c r="G58" i="2" s="1"/>
  <c r="E55" i="10"/>
  <c r="F55" i="10" s="1"/>
  <c r="B4" i="12"/>
  <c r="U7" i="12"/>
  <c r="AO5" i="12" l="1"/>
  <c r="AN4" i="12"/>
  <c r="M57" i="10"/>
  <c r="N57" i="10" s="1"/>
  <c r="O57" i="10" s="1"/>
  <c r="P57" i="10" s="1"/>
  <c r="R57" i="10"/>
  <c r="S57" i="10" s="1"/>
  <c r="J65" i="10"/>
  <c r="K65" i="10" s="1"/>
  <c r="H66" i="10"/>
  <c r="I66" i="10" s="1"/>
  <c r="C57" i="10"/>
  <c r="D57" i="10" s="1"/>
  <c r="F59" i="2"/>
  <c r="G59" i="2" s="1"/>
  <c r="E56" i="10"/>
  <c r="F56" i="10" s="1"/>
  <c r="B3" i="12"/>
  <c r="U6" i="12"/>
  <c r="AO4" i="12" l="1"/>
  <c r="AN3" i="12"/>
  <c r="AO3" i="12" s="1"/>
  <c r="T57" i="10"/>
  <c r="U57" i="10" s="1"/>
  <c r="M58" i="10"/>
  <c r="N58" i="10" s="1"/>
  <c r="O58" i="10" s="1"/>
  <c r="P58" i="10" s="1"/>
  <c r="R58" i="10"/>
  <c r="S58" i="10" s="1"/>
  <c r="T58" i="10" s="1"/>
  <c r="U58" i="10" s="1"/>
  <c r="J66" i="10"/>
  <c r="K66" i="10" s="1"/>
  <c r="H67" i="10"/>
  <c r="I67" i="10" s="1"/>
  <c r="J67" i="10" s="1"/>
  <c r="K67" i="10" s="1"/>
  <c r="C58" i="10"/>
  <c r="D58" i="10" s="1"/>
  <c r="F60" i="2"/>
  <c r="G60" i="2" s="1"/>
  <c r="E57" i="10"/>
  <c r="F57" i="10" s="1"/>
  <c r="U5" i="12"/>
  <c r="M59" i="10" l="1"/>
  <c r="N59" i="10" s="1"/>
  <c r="O59" i="10" s="1"/>
  <c r="P59" i="10" s="1"/>
  <c r="R59" i="10"/>
  <c r="S59" i="10" s="1"/>
  <c r="H68" i="10"/>
  <c r="I68" i="10" s="1"/>
  <c r="C59" i="10"/>
  <c r="D59" i="10" s="1"/>
  <c r="F61" i="2"/>
  <c r="G61" i="2" s="1"/>
  <c r="E58" i="10"/>
  <c r="F58" i="10" s="1"/>
  <c r="U4" i="12"/>
  <c r="U3" i="12"/>
  <c r="M60" i="10" l="1"/>
  <c r="N60" i="10" s="1"/>
  <c r="R60" i="10"/>
  <c r="S60" i="10" s="1"/>
  <c r="T59" i="10"/>
  <c r="U59" i="10" s="1"/>
  <c r="J68" i="10"/>
  <c r="K68" i="10" s="1"/>
  <c r="H69" i="10"/>
  <c r="I69" i="10" s="1"/>
  <c r="C60" i="10"/>
  <c r="D60" i="10" s="1"/>
  <c r="F62" i="2"/>
  <c r="G62" i="2" s="1"/>
  <c r="E59" i="10"/>
  <c r="F59" i="10" s="1"/>
  <c r="O60" i="10" l="1"/>
  <c r="P60" i="10" s="1"/>
  <c r="M61" i="10"/>
  <c r="N61" i="10" s="1"/>
  <c r="O61" i="10" s="1"/>
  <c r="P61" i="10" s="1"/>
  <c r="R61" i="10"/>
  <c r="S61" i="10" s="1"/>
  <c r="T60" i="10"/>
  <c r="U60" i="10" s="1"/>
  <c r="J69" i="10"/>
  <c r="K69" i="10" s="1"/>
  <c r="C61" i="10"/>
  <c r="D61" i="10" s="1"/>
  <c r="F63" i="2"/>
  <c r="G63" i="2" s="1"/>
  <c r="E60" i="10"/>
  <c r="F60" i="10" s="1"/>
  <c r="M62" i="10" l="1"/>
  <c r="N62" i="10" s="1"/>
  <c r="O62" i="10" s="1"/>
  <c r="P62" i="10" s="1"/>
  <c r="T61" i="10"/>
  <c r="U61" i="10" s="1"/>
  <c r="R62" i="10"/>
  <c r="S62" i="10" s="1"/>
  <c r="C62" i="10"/>
  <c r="D62" i="10" s="1"/>
  <c r="F64" i="2"/>
  <c r="G64" i="2" s="1"/>
  <c r="E61" i="10"/>
  <c r="F61" i="10" s="1"/>
  <c r="M63" i="10" l="1"/>
  <c r="N63" i="10" s="1"/>
  <c r="R63" i="10"/>
  <c r="S63" i="10" s="1"/>
  <c r="T62" i="10"/>
  <c r="U62" i="10" s="1"/>
  <c r="C63" i="10"/>
  <c r="D63" i="10" s="1"/>
  <c r="F65" i="2"/>
  <c r="G65" i="2" s="1"/>
  <c r="E62" i="10"/>
  <c r="F62" i="10" s="1"/>
  <c r="M64" i="10" l="1"/>
  <c r="N64" i="10" s="1"/>
  <c r="O63" i="10"/>
  <c r="P63" i="10" s="1"/>
  <c r="T63" i="10"/>
  <c r="U63" i="10" s="1"/>
  <c r="R64" i="10"/>
  <c r="S64" i="10" s="1"/>
  <c r="C64" i="10"/>
  <c r="D64" i="10" s="1"/>
  <c r="F66" i="2"/>
  <c r="G66" i="2" s="1"/>
  <c r="E63" i="10"/>
  <c r="F63" i="10" s="1"/>
  <c r="O64" i="10" l="1"/>
  <c r="P64" i="10" s="1"/>
  <c r="M65" i="10"/>
  <c r="N65" i="10" s="1"/>
  <c r="O65" i="10" s="1"/>
  <c r="P65" i="10" s="1"/>
  <c r="R65" i="10"/>
  <c r="S65" i="10" s="1"/>
  <c r="T64" i="10"/>
  <c r="U64" i="10" s="1"/>
  <c r="C65" i="10"/>
  <c r="D65" i="10" s="1"/>
  <c r="F67" i="2"/>
  <c r="G67" i="2" s="1"/>
  <c r="E64" i="10"/>
  <c r="F64" i="10" s="1"/>
  <c r="T65" i="10" l="1"/>
  <c r="U65" i="10" s="1"/>
  <c r="M66" i="10"/>
  <c r="N66" i="10" s="1"/>
  <c r="O66" i="10" s="1"/>
  <c r="P66" i="10" s="1"/>
  <c r="R66" i="10"/>
  <c r="S66" i="10" s="1"/>
  <c r="C66" i="10"/>
  <c r="D66" i="10" s="1"/>
  <c r="F68" i="2"/>
  <c r="G68" i="2" s="1"/>
  <c r="E65" i="10"/>
  <c r="F65" i="10" s="1"/>
  <c r="M67" i="10" l="1"/>
  <c r="N67" i="10" s="1"/>
  <c r="T66" i="10"/>
  <c r="U66" i="10" s="1"/>
  <c r="R67" i="10"/>
  <c r="S67" i="10" s="1"/>
  <c r="T67" i="10" s="1"/>
  <c r="U67" i="10" s="1"/>
  <c r="C67" i="10"/>
  <c r="D67" i="10" s="1"/>
  <c r="F69" i="2"/>
  <c r="G69" i="2" s="1"/>
  <c r="E66" i="10"/>
  <c r="F66" i="10" s="1"/>
  <c r="O67" i="10" l="1"/>
  <c r="P67" i="10" s="1"/>
  <c r="M68" i="10"/>
  <c r="N68" i="10" s="1"/>
  <c r="R68" i="10"/>
  <c r="S68" i="10" s="1"/>
  <c r="T68" i="10" s="1"/>
  <c r="U68" i="10" s="1"/>
  <c r="C68" i="10"/>
  <c r="D68" i="10" s="1"/>
  <c r="F70" i="2"/>
  <c r="G70" i="2" s="1"/>
  <c r="E67" i="10"/>
  <c r="F67" i="10" s="1"/>
  <c r="O68" i="10" l="1"/>
  <c r="P68" i="10" s="1"/>
  <c r="M69" i="10"/>
  <c r="N69" i="10" s="1"/>
  <c r="R69" i="10"/>
  <c r="S69" i="10" s="1"/>
  <c r="C69" i="10"/>
  <c r="D69" i="10" s="1"/>
  <c r="E68" i="10"/>
  <c r="F68" i="10" s="1"/>
  <c r="O69" i="10" l="1"/>
  <c r="T69" i="10"/>
  <c r="E69" i="10"/>
  <c r="AP22" i="12"/>
  <c r="AQ22" i="12" s="1"/>
  <c r="AP19" i="12"/>
  <c r="AQ19" i="12" s="1"/>
  <c r="K4" i="5"/>
  <c r="K4" i="4"/>
  <c r="K3" i="4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AL4" i="13" l="1"/>
  <c r="AN4" i="13" s="1"/>
  <c r="AF4" i="13"/>
  <c r="AH4" i="13" s="1"/>
  <c r="AA73" i="12"/>
  <c r="AB73" i="12" s="1"/>
  <c r="AG73" i="12" s="1"/>
  <c r="AA77" i="12"/>
  <c r="AB77" i="12" s="1"/>
  <c r="AG77" i="12" s="1"/>
  <c r="AA81" i="12"/>
  <c r="AB81" i="12" s="1"/>
  <c r="AG81" i="12" s="1"/>
  <c r="AA85" i="12"/>
  <c r="AB85" i="12" s="1"/>
  <c r="AG85" i="12" s="1"/>
  <c r="AA89" i="12"/>
  <c r="AB89" i="12" s="1"/>
  <c r="AG89" i="12" s="1"/>
  <c r="AA70" i="12"/>
  <c r="AB70" i="12" s="1"/>
  <c r="AG70" i="12" s="1"/>
  <c r="AA78" i="12"/>
  <c r="AB78" i="12" s="1"/>
  <c r="AG78" i="12" s="1"/>
  <c r="AA86" i="12"/>
  <c r="AB86" i="12" s="1"/>
  <c r="AG86" i="12" s="1"/>
  <c r="AA71" i="12"/>
  <c r="AB71" i="12" s="1"/>
  <c r="AG71" i="12" s="1"/>
  <c r="AA79" i="12"/>
  <c r="AB79" i="12" s="1"/>
  <c r="AG79" i="12" s="1"/>
  <c r="AA83" i="12"/>
  <c r="AB83" i="12" s="1"/>
  <c r="AG83" i="12" s="1"/>
  <c r="AA87" i="12"/>
  <c r="AB87" i="12" s="1"/>
  <c r="AG87" i="12" s="1"/>
  <c r="AA72" i="12"/>
  <c r="AB72" i="12" s="1"/>
  <c r="AG72" i="12" s="1"/>
  <c r="AA76" i="12"/>
  <c r="AB76" i="12" s="1"/>
  <c r="AG76" i="12" s="1"/>
  <c r="AA80" i="12"/>
  <c r="AB80" i="12" s="1"/>
  <c r="AG80" i="12" s="1"/>
  <c r="AA84" i="12"/>
  <c r="AB84" i="12" s="1"/>
  <c r="AG84" i="12" s="1"/>
  <c r="AA88" i="12"/>
  <c r="AB88" i="12" s="1"/>
  <c r="AG88" i="12" s="1"/>
  <c r="AA92" i="12"/>
  <c r="AB92" i="12" s="1"/>
  <c r="AG92" i="12" s="1"/>
  <c r="AA74" i="12"/>
  <c r="AB74" i="12" s="1"/>
  <c r="AG74" i="12" s="1"/>
  <c r="AA82" i="12"/>
  <c r="AB82" i="12" s="1"/>
  <c r="AG82" i="12" s="1"/>
  <c r="AA90" i="12"/>
  <c r="AB90" i="12" s="1"/>
  <c r="AG90" i="12" s="1"/>
  <c r="AA75" i="12"/>
  <c r="AB75" i="12" s="1"/>
  <c r="AG75" i="12" s="1"/>
  <c r="AA91" i="12"/>
  <c r="AB91" i="12" s="1"/>
  <c r="AG91" i="12" s="1"/>
  <c r="AL7" i="12"/>
  <c r="AM7" i="12" s="1"/>
  <c r="AL3" i="12"/>
  <c r="AL87" i="12"/>
  <c r="AL88" i="12"/>
  <c r="AL89" i="12"/>
  <c r="AL91" i="12"/>
  <c r="AL90" i="12"/>
  <c r="AL92" i="12"/>
  <c r="AL70" i="12"/>
  <c r="AL76" i="12"/>
  <c r="AL78" i="12"/>
  <c r="AL84" i="12"/>
  <c r="AL86" i="12"/>
  <c r="AL71" i="12"/>
  <c r="AL77" i="12"/>
  <c r="AL79" i="12"/>
  <c r="AL85" i="12"/>
  <c r="AL72" i="12"/>
  <c r="AL74" i="12"/>
  <c r="AL80" i="12"/>
  <c r="AL82" i="12"/>
  <c r="AL73" i="12"/>
  <c r="AL75" i="12"/>
  <c r="AL81" i="12"/>
  <c r="AL83" i="12"/>
  <c r="BP3" i="27"/>
  <c r="AA61" i="12"/>
  <c r="AB61" i="12" s="1"/>
  <c r="AA65" i="12"/>
  <c r="AB65" i="12" s="1"/>
  <c r="AA62" i="12"/>
  <c r="AB62" i="12" s="1"/>
  <c r="AA57" i="12"/>
  <c r="AB57" i="12" s="1"/>
  <c r="AA53" i="12"/>
  <c r="AB53" i="12" s="1"/>
  <c r="AA49" i="12"/>
  <c r="AB49" i="12" s="1"/>
  <c r="AA45" i="12"/>
  <c r="AB45" i="12" s="1"/>
  <c r="AA41" i="12"/>
  <c r="AB41" i="12" s="1"/>
  <c r="AA37" i="12"/>
  <c r="AB37" i="12" s="1"/>
  <c r="AA33" i="12"/>
  <c r="AB33" i="12" s="1"/>
  <c r="AA29" i="12"/>
  <c r="AB29" i="12" s="1"/>
  <c r="AA25" i="12"/>
  <c r="AB25" i="12" s="1"/>
  <c r="AA21" i="12"/>
  <c r="AB21" i="12" s="1"/>
  <c r="AA17" i="12"/>
  <c r="AB17" i="12" s="1"/>
  <c r="AA13" i="12"/>
  <c r="AB13" i="12" s="1"/>
  <c r="AA9" i="12"/>
  <c r="AB9" i="12" s="1"/>
  <c r="AA5" i="12"/>
  <c r="AB5" i="12" s="1"/>
  <c r="AA46" i="12"/>
  <c r="AB46" i="12" s="1"/>
  <c r="AA38" i="12"/>
  <c r="AB38" i="12" s="1"/>
  <c r="AA30" i="12"/>
  <c r="AB30" i="12" s="1"/>
  <c r="AA22" i="12"/>
  <c r="AB22" i="12" s="1"/>
  <c r="AA14" i="12"/>
  <c r="AB14" i="12" s="1"/>
  <c r="AA10" i="12"/>
  <c r="AB10" i="12" s="1"/>
  <c r="AA69" i="12"/>
  <c r="AB69" i="12" s="1"/>
  <c r="AA60" i="12"/>
  <c r="AB60" i="12" s="1"/>
  <c r="AA68" i="12"/>
  <c r="AB68" i="12" s="1"/>
  <c r="AA56" i="12"/>
  <c r="AB56" i="12" s="1"/>
  <c r="AA52" i="12"/>
  <c r="AB52" i="12" s="1"/>
  <c r="AA48" i="12"/>
  <c r="AB48" i="12" s="1"/>
  <c r="AA44" i="12"/>
  <c r="AB44" i="12" s="1"/>
  <c r="AA40" i="12"/>
  <c r="AB40" i="12" s="1"/>
  <c r="AA36" i="12"/>
  <c r="AB36" i="12" s="1"/>
  <c r="AA32" i="12"/>
  <c r="AB32" i="12" s="1"/>
  <c r="AA28" i="12"/>
  <c r="AB28" i="12" s="1"/>
  <c r="AA24" i="12"/>
  <c r="AB24" i="12" s="1"/>
  <c r="AA20" i="12"/>
  <c r="AA16" i="12"/>
  <c r="AB16" i="12" s="1"/>
  <c r="AA12" i="12"/>
  <c r="AB12" i="12" s="1"/>
  <c r="AA8" i="12"/>
  <c r="AB8" i="12" s="1"/>
  <c r="AA4" i="12"/>
  <c r="AB4" i="12" s="1"/>
  <c r="AA15" i="12"/>
  <c r="AB15" i="12" s="1"/>
  <c r="AA11" i="12"/>
  <c r="AB11" i="12" s="1"/>
  <c r="AA7" i="12"/>
  <c r="AB7" i="12" s="1"/>
  <c r="AA3" i="12"/>
  <c r="AB3" i="12" s="1"/>
  <c r="P69" i="10"/>
  <c r="AA66" i="12"/>
  <c r="AB66" i="12" s="1"/>
  <c r="AA58" i="12"/>
  <c r="AB58" i="12" s="1"/>
  <c r="AA54" i="12"/>
  <c r="AB54" i="12" s="1"/>
  <c r="AA64" i="12"/>
  <c r="AB64" i="12" s="1"/>
  <c r="AA67" i="12"/>
  <c r="AB67" i="12" s="1"/>
  <c r="AA59" i="12"/>
  <c r="AB59" i="12" s="1"/>
  <c r="AA55" i="12"/>
  <c r="AB55" i="12" s="1"/>
  <c r="AA51" i="12"/>
  <c r="AB51" i="12" s="1"/>
  <c r="AA47" i="12"/>
  <c r="AB47" i="12" s="1"/>
  <c r="AA43" i="12"/>
  <c r="AB43" i="12" s="1"/>
  <c r="AA39" i="12"/>
  <c r="AB39" i="12" s="1"/>
  <c r="AA35" i="12"/>
  <c r="AB35" i="12" s="1"/>
  <c r="AA31" i="12"/>
  <c r="AB31" i="12" s="1"/>
  <c r="AA27" i="12"/>
  <c r="AB27" i="12" s="1"/>
  <c r="AA23" i="12"/>
  <c r="AB23" i="12" s="1"/>
  <c r="AA19" i="12"/>
  <c r="AB19" i="12" s="1"/>
  <c r="AA63" i="12"/>
  <c r="AB63" i="12" s="1"/>
  <c r="AA50" i="12"/>
  <c r="AB50" i="12" s="1"/>
  <c r="AA42" i="12"/>
  <c r="AB42" i="12" s="1"/>
  <c r="AA34" i="12"/>
  <c r="AB34" i="12" s="1"/>
  <c r="AA26" i="12"/>
  <c r="AB26" i="12" s="1"/>
  <c r="AA18" i="12"/>
  <c r="AB18" i="12" s="1"/>
  <c r="AA6" i="12"/>
  <c r="AB6" i="12" s="1"/>
  <c r="U69" i="10"/>
  <c r="AL61" i="12"/>
  <c r="AM61" i="12" s="1"/>
  <c r="AL50" i="12"/>
  <c r="AM50" i="12" s="1"/>
  <c r="AL51" i="12"/>
  <c r="AM51" i="12" s="1"/>
  <c r="AL69" i="12"/>
  <c r="AM69" i="12" s="1"/>
  <c r="AL59" i="12"/>
  <c r="AM59" i="12" s="1"/>
  <c r="AL64" i="12"/>
  <c r="AM64" i="12" s="1"/>
  <c r="AL57" i="12"/>
  <c r="AM57" i="12" s="1"/>
  <c r="AL38" i="12"/>
  <c r="AM38" i="12" s="1"/>
  <c r="AL34" i="12"/>
  <c r="AM34" i="12" s="1"/>
  <c r="AL30" i="12"/>
  <c r="AM30" i="12" s="1"/>
  <c r="AL26" i="12"/>
  <c r="AM26" i="12" s="1"/>
  <c r="AL22" i="12"/>
  <c r="AL18" i="12"/>
  <c r="AM18" i="12" s="1"/>
  <c r="AL14" i="12"/>
  <c r="AM14" i="12" s="1"/>
  <c r="AL10" i="12"/>
  <c r="AM10" i="12" s="1"/>
  <c r="AL6" i="12"/>
  <c r="AM6" i="12" s="1"/>
  <c r="AL35" i="12"/>
  <c r="AM35" i="12" s="1"/>
  <c r="AL27" i="12"/>
  <c r="AM27" i="12" s="1"/>
  <c r="AL19" i="12"/>
  <c r="AL11" i="12"/>
  <c r="AM11" i="12" s="1"/>
  <c r="AL56" i="12"/>
  <c r="AM56" i="12" s="1"/>
  <c r="AL60" i="12"/>
  <c r="AM60" i="12" s="1"/>
  <c r="AL53" i="12"/>
  <c r="AM53" i="12" s="1"/>
  <c r="AL52" i="12"/>
  <c r="AM52" i="12" s="1"/>
  <c r="AL66" i="12"/>
  <c r="AM66" i="12" s="1"/>
  <c r="AL48" i="12"/>
  <c r="AM48" i="12" s="1"/>
  <c r="AL49" i="12"/>
  <c r="AM49" i="12" s="1"/>
  <c r="AL43" i="12"/>
  <c r="AM43" i="12" s="1"/>
  <c r="AL37" i="12"/>
  <c r="AM37" i="12" s="1"/>
  <c r="AL33" i="12"/>
  <c r="AM33" i="12" s="1"/>
  <c r="AL29" i="12"/>
  <c r="AM29" i="12" s="1"/>
  <c r="AL25" i="12"/>
  <c r="AM25" i="12" s="1"/>
  <c r="AL21" i="12"/>
  <c r="AL17" i="12"/>
  <c r="AM17" i="12" s="1"/>
  <c r="AL13" i="12"/>
  <c r="AM13" i="12" s="1"/>
  <c r="AL9" i="12"/>
  <c r="AM9" i="12" s="1"/>
  <c r="AL5" i="12"/>
  <c r="AM5" i="12" s="1"/>
  <c r="AL68" i="12"/>
  <c r="AM68" i="12" s="1"/>
  <c r="AL42" i="12"/>
  <c r="AM42" i="12" s="1"/>
  <c r="AL62" i="12"/>
  <c r="AM62" i="12" s="1"/>
  <c r="AL67" i="12"/>
  <c r="AM67" i="12" s="1"/>
  <c r="AL47" i="12"/>
  <c r="AM47" i="12" s="1"/>
  <c r="AL63" i="12"/>
  <c r="AM63" i="12" s="1"/>
  <c r="AL41" i="12"/>
  <c r="AM41" i="12" s="1"/>
  <c r="AL55" i="12"/>
  <c r="AM55" i="12" s="1"/>
  <c r="AL46" i="12"/>
  <c r="AM46" i="12" s="1"/>
  <c r="AL65" i="12"/>
  <c r="AM65" i="12" s="1"/>
  <c r="AL45" i="12"/>
  <c r="AM45" i="12" s="1"/>
  <c r="AL54" i="12"/>
  <c r="AM54" i="12" s="1"/>
  <c r="AL58" i="12"/>
  <c r="AM58" i="12" s="1"/>
  <c r="AL44" i="12"/>
  <c r="AM44" i="12" s="1"/>
  <c r="AL40" i="12"/>
  <c r="AM40" i="12" s="1"/>
  <c r="AL36" i="12"/>
  <c r="AM36" i="12" s="1"/>
  <c r="AL32" i="12"/>
  <c r="AM32" i="12" s="1"/>
  <c r="AL28" i="12"/>
  <c r="AM28" i="12" s="1"/>
  <c r="AL24" i="12"/>
  <c r="AM24" i="12" s="1"/>
  <c r="AL20" i="12"/>
  <c r="AM20" i="12" s="1"/>
  <c r="AL16" i="12"/>
  <c r="AM16" i="12" s="1"/>
  <c r="AL12" i="12"/>
  <c r="AM12" i="12" s="1"/>
  <c r="AL8" i="12"/>
  <c r="AM8" i="12" s="1"/>
  <c r="AL4" i="12"/>
  <c r="AM4" i="12" s="1"/>
  <c r="AL39" i="12"/>
  <c r="AM39" i="12" s="1"/>
  <c r="AL31" i="12"/>
  <c r="AM31" i="12" s="1"/>
  <c r="AL23" i="12"/>
  <c r="AM23" i="12" s="1"/>
  <c r="AL15" i="12"/>
  <c r="AM15" i="12" s="1"/>
  <c r="AP26" i="12"/>
  <c r="AQ26" i="12" s="1"/>
  <c r="AP30" i="12"/>
  <c r="AQ30" i="12" s="1"/>
  <c r="AP17" i="12"/>
  <c r="AQ17" i="12" s="1"/>
  <c r="AP38" i="12"/>
  <c r="AQ38" i="12" s="1"/>
  <c r="AP42" i="12"/>
  <c r="AQ42" i="12" s="1"/>
  <c r="AP46" i="12"/>
  <c r="AQ46" i="12" s="1"/>
  <c r="AP50" i="12"/>
  <c r="AQ50" i="12" s="1"/>
  <c r="AP54" i="12"/>
  <c r="AQ54" i="12" s="1"/>
  <c r="AP58" i="12"/>
  <c r="AQ58" i="12" s="1"/>
  <c r="AP62" i="12"/>
  <c r="AQ62" i="12" s="1"/>
  <c r="AP66" i="12"/>
  <c r="AQ66" i="12" s="1"/>
  <c r="AP15" i="12"/>
  <c r="AQ15" i="12" s="1"/>
  <c r="AP34" i="12"/>
  <c r="AQ34" i="12" s="1"/>
  <c r="AP24" i="12"/>
  <c r="AQ24" i="12" s="1"/>
  <c r="AP28" i="12"/>
  <c r="AQ28" i="12" s="1"/>
  <c r="AP32" i="12"/>
  <c r="AQ32" i="12" s="1"/>
  <c r="AP36" i="12"/>
  <c r="AQ36" i="12" s="1"/>
  <c r="AP40" i="12"/>
  <c r="AQ40" i="12" s="1"/>
  <c r="AP44" i="12"/>
  <c r="AQ44" i="12" s="1"/>
  <c r="AP48" i="12"/>
  <c r="AQ48" i="12" s="1"/>
  <c r="AP52" i="12"/>
  <c r="AQ52" i="12" s="1"/>
  <c r="AP56" i="12"/>
  <c r="AQ56" i="12" s="1"/>
  <c r="AP60" i="12"/>
  <c r="AQ60" i="12" s="1"/>
  <c r="AP64" i="12"/>
  <c r="AQ64" i="12" s="1"/>
  <c r="AP68" i="12"/>
  <c r="AQ68" i="12" s="1"/>
  <c r="AE23" i="12"/>
  <c r="AF23" i="12" s="1"/>
  <c r="AE24" i="12"/>
  <c r="AF24" i="12" s="1"/>
  <c r="AE28" i="12"/>
  <c r="AF28" i="12" s="1"/>
  <c r="AE40" i="12"/>
  <c r="AF40" i="12" s="1"/>
  <c r="AE44" i="12"/>
  <c r="AF44" i="12" s="1"/>
  <c r="AE56" i="12"/>
  <c r="AF56" i="12" s="1"/>
  <c r="AE60" i="12"/>
  <c r="AF60" i="12" s="1"/>
  <c r="AE62" i="12"/>
  <c r="AF62" i="12" s="1"/>
  <c r="AE22" i="12"/>
  <c r="AF22" i="12" s="1"/>
  <c r="AE26" i="12"/>
  <c r="AF26" i="12" s="1"/>
  <c r="AE30" i="12"/>
  <c r="AF30" i="12" s="1"/>
  <c r="AE42" i="12"/>
  <c r="AF42" i="12" s="1"/>
  <c r="AE46" i="12"/>
  <c r="AF46" i="12" s="1"/>
  <c r="AE58" i="12"/>
  <c r="AF58" i="12" s="1"/>
  <c r="D67" i="12"/>
  <c r="D59" i="12"/>
  <c r="D66" i="12"/>
  <c r="D64" i="12"/>
  <c r="D54" i="12"/>
  <c r="D50" i="12"/>
  <c r="D46" i="12"/>
  <c r="D42" i="12"/>
  <c r="D38" i="12"/>
  <c r="D34" i="12"/>
  <c r="D30" i="12"/>
  <c r="D26" i="12"/>
  <c r="D22" i="12"/>
  <c r="D18" i="12"/>
  <c r="D14" i="12"/>
  <c r="D10" i="12"/>
  <c r="D6" i="12"/>
  <c r="F69" i="10"/>
  <c r="D61" i="12"/>
  <c r="D62" i="12"/>
  <c r="D60" i="12"/>
  <c r="D53" i="12"/>
  <c r="D49" i="12"/>
  <c r="D45" i="12"/>
  <c r="D41" i="12"/>
  <c r="D37" i="12"/>
  <c r="D33" i="12"/>
  <c r="D29" i="12"/>
  <c r="D25" i="12"/>
  <c r="D21" i="12"/>
  <c r="D17" i="12"/>
  <c r="D13" i="12"/>
  <c r="D9" i="12"/>
  <c r="D5" i="12"/>
  <c r="D68" i="12"/>
  <c r="D57" i="12"/>
  <c r="D65" i="12"/>
  <c r="D56" i="12"/>
  <c r="D52" i="12"/>
  <c r="D48" i="12"/>
  <c r="D44" i="12"/>
  <c r="D40" i="12"/>
  <c r="D36" i="12"/>
  <c r="D32" i="12"/>
  <c r="D28" i="12"/>
  <c r="D24" i="12"/>
  <c r="D20" i="12"/>
  <c r="D16" i="12"/>
  <c r="D12" i="12"/>
  <c r="D8" i="12"/>
  <c r="D4" i="12"/>
  <c r="D63" i="12"/>
  <c r="D69" i="12"/>
  <c r="D58" i="12"/>
  <c r="D55" i="12"/>
  <c r="D51" i="12"/>
  <c r="D47" i="12"/>
  <c r="D43" i="12"/>
  <c r="D39" i="12"/>
  <c r="D35" i="12"/>
  <c r="D31" i="12"/>
  <c r="D27" i="12"/>
  <c r="D23" i="12"/>
  <c r="D19" i="12"/>
  <c r="D15" i="12"/>
  <c r="D11" i="12"/>
  <c r="D7" i="12"/>
  <c r="D3" i="12"/>
  <c r="S11" i="13"/>
  <c r="U11" i="13" s="1"/>
  <c r="S15" i="13"/>
  <c r="U15" i="13" s="1"/>
  <c r="S23" i="13"/>
  <c r="U23" i="13" s="1"/>
  <c r="S31" i="13"/>
  <c r="U31" i="13" s="1"/>
  <c r="S39" i="13"/>
  <c r="U39" i="13" s="1"/>
  <c r="S47" i="13"/>
  <c r="U47" i="13" s="1"/>
  <c r="S59" i="13"/>
  <c r="U59" i="13" s="1"/>
  <c r="S67" i="13"/>
  <c r="U67" i="13" s="1"/>
  <c r="S4" i="13"/>
  <c r="U4" i="13" s="1"/>
  <c r="S12" i="13"/>
  <c r="U12" i="13" s="1"/>
  <c r="S20" i="13"/>
  <c r="U20" i="13" s="1"/>
  <c r="S28" i="13"/>
  <c r="U28" i="13" s="1"/>
  <c r="S36" i="13"/>
  <c r="U36" i="13" s="1"/>
  <c r="S44" i="13"/>
  <c r="U44" i="13" s="1"/>
  <c r="S56" i="13"/>
  <c r="U56" i="13" s="1"/>
  <c r="S60" i="13"/>
  <c r="U60" i="13" s="1"/>
  <c r="S68" i="13"/>
  <c r="U68" i="13" s="1"/>
  <c r="S6" i="13"/>
  <c r="U6" i="13" s="1"/>
  <c r="S10" i="13"/>
  <c r="U10" i="13" s="1"/>
  <c r="S14" i="13"/>
  <c r="U14" i="13" s="1"/>
  <c r="S18" i="13"/>
  <c r="U18" i="13" s="1"/>
  <c r="S22" i="13"/>
  <c r="U22" i="13" s="1"/>
  <c r="S26" i="13"/>
  <c r="U26" i="13" s="1"/>
  <c r="S30" i="13"/>
  <c r="U30" i="13" s="1"/>
  <c r="S34" i="13"/>
  <c r="U34" i="13" s="1"/>
  <c r="S38" i="13"/>
  <c r="U38" i="13" s="1"/>
  <c r="S42" i="13"/>
  <c r="U42" i="13" s="1"/>
  <c r="S46" i="13"/>
  <c r="U46" i="13" s="1"/>
  <c r="S50" i="13"/>
  <c r="U50" i="13" s="1"/>
  <c r="S54" i="13"/>
  <c r="U54" i="13" s="1"/>
  <c r="S58" i="13"/>
  <c r="U58" i="13" s="1"/>
  <c r="S62" i="13"/>
  <c r="U62" i="13" s="1"/>
  <c r="S66" i="13"/>
  <c r="U66" i="13" s="1"/>
  <c r="S70" i="13"/>
  <c r="U70" i="13" s="1"/>
  <c r="S7" i="13"/>
  <c r="U7" i="13" s="1"/>
  <c r="S19" i="13"/>
  <c r="U19" i="13" s="1"/>
  <c r="S27" i="13"/>
  <c r="U27" i="13" s="1"/>
  <c r="S35" i="13"/>
  <c r="U35" i="13" s="1"/>
  <c r="S43" i="13"/>
  <c r="U43" i="13" s="1"/>
  <c r="S51" i="13"/>
  <c r="U51" i="13" s="1"/>
  <c r="S55" i="13"/>
  <c r="U55" i="13" s="1"/>
  <c r="S63" i="13"/>
  <c r="U63" i="13" s="1"/>
  <c r="S8" i="13"/>
  <c r="U8" i="13" s="1"/>
  <c r="S16" i="13"/>
  <c r="U16" i="13" s="1"/>
  <c r="S24" i="13"/>
  <c r="U24" i="13" s="1"/>
  <c r="S32" i="13"/>
  <c r="U32" i="13" s="1"/>
  <c r="S40" i="13"/>
  <c r="U40" i="13" s="1"/>
  <c r="S48" i="13"/>
  <c r="U48" i="13" s="1"/>
  <c r="S52" i="13"/>
  <c r="U52" i="13" s="1"/>
  <c r="S64" i="13"/>
  <c r="U64" i="13" s="1"/>
  <c r="S5" i="13"/>
  <c r="U5" i="13" s="1"/>
  <c r="S9" i="13"/>
  <c r="U9" i="13" s="1"/>
  <c r="S13" i="13"/>
  <c r="U13" i="13" s="1"/>
  <c r="S17" i="13"/>
  <c r="U17" i="13" s="1"/>
  <c r="S21" i="13"/>
  <c r="U21" i="13" s="1"/>
  <c r="S25" i="13"/>
  <c r="U25" i="13" s="1"/>
  <c r="S29" i="13"/>
  <c r="U29" i="13" s="1"/>
  <c r="S33" i="13"/>
  <c r="U33" i="13" s="1"/>
  <c r="S37" i="13"/>
  <c r="U37" i="13" s="1"/>
  <c r="S41" i="13"/>
  <c r="U41" i="13" s="1"/>
  <c r="S45" i="13"/>
  <c r="U45" i="13" s="1"/>
  <c r="S49" i="13"/>
  <c r="U49" i="13" s="1"/>
  <c r="S53" i="13"/>
  <c r="U53" i="13" s="1"/>
  <c r="S57" i="13"/>
  <c r="U57" i="13" s="1"/>
  <c r="S61" i="13"/>
  <c r="U61" i="13" s="1"/>
  <c r="S65" i="13"/>
  <c r="U65" i="13" s="1"/>
  <c r="S69" i="13"/>
  <c r="U69" i="13" s="1"/>
  <c r="P4" i="5"/>
  <c r="AP14" i="12"/>
  <c r="AQ14" i="12" s="1"/>
  <c r="AP18" i="12"/>
  <c r="AQ18" i="12" s="1"/>
  <c r="AP20" i="12"/>
  <c r="AQ20" i="12" s="1"/>
  <c r="AP23" i="12"/>
  <c r="AQ23" i="12" s="1"/>
  <c r="AP33" i="12"/>
  <c r="AQ33" i="12" s="1"/>
  <c r="AP35" i="12"/>
  <c r="AQ35" i="12" s="1"/>
  <c r="AP37" i="12"/>
  <c r="AQ37" i="12" s="1"/>
  <c r="AP39" i="12"/>
  <c r="AQ39" i="12" s="1"/>
  <c r="AP49" i="12"/>
  <c r="AQ49" i="12" s="1"/>
  <c r="AP51" i="12"/>
  <c r="AQ51" i="12" s="1"/>
  <c r="AP53" i="12"/>
  <c r="AQ53" i="12" s="1"/>
  <c r="AP55" i="12"/>
  <c r="AQ55" i="12" s="1"/>
  <c r="AP65" i="12"/>
  <c r="AQ65" i="12" s="1"/>
  <c r="AP67" i="12"/>
  <c r="AQ67" i="12" s="1"/>
  <c r="AP69" i="12"/>
  <c r="AQ69" i="12" s="1"/>
  <c r="AP16" i="12"/>
  <c r="AQ16" i="12" s="1"/>
  <c r="AP27" i="12"/>
  <c r="AQ27" i="12" s="1"/>
  <c r="AP29" i="12"/>
  <c r="AQ29" i="12" s="1"/>
  <c r="AP31" i="12"/>
  <c r="AQ31" i="12" s="1"/>
  <c r="AP43" i="12"/>
  <c r="AQ43" i="12" s="1"/>
  <c r="AP45" i="12"/>
  <c r="AQ45" i="12" s="1"/>
  <c r="AP47" i="12"/>
  <c r="AQ47" i="12" s="1"/>
  <c r="AP59" i="12"/>
  <c r="AQ59" i="12" s="1"/>
  <c r="AP61" i="12"/>
  <c r="AQ61" i="12" s="1"/>
  <c r="AP63" i="12"/>
  <c r="AQ63" i="12" s="1"/>
  <c r="M4" i="4"/>
  <c r="AE7" i="12"/>
  <c r="AF7" i="12" s="1"/>
  <c r="AE11" i="12"/>
  <c r="AF11" i="12" s="1"/>
  <c r="AE14" i="12"/>
  <c r="AF14" i="12" s="1"/>
  <c r="AE16" i="12"/>
  <c r="AF16" i="12" s="1"/>
  <c r="AE18" i="12"/>
  <c r="AF18" i="12" s="1"/>
  <c r="AE21" i="12"/>
  <c r="AF21" i="12" s="1"/>
  <c r="AE33" i="12"/>
  <c r="AF33" i="12" s="1"/>
  <c r="AE35" i="12"/>
  <c r="AF35" i="12" s="1"/>
  <c r="AE37" i="12"/>
  <c r="AF37" i="12" s="1"/>
  <c r="AE39" i="12"/>
  <c r="AF39" i="12" s="1"/>
  <c r="AE49" i="12"/>
  <c r="AF49" i="12" s="1"/>
  <c r="AE51" i="12"/>
  <c r="AF51" i="12" s="1"/>
  <c r="AE53" i="12"/>
  <c r="AF53" i="12" s="1"/>
  <c r="AE55" i="12"/>
  <c r="AF55" i="12" s="1"/>
  <c r="AE65" i="12"/>
  <c r="AF65" i="12" s="1"/>
  <c r="AE67" i="12"/>
  <c r="AF67" i="12" s="1"/>
  <c r="AE69" i="12"/>
  <c r="AF69" i="12" s="1"/>
  <c r="P4" i="4"/>
  <c r="AE17" i="12"/>
  <c r="AF17" i="12" s="1"/>
  <c r="AE19" i="12"/>
  <c r="AF19" i="12" s="1"/>
  <c r="AE29" i="12"/>
  <c r="AF29" i="12" s="1"/>
  <c r="AE31" i="12"/>
  <c r="AF31" i="12" s="1"/>
  <c r="AE32" i="12"/>
  <c r="AF32" i="12" s="1"/>
  <c r="AE34" i="12"/>
  <c r="AF34" i="12" s="1"/>
  <c r="AE36" i="12"/>
  <c r="AF36" i="12" s="1"/>
  <c r="AE38" i="12"/>
  <c r="AF38" i="12" s="1"/>
  <c r="AE45" i="12"/>
  <c r="AF45" i="12" s="1"/>
  <c r="AE47" i="12"/>
  <c r="AF47" i="12" s="1"/>
  <c r="AE48" i="12"/>
  <c r="AF48" i="12" s="1"/>
  <c r="AE50" i="12"/>
  <c r="AF50" i="12" s="1"/>
  <c r="AE52" i="12"/>
  <c r="AF52" i="12" s="1"/>
  <c r="AE54" i="12"/>
  <c r="AF54" i="12" s="1"/>
  <c r="AE61" i="12"/>
  <c r="AF61" i="12" s="1"/>
  <c r="AE63" i="12"/>
  <c r="AF63" i="12" s="1"/>
  <c r="AE64" i="12"/>
  <c r="AF64" i="12" s="1"/>
  <c r="AE66" i="12"/>
  <c r="AF66" i="12" s="1"/>
  <c r="AE68" i="12"/>
  <c r="AF68" i="12" s="1"/>
  <c r="P11" i="2"/>
  <c r="M19" i="2"/>
  <c r="M27" i="2"/>
  <c r="M39" i="2"/>
  <c r="M47" i="2"/>
  <c r="P54" i="2"/>
  <c r="M61" i="2"/>
  <c r="M69" i="2"/>
  <c r="P8" i="2"/>
  <c r="M16" i="2"/>
  <c r="P24" i="2"/>
  <c r="P32" i="2"/>
  <c r="P40" i="2"/>
  <c r="P48" i="2"/>
  <c r="M54" i="2"/>
  <c r="P21" i="2"/>
  <c r="AL5" i="20"/>
  <c r="P10" i="2"/>
  <c r="P14" i="2"/>
  <c r="M18" i="2"/>
  <c r="M22" i="2"/>
  <c r="P26" i="2"/>
  <c r="P30" i="2"/>
  <c r="P34" i="2"/>
  <c r="P42" i="2"/>
  <c r="P46" i="2"/>
  <c r="P50" i="2"/>
  <c r="M53" i="2"/>
  <c r="P56" i="2"/>
  <c r="P60" i="2"/>
  <c r="P64" i="2"/>
  <c r="P68" i="2"/>
  <c r="P15" i="2"/>
  <c r="P23" i="2"/>
  <c r="M31" i="2"/>
  <c r="M35" i="2"/>
  <c r="M43" i="2"/>
  <c r="M51" i="2"/>
  <c r="M57" i="2"/>
  <c r="M65" i="2"/>
  <c r="M12" i="2"/>
  <c r="M20" i="2"/>
  <c r="P28" i="2"/>
  <c r="P36" i="2"/>
  <c r="P44" i="2"/>
  <c r="P52" i="2"/>
  <c r="P58" i="2"/>
  <c r="P62" i="2"/>
  <c r="P66" i="2"/>
  <c r="P17" i="2"/>
  <c r="M25" i="2"/>
  <c r="M29" i="2"/>
  <c r="M33" i="2"/>
  <c r="M37" i="2"/>
  <c r="M41" i="2"/>
  <c r="M45" i="2"/>
  <c r="M49" i="2"/>
  <c r="M52" i="2"/>
  <c r="M55" i="2"/>
  <c r="M59" i="2"/>
  <c r="M63" i="2"/>
  <c r="M67" i="2"/>
  <c r="P38" i="2"/>
  <c r="M38" i="2"/>
  <c r="M4" i="2"/>
  <c r="P4" i="2"/>
  <c r="P70" i="2"/>
  <c r="M70" i="2"/>
  <c r="M36" i="2"/>
  <c r="M68" i="2"/>
  <c r="M4" i="5"/>
  <c r="AP7" i="12"/>
  <c r="AQ7" i="12" s="1"/>
  <c r="AP9" i="12"/>
  <c r="AQ9" i="12" s="1"/>
  <c r="AP11" i="12"/>
  <c r="AQ11" i="12" s="1"/>
  <c r="AP13" i="12"/>
  <c r="AQ13" i="12" s="1"/>
  <c r="P3" i="4"/>
  <c r="M3" i="4"/>
  <c r="AE4" i="12"/>
  <c r="AF4" i="12" s="1"/>
  <c r="AE8" i="12"/>
  <c r="AF8" i="12" s="1"/>
  <c r="AE12" i="12"/>
  <c r="AF12" i="12" s="1"/>
  <c r="AE15" i="12"/>
  <c r="AF15" i="12" s="1"/>
  <c r="T7" i="20"/>
  <c r="Y11" i="19"/>
  <c r="Y34" i="19"/>
  <c r="AK48" i="19"/>
  <c r="AF64" i="20"/>
  <c r="AQ66" i="19"/>
  <c r="M8" i="2"/>
  <c r="M10" i="2"/>
  <c r="P12" i="2"/>
  <c r="AL14" i="20"/>
  <c r="P35" i="2"/>
  <c r="P37" i="2"/>
  <c r="P51" i="2"/>
  <c r="P53" i="2"/>
  <c r="P67" i="2"/>
  <c r="P69" i="2"/>
  <c r="Y3" i="19"/>
  <c r="M15" i="2"/>
  <c r="M32" i="2"/>
  <c r="M34" i="2"/>
  <c r="M48" i="2"/>
  <c r="M50" i="2"/>
  <c r="M64" i="2"/>
  <c r="M66" i="2"/>
  <c r="M6" i="2"/>
  <c r="M14" i="2"/>
  <c r="M21" i="2"/>
  <c r="P6" i="2"/>
  <c r="AJ9" i="17"/>
  <c r="M23" i="2"/>
  <c r="AK24" i="19"/>
  <c r="M28" i="2"/>
  <c r="M30" i="2"/>
  <c r="M40" i="2"/>
  <c r="M42" i="2"/>
  <c r="P43" i="2"/>
  <c r="P45" i="2"/>
  <c r="T56" i="20"/>
  <c r="M60" i="2"/>
  <c r="M62" i="2"/>
  <c r="AL13" i="20"/>
  <c r="M24" i="2"/>
  <c r="BV23" i="19" s="1"/>
  <c r="M26" i="2"/>
  <c r="P27" i="2"/>
  <c r="P29" i="2"/>
  <c r="S40" i="19"/>
  <c r="AE42" i="19"/>
  <c r="M44" i="2"/>
  <c r="M46" i="2"/>
  <c r="M56" i="2"/>
  <c r="M58" i="2"/>
  <c r="P59" i="2"/>
  <c r="P61" i="2"/>
  <c r="M3" i="2"/>
  <c r="P3" i="2"/>
  <c r="M7" i="2"/>
  <c r="P7" i="2"/>
  <c r="P5" i="2"/>
  <c r="M5" i="2"/>
  <c r="AR4" i="20"/>
  <c r="P9" i="2"/>
  <c r="M9" i="2"/>
  <c r="Y10" i="19"/>
  <c r="P13" i="2"/>
  <c r="Y16" i="19"/>
  <c r="AE54" i="19"/>
  <c r="Z62" i="20"/>
  <c r="M11" i="2"/>
  <c r="M13" i="2"/>
  <c r="M17" i="2"/>
  <c r="Y18" i="19"/>
  <c r="P20" i="2"/>
  <c r="AK19" i="19"/>
  <c r="P25" i="2"/>
  <c r="AR28" i="20"/>
  <c r="P33" i="2"/>
  <c r="P41" i="2"/>
  <c r="P49" i="2"/>
  <c r="P57" i="2"/>
  <c r="AK60" i="19"/>
  <c r="P65" i="2"/>
  <c r="P16" i="2"/>
  <c r="AE15" i="19"/>
  <c r="P18" i="2"/>
  <c r="P19" i="2"/>
  <c r="AL30" i="20"/>
  <c r="Z46" i="20"/>
  <c r="P22" i="2"/>
  <c r="T21" i="20"/>
  <c r="P31" i="2"/>
  <c r="P39" i="2"/>
  <c r="P47" i="2"/>
  <c r="P55" i="2"/>
  <c r="P63" i="2"/>
  <c r="AK23" i="19"/>
  <c r="AK29" i="19"/>
  <c r="Y31" i="19"/>
  <c r="S35" i="19"/>
  <c r="AL37" i="20"/>
  <c r="AE39" i="19"/>
  <c r="AQ45" i="19"/>
  <c r="AQ47" i="19"/>
  <c r="AQ51" i="19"/>
  <c r="AK53" i="19"/>
  <c r="AW55" i="19"/>
  <c r="AE57" i="19"/>
  <c r="AQ63" i="19"/>
  <c r="S65" i="19"/>
  <c r="S67" i="19"/>
  <c r="Y69" i="19" l="1"/>
  <c r="Z3" i="26"/>
  <c r="E59" i="12"/>
  <c r="E27" i="12"/>
  <c r="E43" i="12"/>
  <c r="BJ3" i="27"/>
  <c r="Z3" i="27"/>
  <c r="AL3" i="27"/>
  <c r="T3" i="27"/>
  <c r="AX3" i="27"/>
  <c r="BD3" i="27"/>
  <c r="AR3" i="27"/>
  <c r="U3" i="27"/>
  <c r="AG3" i="27"/>
  <c r="BK3" i="27"/>
  <c r="BE3" i="27"/>
  <c r="AA3" i="27"/>
  <c r="AM3" i="27"/>
  <c r="BQ3" i="27"/>
  <c r="BR3" i="27" s="1"/>
  <c r="AY3" i="27"/>
  <c r="BW3" i="27"/>
  <c r="AS3" i="27"/>
  <c r="AF3" i="27"/>
  <c r="BV3" i="27"/>
  <c r="AM3" i="12"/>
  <c r="BP3" i="26"/>
  <c r="AL3" i="26"/>
  <c r="AB20" i="12"/>
  <c r="AG20" i="12" s="1"/>
  <c r="AM19" i="12"/>
  <c r="AR19" i="12" s="1"/>
  <c r="AM75" i="12"/>
  <c r="AR75" i="12" s="1"/>
  <c r="AM74" i="12"/>
  <c r="AR74" i="12" s="1"/>
  <c r="AM77" i="12"/>
  <c r="AR77" i="12" s="1"/>
  <c r="AM78" i="12"/>
  <c r="AR78" i="12" s="1"/>
  <c r="AM90" i="12"/>
  <c r="AR90" i="12" s="1"/>
  <c r="AM87" i="12"/>
  <c r="AR87" i="12" s="1"/>
  <c r="AM21" i="12"/>
  <c r="AR21" i="12" s="1"/>
  <c r="AM73" i="12"/>
  <c r="AR73" i="12" s="1"/>
  <c r="AM72" i="12"/>
  <c r="AR72" i="12" s="1"/>
  <c r="AM71" i="12"/>
  <c r="AR71" i="12" s="1"/>
  <c r="AM76" i="12"/>
  <c r="AR76" i="12" s="1"/>
  <c r="AM91" i="12"/>
  <c r="AR91" i="12" s="1"/>
  <c r="AM83" i="12"/>
  <c r="AR83" i="12" s="1"/>
  <c r="AM82" i="12"/>
  <c r="AR82" i="12" s="1"/>
  <c r="AM85" i="12"/>
  <c r="AR85" i="12" s="1"/>
  <c r="AM86" i="12"/>
  <c r="AR86" i="12" s="1"/>
  <c r="AM70" i="12"/>
  <c r="AR70" i="12" s="1"/>
  <c r="AM89" i="12"/>
  <c r="AR89" i="12" s="1"/>
  <c r="AM22" i="12"/>
  <c r="AR22" i="12" s="1"/>
  <c r="AM81" i="12"/>
  <c r="AR81" i="12" s="1"/>
  <c r="AM80" i="12"/>
  <c r="AR80" i="12" s="1"/>
  <c r="AM79" i="12"/>
  <c r="AR79" i="12" s="1"/>
  <c r="AM84" i="12"/>
  <c r="AR84" i="12" s="1"/>
  <c r="AM88" i="12"/>
  <c r="AR88" i="12" s="1"/>
  <c r="AM92" i="12"/>
  <c r="AR92" i="12" s="1"/>
  <c r="BD3" i="26"/>
  <c r="BJ3" i="26"/>
  <c r="AF3" i="26"/>
  <c r="BV3" i="26"/>
  <c r="AR3" i="26"/>
  <c r="T3" i="26"/>
  <c r="AX3" i="26"/>
  <c r="AP3" i="12"/>
  <c r="AQ3" i="12" s="1"/>
  <c r="AS3" i="26"/>
  <c r="BE3" i="26"/>
  <c r="BK3" i="26"/>
  <c r="BW3" i="26"/>
  <c r="AY3" i="26"/>
  <c r="BQ3" i="26"/>
  <c r="AG3" i="26"/>
  <c r="AA3" i="26"/>
  <c r="AB3" i="26" s="1"/>
  <c r="U3" i="26"/>
  <c r="AM3" i="26"/>
  <c r="AE3" i="12"/>
  <c r="AF3" i="12" s="1"/>
  <c r="AG3" i="12" s="1"/>
  <c r="AG42" i="12"/>
  <c r="AG61" i="12"/>
  <c r="AG22" i="12"/>
  <c r="AR61" i="12"/>
  <c r="AG11" i="12"/>
  <c r="AG26" i="12"/>
  <c r="Y49" i="19"/>
  <c r="S49" i="19"/>
  <c r="AL49" i="20"/>
  <c r="AX49" i="20"/>
  <c r="BJ49" i="20"/>
  <c r="AD49" i="17"/>
  <c r="R49" i="17"/>
  <c r="BT49" i="17"/>
  <c r="BC49" i="19"/>
  <c r="AK49" i="19"/>
  <c r="AF49" i="20"/>
  <c r="BI49" i="19"/>
  <c r="BU49" i="19"/>
  <c r="BB49" i="17"/>
  <c r="AV49" i="17"/>
  <c r="AJ49" i="17"/>
  <c r="AW49" i="19"/>
  <c r="Z49" i="20"/>
  <c r="AR49" i="20"/>
  <c r="BO49" i="19"/>
  <c r="BV49" i="20"/>
  <c r="X49" i="17"/>
  <c r="AP49" i="17"/>
  <c r="AE49" i="19"/>
  <c r="BP49" i="20"/>
  <c r="AQ49" i="19"/>
  <c r="BN49" i="17"/>
  <c r="BD49" i="20"/>
  <c r="AE41" i="19"/>
  <c r="AQ41" i="19"/>
  <c r="T41" i="20"/>
  <c r="AX41" i="20"/>
  <c r="BJ41" i="20"/>
  <c r="AP41" i="17"/>
  <c r="AV41" i="17"/>
  <c r="R41" i="17"/>
  <c r="AW41" i="19"/>
  <c r="AK41" i="19"/>
  <c r="Z41" i="20"/>
  <c r="BI41" i="19"/>
  <c r="BU41" i="19"/>
  <c r="BB41" i="17"/>
  <c r="AJ41" i="17"/>
  <c r="AD41" i="17"/>
  <c r="Y41" i="19"/>
  <c r="AF41" i="20"/>
  <c r="BC41" i="19"/>
  <c r="BO41" i="19"/>
  <c r="BV41" i="20"/>
  <c r="X41" i="17"/>
  <c r="BT41" i="17"/>
  <c r="AR41" i="20"/>
  <c r="BN41" i="17"/>
  <c r="BD41" i="20"/>
  <c r="AL41" i="20"/>
  <c r="BH41" i="17"/>
  <c r="S33" i="19"/>
  <c r="T33" i="20"/>
  <c r="AR33" i="20"/>
  <c r="BD33" i="20"/>
  <c r="BP33" i="20"/>
  <c r="BB33" i="17"/>
  <c r="BT33" i="17"/>
  <c r="Y33" i="19"/>
  <c r="AL33" i="20"/>
  <c r="BC33" i="19"/>
  <c r="BO33" i="19"/>
  <c r="BV33" i="20"/>
  <c r="AP33" i="17"/>
  <c r="BH33" i="17"/>
  <c r="AQ33" i="19"/>
  <c r="AF33" i="20"/>
  <c r="AW33" i="19"/>
  <c r="BI33" i="19"/>
  <c r="BU33" i="19"/>
  <c r="AJ33" i="17"/>
  <c r="BN33" i="17"/>
  <c r="AV33" i="17"/>
  <c r="Y25" i="19"/>
  <c r="AF25" i="20"/>
  <c r="AL25" i="20"/>
  <c r="AX25" i="20"/>
  <c r="BJ25" i="20"/>
  <c r="AP25" i="17"/>
  <c r="BH25" i="17"/>
  <c r="BN25" i="17"/>
  <c r="AE25" i="19"/>
  <c r="Z25" i="20"/>
  <c r="AW25" i="19"/>
  <c r="BI25" i="19"/>
  <c r="BU25" i="19"/>
  <c r="BB25" i="17"/>
  <c r="X25" i="17"/>
  <c r="R25" i="17"/>
  <c r="S25" i="19"/>
  <c r="AQ25" i="19"/>
  <c r="BC25" i="19"/>
  <c r="BO25" i="19"/>
  <c r="BV25" i="20"/>
  <c r="AJ25" i="17"/>
  <c r="AV25" i="17"/>
  <c r="AK25" i="19"/>
  <c r="BP25" i="20"/>
  <c r="T25" i="20"/>
  <c r="AD25" i="17"/>
  <c r="BD25" i="20"/>
  <c r="Y17" i="19"/>
  <c r="T17" i="20"/>
  <c r="AL17" i="20"/>
  <c r="AX17" i="20"/>
  <c r="BJ17" i="20"/>
  <c r="AD17" i="17"/>
  <c r="BH17" i="17"/>
  <c r="BB17" i="17"/>
  <c r="S17" i="19"/>
  <c r="AK17" i="19"/>
  <c r="AW17" i="19"/>
  <c r="BI17" i="19"/>
  <c r="BU17" i="19"/>
  <c r="AJ17" i="17"/>
  <c r="BT17" i="17"/>
  <c r="X17" i="17"/>
  <c r="Z17" i="20"/>
  <c r="AQ17" i="19"/>
  <c r="BC17" i="19"/>
  <c r="BO17" i="19"/>
  <c r="BV17" i="20"/>
  <c r="BN17" i="17"/>
  <c r="R17" i="17"/>
  <c r="AR17" i="20"/>
  <c r="AP17" i="17"/>
  <c r="BD17" i="20"/>
  <c r="AF17" i="20"/>
  <c r="AV17" i="17"/>
  <c r="S68" i="19"/>
  <c r="AK68" i="19"/>
  <c r="T68" i="20"/>
  <c r="AF68" i="20"/>
  <c r="BP68" i="20"/>
  <c r="BB68" i="17"/>
  <c r="AJ68" i="17"/>
  <c r="AD68" i="17"/>
  <c r="BI68" i="19"/>
  <c r="Y68" i="19"/>
  <c r="BO68" i="19"/>
  <c r="Z68" i="20"/>
  <c r="BV68" i="20"/>
  <c r="BN68" i="17"/>
  <c r="BT68" i="17"/>
  <c r="AE68" i="19"/>
  <c r="AW68" i="19"/>
  <c r="BD68" i="20"/>
  <c r="AL68" i="20"/>
  <c r="BU68" i="19"/>
  <c r="AV68" i="17"/>
  <c r="X68" i="17"/>
  <c r="BC52" i="19"/>
  <c r="Y52" i="19"/>
  <c r="T52" i="20"/>
  <c r="BD52" i="20"/>
  <c r="BP52" i="20"/>
  <c r="BH52" i="17"/>
  <c r="X52" i="17"/>
  <c r="AE52" i="19"/>
  <c r="Z52" i="20"/>
  <c r="AL52" i="20"/>
  <c r="BO52" i="19"/>
  <c r="BV52" i="20"/>
  <c r="AD52" i="17"/>
  <c r="BN52" i="17"/>
  <c r="AQ52" i="19"/>
  <c r="S52" i="19"/>
  <c r="AR52" i="20"/>
  <c r="BI52" i="19"/>
  <c r="BU52" i="19"/>
  <c r="BT52" i="17"/>
  <c r="AP52" i="17"/>
  <c r="BB52" i="17"/>
  <c r="AE36" i="19"/>
  <c r="S36" i="19"/>
  <c r="Z36" i="20"/>
  <c r="AX36" i="20"/>
  <c r="BJ36" i="20"/>
  <c r="X36" i="17"/>
  <c r="R36" i="17"/>
  <c r="BH36" i="17"/>
  <c r="AK36" i="19"/>
  <c r="AF36" i="20"/>
  <c r="AW36" i="19"/>
  <c r="BI36" i="19"/>
  <c r="BU36" i="19"/>
  <c r="BN36" i="17"/>
  <c r="AP36" i="17"/>
  <c r="BB36" i="17"/>
  <c r="Y36" i="19"/>
  <c r="T36" i="20"/>
  <c r="BC36" i="19"/>
  <c r="BO36" i="19"/>
  <c r="BV36" i="20"/>
  <c r="AJ36" i="17"/>
  <c r="AV36" i="17"/>
  <c r="AQ36" i="19"/>
  <c r="BP36" i="20"/>
  <c r="AL36" i="20"/>
  <c r="BT36" i="17"/>
  <c r="BD36" i="20"/>
  <c r="T12" i="19"/>
  <c r="Z12" i="19"/>
  <c r="AF12" i="19"/>
  <c r="U12" i="20"/>
  <c r="AA12" i="20"/>
  <c r="AL12" i="19"/>
  <c r="AG12" i="20"/>
  <c r="AR12" i="19"/>
  <c r="AM12" i="20"/>
  <c r="AX12" i="19"/>
  <c r="AS12" i="20"/>
  <c r="BD12" i="19"/>
  <c r="AY12" i="20"/>
  <c r="BJ12" i="19"/>
  <c r="BE12" i="20"/>
  <c r="BP12" i="19"/>
  <c r="BK12" i="20"/>
  <c r="BV12" i="19"/>
  <c r="BQ12" i="20"/>
  <c r="BW12" i="20"/>
  <c r="BC12" i="17"/>
  <c r="Y12" i="17"/>
  <c r="AE12" i="17"/>
  <c r="BU12" i="17"/>
  <c r="BI12" i="17"/>
  <c r="S12" i="17"/>
  <c r="AQ12" i="17"/>
  <c r="AK12" i="17"/>
  <c r="BO12" i="17"/>
  <c r="AW12" i="17"/>
  <c r="S38" i="19"/>
  <c r="AF38" i="20"/>
  <c r="AR38" i="20"/>
  <c r="BD38" i="20"/>
  <c r="BP38" i="20"/>
  <c r="BT38" i="17"/>
  <c r="BB38" i="17"/>
  <c r="Y38" i="19"/>
  <c r="AW38" i="19"/>
  <c r="BC38" i="19"/>
  <c r="BO38" i="19"/>
  <c r="BV38" i="20"/>
  <c r="BH38" i="17"/>
  <c r="BN38" i="17"/>
  <c r="AK38" i="19"/>
  <c r="T38" i="20"/>
  <c r="Z38" i="20"/>
  <c r="BI38" i="19"/>
  <c r="BU38" i="19"/>
  <c r="AJ38" i="17"/>
  <c r="R38" i="17"/>
  <c r="AV38" i="17"/>
  <c r="Y8" i="19"/>
  <c r="Z8" i="20"/>
  <c r="AL8" i="20"/>
  <c r="AX8" i="20"/>
  <c r="BJ8" i="20"/>
  <c r="X8" i="17"/>
  <c r="BB8" i="17"/>
  <c r="AJ8" i="17"/>
  <c r="S8" i="19"/>
  <c r="AK8" i="19"/>
  <c r="AW8" i="19"/>
  <c r="BI8" i="19"/>
  <c r="BU8" i="19"/>
  <c r="R8" i="17"/>
  <c r="AV8" i="17"/>
  <c r="BN8" i="17"/>
  <c r="AE8" i="19"/>
  <c r="AQ8" i="19"/>
  <c r="BC8" i="19"/>
  <c r="BO8" i="19"/>
  <c r="BV8" i="20"/>
  <c r="BH8" i="17"/>
  <c r="AD8" i="17"/>
  <c r="AR8" i="20"/>
  <c r="BT8" i="17"/>
  <c r="BD8" i="20"/>
  <c r="AF8" i="20"/>
  <c r="AP8" i="17"/>
  <c r="U4" i="20"/>
  <c r="Z4" i="19"/>
  <c r="T4" i="19"/>
  <c r="AF4" i="19"/>
  <c r="AA4" i="20"/>
  <c r="AL4" i="19"/>
  <c r="AG4" i="20"/>
  <c r="AR4" i="19"/>
  <c r="AM4" i="20"/>
  <c r="AX4" i="19"/>
  <c r="AS4" i="20"/>
  <c r="AT4" i="20" s="1"/>
  <c r="BD4" i="19"/>
  <c r="AY4" i="20"/>
  <c r="BJ4" i="19"/>
  <c r="BE4" i="20"/>
  <c r="BP4" i="19"/>
  <c r="BK4" i="20"/>
  <c r="BV4" i="19"/>
  <c r="BQ4" i="20"/>
  <c r="BW4" i="20"/>
  <c r="BI4" i="17"/>
  <c r="AW4" i="17"/>
  <c r="S4" i="17"/>
  <c r="AK4" i="17"/>
  <c r="BC4" i="17"/>
  <c r="BU4" i="17"/>
  <c r="BO4" i="17"/>
  <c r="Y4" i="17"/>
  <c r="AQ4" i="17"/>
  <c r="AE4" i="17"/>
  <c r="S6" i="19"/>
  <c r="AF6" i="20"/>
  <c r="AR6" i="20"/>
  <c r="BD6" i="20"/>
  <c r="BP6" i="20"/>
  <c r="AJ6" i="17"/>
  <c r="BN6" i="17"/>
  <c r="AE6" i="19"/>
  <c r="AQ6" i="19"/>
  <c r="BC6" i="19"/>
  <c r="BO6" i="19"/>
  <c r="BV6" i="20"/>
  <c r="BT6" i="17"/>
  <c r="BH6" i="17"/>
  <c r="Y6" i="19"/>
  <c r="AK6" i="19"/>
  <c r="AW6" i="19"/>
  <c r="BI6" i="19"/>
  <c r="BU6" i="19"/>
  <c r="BB6" i="17"/>
  <c r="R6" i="17"/>
  <c r="X6" i="17"/>
  <c r="BI45" i="17"/>
  <c r="Z45" i="19"/>
  <c r="AF45" i="19"/>
  <c r="T45" i="19"/>
  <c r="AL45" i="19"/>
  <c r="AR45" i="19"/>
  <c r="AS45" i="19" s="1"/>
  <c r="AX45" i="19"/>
  <c r="AG45" i="20"/>
  <c r="AS45" i="20"/>
  <c r="AA45" i="20"/>
  <c r="AM45" i="20"/>
  <c r="U45" i="20"/>
  <c r="BO45" i="17"/>
  <c r="AQ45" i="17"/>
  <c r="S45" i="17"/>
  <c r="BC45" i="17"/>
  <c r="BU45" i="17"/>
  <c r="AK45" i="17"/>
  <c r="AE45" i="17"/>
  <c r="AW45" i="17"/>
  <c r="Y45" i="17"/>
  <c r="BD45" i="19"/>
  <c r="AY45" i="20"/>
  <c r="BJ45" i="19"/>
  <c r="BE45" i="20"/>
  <c r="BP45" i="19"/>
  <c r="BK45" i="20"/>
  <c r="BV45" i="19"/>
  <c r="BQ45" i="20"/>
  <c r="BW45" i="20"/>
  <c r="Y20" i="19"/>
  <c r="Z20" i="20"/>
  <c r="AL20" i="20"/>
  <c r="AX20" i="20"/>
  <c r="BJ20" i="20"/>
  <c r="X20" i="17"/>
  <c r="AD20" i="17"/>
  <c r="AP20" i="17"/>
  <c r="S20" i="19"/>
  <c r="T20" i="20"/>
  <c r="AW20" i="19"/>
  <c r="BI20" i="19"/>
  <c r="BU20" i="19"/>
  <c r="AJ20" i="17"/>
  <c r="BH20" i="17"/>
  <c r="AV20" i="17"/>
  <c r="AK20" i="19"/>
  <c r="AQ20" i="19"/>
  <c r="BC20" i="19"/>
  <c r="BO20" i="19"/>
  <c r="BV20" i="20"/>
  <c r="BT20" i="17"/>
  <c r="BB20" i="17"/>
  <c r="AE20" i="19"/>
  <c r="BP20" i="20"/>
  <c r="AF20" i="20"/>
  <c r="R20" i="17"/>
  <c r="BD20" i="20"/>
  <c r="S58" i="19"/>
  <c r="AE58" i="19"/>
  <c r="AX58" i="20"/>
  <c r="BD58" i="20"/>
  <c r="BP58" i="20"/>
  <c r="R58" i="17"/>
  <c r="X58" i="17"/>
  <c r="BN58" i="17"/>
  <c r="AQ58" i="19"/>
  <c r="T58" i="20"/>
  <c r="AF58" i="20"/>
  <c r="BO58" i="19"/>
  <c r="BV58" i="20"/>
  <c r="AP58" i="17"/>
  <c r="AD58" i="17"/>
  <c r="AW58" i="19"/>
  <c r="Y58" i="19"/>
  <c r="Z58" i="20"/>
  <c r="AR58" i="20"/>
  <c r="BU58" i="19"/>
  <c r="BB58" i="17"/>
  <c r="BT58" i="17"/>
  <c r="BH58" i="17"/>
  <c r="BI41" i="17"/>
  <c r="AR41" i="19"/>
  <c r="AF41" i="19"/>
  <c r="Z41" i="19"/>
  <c r="T41" i="19"/>
  <c r="AX41" i="19"/>
  <c r="AL41" i="19"/>
  <c r="AA41" i="20"/>
  <c r="U41" i="20"/>
  <c r="AG41" i="20"/>
  <c r="AM41" i="20"/>
  <c r="BC41" i="17"/>
  <c r="Y41" i="17"/>
  <c r="AE41" i="17"/>
  <c r="BU41" i="17"/>
  <c r="BO41" i="17"/>
  <c r="AW41" i="17"/>
  <c r="AK41" i="17"/>
  <c r="AQ41" i="17"/>
  <c r="S41" i="17"/>
  <c r="AS41" i="20"/>
  <c r="BD41" i="19"/>
  <c r="AY41" i="20"/>
  <c r="BJ41" i="19"/>
  <c r="BE41" i="20"/>
  <c r="BP41" i="19"/>
  <c r="BK41" i="20"/>
  <c r="BV41" i="19"/>
  <c r="BQ41" i="20"/>
  <c r="BW41" i="20"/>
  <c r="Y26" i="19"/>
  <c r="T26" i="20"/>
  <c r="AR26" i="20"/>
  <c r="BD26" i="20"/>
  <c r="BP26" i="20"/>
  <c r="AV26" i="17"/>
  <c r="BH26" i="17"/>
  <c r="AE26" i="19"/>
  <c r="AQ26" i="19"/>
  <c r="BC26" i="19"/>
  <c r="BO26" i="19"/>
  <c r="BV26" i="20"/>
  <c r="BN26" i="17"/>
  <c r="AP26" i="17"/>
  <c r="AK26" i="19"/>
  <c r="Z26" i="20"/>
  <c r="AW26" i="19"/>
  <c r="BI26" i="19"/>
  <c r="BU26" i="19"/>
  <c r="AD26" i="17"/>
  <c r="X26" i="17"/>
  <c r="BB26" i="17"/>
  <c r="BI65" i="17"/>
  <c r="BP65" i="19"/>
  <c r="AF65" i="19"/>
  <c r="AX65" i="19"/>
  <c r="Z65" i="19"/>
  <c r="AL65" i="19"/>
  <c r="T65" i="19"/>
  <c r="U65" i="19" s="1"/>
  <c r="BJ65" i="19"/>
  <c r="BV65" i="19"/>
  <c r="BD65" i="19"/>
  <c r="AR65" i="19"/>
  <c r="AM65" i="20"/>
  <c r="BK65" i="20"/>
  <c r="AA65" i="20"/>
  <c r="AS65" i="20"/>
  <c r="BQ65" i="20"/>
  <c r="AG65" i="20"/>
  <c r="U65" i="20"/>
  <c r="BE65" i="20"/>
  <c r="BW65" i="20"/>
  <c r="AY65" i="20"/>
  <c r="S65" i="17"/>
  <c r="BC65" i="17"/>
  <c r="AE65" i="17"/>
  <c r="BO65" i="17"/>
  <c r="BU65" i="17"/>
  <c r="AK65" i="17"/>
  <c r="Y65" i="17"/>
  <c r="AW65" i="17"/>
  <c r="AQ65" i="17"/>
  <c r="Z33" i="19"/>
  <c r="AR33" i="19"/>
  <c r="T33" i="19"/>
  <c r="AF33" i="19"/>
  <c r="AL33" i="19"/>
  <c r="AM33" i="20"/>
  <c r="U33" i="20"/>
  <c r="AG33" i="20"/>
  <c r="AA33" i="20"/>
  <c r="BU33" i="17"/>
  <c r="Y33" i="17"/>
  <c r="BC33" i="17"/>
  <c r="S33" i="17"/>
  <c r="BO33" i="17"/>
  <c r="AQ33" i="17"/>
  <c r="AK33" i="17"/>
  <c r="AE33" i="17"/>
  <c r="AW33" i="17"/>
  <c r="BI33" i="17"/>
  <c r="AX33" i="19"/>
  <c r="AS33" i="20"/>
  <c r="BD33" i="19"/>
  <c r="AY33" i="20"/>
  <c r="BJ33" i="19"/>
  <c r="BE33" i="20"/>
  <c r="BP33" i="19"/>
  <c r="BK33" i="20"/>
  <c r="BV33" i="19"/>
  <c r="BQ33" i="20"/>
  <c r="BW33" i="20"/>
  <c r="T9" i="19"/>
  <c r="Z9" i="19"/>
  <c r="AF9" i="19"/>
  <c r="U9" i="20"/>
  <c r="AA9" i="20"/>
  <c r="AL9" i="19"/>
  <c r="AG9" i="20"/>
  <c r="AR9" i="19"/>
  <c r="AM9" i="20"/>
  <c r="AX9" i="19"/>
  <c r="AS9" i="20"/>
  <c r="BD9" i="19"/>
  <c r="AY9" i="20"/>
  <c r="BJ9" i="19"/>
  <c r="BE9" i="20"/>
  <c r="BP9" i="19"/>
  <c r="BK9" i="20"/>
  <c r="BV9" i="19"/>
  <c r="BQ9" i="20"/>
  <c r="BW9" i="20"/>
  <c r="S9" i="17"/>
  <c r="Y9" i="17"/>
  <c r="BC9" i="17"/>
  <c r="AQ9" i="17"/>
  <c r="BU9" i="17"/>
  <c r="BI9" i="17"/>
  <c r="AK9" i="17"/>
  <c r="AL9" i="17" s="1"/>
  <c r="BO9" i="17"/>
  <c r="AW9" i="17"/>
  <c r="AE9" i="17"/>
  <c r="BC50" i="19"/>
  <c r="Y50" i="19"/>
  <c r="AL50" i="20"/>
  <c r="BD50" i="20"/>
  <c r="BP50" i="20"/>
  <c r="BN50" i="17"/>
  <c r="BH50" i="17"/>
  <c r="AQ50" i="19"/>
  <c r="AF50" i="20"/>
  <c r="AR50" i="20"/>
  <c r="BO50" i="19"/>
  <c r="BV50" i="20"/>
  <c r="R50" i="17"/>
  <c r="X50" i="17"/>
  <c r="AW50" i="19"/>
  <c r="AK50" i="19"/>
  <c r="T50" i="20"/>
  <c r="BI50" i="19"/>
  <c r="BU50" i="19"/>
  <c r="AD50" i="17"/>
  <c r="AP50" i="17"/>
  <c r="BT50" i="17"/>
  <c r="AK22" i="19"/>
  <c r="AF22" i="20"/>
  <c r="AR22" i="20"/>
  <c r="BD22" i="20"/>
  <c r="BP22" i="20"/>
  <c r="BT22" i="17"/>
  <c r="AD22" i="17"/>
  <c r="Y22" i="19"/>
  <c r="AQ22" i="19"/>
  <c r="BC22" i="19"/>
  <c r="BO22" i="19"/>
  <c r="BV22" i="20"/>
  <c r="AJ22" i="17"/>
  <c r="X22" i="17"/>
  <c r="AE22" i="19"/>
  <c r="T22" i="20"/>
  <c r="AW22" i="19"/>
  <c r="BI22" i="19"/>
  <c r="BU22" i="19"/>
  <c r="BH22" i="17"/>
  <c r="R22" i="17"/>
  <c r="BN22" i="17"/>
  <c r="AR69" i="19"/>
  <c r="AF69" i="19"/>
  <c r="AX69" i="19"/>
  <c r="AL69" i="19"/>
  <c r="BD69" i="19"/>
  <c r="Z69" i="19"/>
  <c r="BP69" i="19"/>
  <c r="T69" i="19"/>
  <c r="BV69" i="19"/>
  <c r="BJ69" i="19"/>
  <c r="BE69" i="20"/>
  <c r="AY69" i="20"/>
  <c r="U69" i="20"/>
  <c r="BQ69" i="20"/>
  <c r="AM69" i="20"/>
  <c r="BK69" i="20"/>
  <c r="BW69" i="20"/>
  <c r="AG69" i="20"/>
  <c r="AA69" i="20"/>
  <c r="AS69" i="20"/>
  <c r="BI37" i="17"/>
  <c r="AL37" i="19"/>
  <c r="T37" i="19"/>
  <c r="AF37" i="19"/>
  <c r="Z37" i="19"/>
  <c r="AR37" i="19"/>
  <c r="AG37" i="20"/>
  <c r="AM37" i="20"/>
  <c r="AN37" i="20" s="1"/>
  <c r="U37" i="20"/>
  <c r="AA37" i="20"/>
  <c r="Y37" i="17"/>
  <c r="AW37" i="17"/>
  <c r="AK37" i="17"/>
  <c r="BU37" i="17"/>
  <c r="AX37" i="19"/>
  <c r="BC37" i="17"/>
  <c r="AE37" i="17"/>
  <c r="S37" i="17"/>
  <c r="AQ37" i="17"/>
  <c r="BO37" i="17"/>
  <c r="AS37" i="20"/>
  <c r="BD37" i="19"/>
  <c r="AY37" i="20"/>
  <c r="BJ37" i="19"/>
  <c r="BE37" i="20"/>
  <c r="BP37" i="19"/>
  <c r="BK37" i="20"/>
  <c r="BV37" i="19"/>
  <c r="BQ37" i="20"/>
  <c r="BW37" i="20"/>
  <c r="BI58" i="17"/>
  <c r="BV58" i="19"/>
  <c r="Z58" i="19"/>
  <c r="BP58" i="19"/>
  <c r="AL58" i="19"/>
  <c r="AR58" i="19"/>
  <c r="T58" i="19"/>
  <c r="AX58" i="19"/>
  <c r="BD58" i="19"/>
  <c r="AF58" i="19"/>
  <c r="BJ58" i="19"/>
  <c r="BK58" i="20"/>
  <c r="U58" i="20"/>
  <c r="AM58" i="20"/>
  <c r="AS58" i="20"/>
  <c r="AA58" i="20"/>
  <c r="BE58" i="20"/>
  <c r="AY58" i="20"/>
  <c r="BQ58" i="20"/>
  <c r="BW58" i="20"/>
  <c r="AG58" i="20"/>
  <c r="AE58" i="17"/>
  <c r="BC58" i="17"/>
  <c r="BO58" i="17"/>
  <c r="BU58" i="17"/>
  <c r="Y58" i="17"/>
  <c r="S58" i="17"/>
  <c r="T58" i="17" s="1"/>
  <c r="AW58" i="17"/>
  <c r="AK58" i="17"/>
  <c r="AQ58" i="17"/>
  <c r="BI44" i="17"/>
  <c r="Z44" i="19"/>
  <c r="AF44" i="19"/>
  <c r="AR44" i="19"/>
  <c r="AX44" i="19"/>
  <c r="AL44" i="19"/>
  <c r="T44" i="19"/>
  <c r="AA44" i="20"/>
  <c r="AM44" i="20"/>
  <c r="AG44" i="20"/>
  <c r="U44" i="20"/>
  <c r="AS44" i="20"/>
  <c r="BU44" i="17"/>
  <c r="AK44" i="17"/>
  <c r="AW44" i="17"/>
  <c r="AQ44" i="17"/>
  <c r="AE44" i="17"/>
  <c r="BC44" i="17"/>
  <c r="BO44" i="17"/>
  <c r="S44" i="17"/>
  <c r="Y44" i="17"/>
  <c r="BD44" i="19"/>
  <c r="AY44" i="20"/>
  <c r="BJ44" i="19"/>
  <c r="BE44" i="20"/>
  <c r="BP44" i="19"/>
  <c r="BK44" i="20"/>
  <c r="BV44" i="19"/>
  <c r="BQ44" i="20"/>
  <c r="BW44" i="20"/>
  <c r="AF28" i="19"/>
  <c r="Z28" i="19"/>
  <c r="AL28" i="19"/>
  <c r="T28" i="19"/>
  <c r="AR28" i="19"/>
  <c r="AA28" i="20"/>
  <c r="U28" i="20"/>
  <c r="AG28" i="20"/>
  <c r="AM28" i="20"/>
  <c r="AX28" i="19"/>
  <c r="AS28" i="20"/>
  <c r="AT28" i="20" s="1"/>
  <c r="BD28" i="19"/>
  <c r="AY28" i="20"/>
  <c r="BJ28" i="19"/>
  <c r="BE28" i="20"/>
  <c r="BP28" i="19"/>
  <c r="BK28" i="20"/>
  <c r="BV28" i="19"/>
  <c r="BQ28" i="20"/>
  <c r="BW28" i="20"/>
  <c r="S28" i="17"/>
  <c r="AQ28" i="17"/>
  <c r="AW28" i="17"/>
  <c r="AE28" i="17"/>
  <c r="BO28" i="17"/>
  <c r="Y28" i="17"/>
  <c r="AK28" i="17"/>
  <c r="BC28" i="17"/>
  <c r="BI28" i="17"/>
  <c r="BU28" i="17"/>
  <c r="BI64" i="17"/>
  <c r="AF64" i="19"/>
  <c r="BD64" i="19"/>
  <c r="BV64" i="19"/>
  <c r="Z64" i="19"/>
  <c r="T64" i="19"/>
  <c r="BP64" i="19"/>
  <c r="AX64" i="19"/>
  <c r="AL64" i="19"/>
  <c r="AR64" i="19"/>
  <c r="BJ64" i="19"/>
  <c r="BK64" i="20"/>
  <c r="BE64" i="20"/>
  <c r="U64" i="20"/>
  <c r="AY64" i="20"/>
  <c r="BW64" i="20"/>
  <c r="AG64" i="20"/>
  <c r="AH64" i="20" s="1"/>
  <c r="BQ64" i="20"/>
  <c r="AM64" i="20"/>
  <c r="AA64" i="20"/>
  <c r="AS64" i="20"/>
  <c r="Y64" i="17"/>
  <c r="AQ64" i="17"/>
  <c r="AW64" i="17"/>
  <c r="BO64" i="17"/>
  <c r="BU64" i="17"/>
  <c r="AK64" i="17"/>
  <c r="BC64" i="17"/>
  <c r="AE64" i="17"/>
  <c r="S64" i="17"/>
  <c r="AF34" i="19"/>
  <c r="AL34" i="19"/>
  <c r="Z34" i="19"/>
  <c r="AA34" i="19" s="1"/>
  <c r="T34" i="19"/>
  <c r="AR34" i="19"/>
  <c r="U34" i="20"/>
  <c r="AG34" i="20"/>
  <c r="AM34" i="20"/>
  <c r="AA34" i="20"/>
  <c r="BI34" i="17"/>
  <c r="AK34" i="17"/>
  <c r="BU34" i="17"/>
  <c r="AW34" i="17"/>
  <c r="S34" i="17"/>
  <c r="BO34" i="17"/>
  <c r="AQ34" i="17"/>
  <c r="AE34" i="17"/>
  <c r="BC34" i="17"/>
  <c r="Y34" i="17"/>
  <c r="AX34" i="19"/>
  <c r="AS34" i="20"/>
  <c r="BD34" i="19"/>
  <c r="AY34" i="20"/>
  <c r="BJ34" i="19"/>
  <c r="BE34" i="20"/>
  <c r="BP34" i="19"/>
  <c r="BK34" i="20"/>
  <c r="BV34" i="19"/>
  <c r="BQ34" i="20"/>
  <c r="BW34" i="20"/>
  <c r="BI52" i="17"/>
  <c r="AL52" i="19"/>
  <c r="BV52" i="19"/>
  <c r="T52" i="19"/>
  <c r="AX52" i="19"/>
  <c r="BJ52" i="19"/>
  <c r="AR52" i="19"/>
  <c r="BD52" i="19"/>
  <c r="Z52" i="19"/>
  <c r="BP52" i="19"/>
  <c r="AF52" i="19"/>
  <c r="AS52" i="20"/>
  <c r="AA52" i="20"/>
  <c r="AM52" i="20"/>
  <c r="AG52" i="20"/>
  <c r="U52" i="20"/>
  <c r="Y52" i="17"/>
  <c r="BU52" i="17"/>
  <c r="BO52" i="17"/>
  <c r="AE52" i="17"/>
  <c r="AF52" i="17" s="1"/>
  <c r="S52" i="17"/>
  <c r="AK52" i="17"/>
  <c r="AQ52" i="17"/>
  <c r="BC52" i="17"/>
  <c r="AW52" i="17"/>
  <c r="AY52" i="20"/>
  <c r="BE52" i="20"/>
  <c r="BK52" i="20"/>
  <c r="BQ52" i="20"/>
  <c r="BW52" i="20"/>
  <c r="T17" i="19"/>
  <c r="AF17" i="19"/>
  <c r="Z17" i="19"/>
  <c r="AA17" i="20"/>
  <c r="U17" i="20"/>
  <c r="AL17" i="19"/>
  <c r="AG17" i="20"/>
  <c r="AR17" i="19"/>
  <c r="AM17" i="20"/>
  <c r="AX17" i="19"/>
  <c r="AS17" i="20"/>
  <c r="BD17" i="19"/>
  <c r="AY17" i="20"/>
  <c r="BJ17" i="19"/>
  <c r="BE17" i="20"/>
  <c r="BP17" i="19"/>
  <c r="BK17" i="20"/>
  <c r="BV17" i="19"/>
  <c r="BQ17" i="20"/>
  <c r="BW17" i="20"/>
  <c r="AE17" i="17"/>
  <c r="S17" i="17"/>
  <c r="BU17" i="17"/>
  <c r="AQ17" i="17"/>
  <c r="BO17" i="17"/>
  <c r="BC17" i="17"/>
  <c r="Y17" i="17"/>
  <c r="BI17" i="17"/>
  <c r="AK17" i="17"/>
  <c r="AW17" i="17"/>
  <c r="BI46" i="17"/>
  <c r="AX46" i="19"/>
  <c r="AL46" i="19"/>
  <c r="T46" i="19"/>
  <c r="AF46" i="19"/>
  <c r="AR46" i="19"/>
  <c r="Z46" i="19"/>
  <c r="U46" i="20"/>
  <c r="AM46" i="20"/>
  <c r="AG46" i="20"/>
  <c r="AA46" i="20"/>
  <c r="AB46" i="20" s="1"/>
  <c r="AS46" i="20"/>
  <c r="Y46" i="17"/>
  <c r="BC46" i="17"/>
  <c r="AQ46" i="17"/>
  <c r="BO46" i="17"/>
  <c r="BU46" i="17"/>
  <c r="AK46" i="17"/>
  <c r="S46" i="17"/>
  <c r="AE46" i="17"/>
  <c r="AW46" i="17"/>
  <c r="BD46" i="19"/>
  <c r="AY46" i="20"/>
  <c r="BJ46" i="19"/>
  <c r="BE46" i="20"/>
  <c r="BP46" i="19"/>
  <c r="BK46" i="20"/>
  <c r="BV46" i="19"/>
  <c r="BQ46" i="20"/>
  <c r="BW46" i="20"/>
  <c r="AR60" i="12"/>
  <c r="BT67" i="17"/>
  <c r="AP67" i="17"/>
  <c r="BN67" i="17"/>
  <c r="BU67" i="19"/>
  <c r="AL67" i="20"/>
  <c r="AX67" i="20"/>
  <c r="BI67" i="19"/>
  <c r="AQ67" i="19"/>
  <c r="BN63" i="17"/>
  <c r="R63" i="17"/>
  <c r="BH63" i="17"/>
  <c r="BU63" i="19"/>
  <c r="AR63" i="20"/>
  <c r="AL63" i="20"/>
  <c r="AK63" i="19"/>
  <c r="BI63" i="19"/>
  <c r="BN59" i="17"/>
  <c r="BH59" i="17"/>
  <c r="BU59" i="19"/>
  <c r="AX59" i="20"/>
  <c r="Z59" i="20"/>
  <c r="Y59" i="19"/>
  <c r="BI59" i="19"/>
  <c r="BT55" i="17"/>
  <c r="AV55" i="17"/>
  <c r="AD55" i="17"/>
  <c r="BU55" i="19"/>
  <c r="BI55" i="19"/>
  <c r="AL55" i="20"/>
  <c r="Y55" i="19"/>
  <c r="AK55" i="19"/>
  <c r="AD51" i="17"/>
  <c r="BH51" i="17"/>
  <c r="AJ51" i="17"/>
  <c r="BU51" i="19"/>
  <c r="BI51" i="19"/>
  <c r="AL51" i="20"/>
  <c r="BC51" i="19"/>
  <c r="AK51" i="19"/>
  <c r="R47" i="17"/>
  <c r="AD47" i="17"/>
  <c r="BT47" i="17"/>
  <c r="BU47" i="19"/>
  <c r="BI47" i="19"/>
  <c r="AF47" i="20"/>
  <c r="Y47" i="19"/>
  <c r="S47" i="19"/>
  <c r="BN43" i="17"/>
  <c r="X43" i="17"/>
  <c r="AJ43" i="17"/>
  <c r="BU43" i="19"/>
  <c r="BI43" i="19"/>
  <c r="AR43" i="20"/>
  <c r="AQ43" i="19"/>
  <c r="AK43" i="19"/>
  <c r="AV39" i="17"/>
  <c r="BT39" i="17"/>
  <c r="AJ39" i="17"/>
  <c r="BU39" i="19"/>
  <c r="BI39" i="19"/>
  <c r="Z39" i="20"/>
  <c r="Y39" i="19"/>
  <c r="AK39" i="19"/>
  <c r="BB35" i="17"/>
  <c r="AP35" i="17"/>
  <c r="AV35" i="17"/>
  <c r="BU35" i="19"/>
  <c r="BI35" i="19"/>
  <c r="AW35" i="19"/>
  <c r="AL35" i="20"/>
  <c r="AE35" i="19"/>
  <c r="BH31" i="17"/>
  <c r="BT31" i="17"/>
  <c r="AD31" i="17"/>
  <c r="BU31" i="19"/>
  <c r="BI31" i="19"/>
  <c r="AW31" i="19"/>
  <c r="AF31" i="20"/>
  <c r="S31" i="19"/>
  <c r="AD27" i="17"/>
  <c r="X27" i="17"/>
  <c r="AJ27" i="17"/>
  <c r="BU27" i="19"/>
  <c r="BI27" i="19"/>
  <c r="AW27" i="19"/>
  <c r="T27" i="20"/>
  <c r="AE27" i="19"/>
  <c r="BB23" i="17"/>
  <c r="AJ23" i="17"/>
  <c r="BH23" i="17"/>
  <c r="BU23" i="19"/>
  <c r="BW23" i="19" s="1"/>
  <c r="BI23" i="19"/>
  <c r="AW23" i="19"/>
  <c r="AF23" i="20"/>
  <c r="S23" i="19"/>
  <c r="AP19" i="17"/>
  <c r="BN19" i="17"/>
  <c r="AV19" i="17"/>
  <c r="BU19" i="19"/>
  <c r="BI19" i="19"/>
  <c r="AW19" i="19"/>
  <c r="T19" i="20"/>
  <c r="S19" i="19"/>
  <c r="BT15" i="17"/>
  <c r="AP15" i="17"/>
  <c r="BB15" i="17"/>
  <c r="BU15" i="19"/>
  <c r="BI15" i="19"/>
  <c r="AW15" i="19"/>
  <c r="AK15" i="19"/>
  <c r="S15" i="19"/>
  <c r="AP11" i="17"/>
  <c r="R11" i="17"/>
  <c r="AJ11" i="17"/>
  <c r="BU11" i="19"/>
  <c r="BI11" i="19"/>
  <c r="AW11" i="19"/>
  <c r="AK11" i="19"/>
  <c r="S11" i="19"/>
  <c r="BT7" i="17"/>
  <c r="R7" i="17"/>
  <c r="BH7" i="17"/>
  <c r="BU7" i="19"/>
  <c r="BI7" i="19"/>
  <c r="AW7" i="19"/>
  <c r="AK7" i="19"/>
  <c r="Y7" i="19"/>
  <c r="BT3" i="17"/>
  <c r="BN3" i="17"/>
  <c r="BB3" i="17"/>
  <c r="BU3" i="19"/>
  <c r="BI3" i="19"/>
  <c r="AW3" i="19"/>
  <c r="AK3" i="19"/>
  <c r="T3" i="20"/>
  <c r="BU69" i="19"/>
  <c r="Z69" i="20"/>
  <c r="AX69" i="20"/>
  <c r="AZ69" i="20" s="1"/>
  <c r="BI69" i="19"/>
  <c r="BK69" i="19" s="1"/>
  <c r="BO69" i="19"/>
  <c r="BQ69" i="19" s="1"/>
  <c r="X65" i="17"/>
  <c r="AV65" i="17"/>
  <c r="BU65" i="19"/>
  <c r="BD65" i="20"/>
  <c r="AX65" i="20"/>
  <c r="BC65" i="19"/>
  <c r="BE65" i="19" s="1"/>
  <c r="AK65" i="19"/>
  <c r="AV57" i="17"/>
  <c r="BB57" i="17"/>
  <c r="BT57" i="17"/>
  <c r="BU57" i="19"/>
  <c r="BI57" i="19"/>
  <c r="Z57" i="20"/>
  <c r="BC57" i="19"/>
  <c r="AK57" i="19"/>
  <c r="R45" i="17"/>
  <c r="Y45" i="19"/>
  <c r="X33" i="17"/>
  <c r="AX33" i="20"/>
  <c r="R21" i="17"/>
  <c r="AV5" i="17"/>
  <c r="AX5" i="20"/>
  <c r="BN66" i="17"/>
  <c r="AW66" i="19"/>
  <c r="AP62" i="17"/>
  <c r="AF62" i="20"/>
  <c r="BC58" i="19"/>
  <c r="BT54" i="17"/>
  <c r="Z54" i="20"/>
  <c r="AJ50" i="17"/>
  <c r="S50" i="19"/>
  <c r="AJ46" i="17"/>
  <c r="AX46" i="20"/>
  <c r="X42" i="17"/>
  <c r="Y42" i="19"/>
  <c r="X38" i="17"/>
  <c r="AX38" i="20"/>
  <c r="AJ34" i="17"/>
  <c r="AL34" i="17" s="1"/>
  <c r="S34" i="19"/>
  <c r="U34" i="19" s="1"/>
  <c r="AP30" i="17"/>
  <c r="AX30" i="20"/>
  <c r="R26" i="17"/>
  <c r="AF26" i="20"/>
  <c r="AP22" i="17"/>
  <c r="AX22" i="20"/>
  <c r="BT18" i="17"/>
  <c r="T18" i="20"/>
  <c r="X14" i="17"/>
  <c r="AX14" i="20"/>
  <c r="AD10" i="17"/>
  <c r="Z10" i="20"/>
  <c r="AP6" i="17"/>
  <c r="AX6" i="20"/>
  <c r="X53" i="17"/>
  <c r="BC53" i="19"/>
  <c r="AP37" i="17"/>
  <c r="AR37" i="17" s="1"/>
  <c r="AX37" i="20"/>
  <c r="AV29" i="17"/>
  <c r="AQ29" i="19"/>
  <c r="BT13" i="17"/>
  <c r="AX13" i="20"/>
  <c r="R68" i="17"/>
  <c r="BC68" i="19"/>
  <c r="BT64" i="17"/>
  <c r="T64" i="20"/>
  <c r="AD60" i="17"/>
  <c r="BC60" i="19"/>
  <c r="AJ56" i="17"/>
  <c r="AL56" i="20"/>
  <c r="R52" i="17"/>
  <c r="AW52" i="19"/>
  <c r="AJ48" i="17"/>
  <c r="AE48" i="19"/>
  <c r="AR36" i="20"/>
  <c r="BN28" i="17"/>
  <c r="BP16" i="20"/>
  <c r="BH49" i="17"/>
  <c r="S41" i="19"/>
  <c r="BP17" i="20"/>
  <c r="AK21" i="19"/>
  <c r="AF21" i="20"/>
  <c r="AR21" i="20"/>
  <c r="BD21" i="20"/>
  <c r="BP21" i="20"/>
  <c r="BB21" i="17"/>
  <c r="AD21" i="17"/>
  <c r="Y21" i="19"/>
  <c r="AQ21" i="19"/>
  <c r="BC21" i="19"/>
  <c r="BO21" i="19"/>
  <c r="BV21" i="20"/>
  <c r="X21" i="17"/>
  <c r="AJ21" i="17"/>
  <c r="AE21" i="19"/>
  <c r="Z21" i="20"/>
  <c r="AW21" i="19"/>
  <c r="BI21" i="19"/>
  <c r="BU21" i="19"/>
  <c r="BN21" i="17"/>
  <c r="BT21" i="17"/>
  <c r="AP21" i="17"/>
  <c r="T16" i="19"/>
  <c r="Z16" i="19"/>
  <c r="AA16" i="19" s="1"/>
  <c r="AF16" i="19"/>
  <c r="AA16" i="20"/>
  <c r="U16" i="20"/>
  <c r="AL16" i="19"/>
  <c r="AG16" i="20"/>
  <c r="AR16" i="19"/>
  <c r="AM16" i="20"/>
  <c r="AX16" i="19"/>
  <c r="AS16" i="20"/>
  <c r="BD16" i="19"/>
  <c r="AY16" i="20"/>
  <c r="BJ16" i="19"/>
  <c r="BE16" i="20"/>
  <c r="BP16" i="19"/>
  <c r="BK16" i="20"/>
  <c r="BV16" i="19"/>
  <c r="BQ16" i="20"/>
  <c r="BW16" i="20"/>
  <c r="AQ16" i="17"/>
  <c r="AW16" i="17"/>
  <c r="BO16" i="17"/>
  <c r="BC16" i="17"/>
  <c r="BU16" i="17"/>
  <c r="AK16" i="17"/>
  <c r="Y16" i="17"/>
  <c r="S16" i="17"/>
  <c r="AE16" i="17"/>
  <c r="BI16" i="17"/>
  <c r="AL23" i="19"/>
  <c r="AM23" i="19" s="1"/>
  <c r="Z23" i="19"/>
  <c r="T23" i="19"/>
  <c r="AF23" i="19"/>
  <c r="AA23" i="20"/>
  <c r="AG23" i="20"/>
  <c r="U23" i="20"/>
  <c r="AR23" i="19"/>
  <c r="AM23" i="20"/>
  <c r="AX23" i="19"/>
  <c r="AS23" i="20"/>
  <c r="BD23" i="19"/>
  <c r="AY23" i="20"/>
  <c r="BJ23" i="19"/>
  <c r="BE23" i="20"/>
  <c r="BP23" i="19"/>
  <c r="BK23" i="20"/>
  <c r="BQ23" i="20"/>
  <c r="BW23" i="20"/>
  <c r="Y23" i="17"/>
  <c r="AE23" i="17"/>
  <c r="BU23" i="17"/>
  <c r="AQ23" i="17"/>
  <c r="S23" i="17"/>
  <c r="BC23" i="17"/>
  <c r="AK23" i="17"/>
  <c r="AW23" i="17"/>
  <c r="BI23" i="17"/>
  <c r="BO23" i="17"/>
  <c r="Y32" i="19"/>
  <c r="AE32" i="19"/>
  <c r="AL32" i="20"/>
  <c r="AX32" i="20"/>
  <c r="BJ32" i="20"/>
  <c r="R32" i="17"/>
  <c r="BB32" i="17"/>
  <c r="AV32" i="17"/>
  <c r="S32" i="19"/>
  <c r="T32" i="20"/>
  <c r="AW32" i="19"/>
  <c r="BI32" i="19"/>
  <c r="BU32" i="19"/>
  <c r="AP32" i="17"/>
  <c r="BN32" i="17"/>
  <c r="AD32" i="17"/>
  <c r="AK32" i="19"/>
  <c r="Z32" i="20"/>
  <c r="BC32" i="19"/>
  <c r="BO32" i="19"/>
  <c r="BV32" i="20"/>
  <c r="BT32" i="17"/>
  <c r="AJ32" i="17"/>
  <c r="AR32" i="20"/>
  <c r="X32" i="17"/>
  <c r="BD32" i="20"/>
  <c r="AF32" i="20"/>
  <c r="BH32" i="17"/>
  <c r="U3" i="20"/>
  <c r="Z3" i="19"/>
  <c r="AA3" i="19" s="1"/>
  <c r="T3" i="19"/>
  <c r="AF3" i="19"/>
  <c r="AA3" i="20"/>
  <c r="AL3" i="19"/>
  <c r="AG3" i="20"/>
  <c r="AR3" i="19"/>
  <c r="AM3" i="20"/>
  <c r="AX3" i="19"/>
  <c r="AS3" i="20"/>
  <c r="BD3" i="19"/>
  <c r="AY3" i="20"/>
  <c r="BJ3" i="19"/>
  <c r="BE3" i="20"/>
  <c r="BP3" i="19"/>
  <c r="BK3" i="20"/>
  <c r="BV3" i="19"/>
  <c r="BQ3" i="20"/>
  <c r="BW3" i="20"/>
  <c r="AQ3" i="17"/>
  <c r="BC3" i="17"/>
  <c r="AE3" i="17"/>
  <c r="AW3" i="17"/>
  <c r="BO3" i="17"/>
  <c r="BU3" i="17"/>
  <c r="Y3" i="17"/>
  <c r="AK3" i="17"/>
  <c r="S3" i="17"/>
  <c r="BI3" i="17"/>
  <c r="AR32" i="19"/>
  <c r="T32" i="19"/>
  <c r="AF32" i="19"/>
  <c r="AL32" i="19"/>
  <c r="Z32" i="19"/>
  <c r="AA32" i="20"/>
  <c r="AG32" i="20"/>
  <c r="AM32" i="20"/>
  <c r="U32" i="20"/>
  <c r="BC32" i="17"/>
  <c r="BU32" i="17"/>
  <c r="S32" i="17"/>
  <c r="AQ32" i="17"/>
  <c r="AK32" i="17"/>
  <c r="BO32" i="17"/>
  <c r="AE32" i="17"/>
  <c r="AW32" i="17"/>
  <c r="Y32" i="17"/>
  <c r="BI32" i="17"/>
  <c r="AX32" i="19"/>
  <c r="AS32" i="20"/>
  <c r="BD32" i="19"/>
  <c r="AY32" i="20"/>
  <c r="BJ32" i="19"/>
  <c r="BE32" i="20"/>
  <c r="BP32" i="19"/>
  <c r="BQ32" i="19" s="1"/>
  <c r="BK32" i="20"/>
  <c r="BV32" i="19"/>
  <c r="BQ32" i="20"/>
  <c r="BW32" i="20"/>
  <c r="Z11" i="19"/>
  <c r="AA11" i="19" s="1"/>
  <c r="AF11" i="19"/>
  <c r="T11" i="19"/>
  <c r="U11" i="20"/>
  <c r="AA11" i="20"/>
  <c r="AL11" i="19"/>
  <c r="AG11" i="20"/>
  <c r="AR11" i="19"/>
  <c r="AM11" i="20"/>
  <c r="AX11" i="19"/>
  <c r="AS11" i="20"/>
  <c r="BD11" i="19"/>
  <c r="AY11" i="20"/>
  <c r="BJ11" i="19"/>
  <c r="BE11" i="20"/>
  <c r="BP11" i="19"/>
  <c r="BK11" i="20"/>
  <c r="BV11" i="19"/>
  <c r="BQ11" i="20"/>
  <c r="BW11" i="20"/>
  <c r="BO11" i="17"/>
  <c r="AW11" i="17"/>
  <c r="Y11" i="17"/>
  <c r="AK11" i="17"/>
  <c r="AE11" i="17"/>
  <c r="BI11" i="17"/>
  <c r="S11" i="17"/>
  <c r="AQ11" i="17"/>
  <c r="BU11" i="17"/>
  <c r="BC11" i="17"/>
  <c r="AF18" i="19"/>
  <c r="Z18" i="19"/>
  <c r="AA18" i="19" s="1"/>
  <c r="T18" i="19"/>
  <c r="AL18" i="19"/>
  <c r="AA18" i="20"/>
  <c r="U18" i="20"/>
  <c r="AG18" i="20"/>
  <c r="AR18" i="19"/>
  <c r="AM18" i="20"/>
  <c r="AX18" i="19"/>
  <c r="AS18" i="20"/>
  <c r="BD18" i="19"/>
  <c r="AY18" i="20"/>
  <c r="BJ18" i="19"/>
  <c r="BE18" i="20"/>
  <c r="BP18" i="19"/>
  <c r="BK18" i="20"/>
  <c r="BV18" i="19"/>
  <c r="BQ18" i="20"/>
  <c r="BW18" i="20"/>
  <c r="BI18" i="17"/>
  <c r="Y18" i="17"/>
  <c r="AQ18" i="17"/>
  <c r="BC18" i="17"/>
  <c r="BO18" i="17"/>
  <c r="AE18" i="17"/>
  <c r="S18" i="17"/>
  <c r="AK18" i="17"/>
  <c r="AW18" i="17"/>
  <c r="BU18" i="17"/>
  <c r="Z24" i="19"/>
  <c r="T24" i="19"/>
  <c r="AL24" i="19"/>
  <c r="AM24" i="19" s="1"/>
  <c r="AF24" i="19"/>
  <c r="U24" i="20"/>
  <c r="AA24" i="20"/>
  <c r="AG24" i="20"/>
  <c r="AR24" i="19"/>
  <c r="AM24" i="20"/>
  <c r="AX24" i="19"/>
  <c r="AS24" i="20"/>
  <c r="BD24" i="19"/>
  <c r="AY24" i="20"/>
  <c r="BJ24" i="19"/>
  <c r="BE24" i="20"/>
  <c r="BP24" i="19"/>
  <c r="BK24" i="20"/>
  <c r="BV24" i="19"/>
  <c r="BQ24" i="20"/>
  <c r="BW24" i="20"/>
  <c r="AW24" i="17"/>
  <c r="BC24" i="17"/>
  <c r="BU24" i="17"/>
  <c r="BI24" i="17"/>
  <c r="BO24" i="17"/>
  <c r="S24" i="17"/>
  <c r="Y24" i="17"/>
  <c r="AK24" i="17"/>
  <c r="AE24" i="17"/>
  <c r="AQ24" i="17"/>
  <c r="Z30" i="19"/>
  <c r="AF30" i="19"/>
  <c r="AL30" i="19"/>
  <c r="AR30" i="19"/>
  <c r="T30" i="19"/>
  <c r="AA30" i="20"/>
  <c r="AG30" i="20"/>
  <c r="U30" i="20"/>
  <c r="BO30" i="17"/>
  <c r="AK30" i="17"/>
  <c r="AW30" i="17"/>
  <c r="BU30" i="17"/>
  <c r="AE30" i="17"/>
  <c r="BC30" i="17"/>
  <c r="Y30" i="17"/>
  <c r="S30" i="17"/>
  <c r="AQ30" i="17"/>
  <c r="AM30" i="20"/>
  <c r="AN30" i="20" s="1"/>
  <c r="AX30" i="19"/>
  <c r="BI30" i="17"/>
  <c r="AS30" i="20"/>
  <c r="BD30" i="19"/>
  <c r="AY30" i="20"/>
  <c r="BJ30" i="19"/>
  <c r="BE30" i="20"/>
  <c r="BP30" i="19"/>
  <c r="BK30" i="20"/>
  <c r="BV30" i="19"/>
  <c r="BQ30" i="20"/>
  <c r="BW30" i="20"/>
  <c r="Y12" i="19"/>
  <c r="Z12" i="20"/>
  <c r="AL12" i="20"/>
  <c r="AN12" i="20" s="1"/>
  <c r="AX12" i="20"/>
  <c r="BJ12" i="20"/>
  <c r="BH12" i="17"/>
  <c r="BT12" i="17"/>
  <c r="BN12" i="17"/>
  <c r="S12" i="19"/>
  <c r="AK12" i="19"/>
  <c r="AW12" i="19"/>
  <c r="BI12" i="19"/>
  <c r="BK12" i="19" s="1"/>
  <c r="BU12" i="19"/>
  <c r="AD12" i="17"/>
  <c r="AF12" i="17" s="1"/>
  <c r="BB12" i="17"/>
  <c r="AV12" i="17"/>
  <c r="AX12" i="17" s="1"/>
  <c r="T12" i="20"/>
  <c r="AQ12" i="19"/>
  <c r="AS12" i="19" s="1"/>
  <c r="BC12" i="19"/>
  <c r="BO12" i="19"/>
  <c r="BV12" i="20"/>
  <c r="AJ12" i="17"/>
  <c r="AL12" i="17" s="1"/>
  <c r="AP12" i="17"/>
  <c r="AE12" i="19"/>
  <c r="BP12" i="20"/>
  <c r="BR12" i="20" s="1"/>
  <c r="AF12" i="20"/>
  <c r="AH12" i="20" s="1"/>
  <c r="X12" i="17"/>
  <c r="BD12" i="20"/>
  <c r="AF68" i="19"/>
  <c r="BJ68" i="19"/>
  <c r="BV68" i="19"/>
  <c r="AR68" i="19"/>
  <c r="Z68" i="19"/>
  <c r="AL68" i="19"/>
  <c r="BP68" i="19"/>
  <c r="T68" i="19"/>
  <c r="AX68" i="19"/>
  <c r="BD68" i="19"/>
  <c r="BK68" i="20"/>
  <c r="AG68" i="20"/>
  <c r="AA68" i="20"/>
  <c r="U68" i="20"/>
  <c r="BE68" i="20"/>
  <c r="BQ68" i="20"/>
  <c r="AM68" i="20"/>
  <c r="AS68" i="20"/>
  <c r="AY68" i="20"/>
  <c r="BW68" i="20"/>
  <c r="BI68" i="17"/>
  <c r="BO68" i="17"/>
  <c r="AW68" i="17"/>
  <c r="AX68" i="17" s="1"/>
  <c r="AQ68" i="17"/>
  <c r="BU68" i="17"/>
  <c r="AE68" i="17"/>
  <c r="AF68" i="17" s="1"/>
  <c r="BC68" i="17"/>
  <c r="AK68" i="17"/>
  <c r="Y68" i="17"/>
  <c r="S68" i="17"/>
  <c r="T68" i="17" s="1"/>
  <c r="BI38" i="17"/>
  <c r="AX38" i="19"/>
  <c r="Z38" i="19"/>
  <c r="AL38" i="19"/>
  <c r="AR38" i="19"/>
  <c r="AF38" i="19"/>
  <c r="T38" i="19"/>
  <c r="U38" i="20"/>
  <c r="AA38" i="20"/>
  <c r="AM38" i="20"/>
  <c r="AG38" i="20"/>
  <c r="BO38" i="17"/>
  <c r="BU38" i="17"/>
  <c r="AE38" i="17"/>
  <c r="Y38" i="17"/>
  <c r="AK38" i="17"/>
  <c r="BC38" i="17"/>
  <c r="S38" i="17"/>
  <c r="AW38" i="17"/>
  <c r="AQ38" i="17"/>
  <c r="AS38" i="20"/>
  <c r="BD38" i="19"/>
  <c r="AY38" i="20"/>
  <c r="BJ38" i="19"/>
  <c r="BE38" i="20"/>
  <c r="BP38" i="19"/>
  <c r="BK38" i="20"/>
  <c r="BV38" i="19"/>
  <c r="BQ38" i="20"/>
  <c r="BW38" i="20"/>
  <c r="BH67" i="17"/>
  <c r="R67" i="17"/>
  <c r="AJ67" i="17"/>
  <c r="BJ67" i="20"/>
  <c r="AF67" i="20"/>
  <c r="Z67" i="20"/>
  <c r="AW67" i="19"/>
  <c r="AE67" i="19"/>
  <c r="AV63" i="17"/>
  <c r="AP63" i="17"/>
  <c r="BB63" i="17"/>
  <c r="BJ63" i="20"/>
  <c r="T63" i="20"/>
  <c r="Z63" i="20"/>
  <c r="S63" i="19"/>
  <c r="AW63" i="19"/>
  <c r="BT59" i="17"/>
  <c r="R59" i="17"/>
  <c r="X59" i="17"/>
  <c r="BJ59" i="20"/>
  <c r="AL59" i="20"/>
  <c r="AR59" i="20"/>
  <c r="AW59" i="19"/>
  <c r="AQ59" i="19"/>
  <c r="X55" i="17"/>
  <c r="BH55" i="17"/>
  <c r="AP55" i="17"/>
  <c r="BJ55" i="20"/>
  <c r="AF55" i="20"/>
  <c r="AR55" i="20"/>
  <c r="S55" i="19"/>
  <c r="BC55" i="19"/>
  <c r="R51" i="17"/>
  <c r="BT51" i="17"/>
  <c r="X51" i="17"/>
  <c r="BJ51" i="20"/>
  <c r="AX51" i="20"/>
  <c r="AR51" i="20"/>
  <c r="AE51" i="19"/>
  <c r="S51" i="19"/>
  <c r="AV47" i="17"/>
  <c r="BH47" i="17"/>
  <c r="AP47" i="17"/>
  <c r="BJ47" i="20"/>
  <c r="AX47" i="20"/>
  <c r="AR47" i="20"/>
  <c r="AE47" i="19"/>
  <c r="AK47" i="19"/>
  <c r="AD43" i="17"/>
  <c r="BT43" i="17"/>
  <c r="R43" i="17"/>
  <c r="BJ43" i="20"/>
  <c r="AX43" i="20"/>
  <c r="Z43" i="20"/>
  <c r="Y43" i="19"/>
  <c r="AE43" i="19"/>
  <c r="AP39" i="17"/>
  <c r="BN39" i="17"/>
  <c r="BB39" i="17"/>
  <c r="BJ39" i="20"/>
  <c r="AX39" i="20"/>
  <c r="T39" i="20"/>
  <c r="S39" i="19"/>
  <c r="AW39" i="19"/>
  <c r="AD35" i="17"/>
  <c r="AJ35" i="17"/>
  <c r="R35" i="17"/>
  <c r="BJ35" i="20"/>
  <c r="AX35" i="20"/>
  <c r="T35" i="20"/>
  <c r="AK35" i="19"/>
  <c r="Y35" i="19"/>
  <c r="BN31" i="17"/>
  <c r="AP31" i="17"/>
  <c r="X31" i="17"/>
  <c r="BJ31" i="20"/>
  <c r="AX31" i="20"/>
  <c r="AL31" i="20"/>
  <c r="AQ31" i="19"/>
  <c r="AE31" i="19"/>
  <c r="BH27" i="17"/>
  <c r="BB27" i="17"/>
  <c r="BN27" i="17"/>
  <c r="BJ27" i="20"/>
  <c r="AX27" i="20"/>
  <c r="AL27" i="20"/>
  <c r="Z27" i="20"/>
  <c r="S27" i="19"/>
  <c r="BN23" i="17"/>
  <c r="AP23" i="17"/>
  <c r="AR23" i="17" s="1"/>
  <c r="AV23" i="17"/>
  <c r="BJ23" i="20"/>
  <c r="BL23" i="20" s="1"/>
  <c r="AX23" i="20"/>
  <c r="AL23" i="20"/>
  <c r="Z23" i="20"/>
  <c r="Y23" i="19"/>
  <c r="X19" i="17"/>
  <c r="AJ19" i="17"/>
  <c r="BH19" i="17"/>
  <c r="BJ19" i="20"/>
  <c r="AX19" i="20"/>
  <c r="AL19" i="20"/>
  <c r="Z19" i="20"/>
  <c r="Y19" i="19"/>
  <c r="AJ15" i="17"/>
  <c r="AV15" i="17"/>
  <c r="X15" i="17"/>
  <c r="BJ15" i="20"/>
  <c r="AX15" i="20"/>
  <c r="AL15" i="20"/>
  <c r="Z15" i="20"/>
  <c r="Y15" i="19"/>
  <c r="AD11" i="17"/>
  <c r="AF11" i="17" s="1"/>
  <c r="BB11" i="17"/>
  <c r="BD11" i="17" s="1"/>
  <c r="BH11" i="17"/>
  <c r="BJ11" i="20"/>
  <c r="AX11" i="20"/>
  <c r="AL11" i="20"/>
  <c r="AN11" i="20" s="1"/>
  <c r="Z11" i="20"/>
  <c r="AE11" i="19"/>
  <c r="AV7" i="17"/>
  <c r="BN7" i="17"/>
  <c r="X7" i="17"/>
  <c r="BJ7" i="20"/>
  <c r="AX7" i="20"/>
  <c r="AL7" i="20"/>
  <c r="Z7" i="20"/>
  <c r="S7" i="19"/>
  <c r="AD3" i="17"/>
  <c r="BH3" i="17"/>
  <c r="BJ3" i="17" s="1"/>
  <c r="AJ3" i="17"/>
  <c r="BJ3" i="20"/>
  <c r="AX3" i="20"/>
  <c r="AZ3" i="20" s="1"/>
  <c r="AL3" i="20"/>
  <c r="AN3" i="20" s="1"/>
  <c r="Z3" i="20"/>
  <c r="S3" i="19"/>
  <c r="BJ69" i="20"/>
  <c r="BL69" i="20" s="1"/>
  <c r="AR69" i="20"/>
  <c r="AT69" i="20" s="1"/>
  <c r="S69" i="19"/>
  <c r="BC69" i="19"/>
  <c r="AK69" i="19"/>
  <c r="AM69" i="19" s="1"/>
  <c r="BT65" i="17"/>
  <c r="BV65" i="17" s="1"/>
  <c r="BH65" i="17"/>
  <c r="AD65" i="17"/>
  <c r="BJ65" i="20"/>
  <c r="T65" i="20"/>
  <c r="V65" i="20" s="1"/>
  <c r="AR65" i="20"/>
  <c r="AQ65" i="19"/>
  <c r="BI65" i="19"/>
  <c r="AJ57" i="17"/>
  <c r="R57" i="17"/>
  <c r="X57" i="17"/>
  <c r="BJ57" i="20"/>
  <c r="AF57" i="20"/>
  <c r="AR57" i="20"/>
  <c r="S57" i="19"/>
  <c r="Y57" i="19"/>
  <c r="BJ45" i="20"/>
  <c r="BL45" i="20" s="1"/>
  <c r="R33" i="17"/>
  <c r="Z33" i="20"/>
  <c r="BJ21" i="20"/>
  <c r="S21" i="19"/>
  <c r="AP5" i="17"/>
  <c r="BJ66" i="20"/>
  <c r="AD62" i="17"/>
  <c r="BJ58" i="20"/>
  <c r="AK58" i="19"/>
  <c r="X54" i="17"/>
  <c r="AR54" i="20"/>
  <c r="BJ50" i="20"/>
  <c r="AE50" i="19"/>
  <c r="AV46" i="17"/>
  <c r="BJ42" i="20"/>
  <c r="AD38" i="17"/>
  <c r="AL38" i="20"/>
  <c r="BJ34" i="20"/>
  <c r="BH30" i="17"/>
  <c r="BJ26" i="20"/>
  <c r="S26" i="19"/>
  <c r="BB22" i="17"/>
  <c r="AL22" i="20"/>
  <c r="BJ18" i="20"/>
  <c r="AV14" i="17"/>
  <c r="BJ10" i="20"/>
  <c r="AD6" i="17"/>
  <c r="AL6" i="20"/>
  <c r="BJ53" i="20"/>
  <c r="AV37" i="17"/>
  <c r="BJ29" i="20"/>
  <c r="BN13" i="17"/>
  <c r="BJ68" i="20"/>
  <c r="BL68" i="20" s="1"/>
  <c r="AQ68" i="19"/>
  <c r="AS68" i="19" s="1"/>
  <c r="AP64" i="17"/>
  <c r="BJ60" i="20"/>
  <c r="AD56" i="17"/>
  <c r="BJ52" i="20"/>
  <c r="AK52" i="19"/>
  <c r="AP48" i="17"/>
  <c r="BP40" i="20"/>
  <c r="BN20" i="17"/>
  <c r="BP8" i="20"/>
  <c r="T49" i="20"/>
  <c r="BT25" i="17"/>
  <c r="AE17" i="19"/>
  <c r="AE10" i="19"/>
  <c r="AF10" i="20"/>
  <c r="AR10" i="20"/>
  <c r="BD10" i="20"/>
  <c r="BP10" i="20"/>
  <c r="BT10" i="17"/>
  <c r="BB10" i="17"/>
  <c r="T10" i="20"/>
  <c r="AQ10" i="19"/>
  <c r="BC10" i="19"/>
  <c r="BO10" i="19"/>
  <c r="BV10" i="20"/>
  <c r="R10" i="17"/>
  <c r="BN10" i="17"/>
  <c r="S10" i="19"/>
  <c r="AK10" i="19"/>
  <c r="AW10" i="19"/>
  <c r="BI10" i="19"/>
  <c r="BU10" i="19"/>
  <c r="X10" i="17"/>
  <c r="BH10" i="17"/>
  <c r="AV10" i="17"/>
  <c r="U6" i="20"/>
  <c r="Z6" i="19"/>
  <c r="T6" i="19"/>
  <c r="AF6" i="19"/>
  <c r="AA6" i="20"/>
  <c r="AL6" i="19"/>
  <c r="AG6" i="20"/>
  <c r="AR6" i="19"/>
  <c r="AM6" i="20"/>
  <c r="AX6" i="19"/>
  <c r="AS6" i="20"/>
  <c r="BD6" i="19"/>
  <c r="AY6" i="20"/>
  <c r="BJ6" i="19"/>
  <c r="BE6" i="20"/>
  <c r="BP6" i="19"/>
  <c r="BK6" i="20"/>
  <c r="BV6" i="19"/>
  <c r="BQ6" i="20"/>
  <c r="BW6" i="20"/>
  <c r="S6" i="17"/>
  <c r="Y6" i="17"/>
  <c r="AW6" i="17"/>
  <c r="BI6" i="17"/>
  <c r="BC6" i="17"/>
  <c r="AQ6" i="17"/>
  <c r="AE6" i="17"/>
  <c r="BU6" i="17"/>
  <c r="BO6" i="17"/>
  <c r="AK6" i="17"/>
  <c r="BI55" i="17"/>
  <c r="T55" i="19"/>
  <c r="Z55" i="19"/>
  <c r="BP55" i="19"/>
  <c r="BV55" i="19"/>
  <c r="BJ55" i="19"/>
  <c r="BD55" i="19"/>
  <c r="AR55" i="19"/>
  <c r="AF55" i="19"/>
  <c r="AL55" i="19"/>
  <c r="AX55" i="19"/>
  <c r="AY55" i="19" s="1"/>
  <c r="AM55" i="20"/>
  <c r="U55" i="20"/>
  <c r="AA55" i="20"/>
  <c r="AY55" i="20"/>
  <c r="AS55" i="20"/>
  <c r="AG55" i="20"/>
  <c r="Y55" i="17"/>
  <c r="BC55" i="17"/>
  <c r="BU55" i="17"/>
  <c r="S55" i="17"/>
  <c r="AQ55" i="17"/>
  <c r="AW55" i="17"/>
  <c r="AE55" i="17"/>
  <c r="AK55" i="17"/>
  <c r="BO55" i="17"/>
  <c r="BE55" i="20"/>
  <c r="BK55" i="20"/>
  <c r="BQ55" i="20"/>
  <c r="BW55" i="20"/>
  <c r="Z27" i="19"/>
  <c r="T27" i="19"/>
  <c r="AF27" i="19"/>
  <c r="AL27" i="19"/>
  <c r="AG27" i="20"/>
  <c r="U27" i="20"/>
  <c r="AA27" i="20"/>
  <c r="AR27" i="19"/>
  <c r="AM27" i="20"/>
  <c r="AX27" i="19"/>
  <c r="AS27" i="20"/>
  <c r="BD27" i="19"/>
  <c r="AY27" i="20"/>
  <c r="BJ27" i="19"/>
  <c r="BE27" i="20"/>
  <c r="BP27" i="19"/>
  <c r="BK27" i="20"/>
  <c r="BV27" i="19"/>
  <c r="BQ27" i="20"/>
  <c r="BW27" i="20"/>
  <c r="BI27" i="17"/>
  <c r="BC27" i="17"/>
  <c r="AE27" i="17"/>
  <c r="BU27" i="17"/>
  <c r="S27" i="17"/>
  <c r="AQ27" i="17"/>
  <c r="Y27" i="17"/>
  <c r="BO27" i="17"/>
  <c r="AW27" i="17"/>
  <c r="AK27" i="17"/>
  <c r="U5" i="20"/>
  <c r="Z5" i="19"/>
  <c r="T5" i="19"/>
  <c r="AF5" i="19"/>
  <c r="AA5" i="20"/>
  <c r="AL5" i="19"/>
  <c r="AG5" i="20"/>
  <c r="AR5" i="19"/>
  <c r="AM5" i="20"/>
  <c r="AN5" i="20" s="1"/>
  <c r="AX5" i="19"/>
  <c r="AS5" i="20"/>
  <c r="BD5" i="19"/>
  <c r="AY5" i="20"/>
  <c r="BJ5" i="19"/>
  <c r="BE5" i="20"/>
  <c r="BP5" i="19"/>
  <c r="BK5" i="20"/>
  <c r="BV5" i="19"/>
  <c r="BQ5" i="20"/>
  <c r="BW5" i="20"/>
  <c r="AE5" i="17"/>
  <c r="AQ5" i="17"/>
  <c r="BI5" i="17"/>
  <c r="S5" i="17"/>
  <c r="AK5" i="17"/>
  <c r="BU5" i="17"/>
  <c r="Y5" i="17"/>
  <c r="BO5" i="17"/>
  <c r="BC5" i="17"/>
  <c r="AW5" i="17"/>
  <c r="AQ64" i="19"/>
  <c r="AS64" i="19" s="1"/>
  <c r="AW64" i="19"/>
  <c r="BD64" i="20"/>
  <c r="AL64" i="20"/>
  <c r="BP64" i="20"/>
  <c r="BR64" i="20" s="1"/>
  <c r="BH64" i="17"/>
  <c r="R64" i="17"/>
  <c r="AD64" i="17"/>
  <c r="S64" i="19"/>
  <c r="U64" i="19" s="1"/>
  <c r="AK64" i="19"/>
  <c r="AX64" i="20"/>
  <c r="BO64" i="19"/>
  <c r="BV64" i="20"/>
  <c r="AV64" i="17"/>
  <c r="AJ64" i="17"/>
  <c r="AE64" i="19"/>
  <c r="BI64" i="19"/>
  <c r="AR64" i="20"/>
  <c r="Z64" i="20"/>
  <c r="AB64" i="20" s="1"/>
  <c r="BU64" i="19"/>
  <c r="BW64" i="19" s="1"/>
  <c r="BN64" i="17"/>
  <c r="X64" i="17"/>
  <c r="BB64" i="17"/>
  <c r="BD64" i="17" s="1"/>
  <c r="BI62" i="17"/>
  <c r="BD62" i="19"/>
  <c r="Z62" i="19"/>
  <c r="T62" i="19"/>
  <c r="AL62" i="19"/>
  <c r="AR62" i="19"/>
  <c r="AX62" i="19"/>
  <c r="AF62" i="19"/>
  <c r="BJ62" i="19"/>
  <c r="BP62" i="19"/>
  <c r="BV62" i="19"/>
  <c r="BE62" i="20"/>
  <c r="BQ62" i="20"/>
  <c r="AY62" i="20"/>
  <c r="AS62" i="20"/>
  <c r="AM62" i="20"/>
  <c r="U62" i="20"/>
  <c r="AA62" i="20"/>
  <c r="AB62" i="20" s="1"/>
  <c r="AG62" i="20"/>
  <c r="BK62" i="20"/>
  <c r="BW62" i="20"/>
  <c r="BC62" i="17"/>
  <c r="AK62" i="17"/>
  <c r="Y62" i="17"/>
  <c r="AQ62" i="17"/>
  <c r="AE62" i="17"/>
  <c r="AW62" i="17"/>
  <c r="BO62" i="17"/>
  <c r="S62" i="17"/>
  <c r="BU62" i="17"/>
  <c r="S5" i="19"/>
  <c r="AF5" i="20"/>
  <c r="AR5" i="20"/>
  <c r="BD5" i="20"/>
  <c r="BF5" i="20" s="1"/>
  <c r="BP5" i="20"/>
  <c r="X5" i="17"/>
  <c r="BN5" i="17"/>
  <c r="AE5" i="19"/>
  <c r="AQ5" i="19"/>
  <c r="AS5" i="19" s="1"/>
  <c r="BC5" i="19"/>
  <c r="BO5" i="19"/>
  <c r="BV5" i="20"/>
  <c r="BT5" i="17"/>
  <c r="AD5" i="17"/>
  <c r="AF5" i="17" s="1"/>
  <c r="Y5" i="19"/>
  <c r="AK5" i="19"/>
  <c r="AW5" i="19"/>
  <c r="BI5" i="19"/>
  <c r="BU5" i="19"/>
  <c r="BB5" i="17"/>
  <c r="BH5" i="17"/>
  <c r="AJ5" i="17"/>
  <c r="AL5" i="17" s="1"/>
  <c r="Y46" i="19"/>
  <c r="AL46" i="20"/>
  <c r="AR46" i="20"/>
  <c r="BD46" i="20"/>
  <c r="BP46" i="20"/>
  <c r="BR46" i="20" s="1"/>
  <c r="AD46" i="17"/>
  <c r="BB46" i="17"/>
  <c r="AE46" i="19"/>
  <c r="T46" i="20"/>
  <c r="V46" i="20" s="1"/>
  <c r="BC46" i="19"/>
  <c r="BE46" i="19" s="1"/>
  <c r="BO46" i="19"/>
  <c r="BV46" i="20"/>
  <c r="R46" i="17"/>
  <c r="AP46" i="17"/>
  <c r="AW46" i="19"/>
  <c r="AQ46" i="19"/>
  <c r="AF46" i="20"/>
  <c r="BI46" i="19"/>
  <c r="BU46" i="19"/>
  <c r="BT46" i="17"/>
  <c r="X46" i="17"/>
  <c r="BH46" i="17"/>
  <c r="T10" i="19"/>
  <c r="AF10" i="19"/>
  <c r="Z10" i="19"/>
  <c r="AA10" i="19" s="1"/>
  <c r="U10" i="20"/>
  <c r="AA10" i="20"/>
  <c r="AL10" i="19"/>
  <c r="AG10" i="20"/>
  <c r="AR10" i="19"/>
  <c r="AM10" i="20"/>
  <c r="AX10" i="19"/>
  <c r="AS10" i="20"/>
  <c r="BD10" i="19"/>
  <c r="AY10" i="20"/>
  <c r="BJ10" i="19"/>
  <c r="BE10" i="20"/>
  <c r="BP10" i="19"/>
  <c r="BQ10" i="19" s="1"/>
  <c r="BK10" i="20"/>
  <c r="BV10" i="19"/>
  <c r="BQ10" i="20"/>
  <c r="BW10" i="20"/>
  <c r="AK10" i="17"/>
  <c r="BO10" i="17"/>
  <c r="S10" i="17"/>
  <c r="AW10" i="17"/>
  <c r="BC10" i="17"/>
  <c r="AQ10" i="17"/>
  <c r="AE10" i="17"/>
  <c r="BI10" i="17"/>
  <c r="BU10" i="17"/>
  <c r="Y10" i="17"/>
  <c r="AE16" i="19"/>
  <c r="Z16" i="20"/>
  <c r="AL16" i="20"/>
  <c r="AX16" i="20"/>
  <c r="BJ16" i="20"/>
  <c r="BL16" i="20" s="1"/>
  <c r="R16" i="17"/>
  <c r="AV16" i="17"/>
  <c r="BN16" i="17"/>
  <c r="S16" i="19"/>
  <c r="U16" i="19" s="1"/>
  <c r="AK16" i="19"/>
  <c r="AM16" i="19" s="1"/>
  <c r="AW16" i="19"/>
  <c r="BI16" i="19"/>
  <c r="BU16" i="19"/>
  <c r="AP16" i="17"/>
  <c r="X16" i="17"/>
  <c r="Z16" i="17" s="1"/>
  <c r="AD16" i="17"/>
  <c r="T16" i="20"/>
  <c r="V16" i="20" s="1"/>
  <c r="AQ16" i="19"/>
  <c r="BC16" i="19"/>
  <c r="BO16" i="19"/>
  <c r="BV16" i="20"/>
  <c r="BX16" i="20" s="1"/>
  <c r="BH16" i="17"/>
  <c r="BJ16" i="17" s="1"/>
  <c r="BB16" i="17"/>
  <c r="AR16" i="20"/>
  <c r="AJ16" i="17"/>
  <c r="BD16" i="20"/>
  <c r="AF16" i="20"/>
  <c r="AH16" i="20" s="1"/>
  <c r="BT16" i="17"/>
  <c r="T8" i="19"/>
  <c r="Z8" i="19"/>
  <c r="U8" i="20"/>
  <c r="AF8" i="19"/>
  <c r="AA8" i="20"/>
  <c r="AL8" i="19"/>
  <c r="AG8" i="20"/>
  <c r="AR8" i="19"/>
  <c r="AM8" i="20"/>
  <c r="AX8" i="19"/>
  <c r="AS8" i="20"/>
  <c r="BD8" i="19"/>
  <c r="AY8" i="20"/>
  <c r="BJ8" i="19"/>
  <c r="BE8" i="20"/>
  <c r="BP8" i="19"/>
  <c r="BK8" i="20"/>
  <c r="BV8" i="19"/>
  <c r="BQ8" i="20"/>
  <c r="BW8" i="20"/>
  <c r="BO8" i="17"/>
  <c r="Y8" i="17"/>
  <c r="AE8" i="17"/>
  <c r="AQ8" i="17"/>
  <c r="S8" i="17"/>
  <c r="AW8" i="17"/>
  <c r="AK8" i="17"/>
  <c r="BC8" i="17"/>
  <c r="BD8" i="17" s="1"/>
  <c r="BU8" i="17"/>
  <c r="BI8" i="17"/>
  <c r="BI43" i="17"/>
  <c r="T43" i="19"/>
  <c r="AF43" i="19"/>
  <c r="AX43" i="19"/>
  <c r="AL43" i="19"/>
  <c r="AR43" i="19"/>
  <c r="Z43" i="19"/>
  <c r="AA43" i="20"/>
  <c r="U43" i="20"/>
  <c r="AM43" i="20"/>
  <c r="AS43" i="20"/>
  <c r="AG43" i="20"/>
  <c r="AQ43" i="17"/>
  <c r="AE43" i="17"/>
  <c r="AF43" i="17" s="1"/>
  <c r="S43" i="17"/>
  <c r="AK43" i="17"/>
  <c r="BC43" i="17"/>
  <c r="BU43" i="17"/>
  <c r="Y43" i="17"/>
  <c r="AW43" i="17"/>
  <c r="BO43" i="17"/>
  <c r="BD43" i="19"/>
  <c r="AY43" i="20"/>
  <c r="BJ43" i="19"/>
  <c r="BE43" i="20"/>
  <c r="BP43" i="19"/>
  <c r="BK43" i="20"/>
  <c r="BV43" i="19"/>
  <c r="BQ43" i="20"/>
  <c r="BW43" i="20"/>
  <c r="Y13" i="19"/>
  <c r="AF13" i="20"/>
  <c r="AR13" i="20"/>
  <c r="BD13" i="20"/>
  <c r="BP13" i="20"/>
  <c r="BH13" i="17"/>
  <c r="AV13" i="17"/>
  <c r="Z13" i="20"/>
  <c r="AQ13" i="19"/>
  <c r="BC13" i="19"/>
  <c r="BO13" i="19"/>
  <c r="BV13" i="20"/>
  <c r="R13" i="17"/>
  <c r="AJ13" i="17"/>
  <c r="S13" i="19"/>
  <c r="AK13" i="19"/>
  <c r="AW13" i="19"/>
  <c r="BI13" i="19"/>
  <c r="BU13" i="19"/>
  <c r="X13" i="17"/>
  <c r="AD13" i="17"/>
  <c r="BB13" i="17"/>
  <c r="S56" i="19"/>
  <c r="BC56" i="19"/>
  <c r="AF56" i="20"/>
  <c r="BD56" i="20"/>
  <c r="BP56" i="20"/>
  <c r="BT56" i="17"/>
  <c r="BB56" i="17"/>
  <c r="Y56" i="19"/>
  <c r="AX56" i="20"/>
  <c r="AR56" i="20"/>
  <c r="BO56" i="19"/>
  <c r="BV56" i="20"/>
  <c r="BN56" i="17"/>
  <c r="R56" i="17"/>
  <c r="AQ56" i="19"/>
  <c r="AK56" i="19"/>
  <c r="Z56" i="20"/>
  <c r="BI56" i="19"/>
  <c r="BU56" i="19"/>
  <c r="BH56" i="17"/>
  <c r="AV56" i="17"/>
  <c r="X56" i="17"/>
  <c r="BI39" i="17"/>
  <c r="AR39" i="19"/>
  <c r="AF39" i="19"/>
  <c r="AG39" i="19" s="1"/>
  <c r="AL39" i="19"/>
  <c r="Z39" i="19"/>
  <c r="AX39" i="19"/>
  <c r="T39" i="19"/>
  <c r="AA39" i="20"/>
  <c r="U39" i="20"/>
  <c r="AM39" i="20"/>
  <c r="AG39" i="20"/>
  <c r="S39" i="17"/>
  <c r="BO39" i="17"/>
  <c r="AW39" i="17"/>
  <c r="AK39" i="17"/>
  <c r="AQ39" i="17"/>
  <c r="Y39" i="17"/>
  <c r="AE39" i="17"/>
  <c r="BC39" i="17"/>
  <c r="BU39" i="17"/>
  <c r="AS39" i="20"/>
  <c r="BD39" i="19"/>
  <c r="AY39" i="20"/>
  <c r="BJ39" i="19"/>
  <c r="BE39" i="20"/>
  <c r="BP39" i="19"/>
  <c r="BK39" i="20"/>
  <c r="BV39" i="19"/>
  <c r="BQ39" i="20"/>
  <c r="BW39" i="20"/>
  <c r="AE24" i="19"/>
  <c r="AG24" i="19" s="1"/>
  <c r="AF24" i="20"/>
  <c r="AL24" i="20"/>
  <c r="AN24" i="20" s="1"/>
  <c r="AX24" i="20"/>
  <c r="BJ24" i="20"/>
  <c r="BN24" i="17"/>
  <c r="BP24" i="17" s="1"/>
  <c r="AJ24" i="17"/>
  <c r="BB24" i="17"/>
  <c r="Y24" i="19"/>
  <c r="Z24" i="20"/>
  <c r="AW24" i="19"/>
  <c r="AY24" i="19" s="1"/>
  <c r="BI24" i="19"/>
  <c r="BU24" i="19"/>
  <c r="BT24" i="17"/>
  <c r="AD24" i="17"/>
  <c r="AF24" i="17" s="1"/>
  <c r="BH24" i="17"/>
  <c r="S24" i="19"/>
  <c r="AQ24" i="19"/>
  <c r="BC24" i="19"/>
  <c r="BO24" i="19"/>
  <c r="BV24" i="20"/>
  <c r="BX24" i="20" s="1"/>
  <c r="R24" i="17"/>
  <c r="AP24" i="17"/>
  <c r="AR24" i="17" s="1"/>
  <c r="AR24" i="20"/>
  <c r="AT24" i="20" s="1"/>
  <c r="AV24" i="17"/>
  <c r="BD24" i="20"/>
  <c r="T24" i="20"/>
  <c r="V24" i="20" s="1"/>
  <c r="X24" i="17"/>
  <c r="Z24" i="17" s="1"/>
  <c r="Z20" i="19"/>
  <c r="T20" i="19"/>
  <c r="AL20" i="19"/>
  <c r="AF20" i="19"/>
  <c r="U20" i="20"/>
  <c r="AA20" i="20"/>
  <c r="AG20" i="20"/>
  <c r="AR20" i="19"/>
  <c r="AM20" i="20"/>
  <c r="AX20" i="19"/>
  <c r="AS20" i="20"/>
  <c r="BD20" i="19"/>
  <c r="AY20" i="20"/>
  <c r="BJ20" i="19"/>
  <c r="BE20" i="20"/>
  <c r="BP20" i="19"/>
  <c r="BK20" i="20"/>
  <c r="BV20" i="19"/>
  <c r="BQ20" i="20"/>
  <c r="BW20" i="20"/>
  <c r="AQ20" i="17"/>
  <c r="BC20" i="17"/>
  <c r="BU20" i="17"/>
  <c r="AK20" i="17"/>
  <c r="BI20" i="17"/>
  <c r="S20" i="17"/>
  <c r="AE20" i="17"/>
  <c r="Y20" i="17"/>
  <c r="AW20" i="17"/>
  <c r="BO20" i="17"/>
  <c r="BI63" i="17"/>
  <c r="AF63" i="19"/>
  <c r="AX63" i="19"/>
  <c r="AR63" i="19"/>
  <c r="AS63" i="19" s="1"/>
  <c r="BV63" i="19"/>
  <c r="T63" i="19"/>
  <c r="BD63" i="19"/>
  <c r="BJ63" i="19"/>
  <c r="Z63" i="19"/>
  <c r="AL63" i="19"/>
  <c r="BP63" i="19"/>
  <c r="BK63" i="20"/>
  <c r="BW63" i="20"/>
  <c r="U63" i="20"/>
  <c r="AA63" i="20"/>
  <c r="AS63" i="20"/>
  <c r="AM63" i="20"/>
  <c r="BE63" i="20"/>
  <c r="AG63" i="20"/>
  <c r="BQ63" i="20"/>
  <c r="AY63" i="20"/>
  <c r="S63" i="17"/>
  <c r="Y63" i="17"/>
  <c r="BU63" i="17"/>
  <c r="BO63" i="17"/>
  <c r="AW63" i="17"/>
  <c r="BC63" i="17"/>
  <c r="AQ63" i="17"/>
  <c r="AK63" i="17"/>
  <c r="AE63" i="17"/>
  <c r="AL31" i="19"/>
  <c r="Z31" i="19"/>
  <c r="AA31" i="19" s="1"/>
  <c r="AR31" i="19"/>
  <c r="AF31" i="19"/>
  <c r="T31" i="19"/>
  <c r="AG31" i="20"/>
  <c r="U31" i="20"/>
  <c r="AA31" i="20"/>
  <c r="BO31" i="17"/>
  <c r="AK31" i="17"/>
  <c r="BC31" i="17"/>
  <c r="S31" i="17"/>
  <c r="AW31" i="17"/>
  <c r="Y31" i="17"/>
  <c r="AE31" i="17"/>
  <c r="BU31" i="17"/>
  <c r="AQ31" i="17"/>
  <c r="AM31" i="20"/>
  <c r="BI31" i="17"/>
  <c r="AX31" i="19"/>
  <c r="AS31" i="20"/>
  <c r="BD31" i="19"/>
  <c r="AY31" i="20"/>
  <c r="BJ31" i="19"/>
  <c r="BE31" i="20"/>
  <c r="BP31" i="19"/>
  <c r="BK31" i="20"/>
  <c r="BV31" i="19"/>
  <c r="BQ31" i="20"/>
  <c r="BW31" i="20"/>
  <c r="Z7" i="19"/>
  <c r="T7" i="19"/>
  <c r="U7" i="20"/>
  <c r="V7" i="20" s="1"/>
  <c r="AF7" i="19"/>
  <c r="AA7" i="20"/>
  <c r="AL7" i="19"/>
  <c r="AG7" i="20"/>
  <c r="AR7" i="19"/>
  <c r="AM7" i="20"/>
  <c r="AX7" i="19"/>
  <c r="AS7" i="20"/>
  <c r="BD7" i="19"/>
  <c r="AY7" i="20"/>
  <c r="BJ7" i="19"/>
  <c r="BE7" i="20"/>
  <c r="BP7" i="19"/>
  <c r="BK7" i="20"/>
  <c r="BV7" i="19"/>
  <c r="BQ7" i="20"/>
  <c r="BW7" i="20"/>
  <c r="BI7" i="17"/>
  <c r="AW7" i="17"/>
  <c r="Y7" i="17"/>
  <c r="S7" i="17"/>
  <c r="AQ7" i="17"/>
  <c r="BO7" i="17"/>
  <c r="AE7" i="17"/>
  <c r="BC7" i="17"/>
  <c r="AK7" i="17"/>
  <c r="BU7" i="17"/>
  <c r="BC48" i="19"/>
  <c r="S48" i="19"/>
  <c r="AL48" i="20"/>
  <c r="T48" i="20"/>
  <c r="BO48" i="19"/>
  <c r="BV48" i="20"/>
  <c r="BH48" i="17"/>
  <c r="BT48" i="17"/>
  <c r="Y48" i="19"/>
  <c r="AR48" i="20"/>
  <c r="BD48" i="20"/>
  <c r="X48" i="17"/>
  <c r="BN48" i="17"/>
  <c r="AW48" i="19"/>
  <c r="Z48" i="20"/>
  <c r="BJ48" i="20"/>
  <c r="AV48" i="17"/>
  <c r="R48" i="17"/>
  <c r="AQ48" i="19"/>
  <c r="AF48" i="20"/>
  <c r="BI48" i="19"/>
  <c r="BP48" i="20"/>
  <c r="BB48" i="17"/>
  <c r="AD48" i="17"/>
  <c r="BI54" i="17"/>
  <c r="AL54" i="19"/>
  <c r="Z54" i="19"/>
  <c r="T54" i="19"/>
  <c r="AX54" i="19"/>
  <c r="BJ54" i="19"/>
  <c r="AF54" i="19"/>
  <c r="AG54" i="19" s="1"/>
  <c r="AR54" i="19"/>
  <c r="BV54" i="19"/>
  <c r="BD54" i="19"/>
  <c r="BP54" i="19"/>
  <c r="AY54" i="20"/>
  <c r="AA54" i="20"/>
  <c r="AS54" i="20"/>
  <c r="AG54" i="20"/>
  <c r="U54" i="20"/>
  <c r="AM54" i="20"/>
  <c r="S54" i="17"/>
  <c r="BC54" i="17"/>
  <c r="AK54" i="17"/>
  <c r="AE54" i="17"/>
  <c r="Y54" i="17"/>
  <c r="AQ54" i="17"/>
  <c r="AW54" i="17"/>
  <c r="BU54" i="17"/>
  <c r="BO54" i="17"/>
  <c r="BE54" i="20"/>
  <c r="BK54" i="20"/>
  <c r="BQ54" i="20"/>
  <c r="BW54" i="20"/>
  <c r="BI40" i="17"/>
  <c r="AX40" i="19"/>
  <c r="AR40" i="19"/>
  <c r="AF40" i="19"/>
  <c r="T40" i="19"/>
  <c r="U40" i="19" s="1"/>
  <c r="AL40" i="19"/>
  <c r="Z40" i="19"/>
  <c r="AG40" i="20"/>
  <c r="U40" i="20"/>
  <c r="AM40" i="20"/>
  <c r="AA40" i="20"/>
  <c r="S40" i="17"/>
  <c r="AK40" i="17"/>
  <c r="AE40" i="17"/>
  <c r="BU40" i="17"/>
  <c r="AQ40" i="17"/>
  <c r="BO40" i="17"/>
  <c r="BC40" i="17"/>
  <c r="Y40" i="17"/>
  <c r="AW40" i="17"/>
  <c r="AS40" i="20"/>
  <c r="BD40" i="19"/>
  <c r="AY40" i="20"/>
  <c r="BJ40" i="19"/>
  <c r="BE40" i="20"/>
  <c r="BP40" i="19"/>
  <c r="BK40" i="20"/>
  <c r="BV40" i="19"/>
  <c r="BQ40" i="20"/>
  <c r="BW40" i="20"/>
  <c r="BI56" i="17"/>
  <c r="BD56" i="19"/>
  <c r="BP56" i="19"/>
  <c r="Z56" i="19"/>
  <c r="AX56" i="19"/>
  <c r="BV56" i="19"/>
  <c r="AF56" i="19"/>
  <c r="T56" i="19"/>
  <c r="BJ56" i="19"/>
  <c r="AR56" i="19"/>
  <c r="AL56" i="19"/>
  <c r="AG56" i="20"/>
  <c r="AS56" i="20"/>
  <c r="AM56" i="20"/>
  <c r="AA56" i="20"/>
  <c r="AY56" i="20"/>
  <c r="U56" i="20"/>
  <c r="V56" i="20" s="1"/>
  <c r="Y56" i="17"/>
  <c r="Z56" i="17" s="1"/>
  <c r="BC56" i="17"/>
  <c r="BU56" i="17"/>
  <c r="AE56" i="17"/>
  <c r="AK56" i="17"/>
  <c r="AW56" i="17"/>
  <c r="AQ56" i="17"/>
  <c r="BO56" i="17"/>
  <c r="S56" i="17"/>
  <c r="T56" i="17" s="1"/>
  <c r="BE56" i="20"/>
  <c r="BK56" i="20"/>
  <c r="BQ56" i="20"/>
  <c r="BW56" i="20"/>
  <c r="BI61" i="19"/>
  <c r="AQ61" i="19"/>
  <c r="Z61" i="20"/>
  <c r="AL61" i="20"/>
  <c r="BJ61" i="20"/>
  <c r="BH61" i="17"/>
  <c r="BB61" i="17"/>
  <c r="Y61" i="19"/>
  <c r="BC61" i="19"/>
  <c r="AF61" i="20"/>
  <c r="AX61" i="20"/>
  <c r="BU61" i="19"/>
  <c r="X61" i="17"/>
  <c r="BT61" i="17"/>
  <c r="AJ61" i="17"/>
  <c r="AE61" i="19"/>
  <c r="AK61" i="19"/>
  <c r="T61" i="20"/>
  <c r="BO61" i="19"/>
  <c r="BV61" i="20"/>
  <c r="AP61" i="17"/>
  <c r="AD61" i="17"/>
  <c r="AR61" i="20"/>
  <c r="R61" i="17"/>
  <c r="BD61" i="20"/>
  <c r="BN61" i="17"/>
  <c r="AW61" i="19"/>
  <c r="AV61" i="17"/>
  <c r="Y53" i="19"/>
  <c r="S53" i="19"/>
  <c r="T53" i="20"/>
  <c r="BD53" i="20"/>
  <c r="BP53" i="20"/>
  <c r="AP53" i="17"/>
  <c r="BT53" i="17"/>
  <c r="AQ53" i="19"/>
  <c r="AL53" i="20"/>
  <c r="AX53" i="20"/>
  <c r="BO53" i="19"/>
  <c r="BV53" i="20"/>
  <c r="AJ53" i="17"/>
  <c r="BB53" i="17"/>
  <c r="AW53" i="19"/>
  <c r="AE53" i="19"/>
  <c r="AF53" i="20"/>
  <c r="BI53" i="19"/>
  <c r="BU53" i="19"/>
  <c r="BH53" i="17"/>
  <c r="BN53" i="17"/>
  <c r="AD53" i="17"/>
  <c r="AK45" i="19"/>
  <c r="Z45" i="20"/>
  <c r="AR45" i="20"/>
  <c r="BD45" i="20"/>
  <c r="BF45" i="20" s="1"/>
  <c r="BP45" i="20"/>
  <c r="BN45" i="17"/>
  <c r="X45" i="17"/>
  <c r="AW45" i="19"/>
  <c r="AL45" i="20"/>
  <c r="BC45" i="19"/>
  <c r="BO45" i="19"/>
  <c r="BV45" i="20"/>
  <c r="AJ45" i="17"/>
  <c r="BB45" i="17"/>
  <c r="AE45" i="19"/>
  <c r="AG45" i="19" s="1"/>
  <c r="S45" i="19"/>
  <c r="AF45" i="20"/>
  <c r="BI45" i="19"/>
  <c r="BU45" i="19"/>
  <c r="BT45" i="17"/>
  <c r="BV45" i="17" s="1"/>
  <c r="BH45" i="17"/>
  <c r="AV45" i="17"/>
  <c r="S37" i="19"/>
  <c r="AF37" i="20"/>
  <c r="AR37" i="20"/>
  <c r="BD37" i="20"/>
  <c r="BP37" i="20"/>
  <c r="BR37" i="20" s="1"/>
  <c r="AJ37" i="17"/>
  <c r="BN37" i="17"/>
  <c r="Y37" i="19"/>
  <c r="Z37" i="20"/>
  <c r="BC37" i="19"/>
  <c r="BE37" i="19" s="1"/>
  <c r="BO37" i="19"/>
  <c r="BV37" i="20"/>
  <c r="X37" i="17"/>
  <c r="BT37" i="17"/>
  <c r="BV37" i="17" s="1"/>
  <c r="AE37" i="19"/>
  <c r="T37" i="20"/>
  <c r="AW37" i="19"/>
  <c r="BI37" i="19"/>
  <c r="BU37" i="19"/>
  <c r="R37" i="17"/>
  <c r="AD37" i="17"/>
  <c r="BB37" i="17"/>
  <c r="S29" i="19"/>
  <c r="Z29" i="20"/>
  <c r="AR29" i="20"/>
  <c r="BD29" i="20"/>
  <c r="BP29" i="20"/>
  <c r="R29" i="17"/>
  <c r="BT29" i="17"/>
  <c r="AE29" i="19"/>
  <c r="AF29" i="20"/>
  <c r="BC29" i="19"/>
  <c r="BO29" i="19"/>
  <c r="BV29" i="20"/>
  <c r="AP29" i="17"/>
  <c r="AD29" i="17"/>
  <c r="Y29" i="19"/>
  <c r="T29" i="20"/>
  <c r="AW29" i="19"/>
  <c r="BI29" i="19"/>
  <c r="BU29" i="19"/>
  <c r="X29" i="17"/>
  <c r="BB29" i="17"/>
  <c r="AJ29" i="17"/>
  <c r="S30" i="19"/>
  <c r="T30" i="20"/>
  <c r="AR30" i="20"/>
  <c r="BD30" i="20"/>
  <c r="BP30" i="20"/>
  <c r="R30" i="17"/>
  <c r="BT30" i="17"/>
  <c r="AK30" i="19"/>
  <c r="AM30" i="19" s="1"/>
  <c r="AF30" i="20"/>
  <c r="AH30" i="20" s="1"/>
  <c r="BC30" i="19"/>
  <c r="BO30" i="19"/>
  <c r="BV30" i="20"/>
  <c r="AV30" i="17"/>
  <c r="AX30" i="17" s="1"/>
  <c r="BB30" i="17"/>
  <c r="AE30" i="19"/>
  <c r="AG30" i="19" s="1"/>
  <c r="Z30" i="20"/>
  <c r="AW30" i="19"/>
  <c r="AY30" i="19" s="1"/>
  <c r="BI30" i="19"/>
  <c r="BU30" i="19"/>
  <c r="AD30" i="17"/>
  <c r="BN30" i="17"/>
  <c r="X30" i="17"/>
  <c r="AQ60" i="19"/>
  <c r="Y60" i="19"/>
  <c r="AX60" i="20"/>
  <c r="BD60" i="20"/>
  <c r="BP60" i="20"/>
  <c r="R60" i="17"/>
  <c r="X60" i="17"/>
  <c r="BT60" i="17"/>
  <c r="AW60" i="19"/>
  <c r="S60" i="19"/>
  <c r="AL60" i="20"/>
  <c r="BO60" i="19"/>
  <c r="BV60" i="20"/>
  <c r="AJ60" i="17"/>
  <c r="BH60" i="17"/>
  <c r="BI60" i="19"/>
  <c r="AE60" i="19"/>
  <c r="AR60" i="20"/>
  <c r="Z60" i="20"/>
  <c r="BU60" i="19"/>
  <c r="BN60" i="17"/>
  <c r="AP60" i="17"/>
  <c r="BB60" i="17"/>
  <c r="AE44" i="19"/>
  <c r="AW44" i="19"/>
  <c r="AR44" i="20"/>
  <c r="AT44" i="20" s="1"/>
  <c r="AX44" i="20"/>
  <c r="BJ44" i="20"/>
  <c r="AD44" i="17"/>
  <c r="AP44" i="17"/>
  <c r="AR44" i="17" s="1"/>
  <c r="R44" i="17"/>
  <c r="AQ44" i="19"/>
  <c r="Y44" i="19"/>
  <c r="AF44" i="20"/>
  <c r="BI44" i="19"/>
  <c r="BK44" i="19" s="1"/>
  <c r="BU44" i="19"/>
  <c r="BH44" i="17"/>
  <c r="AV44" i="17"/>
  <c r="AJ44" i="17"/>
  <c r="S44" i="19"/>
  <c r="T44" i="20"/>
  <c r="V44" i="20" s="1"/>
  <c r="BC44" i="19"/>
  <c r="BO44" i="19"/>
  <c r="BV44" i="20"/>
  <c r="BX44" i="20" s="1"/>
  <c r="X44" i="17"/>
  <c r="BT44" i="17"/>
  <c r="AK44" i="19"/>
  <c r="BP44" i="20"/>
  <c r="AL44" i="20"/>
  <c r="BB44" i="17"/>
  <c r="BD44" i="20"/>
  <c r="BF44" i="20" s="1"/>
  <c r="AQ28" i="19"/>
  <c r="AK28" i="19"/>
  <c r="AL28" i="20"/>
  <c r="AX28" i="20"/>
  <c r="BJ28" i="20"/>
  <c r="AV28" i="17"/>
  <c r="X28" i="17"/>
  <c r="Z28" i="17" s="1"/>
  <c r="AP28" i="17"/>
  <c r="AR28" i="17" s="1"/>
  <c r="AE28" i="19"/>
  <c r="AF28" i="20"/>
  <c r="AW28" i="19"/>
  <c r="AY28" i="19" s="1"/>
  <c r="BI28" i="19"/>
  <c r="BK28" i="19" s="1"/>
  <c r="BU28" i="19"/>
  <c r="BB28" i="17"/>
  <c r="AJ28" i="17"/>
  <c r="BH28" i="17"/>
  <c r="S28" i="19"/>
  <c r="U28" i="19" s="1"/>
  <c r="Z28" i="20"/>
  <c r="BC28" i="19"/>
  <c r="BO28" i="19"/>
  <c r="BV28" i="20"/>
  <c r="BX28" i="20" s="1"/>
  <c r="AD28" i="17"/>
  <c r="R28" i="17"/>
  <c r="Y28" i="19"/>
  <c r="AA28" i="19" s="1"/>
  <c r="BP28" i="20"/>
  <c r="T28" i="20"/>
  <c r="BT28" i="17"/>
  <c r="BV28" i="17" s="1"/>
  <c r="BD28" i="20"/>
  <c r="BF28" i="20" s="1"/>
  <c r="S18" i="19"/>
  <c r="AF18" i="20"/>
  <c r="AR18" i="20"/>
  <c r="AT18" i="20" s="1"/>
  <c r="BD18" i="20"/>
  <c r="BF18" i="20" s="1"/>
  <c r="BP18" i="20"/>
  <c r="AD18" i="17"/>
  <c r="AF18" i="17" s="1"/>
  <c r="BN18" i="17"/>
  <c r="Z18" i="20"/>
  <c r="AQ18" i="19"/>
  <c r="BC18" i="19"/>
  <c r="BO18" i="19"/>
  <c r="BV18" i="20"/>
  <c r="BX18" i="20" s="1"/>
  <c r="X18" i="17"/>
  <c r="AJ18" i="17"/>
  <c r="AE18" i="19"/>
  <c r="AK18" i="19"/>
  <c r="AM18" i="19" s="1"/>
  <c r="AW18" i="19"/>
  <c r="BI18" i="19"/>
  <c r="BK18" i="19" s="1"/>
  <c r="BU18" i="19"/>
  <c r="AP18" i="17"/>
  <c r="AR18" i="17" s="1"/>
  <c r="R18" i="17"/>
  <c r="BB18" i="17"/>
  <c r="Y62" i="19"/>
  <c r="AQ62" i="19"/>
  <c r="AR62" i="20"/>
  <c r="BD62" i="20"/>
  <c r="BP62" i="20"/>
  <c r="BT62" i="17"/>
  <c r="AJ62" i="17"/>
  <c r="BB62" i="17"/>
  <c r="S62" i="19"/>
  <c r="U62" i="19" s="1"/>
  <c r="AE62" i="19"/>
  <c r="AG62" i="19" s="1"/>
  <c r="AX62" i="20"/>
  <c r="AZ62" i="20" s="1"/>
  <c r="BO62" i="19"/>
  <c r="BV62" i="20"/>
  <c r="X62" i="17"/>
  <c r="AK62" i="19"/>
  <c r="BC62" i="19"/>
  <c r="T62" i="20"/>
  <c r="AL62" i="20"/>
  <c r="AN62" i="20" s="1"/>
  <c r="BU62" i="19"/>
  <c r="BN62" i="17"/>
  <c r="R62" i="17"/>
  <c r="AV62" i="17"/>
  <c r="BI57" i="17"/>
  <c r="T57" i="19"/>
  <c r="BJ57" i="19"/>
  <c r="AX57" i="19"/>
  <c r="Z57" i="19"/>
  <c r="AL57" i="19"/>
  <c r="AR57" i="19"/>
  <c r="AF57" i="19"/>
  <c r="AG57" i="19" s="1"/>
  <c r="BV57" i="19"/>
  <c r="BD57" i="19"/>
  <c r="BP57" i="19"/>
  <c r="BQ57" i="20"/>
  <c r="U57" i="20"/>
  <c r="BK57" i="20"/>
  <c r="AA57" i="20"/>
  <c r="AG57" i="20"/>
  <c r="BE57" i="20"/>
  <c r="AS57" i="20"/>
  <c r="AM57" i="20"/>
  <c r="AY57" i="20"/>
  <c r="BW57" i="20"/>
  <c r="BU57" i="17"/>
  <c r="S57" i="17"/>
  <c r="Y57" i="17"/>
  <c r="AK57" i="17"/>
  <c r="BC57" i="17"/>
  <c r="AE57" i="17"/>
  <c r="AW57" i="17"/>
  <c r="BO57" i="17"/>
  <c r="AQ57" i="17"/>
  <c r="AW42" i="19"/>
  <c r="AF42" i="20"/>
  <c r="AR42" i="20"/>
  <c r="BD42" i="20"/>
  <c r="BP42" i="20"/>
  <c r="BH42" i="17"/>
  <c r="AP42" i="17"/>
  <c r="AQ42" i="19"/>
  <c r="AL42" i="20"/>
  <c r="BC42" i="19"/>
  <c r="BO42" i="19"/>
  <c r="BV42" i="20"/>
  <c r="BN42" i="17"/>
  <c r="AD42" i="17"/>
  <c r="S42" i="19"/>
  <c r="AK42" i="19"/>
  <c r="Z42" i="20"/>
  <c r="BI42" i="19"/>
  <c r="BU42" i="19"/>
  <c r="R42" i="17"/>
  <c r="BB42" i="17"/>
  <c r="AJ42" i="17"/>
  <c r="T25" i="19"/>
  <c r="Z25" i="19"/>
  <c r="AL25" i="19"/>
  <c r="AF25" i="19"/>
  <c r="U25" i="20"/>
  <c r="AG25" i="20"/>
  <c r="AA25" i="20"/>
  <c r="AR25" i="19"/>
  <c r="AM25" i="20"/>
  <c r="AX25" i="19"/>
  <c r="AS25" i="20"/>
  <c r="BD25" i="19"/>
  <c r="AY25" i="20"/>
  <c r="BJ25" i="19"/>
  <c r="BE25" i="20"/>
  <c r="BP25" i="19"/>
  <c r="BK25" i="20"/>
  <c r="BL25" i="20" s="1"/>
  <c r="BV25" i="19"/>
  <c r="BQ25" i="20"/>
  <c r="BW25" i="20"/>
  <c r="AQ25" i="17"/>
  <c r="Y25" i="17"/>
  <c r="BI25" i="17"/>
  <c r="AE25" i="17"/>
  <c r="BC25" i="17"/>
  <c r="BU25" i="17"/>
  <c r="AK25" i="17"/>
  <c r="S25" i="17"/>
  <c r="AW25" i="17"/>
  <c r="BO25" i="17"/>
  <c r="BI61" i="17"/>
  <c r="AR61" i="19"/>
  <c r="BV61" i="19"/>
  <c r="Z61" i="19"/>
  <c r="AF61" i="19"/>
  <c r="BP61" i="19"/>
  <c r="BJ61" i="19"/>
  <c r="AX61" i="19"/>
  <c r="AL61" i="19"/>
  <c r="BD61" i="19"/>
  <c r="T61" i="19"/>
  <c r="AM61" i="20"/>
  <c r="AA61" i="20"/>
  <c r="BK61" i="20"/>
  <c r="BW61" i="20"/>
  <c r="BQ61" i="20"/>
  <c r="U61" i="20"/>
  <c r="AG61" i="20"/>
  <c r="AS61" i="20"/>
  <c r="BE61" i="20"/>
  <c r="AY61" i="20"/>
  <c r="BU61" i="17"/>
  <c r="AE61" i="17"/>
  <c r="AF61" i="17" s="1"/>
  <c r="AW61" i="17"/>
  <c r="Y61" i="17"/>
  <c r="BC61" i="17"/>
  <c r="S61" i="17"/>
  <c r="AQ61" i="17"/>
  <c r="AK61" i="17"/>
  <c r="BO61" i="17"/>
  <c r="AL29" i="19"/>
  <c r="AM29" i="19" s="1"/>
  <c r="AF29" i="19"/>
  <c r="Z29" i="19"/>
  <c r="AR29" i="19"/>
  <c r="T29" i="19"/>
  <c r="AG29" i="20"/>
  <c r="U29" i="20"/>
  <c r="AA29" i="20"/>
  <c r="AM29" i="20"/>
  <c r="AX29" i="19"/>
  <c r="AS29" i="20"/>
  <c r="BD29" i="19"/>
  <c r="AY29" i="20"/>
  <c r="BJ29" i="19"/>
  <c r="BE29" i="20"/>
  <c r="BP29" i="19"/>
  <c r="BK29" i="20"/>
  <c r="BV29" i="19"/>
  <c r="BQ29" i="20"/>
  <c r="BW29" i="20"/>
  <c r="AW29" i="17"/>
  <c r="BO29" i="17"/>
  <c r="S29" i="17"/>
  <c r="AQ29" i="17"/>
  <c r="Y29" i="17"/>
  <c r="BC29" i="17"/>
  <c r="BU29" i="17"/>
  <c r="AE29" i="17"/>
  <c r="AK29" i="17"/>
  <c r="BI29" i="17"/>
  <c r="Z22" i="19"/>
  <c r="AF22" i="19"/>
  <c r="AL22" i="19"/>
  <c r="T22" i="19"/>
  <c r="AA22" i="20"/>
  <c r="U22" i="20"/>
  <c r="AG22" i="20"/>
  <c r="AR22" i="19"/>
  <c r="AM22" i="20"/>
  <c r="AX22" i="19"/>
  <c r="AS22" i="20"/>
  <c r="BD22" i="19"/>
  <c r="AY22" i="20"/>
  <c r="BJ22" i="19"/>
  <c r="BE22" i="20"/>
  <c r="BP22" i="19"/>
  <c r="BK22" i="20"/>
  <c r="BV22" i="19"/>
  <c r="BQ22" i="20"/>
  <c r="BW22" i="20"/>
  <c r="S22" i="17"/>
  <c r="BI22" i="17"/>
  <c r="AK22" i="17"/>
  <c r="BO22" i="17"/>
  <c r="AE22" i="17"/>
  <c r="BU22" i="17"/>
  <c r="Y22" i="17"/>
  <c r="AW22" i="17"/>
  <c r="AQ22" i="17"/>
  <c r="BC22" i="17"/>
  <c r="Z13" i="19"/>
  <c r="T13" i="19"/>
  <c r="AF13" i="19"/>
  <c r="U13" i="20"/>
  <c r="AA13" i="20"/>
  <c r="AL13" i="19"/>
  <c r="AG13" i="20"/>
  <c r="AR13" i="19"/>
  <c r="AM13" i="20"/>
  <c r="AN13" i="20" s="1"/>
  <c r="AX13" i="19"/>
  <c r="AS13" i="20"/>
  <c r="BD13" i="19"/>
  <c r="AY13" i="20"/>
  <c r="BJ13" i="19"/>
  <c r="BE13" i="20"/>
  <c r="BP13" i="19"/>
  <c r="BK13" i="20"/>
  <c r="BV13" i="19"/>
  <c r="BQ13" i="20"/>
  <c r="BW13" i="20"/>
  <c r="AE13" i="17"/>
  <c r="BI13" i="17"/>
  <c r="Y13" i="17"/>
  <c r="S13" i="17"/>
  <c r="AK13" i="17"/>
  <c r="BO13" i="17"/>
  <c r="AQ13" i="17"/>
  <c r="AW13" i="17"/>
  <c r="BC13" i="17"/>
  <c r="BU13" i="17"/>
  <c r="BI49" i="17"/>
  <c r="AL49" i="19"/>
  <c r="BD49" i="19"/>
  <c r="Z49" i="19"/>
  <c r="AR49" i="19"/>
  <c r="T49" i="19"/>
  <c r="AX49" i="19"/>
  <c r="AF49" i="19"/>
  <c r="U49" i="20"/>
  <c r="AG49" i="20"/>
  <c r="AS49" i="20"/>
  <c r="AA49" i="20"/>
  <c r="AM49" i="20"/>
  <c r="BO49" i="17"/>
  <c r="AK49" i="17"/>
  <c r="S49" i="17"/>
  <c r="T49" i="17" s="1"/>
  <c r="AW49" i="17"/>
  <c r="BC49" i="17"/>
  <c r="AQ49" i="17"/>
  <c r="AR49" i="17" s="1"/>
  <c r="AE49" i="17"/>
  <c r="BU49" i="17"/>
  <c r="Y49" i="17"/>
  <c r="Z49" i="17" s="1"/>
  <c r="AY49" i="20"/>
  <c r="BJ49" i="19"/>
  <c r="BE49" i="20"/>
  <c r="BP49" i="19"/>
  <c r="BK49" i="20"/>
  <c r="BV49" i="19"/>
  <c r="BQ49" i="20"/>
  <c r="BW49" i="20"/>
  <c r="Z14" i="19"/>
  <c r="AF14" i="19"/>
  <c r="T14" i="19"/>
  <c r="U14" i="20"/>
  <c r="AA14" i="20"/>
  <c r="AL14" i="19"/>
  <c r="AG14" i="20"/>
  <c r="AR14" i="19"/>
  <c r="AM14" i="20"/>
  <c r="AN14" i="20" s="1"/>
  <c r="AX14" i="19"/>
  <c r="AS14" i="20"/>
  <c r="BD14" i="19"/>
  <c r="AY14" i="20"/>
  <c r="BJ14" i="19"/>
  <c r="BE14" i="20"/>
  <c r="BP14" i="19"/>
  <c r="BK14" i="20"/>
  <c r="BV14" i="19"/>
  <c r="BQ14" i="20"/>
  <c r="BW14" i="20"/>
  <c r="S14" i="17"/>
  <c r="Y14" i="17"/>
  <c r="AW14" i="17"/>
  <c r="BO14" i="17"/>
  <c r="AQ14" i="17"/>
  <c r="AE14" i="17"/>
  <c r="BI14" i="17"/>
  <c r="BC14" i="17"/>
  <c r="BU14" i="17"/>
  <c r="AK14" i="17"/>
  <c r="AE14" i="19"/>
  <c r="AF14" i="20"/>
  <c r="AR14" i="20"/>
  <c r="BD14" i="20"/>
  <c r="BP14" i="20"/>
  <c r="BR14" i="20" s="1"/>
  <c r="AJ14" i="17"/>
  <c r="BH14" i="17"/>
  <c r="Z14" i="20"/>
  <c r="AQ14" i="19"/>
  <c r="BC14" i="19"/>
  <c r="BE14" i="19" s="1"/>
  <c r="BO14" i="19"/>
  <c r="BV14" i="20"/>
  <c r="AD14" i="17"/>
  <c r="BB14" i="17"/>
  <c r="S14" i="19"/>
  <c r="AK14" i="19"/>
  <c r="AM14" i="19" s="1"/>
  <c r="AW14" i="19"/>
  <c r="BI14" i="19"/>
  <c r="BU14" i="19"/>
  <c r="BN14" i="17"/>
  <c r="AP14" i="17"/>
  <c r="BT14" i="17"/>
  <c r="S66" i="19"/>
  <c r="BC66" i="19"/>
  <c r="AR66" i="20"/>
  <c r="T66" i="20"/>
  <c r="BP66" i="20"/>
  <c r="BT66" i="17"/>
  <c r="AV66" i="17"/>
  <c r="BH66" i="17"/>
  <c r="Y66" i="19"/>
  <c r="AK66" i="19"/>
  <c r="AF66" i="20"/>
  <c r="BO66" i="19"/>
  <c r="BV66" i="20"/>
  <c r="AP66" i="17"/>
  <c r="BB66" i="17"/>
  <c r="AE66" i="19"/>
  <c r="BI66" i="19"/>
  <c r="Z66" i="20"/>
  <c r="BD66" i="20"/>
  <c r="BU66" i="19"/>
  <c r="AJ66" i="17"/>
  <c r="R66" i="17"/>
  <c r="AD66" i="17"/>
  <c r="AQ34" i="19"/>
  <c r="T34" i="20"/>
  <c r="AR34" i="20"/>
  <c r="AT34" i="20" s="1"/>
  <c r="BD34" i="20"/>
  <c r="BP34" i="20"/>
  <c r="BH34" i="17"/>
  <c r="BN34" i="17"/>
  <c r="AE34" i="19"/>
  <c r="AF34" i="20"/>
  <c r="AH34" i="20" s="1"/>
  <c r="BC34" i="19"/>
  <c r="BO34" i="19"/>
  <c r="BV34" i="20"/>
  <c r="BX34" i="20" s="1"/>
  <c r="R34" i="17"/>
  <c r="T34" i="17" s="1"/>
  <c r="X34" i="17"/>
  <c r="AK34" i="19"/>
  <c r="Z34" i="20"/>
  <c r="AW34" i="19"/>
  <c r="BI34" i="19"/>
  <c r="BK34" i="19" s="1"/>
  <c r="BU34" i="19"/>
  <c r="AV34" i="17"/>
  <c r="BT34" i="17"/>
  <c r="AP34" i="17"/>
  <c r="AR34" i="17" s="1"/>
  <c r="BI67" i="17"/>
  <c r="AF67" i="19"/>
  <c r="AL67" i="19"/>
  <c r="BP67" i="19"/>
  <c r="BD67" i="19"/>
  <c r="Z67" i="19"/>
  <c r="BV67" i="19"/>
  <c r="AX67" i="19"/>
  <c r="BJ67" i="19"/>
  <c r="T67" i="19"/>
  <c r="U67" i="19" s="1"/>
  <c r="AR67" i="19"/>
  <c r="AA67" i="20"/>
  <c r="AM67" i="20"/>
  <c r="AY67" i="20"/>
  <c r="AS67" i="20"/>
  <c r="BW67" i="20"/>
  <c r="BQ67" i="20"/>
  <c r="BE67" i="20"/>
  <c r="AG67" i="20"/>
  <c r="BK67" i="20"/>
  <c r="U67" i="20"/>
  <c r="S67" i="17"/>
  <c r="AK67" i="17"/>
  <c r="AE67" i="17"/>
  <c r="AW67" i="17"/>
  <c r="BU67" i="17"/>
  <c r="BC67" i="17"/>
  <c r="AQ67" i="17"/>
  <c r="BO67" i="17"/>
  <c r="Y67" i="17"/>
  <c r="BI66" i="17"/>
  <c r="BV66" i="19"/>
  <c r="Z66" i="19"/>
  <c r="AF66" i="19"/>
  <c r="BP66" i="19"/>
  <c r="AR66" i="19"/>
  <c r="AS66" i="19" s="1"/>
  <c r="T66" i="19"/>
  <c r="BJ66" i="19"/>
  <c r="AL66" i="19"/>
  <c r="BD66" i="19"/>
  <c r="AX66" i="19"/>
  <c r="AY66" i="20"/>
  <c r="U66" i="20"/>
  <c r="AS66" i="20"/>
  <c r="BQ66" i="20"/>
  <c r="BW66" i="20"/>
  <c r="AA66" i="20"/>
  <c r="AG66" i="20"/>
  <c r="BE66" i="20"/>
  <c r="AM66" i="20"/>
  <c r="BK66" i="20"/>
  <c r="BC66" i="17"/>
  <c r="AQ66" i="17"/>
  <c r="AR66" i="17" s="1"/>
  <c r="Y66" i="17"/>
  <c r="AW66" i="17"/>
  <c r="BO66" i="17"/>
  <c r="S66" i="17"/>
  <c r="T66" i="17" s="1"/>
  <c r="AE66" i="17"/>
  <c r="AF66" i="17" s="1"/>
  <c r="BU66" i="17"/>
  <c r="AK66" i="17"/>
  <c r="AL66" i="17" s="1"/>
  <c r="BI51" i="17"/>
  <c r="T51" i="19"/>
  <c r="AF51" i="19"/>
  <c r="BV51" i="19"/>
  <c r="BP51" i="19"/>
  <c r="AL51" i="19"/>
  <c r="BJ51" i="19"/>
  <c r="AX51" i="19"/>
  <c r="BD51" i="19"/>
  <c r="AR51" i="19"/>
  <c r="AS51" i="19" s="1"/>
  <c r="Z51" i="19"/>
  <c r="AM51" i="20"/>
  <c r="AS51" i="20"/>
  <c r="AG51" i="20"/>
  <c r="AA51" i="20"/>
  <c r="U51" i="20"/>
  <c r="Y51" i="17"/>
  <c r="BO51" i="17"/>
  <c r="AW51" i="17"/>
  <c r="BU51" i="17"/>
  <c r="S51" i="17"/>
  <c r="AK51" i="17"/>
  <c r="AE51" i="17"/>
  <c r="BC51" i="17"/>
  <c r="AQ51" i="17"/>
  <c r="AY51" i="20"/>
  <c r="AZ51" i="20" s="1"/>
  <c r="BE51" i="20"/>
  <c r="BK51" i="20"/>
  <c r="BQ51" i="20"/>
  <c r="BW51" i="20"/>
  <c r="BI36" i="17"/>
  <c r="T36" i="19"/>
  <c r="AL36" i="19"/>
  <c r="AF36" i="19"/>
  <c r="AR36" i="19"/>
  <c r="Z36" i="19"/>
  <c r="AM36" i="20"/>
  <c r="AA36" i="20"/>
  <c r="U36" i="20"/>
  <c r="AG36" i="20"/>
  <c r="BU36" i="17"/>
  <c r="S36" i="17"/>
  <c r="T36" i="17" s="1"/>
  <c r="AK36" i="17"/>
  <c r="BO36" i="17"/>
  <c r="AW36" i="17"/>
  <c r="AQ36" i="17"/>
  <c r="AE36" i="17"/>
  <c r="Y36" i="17"/>
  <c r="BC36" i="17"/>
  <c r="AX36" i="19"/>
  <c r="AS36" i="20"/>
  <c r="BD36" i="19"/>
  <c r="AY36" i="20"/>
  <c r="BJ36" i="19"/>
  <c r="BE36" i="20"/>
  <c r="BP36" i="19"/>
  <c r="BK36" i="20"/>
  <c r="BV36" i="19"/>
  <c r="BQ36" i="20"/>
  <c r="BW36" i="20"/>
  <c r="Z19" i="19"/>
  <c r="AL19" i="19"/>
  <c r="AM19" i="19" s="1"/>
  <c r="T19" i="19"/>
  <c r="AF19" i="19"/>
  <c r="U19" i="20"/>
  <c r="AA19" i="20"/>
  <c r="AG19" i="20"/>
  <c r="AR19" i="19"/>
  <c r="AM19" i="20"/>
  <c r="AX19" i="19"/>
  <c r="AS19" i="20"/>
  <c r="BD19" i="19"/>
  <c r="AY19" i="20"/>
  <c r="BJ19" i="19"/>
  <c r="BE19" i="20"/>
  <c r="BP19" i="19"/>
  <c r="BK19" i="20"/>
  <c r="BV19" i="19"/>
  <c r="BQ19" i="20"/>
  <c r="BW19" i="20"/>
  <c r="AQ19" i="17"/>
  <c r="AE19" i="17"/>
  <c r="AK19" i="17"/>
  <c r="BI19" i="17"/>
  <c r="S19" i="17"/>
  <c r="Y19" i="17"/>
  <c r="BO19" i="17"/>
  <c r="AW19" i="17"/>
  <c r="BC19" i="17"/>
  <c r="BU19" i="17"/>
  <c r="BI50" i="17"/>
  <c r="Z50" i="19"/>
  <c r="AR50" i="19"/>
  <c r="AL50" i="19"/>
  <c r="T50" i="19"/>
  <c r="BD50" i="19"/>
  <c r="AF50" i="19"/>
  <c r="AX50" i="19"/>
  <c r="AM50" i="20"/>
  <c r="AG50" i="20"/>
  <c r="AA50" i="20"/>
  <c r="AS50" i="20"/>
  <c r="U50" i="20"/>
  <c r="AK50" i="17"/>
  <c r="AE50" i="17"/>
  <c r="BU50" i="17"/>
  <c r="BO50" i="17"/>
  <c r="BC50" i="17"/>
  <c r="AQ50" i="17"/>
  <c r="S50" i="17"/>
  <c r="Y50" i="17"/>
  <c r="AW50" i="17"/>
  <c r="AY50" i="20"/>
  <c r="BJ50" i="19"/>
  <c r="BE50" i="20"/>
  <c r="BP50" i="19"/>
  <c r="BK50" i="20"/>
  <c r="BV50" i="19"/>
  <c r="BQ50" i="20"/>
  <c r="BW50" i="20"/>
  <c r="BI53" i="17"/>
  <c r="T53" i="19"/>
  <c r="AF53" i="19"/>
  <c r="AR53" i="19"/>
  <c r="AL53" i="19"/>
  <c r="AM53" i="19" s="1"/>
  <c r="BP53" i="19"/>
  <c r="BJ53" i="19"/>
  <c r="BV53" i="19"/>
  <c r="BD53" i="19"/>
  <c r="Z53" i="19"/>
  <c r="AX53" i="19"/>
  <c r="AM53" i="20"/>
  <c r="AA53" i="20"/>
  <c r="AS53" i="20"/>
  <c r="U53" i="20"/>
  <c r="AY53" i="20"/>
  <c r="AG53" i="20"/>
  <c r="BO53" i="17"/>
  <c r="AQ53" i="17"/>
  <c r="Y53" i="17"/>
  <c r="BU53" i="17"/>
  <c r="AE53" i="17"/>
  <c r="BC53" i="17"/>
  <c r="S53" i="17"/>
  <c r="AW53" i="17"/>
  <c r="AK53" i="17"/>
  <c r="BE53" i="20"/>
  <c r="BK53" i="20"/>
  <c r="BL53" i="20" s="1"/>
  <c r="BQ53" i="20"/>
  <c r="BW53" i="20"/>
  <c r="BI60" i="17"/>
  <c r="T60" i="19"/>
  <c r="BP60" i="19"/>
  <c r="AL60" i="19"/>
  <c r="AM60" i="19" s="1"/>
  <c r="BJ60" i="19"/>
  <c r="BD60" i="19"/>
  <c r="AR60" i="19"/>
  <c r="BV60" i="19"/>
  <c r="AF60" i="19"/>
  <c r="Z60" i="19"/>
  <c r="AX60" i="19"/>
  <c r="BW60" i="20"/>
  <c r="AG60" i="20"/>
  <c r="BK60" i="20"/>
  <c r="AY60" i="20"/>
  <c r="AS60" i="20"/>
  <c r="AA60" i="20"/>
  <c r="AM60" i="20"/>
  <c r="BQ60" i="20"/>
  <c r="BE60" i="20"/>
  <c r="U60" i="20"/>
  <c r="BC60" i="17"/>
  <c r="BU60" i="17"/>
  <c r="AK60" i="17"/>
  <c r="AL60" i="17" s="1"/>
  <c r="Y60" i="17"/>
  <c r="Z60" i="17" s="1"/>
  <c r="BO60" i="17"/>
  <c r="AQ60" i="17"/>
  <c r="S60" i="17"/>
  <c r="T60" i="17" s="1"/>
  <c r="AW60" i="17"/>
  <c r="AE60" i="17"/>
  <c r="AF26" i="19"/>
  <c r="Z26" i="19"/>
  <c r="AL26" i="19"/>
  <c r="T26" i="19"/>
  <c r="U26" i="20"/>
  <c r="AA26" i="20"/>
  <c r="AG26" i="20"/>
  <c r="AR26" i="19"/>
  <c r="AM26" i="20"/>
  <c r="AX26" i="19"/>
  <c r="AS26" i="20"/>
  <c r="BD26" i="19"/>
  <c r="AY26" i="20"/>
  <c r="BJ26" i="19"/>
  <c r="BE26" i="20"/>
  <c r="BP26" i="19"/>
  <c r="BK26" i="20"/>
  <c r="BV26" i="19"/>
  <c r="BQ26" i="20"/>
  <c r="BW26" i="20"/>
  <c r="BI26" i="17"/>
  <c r="BU26" i="17"/>
  <c r="AE26" i="17"/>
  <c r="S26" i="17"/>
  <c r="AW26" i="17"/>
  <c r="AQ26" i="17"/>
  <c r="AK26" i="17"/>
  <c r="BO26" i="17"/>
  <c r="BC26" i="17"/>
  <c r="Y26" i="17"/>
  <c r="AR47" i="12"/>
  <c r="X67" i="17"/>
  <c r="BV67" i="20"/>
  <c r="BO67" i="19"/>
  <c r="T67" i="20"/>
  <c r="BC67" i="19"/>
  <c r="Y67" i="19"/>
  <c r="AJ63" i="17"/>
  <c r="AD63" i="17"/>
  <c r="BV63" i="20"/>
  <c r="BO63" i="19"/>
  <c r="BQ63" i="19" s="1"/>
  <c r="AX63" i="20"/>
  <c r="BC63" i="19"/>
  <c r="Y63" i="19"/>
  <c r="BB59" i="17"/>
  <c r="AV59" i="17"/>
  <c r="BV59" i="20"/>
  <c r="BO59" i="19"/>
  <c r="T59" i="20"/>
  <c r="BC59" i="19"/>
  <c r="S59" i="19"/>
  <c r="AJ55" i="17"/>
  <c r="BN55" i="17"/>
  <c r="BV55" i="20"/>
  <c r="BO55" i="19"/>
  <c r="Z55" i="20"/>
  <c r="AX55" i="20"/>
  <c r="AE55" i="19"/>
  <c r="AG55" i="19" s="1"/>
  <c r="BN51" i="17"/>
  <c r="BP51" i="17" s="1"/>
  <c r="AP51" i="17"/>
  <c r="BV51" i="20"/>
  <c r="BO51" i="19"/>
  <c r="AF51" i="20"/>
  <c r="AH51" i="20" s="1"/>
  <c r="T51" i="20"/>
  <c r="V51" i="20" s="1"/>
  <c r="Y51" i="19"/>
  <c r="BN47" i="17"/>
  <c r="AJ47" i="17"/>
  <c r="BV47" i="20"/>
  <c r="BO47" i="19"/>
  <c r="BC47" i="19"/>
  <c r="Z47" i="20"/>
  <c r="AW47" i="19"/>
  <c r="BB43" i="17"/>
  <c r="BD43" i="17" s="1"/>
  <c r="AP43" i="17"/>
  <c r="BV43" i="20"/>
  <c r="BX43" i="20" s="1"/>
  <c r="BO43" i="19"/>
  <c r="BC43" i="19"/>
  <c r="AL43" i="20"/>
  <c r="AN43" i="20" s="1"/>
  <c r="AW43" i="19"/>
  <c r="BH39" i="17"/>
  <c r="AD39" i="17"/>
  <c r="BV39" i="20"/>
  <c r="BO39" i="19"/>
  <c r="BC39" i="19"/>
  <c r="BE39" i="19" s="1"/>
  <c r="AF39" i="20"/>
  <c r="AH39" i="20" s="1"/>
  <c r="AQ39" i="19"/>
  <c r="BT35" i="17"/>
  <c r="X35" i="17"/>
  <c r="BV35" i="20"/>
  <c r="BO35" i="19"/>
  <c r="BC35" i="19"/>
  <c r="Z35" i="20"/>
  <c r="AQ35" i="19"/>
  <c r="AJ31" i="17"/>
  <c r="AL31" i="17" s="1"/>
  <c r="BB31" i="17"/>
  <c r="BD31" i="17" s="1"/>
  <c r="BV31" i="20"/>
  <c r="BO31" i="19"/>
  <c r="BC31" i="19"/>
  <c r="BE31" i="19" s="1"/>
  <c r="Z31" i="20"/>
  <c r="AK31" i="19"/>
  <c r="BT27" i="17"/>
  <c r="R27" i="17"/>
  <c r="BV27" i="20"/>
  <c r="BX27" i="20" s="1"/>
  <c r="BO27" i="19"/>
  <c r="BC27" i="19"/>
  <c r="AQ27" i="19"/>
  <c r="Y27" i="19"/>
  <c r="R23" i="17"/>
  <c r="T23" i="17" s="1"/>
  <c r="AD23" i="17"/>
  <c r="AF23" i="17" s="1"/>
  <c r="BV23" i="20"/>
  <c r="BO23" i="19"/>
  <c r="BC23" i="19"/>
  <c r="AQ23" i="19"/>
  <c r="AE23" i="19"/>
  <c r="AD19" i="17"/>
  <c r="AF19" i="17" s="1"/>
  <c r="R19" i="17"/>
  <c r="BV19" i="20"/>
  <c r="BO19" i="19"/>
  <c r="BC19" i="19"/>
  <c r="AQ19" i="19"/>
  <c r="AS19" i="19" s="1"/>
  <c r="AE19" i="19"/>
  <c r="R15" i="17"/>
  <c r="AD15" i="17"/>
  <c r="BV15" i="20"/>
  <c r="BO15" i="19"/>
  <c r="BC15" i="19"/>
  <c r="AQ15" i="19"/>
  <c r="T15" i="20"/>
  <c r="X11" i="17"/>
  <c r="BN11" i="17"/>
  <c r="BP11" i="17" s="1"/>
  <c r="BV11" i="20"/>
  <c r="BO11" i="19"/>
  <c r="BC11" i="19"/>
  <c r="BE11" i="19" s="1"/>
  <c r="AQ11" i="19"/>
  <c r="T11" i="20"/>
  <c r="AJ7" i="17"/>
  <c r="AP7" i="17"/>
  <c r="BV7" i="20"/>
  <c r="BX7" i="20" s="1"/>
  <c r="BO7" i="19"/>
  <c r="BC7" i="19"/>
  <c r="AQ7" i="19"/>
  <c r="AE7" i="19"/>
  <c r="AP3" i="17"/>
  <c r="AR3" i="17" s="1"/>
  <c r="AV3" i="17"/>
  <c r="BV3" i="20"/>
  <c r="BX3" i="20" s="1"/>
  <c r="BO3" i="19"/>
  <c r="BC3" i="19"/>
  <c r="AQ3" i="19"/>
  <c r="AE3" i="19"/>
  <c r="AG3" i="19" s="1"/>
  <c r="BV69" i="20"/>
  <c r="AL69" i="20"/>
  <c r="T69" i="20"/>
  <c r="AW69" i="19"/>
  <c r="AY69" i="19" s="1"/>
  <c r="AE69" i="19"/>
  <c r="BB65" i="17"/>
  <c r="BN65" i="17"/>
  <c r="BV65" i="20"/>
  <c r="BO65" i="19"/>
  <c r="BQ65" i="19" s="1"/>
  <c r="AL65" i="20"/>
  <c r="AE65" i="19"/>
  <c r="Y65" i="19"/>
  <c r="AA65" i="19" s="1"/>
  <c r="BH57" i="17"/>
  <c r="BV57" i="20"/>
  <c r="BO57" i="19"/>
  <c r="AX57" i="20"/>
  <c r="AL57" i="20"/>
  <c r="AN57" i="20" s="1"/>
  <c r="AQ57" i="19"/>
  <c r="AS57" i="19" s="1"/>
  <c r="AD45" i="17"/>
  <c r="AX45" i="20"/>
  <c r="AD33" i="17"/>
  <c r="AK33" i="19"/>
  <c r="AM33" i="19" s="1"/>
  <c r="AV21" i="17"/>
  <c r="AX21" i="20"/>
  <c r="R5" i="17"/>
  <c r="Z5" i="20"/>
  <c r="AX66" i="20"/>
  <c r="BH62" i="17"/>
  <c r="BI62" i="19"/>
  <c r="AJ58" i="17"/>
  <c r="AL58" i="20"/>
  <c r="R54" i="17"/>
  <c r="AV50" i="17"/>
  <c r="AX50" i="20"/>
  <c r="BN46" i="17"/>
  <c r="AK46" i="19"/>
  <c r="AM46" i="19" s="1"/>
  <c r="AV42" i="17"/>
  <c r="AX42" i="20"/>
  <c r="AP38" i="17"/>
  <c r="AE38" i="19"/>
  <c r="AG38" i="19" s="1"/>
  <c r="BB34" i="17"/>
  <c r="BD34" i="17" s="1"/>
  <c r="AX34" i="20"/>
  <c r="AZ34" i="20" s="1"/>
  <c r="AJ30" i="17"/>
  <c r="Y30" i="19"/>
  <c r="AJ26" i="17"/>
  <c r="AX26" i="20"/>
  <c r="AV22" i="17"/>
  <c r="Z22" i="20"/>
  <c r="AV18" i="17"/>
  <c r="AX18" i="20"/>
  <c r="R14" i="17"/>
  <c r="T14" i="17" s="1"/>
  <c r="T14" i="20"/>
  <c r="AJ10" i="17"/>
  <c r="AX10" i="20"/>
  <c r="AV6" i="17"/>
  <c r="Z6" i="20"/>
  <c r="AV53" i="17"/>
  <c r="Z53" i="20"/>
  <c r="BH37" i="17"/>
  <c r="AQ37" i="19"/>
  <c r="BN29" i="17"/>
  <c r="AX29" i="20"/>
  <c r="AP13" i="17"/>
  <c r="T13" i="20"/>
  <c r="AP68" i="17"/>
  <c r="AR68" i="20"/>
  <c r="AT68" i="20" s="1"/>
  <c r="BC64" i="19"/>
  <c r="AF60" i="20"/>
  <c r="AP56" i="17"/>
  <c r="AE56" i="19"/>
  <c r="AG56" i="19" s="1"/>
  <c r="AV52" i="17"/>
  <c r="AX52" i="20"/>
  <c r="BU48" i="19"/>
  <c r="BN44" i="17"/>
  <c r="BP32" i="20"/>
  <c r="BR32" i="20" s="1"/>
  <c r="AR20" i="20"/>
  <c r="R12" i="17"/>
  <c r="T8" i="20"/>
  <c r="BP61" i="20"/>
  <c r="AR25" i="20"/>
  <c r="AW54" i="19"/>
  <c r="AQ54" i="19"/>
  <c r="T54" i="20"/>
  <c r="V54" i="20" s="1"/>
  <c r="BD54" i="20"/>
  <c r="BP54" i="20"/>
  <c r="AJ54" i="17"/>
  <c r="BB54" i="17"/>
  <c r="S54" i="19"/>
  <c r="AF54" i="20"/>
  <c r="AX54" i="20"/>
  <c r="BO54" i="19"/>
  <c r="BQ54" i="19" s="1"/>
  <c r="BV54" i="20"/>
  <c r="AV54" i="17"/>
  <c r="BN54" i="17"/>
  <c r="BP54" i="17" s="1"/>
  <c r="Y54" i="19"/>
  <c r="AA54" i="19" s="1"/>
  <c r="AK54" i="19"/>
  <c r="AL54" i="20"/>
  <c r="BI54" i="19"/>
  <c r="BK54" i="19" s="1"/>
  <c r="BU54" i="19"/>
  <c r="AP54" i="17"/>
  <c r="AD54" i="17"/>
  <c r="BH54" i="17"/>
  <c r="Y4" i="19"/>
  <c r="AA4" i="19" s="1"/>
  <c r="Z4" i="20"/>
  <c r="AL4" i="20"/>
  <c r="AX4" i="20"/>
  <c r="BJ4" i="20"/>
  <c r="BL4" i="20" s="1"/>
  <c r="X4" i="17"/>
  <c r="R4" i="17"/>
  <c r="T4" i="17" s="1"/>
  <c r="AV4" i="17"/>
  <c r="T4" i="20"/>
  <c r="V4" i="20" s="1"/>
  <c r="AK4" i="19"/>
  <c r="AM4" i="19" s="1"/>
  <c r="AW4" i="19"/>
  <c r="BI4" i="19"/>
  <c r="BU4" i="19"/>
  <c r="BW4" i="19" s="1"/>
  <c r="AJ4" i="17"/>
  <c r="BN4" i="17"/>
  <c r="BP4" i="17" s="1"/>
  <c r="AP4" i="17"/>
  <c r="AE4" i="19"/>
  <c r="AQ4" i="19"/>
  <c r="BC4" i="19"/>
  <c r="BO4" i="19"/>
  <c r="BV4" i="20"/>
  <c r="BX4" i="20" s="1"/>
  <c r="BH4" i="17"/>
  <c r="BT4" i="17"/>
  <c r="S4" i="19"/>
  <c r="U4" i="19" s="1"/>
  <c r="BP4" i="20"/>
  <c r="BR4" i="20" s="1"/>
  <c r="AF4" i="20"/>
  <c r="BB4" i="17"/>
  <c r="BD4" i="20"/>
  <c r="BF4" i="20" s="1"/>
  <c r="AQ40" i="19"/>
  <c r="AW40" i="19"/>
  <c r="Z40" i="20"/>
  <c r="AX40" i="20"/>
  <c r="BJ40" i="20"/>
  <c r="AD40" i="17"/>
  <c r="AV40" i="17"/>
  <c r="AX40" i="17" s="1"/>
  <c r="BN40" i="17"/>
  <c r="BP40" i="17" s="1"/>
  <c r="Y40" i="19"/>
  <c r="AK40" i="19"/>
  <c r="AF40" i="20"/>
  <c r="AH40" i="20" s="1"/>
  <c r="BI40" i="19"/>
  <c r="BK40" i="19" s="1"/>
  <c r="BU40" i="19"/>
  <c r="BW40" i="19" s="1"/>
  <c r="BT40" i="17"/>
  <c r="BV40" i="17" s="1"/>
  <c r="BH40" i="17"/>
  <c r="AP40" i="17"/>
  <c r="AR40" i="17" s="1"/>
  <c r="AE40" i="19"/>
  <c r="AG40" i="19" s="1"/>
  <c r="T40" i="20"/>
  <c r="BC40" i="19"/>
  <c r="BO40" i="19"/>
  <c r="BV40" i="20"/>
  <c r="BX40" i="20" s="1"/>
  <c r="AJ40" i="17"/>
  <c r="R40" i="17"/>
  <c r="AR40" i="20"/>
  <c r="AT40" i="20" s="1"/>
  <c r="BB40" i="17"/>
  <c r="BD40" i="17" s="1"/>
  <c r="BD40" i="20"/>
  <c r="AL40" i="20"/>
  <c r="X40" i="17"/>
  <c r="BI59" i="17"/>
  <c r="BV59" i="19"/>
  <c r="BJ59" i="19"/>
  <c r="BD59" i="19"/>
  <c r="T59" i="19"/>
  <c r="Z59" i="19"/>
  <c r="AL59" i="19"/>
  <c r="AF59" i="19"/>
  <c r="AX59" i="19"/>
  <c r="AR59" i="19"/>
  <c r="BP59" i="19"/>
  <c r="AA59" i="20"/>
  <c r="BQ59" i="20"/>
  <c r="AM59" i="20"/>
  <c r="AG59" i="20"/>
  <c r="BW59" i="20"/>
  <c r="BE59" i="20"/>
  <c r="BK59" i="20"/>
  <c r="AS59" i="20"/>
  <c r="AY59" i="20"/>
  <c r="U59" i="20"/>
  <c r="AW59" i="17"/>
  <c r="S59" i="17"/>
  <c r="BO59" i="17"/>
  <c r="BC59" i="17"/>
  <c r="AE59" i="17"/>
  <c r="AK59" i="17"/>
  <c r="Y59" i="17"/>
  <c r="AQ59" i="17"/>
  <c r="BU59" i="17"/>
  <c r="Y9" i="19"/>
  <c r="AA9" i="19" s="1"/>
  <c r="Z9" i="20"/>
  <c r="AL9" i="20"/>
  <c r="AX9" i="20"/>
  <c r="AZ9" i="20" s="1"/>
  <c r="BJ9" i="20"/>
  <c r="BN9" i="17"/>
  <c r="BB9" i="17"/>
  <c r="BD9" i="17" s="1"/>
  <c r="X9" i="17"/>
  <c r="S9" i="19"/>
  <c r="AK9" i="19"/>
  <c r="AM9" i="19" s="1"/>
  <c r="AW9" i="19"/>
  <c r="AY9" i="19" s="1"/>
  <c r="BI9" i="19"/>
  <c r="BU9" i="19"/>
  <c r="BW9" i="19" s="1"/>
  <c r="BH9" i="17"/>
  <c r="BJ9" i="17" s="1"/>
  <c r="AV9" i="17"/>
  <c r="R9" i="17"/>
  <c r="T9" i="17" s="1"/>
  <c r="T9" i="20"/>
  <c r="AQ9" i="19"/>
  <c r="BC9" i="19"/>
  <c r="BE9" i="19" s="1"/>
  <c r="BO9" i="19"/>
  <c r="BV9" i="20"/>
  <c r="AD9" i="17"/>
  <c r="AF9" i="17" s="1"/>
  <c r="BT9" i="17"/>
  <c r="AE9" i="19"/>
  <c r="BP9" i="20"/>
  <c r="AF9" i="20"/>
  <c r="AH9" i="20" s="1"/>
  <c r="AP9" i="17"/>
  <c r="AR9" i="17" s="1"/>
  <c r="BD9" i="20"/>
  <c r="BI47" i="17"/>
  <c r="AR47" i="19"/>
  <c r="AS47" i="19" s="1"/>
  <c r="T47" i="19"/>
  <c r="Z47" i="19"/>
  <c r="AX47" i="19"/>
  <c r="AF47" i="19"/>
  <c r="AL47" i="19"/>
  <c r="AA47" i="20"/>
  <c r="AM47" i="20"/>
  <c r="AS47" i="20"/>
  <c r="U47" i="20"/>
  <c r="AG47" i="20"/>
  <c r="AW47" i="17"/>
  <c r="BC47" i="17"/>
  <c r="AE47" i="17"/>
  <c r="BD47" i="19"/>
  <c r="BO47" i="17"/>
  <c r="BU47" i="17"/>
  <c r="S47" i="17"/>
  <c r="AK47" i="17"/>
  <c r="Y47" i="17"/>
  <c r="AQ47" i="17"/>
  <c r="AY47" i="20"/>
  <c r="BJ47" i="19"/>
  <c r="BE47" i="20"/>
  <c r="BP47" i="19"/>
  <c r="BK47" i="20"/>
  <c r="BV47" i="19"/>
  <c r="BQ47" i="20"/>
  <c r="BW47" i="20"/>
  <c r="Z35" i="19"/>
  <c r="AR35" i="19"/>
  <c r="BI35" i="17"/>
  <c r="AL35" i="19"/>
  <c r="AF35" i="19"/>
  <c r="T35" i="19"/>
  <c r="U35" i="19" s="1"/>
  <c r="U35" i="20"/>
  <c r="AA35" i="20"/>
  <c r="AG35" i="20"/>
  <c r="AM35" i="20"/>
  <c r="AK35" i="17"/>
  <c r="BU35" i="17"/>
  <c r="AQ35" i="17"/>
  <c r="AW35" i="17"/>
  <c r="S35" i="17"/>
  <c r="BC35" i="17"/>
  <c r="BO35" i="17"/>
  <c r="AE35" i="17"/>
  <c r="Y35" i="17"/>
  <c r="AX35" i="19"/>
  <c r="AS35" i="20"/>
  <c r="BD35" i="19"/>
  <c r="AY35" i="20"/>
  <c r="AZ35" i="20" s="1"/>
  <c r="BJ35" i="19"/>
  <c r="BE35" i="20"/>
  <c r="BP35" i="19"/>
  <c r="BK35" i="20"/>
  <c r="BV35" i="19"/>
  <c r="BQ35" i="20"/>
  <c r="BW35" i="20"/>
  <c r="BI48" i="17"/>
  <c r="AL48" i="19"/>
  <c r="AM48" i="19" s="1"/>
  <c r="AR48" i="19"/>
  <c r="Z48" i="19"/>
  <c r="T48" i="19"/>
  <c r="AF48" i="19"/>
  <c r="BD48" i="19"/>
  <c r="AX48" i="19"/>
  <c r="AS48" i="20"/>
  <c r="AA48" i="20"/>
  <c r="AM48" i="20"/>
  <c r="U48" i="20"/>
  <c r="AG48" i="20"/>
  <c r="BC48" i="17"/>
  <c r="AE48" i="17"/>
  <c r="AF48" i="17" s="1"/>
  <c r="BU48" i="17"/>
  <c r="Y48" i="17"/>
  <c r="BO48" i="17"/>
  <c r="AW48" i="17"/>
  <c r="S48" i="17"/>
  <c r="AK48" i="17"/>
  <c r="AQ48" i="17"/>
  <c r="AR48" i="17" s="1"/>
  <c r="AY48" i="20"/>
  <c r="BJ48" i="19"/>
  <c r="BE48" i="20"/>
  <c r="BP48" i="19"/>
  <c r="BK48" i="20"/>
  <c r="BV48" i="19"/>
  <c r="BQ48" i="20"/>
  <c r="BW48" i="20"/>
  <c r="BI42" i="17"/>
  <c r="Z42" i="19"/>
  <c r="T42" i="19"/>
  <c r="AX42" i="19"/>
  <c r="AL42" i="19"/>
  <c r="AF42" i="19"/>
  <c r="AG42" i="19" s="1"/>
  <c r="AR42" i="19"/>
  <c r="AG42" i="20"/>
  <c r="AA42" i="20"/>
  <c r="U42" i="20"/>
  <c r="AM42" i="20"/>
  <c r="Y42" i="17"/>
  <c r="Z42" i="17" s="1"/>
  <c r="AW42" i="17"/>
  <c r="AK42" i="17"/>
  <c r="AQ42" i="17"/>
  <c r="BU42" i="17"/>
  <c r="BO42" i="17"/>
  <c r="BC42" i="17"/>
  <c r="AS42" i="20"/>
  <c r="AE42" i="17"/>
  <c r="AF42" i="17" s="1"/>
  <c r="S42" i="17"/>
  <c r="BD42" i="19"/>
  <c r="AY42" i="20"/>
  <c r="BJ42" i="19"/>
  <c r="BE42" i="20"/>
  <c r="BP42" i="19"/>
  <c r="BK42" i="20"/>
  <c r="BV42" i="19"/>
  <c r="BQ42" i="20"/>
  <c r="BW42" i="20"/>
  <c r="Z21" i="19"/>
  <c r="T21" i="19"/>
  <c r="AL21" i="19"/>
  <c r="AF21" i="19"/>
  <c r="U21" i="20"/>
  <c r="V21" i="20" s="1"/>
  <c r="AA21" i="20"/>
  <c r="AG21" i="20"/>
  <c r="AR21" i="19"/>
  <c r="AM21" i="20"/>
  <c r="AX21" i="19"/>
  <c r="AS21" i="20"/>
  <c r="BD21" i="19"/>
  <c r="AY21" i="20"/>
  <c r="BJ21" i="19"/>
  <c r="BE21" i="20"/>
  <c r="BP21" i="19"/>
  <c r="BK21" i="20"/>
  <c r="BV21" i="19"/>
  <c r="BQ21" i="20"/>
  <c r="BW21" i="20"/>
  <c r="BC21" i="17"/>
  <c r="BD21" i="17" s="1"/>
  <c r="BU21" i="17"/>
  <c r="S21" i="17"/>
  <c r="Y21" i="17"/>
  <c r="AK21" i="17"/>
  <c r="AW21" i="17"/>
  <c r="BI21" i="17"/>
  <c r="AE21" i="17"/>
  <c r="AQ21" i="17"/>
  <c r="BO21" i="17"/>
  <c r="Z15" i="19"/>
  <c r="AF15" i="19"/>
  <c r="AG15" i="19" s="1"/>
  <c r="T15" i="19"/>
  <c r="AA15" i="20"/>
  <c r="U15" i="20"/>
  <c r="AL15" i="19"/>
  <c r="AG15" i="20"/>
  <c r="AR15" i="19"/>
  <c r="AM15" i="20"/>
  <c r="AX15" i="19"/>
  <c r="AS15" i="20"/>
  <c r="BD15" i="19"/>
  <c r="AY15" i="20"/>
  <c r="BJ15" i="19"/>
  <c r="BE15" i="20"/>
  <c r="BP15" i="19"/>
  <c r="BK15" i="20"/>
  <c r="BV15" i="19"/>
  <c r="BQ15" i="20"/>
  <c r="BW15" i="20"/>
  <c r="S15" i="17"/>
  <c r="BC15" i="17"/>
  <c r="BO15" i="17"/>
  <c r="AQ15" i="17"/>
  <c r="BI15" i="17"/>
  <c r="AW15" i="17"/>
  <c r="Y15" i="17"/>
  <c r="BU15" i="17"/>
  <c r="AK15" i="17"/>
  <c r="AE15" i="17"/>
  <c r="AV67" i="17"/>
  <c r="BB67" i="17"/>
  <c r="AD67" i="17"/>
  <c r="BP67" i="20"/>
  <c r="BR67" i="20" s="1"/>
  <c r="BD67" i="20"/>
  <c r="BF67" i="20" s="1"/>
  <c r="AR67" i="20"/>
  <c r="AT67" i="20" s="1"/>
  <c r="AK67" i="19"/>
  <c r="AM67" i="19" s="1"/>
  <c r="X63" i="17"/>
  <c r="BT63" i="17"/>
  <c r="BV63" i="17" s="1"/>
  <c r="BP63" i="20"/>
  <c r="BR63" i="20" s="1"/>
  <c r="BD63" i="20"/>
  <c r="BF63" i="20" s="1"/>
  <c r="AF63" i="20"/>
  <c r="AH63" i="20" s="1"/>
  <c r="AE63" i="19"/>
  <c r="AP59" i="17"/>
  <c r="AD59" i="17"/>
  <c r="AJ59" i="17"/>
  <c r="BP59" i="20"/>
  <c r="BD59" i="20"/>
  <c r="AF59" i="20"/>
  <c r="AH59" i="20" s="1"/>
  <c r="AK59" i="19"/>
  <c r="AE59" i="19"/>
  <c r="R55" i="17"/>
  <c r="BB55" i="17"/>
  <c r="BD55" i="17" s="1"/>
  <c r="BP55" i="20"/>
  <c r="BD55" i="20"/>
  <c r="T55" i="20"/>
  <c r="V55" i="20" s="1"/>
  <c r="AQ55" i="19"/>
  <c r="AV51" i="17"/>
  <c r="BB51" i="17"/>
  <c r="BP51" i="20"/>
  <c r="BD51" i="20"/>
  <c r="BF51" i="20" s="1"/>
  <c r="Z51" i="20"/>
  <c r="AW51" i="19"/>
  <c r="BB47" i="17"/>
  <c r="BD47" i="17" s="1"/>
  <c r="X47" i="17"/>
  <c r="BP47" i="20"/>
  <c r="BD47" i="20"/>
  <c r="BF47" i="20" s="1"/>
  <c r="T47" i="20"/>
  <c r="AL47" i="20"/>
  <c r="AN47" i="20" s="1"/>
  <c r="AV43" i="17"/>
  <c r="BH43" i="17"/>
  <c r="BP43" i="20"/>
  <c r="BD43" i="20"/>
  <c r="AF43" i="20"/>
  <c r="T43" i="20"/>
  <c r="S43" i="19"/>
  <c r="U43" i="19" s="1"/>
  <c r="R39" i="17"/>
  <c r="X39" i="17"/>
  <c r="BP39" i="20"/>
  <c r="BD39" i="20"/>
  <c r="BF39" i="20" s="1"/>
  <c r="AR39" i="20"/>
  <c r="AT39" i="20" s="1"/>
  <c r="AL39" i="20"/>
  <c r="BN35" i="17"/>
  <c r="BH35" i="17"/>
  <c r="BJ35" i="17" s="1"/>
  <c r="BP35" i="20"/>
  <c r="BR35" i="20" s="1"/>
  <c r="BD35" i="20"/>
  <c r="AR35" i="20"/>
  <c r="AF35" i="20"/>
  <c r="R31" i="17"/>
  <c r="T31" i="17" s="1"/>
  <c r="AV31" i="17"/>
  <c r="AX31" i="17" s="1"/>
  <c r="BP31" i="20"/>
  <c r="BD31" i="20"/>
  <c r="AR31" i="20"/>
  <c r="T31" i="20"/>
  <c r="AV27" i="17"/>
  <c r="AP27" i="17"/>
  <c r="BP27" i="20"/>
  <c r="BR27" i="20" s="1"/>
  <c r="BD27" i="20"/>
  <c r="AR27" i="20"/>
  <c r="AT27" i="20" s="1"/>
  <c r="AF27" i="20"/>
  <c r="AK27" i="19"/>
  <c r="AM27" i="19" s="1"/>
  <c r="BT23" i="17"/>
  <c r="X23" i="17"/>
  <c r="BP23" i="20"/>
  <c r="BR23" i="20" s="1"/>
  <c r="BD23" i="20"/>
  <c r="BF23" i="20" s="1"/>
  <c r="AR23" i="20"/>
  <c r="T23" i="20"/>
  <c r="BT19" i="17"/>
  <c r="BV19" i="17" s="1"/>
  <c r="BB19" i="17"/>
  <c r="BP19" i="20"/>
  <c r="BD19" i="20"/>
  <c r="AR19" i="20"/>
  <c r="AT19" i="20" s="1"/>
  <c r="AF19" i="20"/>
  <c r="AH19" i="20" s="1"/>
  <c r="BH15" i="17"/>
  <c r="BN15" i="17"/>
  <c r="BP15" i="17" s="1"/>
  <c r="BP15" i="20"/>
  <c r="BR15" i="20" s="1"/>
  <c r="BD15" i="20"/>
  <c r="BF15" i="20" s="1"/>
  <c r="AR15" i="20"/>
  <c r="AF15" i="20"/>
  <c r="AH15" i="20" s="1"/>
  <c r="AV11" i="17"/>
  <c r="AX11" i="17" s="1"/>
  <c r="BT11" i="17"/>
  <c r="BV11" i="17" s="1"/>
  <c r="BP11" i="20"/>
  <c r="BD11" i="20"/>
  <c r="AR11" i="20"/>
  <c r="AF11" i="20"/>
  <c r="AH11" i="20" s="1"/>
  <c r="BB7" i="17"/>
  <c r="AD7" i="17"/>
  <c r="BP7" i="20"/>
  <c r="BD7" i="20"/>
  <c r="AR7" i="20"/>
  <c r="AT7" i="20" s="1"/>
  <c r="AF7" i="20"/>
  <c r="X3" i="17"/>
  <c r="R3" i="17"/>
  <c r="T3" i="17" s="1"/>
  <c r="BP3" i="20"/>
  <c r="BD3" i="20"/>
  <c r="AR3" i="20"/>
  <c r="AF3" i="20"/>
  <c r="AH3" i="20" s="1"/>
  <c r="BP69" i="20"/>
  <c r="AF69" i="20"/>
  <c r="BD69" i="20"/>
  <c r="AQ69" i="19"/>
  <c r="AS69" i="19" s="1"/>
  <c r="R65" i="17"/>
  <c r="AJ65" i="17"/>
  <c r="AP65" i="17"/>
  <c r="BP65" i="20"/>
  <c r="BR65" i="20" s="1"/>
  <c r="Z65" i="20"/>
  <c r="AB65" i="20" s="1"/>
  <c r="AF65" i="20"/>
  <c r="AW65" i="19"/>
  <c r="BN57" i="17"/>
  <c r="BP57" i="17" s="1"/>
  <c r="AD57" i="17"/>
  <c r="AP57" i="17"/>
  <c r="BP57" i="20"/>
  <c r="BR57" i="20" s="1"/>
  <c r="BD57" i="20"/>
  <c r="BF57" i="20" s="1"/>
  <c r="T57" i="20"/>
  <c r="AW57" i="19"/>
  <c r="AP45" i="17"/>
  <c r="T45" i="20"/>
  <c r="V45" i="20" s="1"/>
  <c r="BJ33" i="20"/>
  <c r="AE33" i="19"/>
  <c r="AG33" i="19" s="1"/>
  <c r="BH21" i="17"/>
  <c r="AL21" i="20"/>
  <c r="AN21" i="20" s="1"/>
  <c r="BJ5" i="20"/>
  <c r="T5" i="20"/>
  <c r="V5" i="20" s="1"/>
  <c r="X66" i="17"/>
  <c r="AL66" i="20"/>
  <c r="AN66" i="20" s="1"/>
  <c r="BJ62" i="20"/>
  <c r="AW62" i="19"/>
  <c r="AV58" i="17"/>
  <c r="BI58" i="19"/>
  <c r="BK58" i="19" s="1"/>
  <c r="BJ54" i="20"/>
  <c r="BC54" i="19"/>
  <c r="BE54" i="19" s="1"/>
  <c r="BB50" i="17"/>
  <c r="Z50" i="20"/>
  <c r="BJ46" i="20"/>
  <c r="BL46" i="20" s="1"/>
  <c r="S46" i="19"/>
  <c r="U46" i="19" s="1"/>
  <c r="BT42" i="17"/>
  <c r="BV42" i="17" s="1"/>
  <c r="T42" i="20"/>
  <c r="BJ38" i="20"/>
  <c r="AQ38" i="19"/>
  <c r="AD34" i="17"/>
  <c r="AL34" i="20"/>
  <c r="AN34" i="20" s="1"/>
  <c r="BJ30" i="20"/>
  <c r="AQ30" i="19"/>
  <c r="BT26" i="17"/>
  <c r="BV26" i="17" s="1"/>
  <c r="AL26" i="20"/>
  <c r="BJ22" i="20"/>
  <c r="S22" i="19"/>
  <c r="BH18" i="17"/>
  <c r="AL18" i="20"/>
  <c r="AN18" i="20" s="1"/>
  <c r="BJ14" i="20"/>
  <c r="Y14" i="19"/>
  <c r="AP10" i="17"/>
  <c r="AR10" i="17" s="1"/>
  <c r="AL10" i="20"/>
  <c r="BJ6" i="20"/>
  <c r="T6" i="20"/>
  <c r="R53" i="17"/>
  <c r="AR53" i="20"/>
  <c r="AT53" i="20" s="1"/>
  <c r="BJ37" i="20"/>
  <c r="AK37" i="19"/>
  <c r="BH29" i="17"/>
  <c r="AL29" i="20"/>
  <c r="AN29" i="20" s="1"/>
  <c r="BJ13" i="20"/>
  <c r="AE13" i="19"/>
  <c r="AG13" i="19" s="1"/>
  <c r="BH68" i="17"/>
  <c r="BJ68" i="17" s="1"/>
  <c r="AX68" i="20"/>
  <c r="AZ68" i="20" s="1"/>
  <c r="BJ64" i="20"/>
  <c r="BL64" i="20" s="1"/>
  <c r="Y64" i="19"/>
  <c r="AV60" i="17"/>
  <c r="T60" i="20"/>
  <c r="V60" i="20" s="1"/>
  <c r="BJ56" i="20"/>
  <c r="AW56" i="19"/>
  <c r="AJ52" i="17"/>
  <c r="AF52" i="20"/>
  <c r="AX48" i="20"/>
  <c r="Z44" i="20"/>
  <c r="AB44" i="20" s="1"/>
  <c r="AD36" i="17"/>
  <c r="AQ32" i="19"/>
  <c r="AS32" i="19" s="1"/>
  <c r="BP24" i="20"/>
  <c r="AR12" i="20"/>
  <c r="AT12" i="20" s="1"/>
  <c r="AD4" i="17"/>
  <c r="S61" i="19"/>
  <c r="U61" i="19" s="1"/>
  <c r="BP41" i="20"/>
  <c r="BR41" i="20" s="1"/>
  <c r="AR9" i="20"/>
  <c r="AR26" i="12"/>
  <c r="AR9" i="12"/>
  <c r="AR24" i="12"/>
  <c r="AR34" i="12"/>
  <c r="AR62" i="12"/>
  <c r="AR20" i="12"/>
  <c r="AR45" i="12"/>
  <c r="AG38" i="12"/>
  <c r="AG66" i="12"/>
  <c r="AG15" i="12"/>
  <c r="AG60" i="12"/>
  <c r="AG40" i="12"/>
  <c r="AG4" i="12"/>
  <c r="AG69" i="12"/>
  <c r="AG67" i="12"/>
  <c r="H39" i="12"/>
  <c r="I39" i="12" s="1"/>
  <c r="H20" i="12"/>
  <c r="I20" i="12" s="1"/>
  <c r="H31" i="12"/>
  <c r="I31" i="12" s="1"/>
  <c r="H37" i="12"/>
  <c r="I37" i="12" s="1"/>
  <c r="H44" i="12"/>
  <c r="I44" i="12" s="1"/>
  <c r="H64" i="12"/>
  <c r="I64" i="12" s="1"/>
  <c r="H46" i="12"/>
  <c r="I46" i="12" s="1"/>
  <c r="H61" i="12"/>
  <c r="I61" i="12" s="1"/>
  <c r="H29" i="12"/>
  <c r="I29" i="12" s="1"/>
  <c r="H13" i="12"/>
  <c r="I13" i="12" s="1"/>
  <c r="H54" i="12"/>
  <c r="I54" i="12" s="1"/>
  <c r="H24" i="12"/>
  <c r="I24" i="12" s="1"/>
  <c r="H30" i="12"/>
  <c r="I30" i="12" s="1"/>
  <c r="H68" i="12"/>
  <c r="I68" i="12" s="1"/>
  <c r="H10" i="12"/>
  <c r="I10" i="12" s="1"/>
  <c r="H8" i="12"/>
  <c r="I8" i="12" s="1"/>
  <c r="H43" i="12"/>
  <c r="I43" i="12" s="1"/>
  <c r="H63" i="12"/>
  <c r="I63" i="12" s="1"/>
  <c r="H7" i="12"/>
  <c r="I7" i="12" s="1"/>
  <c r="H69" i="12"/>
  <c r="I69" i="12" s="1"/>
  <c r="H58" i="12"/>
  <c r="I58" i="12" s="1"/>
  <c r="H28" i="12"/>
  <c r="I28" i="12" s="1"/>
  <c r="H34" i="12"/>
  <c r="I34" i="12" s="1"/>
  <c r="H52" i="12"/>
  <c r="I52" i="12" s="1"/>
  <c r="H17" i="12"/>
  <c r="I17" i="12" s="1"/>
  <c r="H57" i="12"/>
  <c r="I57" i="12" s="1"/>
  <c r="H25" i="12"/>
  <c r="I25" i="12" s="1"/>
  <c r="H22" i="12"/>
  <c r="I22" i="12" s="1"/>
  <c r="H49" i="12"/>
  <c r="I49" i="12" s="1"/>
  <c r="H14" i="12"/>
  <c r="I14" i="12" s="1"/>
  <c r="H40" i="12"/>
  <c r="I40" i="12" s="1"/>
  <c r="H56" i="12"/>
  <c r="I56" i="12" s="1"/>
  <c r="H38" i="12"/>
  <c r="I38" i="12" s="1"/>
  <c r="H16" i="12"/>
  <c r="I16" i="12" s="1"/>
  <c r="H6" i="12"/>
  <c r="I6" i="12" s="1"/>
  <c r="H59" i="12"/>
  <c r="I59" i="12" s="1"/>
  <c r="H47" i="12"/>
  <c r="I47" i="12" s="1"/>
  <c r="H36" i="12"/>
  <c r="I36" i="12" s="1"/>
  <c r="H53" i="12"/>
  <c r="I53" i="12" s="1"/>
  <c r="H60" i="12"/>
  <c r="I60" i="12" s="1"/>
  <c r="H55" i="12"/>
  <c r="I55" i="12" s="1"/>
  <c r="H23" i="12"/>
  <c r="I23" i="12" s="1"/>
  <c r="H27" i="12"/>
  <c r="I27" i="12" s="1"/>
  <c r="H5" i="12"/>
  <c r="I5" i="12" s="1"/>
  <c r="H67" i="12"/>
  <c r="I67" i="12" s="1"/>
  <c r="H66" i="12"/>
  <c r="I66" i="12" s="1"/>
  <c r="H51" i="12"/>
  <c r="I51" i="12" s="1"/>
  <c r="H19" i="12"/>
  <c r="I19" i="12" s="1"/>
  <c r="H50" i="12"/>
  <c r="I50" i="12" s="1"/>
  <c r="H26" i="12"/>
  <c r="I26" i="12" s="1"/>
  <c r="H12" i="12"/>
  <c r="I12" i="12" s="1"/>
  <c r="H4" i="12"/>
  <c r="I4" i="12" s="1"/>
  <c r="H45" i="12"/>
  <c r="I45" i="12" s="1"/>
  <c r="H41" i="12"/>
  <c r="I41" i="12" s="1"/>
  <c r="H65" i="12"/>
  <c r="I65" i="12" s="1"/>
  <c r="H33" i="12"/>
  <c r="I33" i="12" s="1"/>
  <c r="H9" i="12"/>
  <c r="I9" i="12" s="1"/>
  <c r="H35" i="12"/>
  <c r="I35" i="12" s="1"/>
  <c r="H3" i="12"/>
  <c r="I3" i="12" s="1"/>
  <c r="H62" i="12"/>
  <c r="I62" i="12" s="1"/>
  <c r="H48" i="12"/>
  <c r="I48" i="12" s="1"/>
  <c r="H32" i="12"/>
  <c r="I32" i="12" s="1"/>
  <c r="H11" i="12"/>
  <c r="I11" i="12" s="1"/>
  <c r="H42" i="12"/>
  <c r="I42" i="12" s="1"/>
  <c r="H21" i="12"/>
  <c r="I21" i="12" s="1"/>
  <c r="H15" i="12"/>
  <c r="I15" i="12" s="1"/>
  <c r="H18" i="12"/>
  <c r="I18" i="12" s="1"/>
  <c r="AG63" i="12"/>
  <c r="AG47" i="12"/>
  <c r="AG31" i="12"/>
  <c r="AG44" i="12"/>
  <c r="AG64" i="12"/>
  <c r="AG48" i="12"/>
  <c r="AG32" i="12"/>
  <c r="AG53" i="12"/>
  <c r="AG37" i="12"/>
  <c r="AG19" i="12"/>
  <c r="AG34" i="12"/>
  <c r="AG51" i="12"/>
  <c r="AG35" i="12"/>
  <c r="AG21" i="12"/>
  <c r="AG16" i="12"/>
  <c r="AG12" i="12"/>
  <c r="AG17" i="12"/>
  <c r="AG65" i="12"/>
  <c r="AG49" i="12"/>
  <c r="AG33" i="12"/>
  <c r="AG18" i="12"/>
  <c r="AG7" i="12"/>
  <c r="AG46" i="12"/>
  <c r="AG68" i="12"/>
  <c r="AG14" i="12"/>
  <c r="AG28" i="12"/>
  <c r="AR15" i="12"/>
  <c r="AG8" i="12"/>
  <c r="AG50" i="12"/>
  <c r="AG58" i="12"/>
  <c r="AG62" i="12"/>
  <c r="AG45" i="12"/>
  <c r="AG29" i="12"/>
  <c r="AG56" i="12"/>
  <c r="AG24" i="12"/>
  <c r="AG23" i="12"/>
  <c r="N3" i="4"/>
  <c r="O3" i="4" s="1"/>
  <c r="AG54" i="12"/>
  <c r="AG55" i="12"/>
  <c r="AG39" i="12"/>
  <c r="AG30" i="12"/>
  <c r="AG52" i="12"/>
  <c r="AG36" i="12"/>
  <c r="AR69" i="12"/>
  <c r="AR11" i="12"/>
  <c r="AR53" i="12"/>
  <c r="AR49" i="12"/>
  <c r="AR28" i="12"/>
  <c r="AR29" i="12"/>
  <c r="AR42" i="12"/>
  <c r="AR38" i="12"/>
  <c r="AR30" i="12"/>
  <c r="AR67" i="12"/>
  <c r="AR37" i="12"/>
  <c r="AR18" i="12"/>
  <c r="AR66" i="12"/>
  <c r="AR50" i="12"/>
  <c r="AR14" i="12"/>
  <c r="AR13" i="12"/>
  <c r="AR63" i="12"/>
  <c r="AR43" i="12"/>
  <c r="AR31" i="12"/>
  <c r="AR27" i="12"/>
  <c r="AR65" i="12"/>
  <c r="AR35" i="12"/>
  <c r="AR23" i="12"/>
  <c r="AR64" i="12"/>
  <c r="AR56" i="12"/>
  <c r="AR52" i="12"/>
  <c r="AR44" i="12"/>
  <c r="AR40" i="12"/>
  <c r="AR36" i="12"/>
  <c r="AR33" i="12"/>
  <c r="AR54" i="12"/>
  <c r="AR59" i="12"/>
  <c r="AR55" i="12"/>
  <c r="AR51" i="12"/>
  <c r="AR58" i="12"/>
  <c r="AR46" i="12"/>
  <c r="AR17" i="12"/>
  <c r="AR16" i="12"/>
  <c r="AR68" i="12"/>
  <c r="AR48" i="12"/>
  <c r="AR32" i="12"/>
  <c r="AR7" i="12"/>
  <c r="AR39" i="12"/>
  <c r="AP25" i="12"/>
  <c r="AQ25" i="12" s="1"/>
  <c r="AR25" i="12" s="1"/>
  <c r="AP8" i="12"/>
  <c r="AQ8" i="12" s="1"/>
  <c r="AR8" i="12" s="1"/>
  <c r="AP12" i="12"/>
  <c r="AQ12" i="12" s="1"/>
  <c r="AR12" i="12" s="1"/>
  <c r="AP4" i="12"/>
  <c r="AQ4" i="12" s="1"/>
  <c r="AR4" i="12" s="1"/>
  <c r="AP6" i="12"/>
  <c r="AQ6" i="12" s="1"/>
  <c r="AR6" i="12" s="1"/>
  <c r="AP5" i="12"/>
  <c r="AQ5" i="12" s="1"/>
  <c r="AR5" i="12" s="1"/>
  <c r="AP57" i="12"/>
  <c r="AQ57" i="12" s="1"/>
  <c r="AR57" i="12" s="1"/>
  <c r="AP41" i="12"/>
  <c r="AQ41" i="12" s="1"/>
  <c r="AR41" i="12" s="1"/>
  <c r="AP10" i="12"/>
  <c r="AQ10" i="12" s="1"/>
  <c r="AR10" i="12" s="1"/>
  <c r="AE6" i="12"/>
  <c r="AF6" i="12" s="1"/>
  <c r="AG6" i="12" s="1"/>
  <c r="AE57" i="12"/>
  <c r="AF57" i="12" s="1"/>
  <c r="AG57" i="12" s="1"/>
  <c r="AE41" i="12"/>
  <c r="AF41" i="12" s="1"/>
  <c r="AG41" i="12" s="1"/>
  <c r="AE25" i="12"/>
  <c r="AF25" i="12" s="1"/>
  <c r="AG25" i="12" s="1"/>
  <c r="AE13" i="12"/>
  <c r="AF13" i="12" s="1"/>
  <c r="AG13" i="12" s="1"/>
  <c r="AE9" i="12"/>
  <c r="AF9" i="12" s="1"/>
  <c r="AG9" i="12" s="1"/>
  <c r="AE5" i="12"/>
  <c r="AF5" i="12" s="1"/>
  <c r="AG5" i="12" s="1"/>
  <c r="AE10" i="12"/>
  <c r="AF10" i="12" s="1"/>
  <c r="AG10" i="12" s="1"/>
  <c r="AE59" i="12"/>
  <c r="AF59" i="12" s="1"/>
  <c r="AG59" i="12" s="1"/>
  <c r="AE43" i="12"/>
  <c r="AF43" i="12" s="1"/>
  <c r="AG43" i="12" s="1"/>
  <c r="AE27" i="12"/>
  <c r="AF27" i="12" s="1"/>
  <c r="AG27" i="12" s="1"/>
  <c r="E63" i="12"/>
  <c r="J63" i="12" s="1"/>
  <c r="E55" i="12"/>
  <c r="J55" i="12" s="1"/>
  <c r="E39" i="12"/>
  <c r="E47" i="12"/>
  <c r="J47" i="12" s="1"/>
  <c r="E31" i="12"/>
  <c r="E67" i="12"/>
  <c r="J67" i="12" s="1"/>
  <c r="E54" i="12"/>
  <c r="E35" i="12"/>
  <c r="E3" i="12"/>
  <c r="E19" i="12"/>
  <c r="J19" i="12" s="1"/>
  <c r="E23" i="12"/>
  <c r="E11" i="12"/>
  <c r="E15" i="12"/>
  <c r="J15" i="12" s="1"/>
  <c r="E62" i="12"/>
  <c r="J62" i="12" s="1"/>
  <c r="E66" i="12"/>
  <c r="E7" i="12"/>
  <c r="E9" i="12"/>
  <c r="J9" i="12" s="1"/>
  <c r="E64" i="12"/>
  <c r="J64" i="12" s="1"/>
  <c r="E57" i="12"/>
  <c r="E41" i="12"/>
  <c r="E25" i="12"/>
  <c r="E68" i="12"/>
  <c r="J68" i="12" s="1"/>
  <c r="E52" i="12"/>
  <c r="J52" i="12" s="1"/>
  <c r="E36" i="12"/>
  <c r="E20" i="12"/>
  <c r="J20" i="12" s="1"/>
  <c r="E26" i="12"/>
  <c r="J26" i="12" s="1"/>
  <c r="E22" i="12"/>
  <c r="J22" i="12" s="1"/>
  <c r="E12" i="12"/>
  <c r="E16" i="12"/>
  <c r="J16" i="12" s="1"/>
  <c r="E13" i="12"/>
  <c r="J13" i="12" s="1"/>
  <c r="E24" i="12"/>
  <c r="J24" i="12" s="1"/>
  <c r="E48" i="12"/>
  <c r="J48" i="12" s="1"/>
  <c r="E21" i="12"/>
  <c r="J21" i="12" s="1"/>
  <c r="E10" i="12"/>
  <c r="J10" i="12" s="1"/>
  <c r="E4" i="12"/>
  <c r="J4" i="12" s="1"/>
  <c r="E40" i="12"/>
  <c r="E32" i="12"/>
  <c r="J32" i="12" s="1"/>
  <c r="N66" i="2"/>
  <c r="E49" i="12"/>
  <c r="N34" i="2"/>
  <c r="E17" i="12"/>
  <c r="J17" i="12" s="1"/>
  <c r="E38" i="12"/>
  <c r="J38" i="12" s="1"/>
  <c r="E8" i="12"/>
  <c r="J8" i="12" s="1"/>
  <c r="E6" i="12"/>
  <c r="E50" i="12"/>
  <c r="J50" i="12" s="1"/>
  <c r="E69" i="12"/>
  <c r="J69" i="12" s="1"/>
  <c r="E61" i="12"/>
  <c r="J61" i="12" s="1"/>
  <c r="E53" i="12"/>
  <c r="E45" i="12"/>
  <c r="J45" i="12" s="1"/>
  <c r="E37" i="12"/>
  <c r="J37" i="12" s="1"/>
  <c r="E29" i="12"/>
  <c r="E60" i="12"/>
  <c r="J60" i="12" s="1"/>
  <c r="E44" i="12"/>
  <c r="J44" i="12" s="1"/>
  <c r="E28" i="12"/>
  <c r="J28" i="12" s="1"/>
  <c r="E18" i="12"/>
  <c r="E42" i="12"/>
  <c r="J42" i="12" s="1"/>
  <c r="E14" i="12"/>
  <c r="J14" i="12" s="1"/>
  <c r="E34" i="12"/>
  <c r="J34" i="12" s="1"/>
  <c r="E5" i="12"/>
  <c r="J5" i="12" s="1"/>
  <c r="N59" i="2"/>
  <c r="N47" i="2"/>
  <c r="N57" i="2"/>
  <c r="N31" i="2"/>
  <c r="E65" i="12"/>
  <c r="E33" i="12"/>
  <c r="J33" i="12" s="1"/>
  <c r="E58" i="12"/>
  <c r="J58" i="12" s="1"/>
  <c r="E46" i="12"/>
  <c r="E30" i="12"/>
  <c r="J30" i="12" s="1"/>
  <c r="N52" i="2"/>
  <c r="N10" i="2"/>
  <c r="E56" i="12"/>
  <c r="J56" i="12" s="1"/>
  <c r="E51" i="12"/>
  <c r="N4" i="4"/>
  <c r="O4" i="4" s="1"/>
  <c r="N27" i="2"/>
  <c r="N49" i="2"/>
  <c r="N20" i="2"/>
  <c r="N38" i="2"/>
  <c r="N63" i="2"/>
  <c r="N54" i="2"/>
  <c r="N29" i="2"/>
  <c r="N43" i="2"/>
  <c r="N18" i="2"/>
  <c r="N37" i="2"/>
  <c r="N58" i="2"/>
  <c r="N26" i="2"/>
  <c r="N48" i="2"/>
  <c r="N40" i="2"/>
  <c r="N8" i="2"/>
  <c r="N12" i="2"/>
  <c r="N16" i="2"/>
  <c r="N61" i="2"/>
  <c r="N45" i="2"/>
  <c r="N19" i="2"/>
  <c r="N67" i="2"/>
  <c r="N25" i="2"/>
  <c r="N68" i="2"/>
  <c r="N44" i="2"/>
  <c r="N22" i="2"/>
  <c r="N55" i="2"/>
  <c r="N4" i="2"/>
  <c r="N65" i="2"/>
  <c r="N33" i="2"/>
  <c r="N35" i="2"/>
  <c r="N50" i="2"/>
  <c r="N42" i="2"/>
  <c r="N69" i="2"/>
  <c r="N53" i="2"/>
  <c r="N13" i="2"/>
  <c r="N39" i="2"/>
  <c r="N9" i="2"/>
  <c r="N41" i="2"/>
  <c r="N6" i="2"/>
  <c r="N51" i="2"/>
  <c r="N56" i="2"/>
  <c r="N24" i="2"/>
  <c r="N70" i="2"/>
  <c r="N46" i="2"/>
  <c r="N21" i="2"/>
  <c r="N36" i="2"/>
  <c r="N23" i="2"/>
  <c r="N4" i="5"/>
  <c r="O4" i="5" s="1"/>
  <c r="N32" i="2"/>
  <c r="N15" i="2"/>
  <c r="N64" i="2"/>
  <c r="N62" i="2"/>
  <c r="N30" i="2"/>
  <c r="N14" i="2"/>
  <c r="N7" i="2"/>
  <c r="N60" i="2"/>
  <c r="N28" i="2"/>
  <c r="N11" i="2"/>
  <c r="N5" i="2"/>
  <c r="N3" i="2"/>
  <c r="O3" i="2" s="1"/>
  <c r="N17" i="2"/>
  <c r="O5" i="2" l="1"/>
  <c r="O64" i="2"/>
  <c r="O70" i="2"/>
  <c r="O13" i="2"/>
  <c r="O4" i="2"/>
  <c r="A4" i="29"/>
  <c r="D4" i="29" s="1"/>
  <c r="E4" i="29" s="1"/>
  <c r="F4" i="29" s="1"/>
  <c r="O45" i="2"/>
  <c r="O58" i="2"/>
  <c r="O20" i="2"/>
  <c r="O59" i="2"/>
  <c r="O34" i="2"/>
  <c r="O11" i="2"/>
  <c r="O15" i="2"/>
  <c r="O24" i="2"/>
  <c r="O53" i="2"/>
  <c r="O55" i="2"/>
  <c r="O61" i="2"/>
  <c r="O37" i="2"/>
  <c r="O49" i="2"/>
  <c r="O28" i="2"/>
  <c r="O32" i="2"/>
  <c r="O9" i="2"/>
  <c r="O22" i="2"/>
  <c r="O63" i="2"/>
  <c r="AF47" i="17"/>
  <c r="O7" i="2"/>
  <c r="O23" i="2"/>
  <c r="O6" i="2"/>
  <c r="O50" i="2"/>
  <c r="O68" i="2"/>
  <c r="O8" i="2"/>
  <c r="O29" i="2"/>
  <c r="O14" i="2"/>
  <c r="O36" i="2"/>
  <c r="O41" i="2"/>
  <c r="O35" i="2"/>
  <c r="O25" i="2"/>
  <c r="O40" i="2"/>
  <c r="O54" i="2"/>
  <c r="O31" i="2"/>
  <c r="O17" i="2"/>
  <c r="O30" i="2"/>
  <c r="O21" i="2"/>
  <c r="O56" i="2"/>
  <c r="O69" i="2"/>
  <c r="O33" i="2"/>
  <c r="O67" i="2"/>
  <c r="O16" i="2"/>
  <c r="O48" i="2"/>
  <c r="O18" i="2"/>
  <c r="O27" i="2"/>
  <c r="O10" i="2"/>
  <c r="O57" i="2"/>
  <c r="O66" i="2"/>
  <c r="AZ15" i="20"/>
  <c r="AZ47" i="20"/>
  <c r="Z36" i="17"/>
  <c r="AL49" i="17"/>
  <c r="O60" i="2"/>
  <c r="O62" i="2"/>
  <c r="O46" i="2"/>
  <c r="O51" i="2"/>
  <c r="O39" i="2"/>
  <c r="O42" i="2"/>
  <c r="O65" i="2"/>
  <c r="O44" i="2"/>
  <c r="O19" i="2"/>
  <c r="O12" i="2"/>
  <c r="O26" i="2"/>
  <c r="O43" i="2"/>
  <c r="O38" i="2"/>
  <c r="O52" i="2"/>
  <c r="O47" i="2"/>
  <c r="AX66" i="17"/>
  <c r="AZ7" i="20"/>
  <c r="Z43" i="17"/>
  <c r="AR62" i="17"/>
  <c r="Z55" i="17"/>
  <c r="J3" i="12"/>
  <c r="J51" i="12"/>
  <c r="J6" i="12"/>
  <c r="J40" i="12"/>
  <c r="J12" i="12"/>
  <c r="J41" i="12"/>
  <c r="J11" i="12"/>
  <c r="AS30" i="19"/>
  <c r="BR39" i="20"/>
  <c r="T59" i="17"/>
  <c r="BJ40" i="17"/>
  <c r="BE4" i="19"/>
  <c r="BK62" i="19"/>
  <c r="AF33" i="17"/>
  <c r="BX69" i="20"/>
  <c r="AS27" i="19"/>
  <c r="BX55" i="20"/>
  <c r="AL51" i="17"/>
  <c r="AL28" i="17"/>
  <c r="BV44" i="17"/>
  <c r="BF37" i="20"/>
  <c r="BK45" i="19"/>
  <c r="AB24" i="20"/>
  <c r="BQ8" i="19"/>
  <c r="AF16" i="17"/>
  <c r="BV46" i="17"/>
  <c r="BF46" i="20"/>
  <c r="AZ5" i="20"/>
  <c r="BX12" i="20"/>
  <c r="V12" i="20"/>
  <c r="AR58" i="17"/>
  <c r="J25" i="12"/>
  <c r="J31" i="12"/>
  <c r="J65" i="12"/>
  <c r="J53" i="12"/>
  <c r="J36" i="12"/>
  <c r="J7" i="12"/>
  <c r="J35" i="12"/>
  <c r="AT9" i="20"/>
  <c r="AA64" i="19"/>
  <c r="AY57" i="19"/>
  <c r="V23" i="20"/>
  <c r="AL35" i="17"/>
  <c r="BR9" i="20"/>
  <c r="AH54" i="20"/>
  <c r="BX23" i="20"/>
  <c r="AZ63" i="20"/>
  <c r="T50" i="17"/>
  <c r="T67" i="17"/>
  <c r="BQ18" i="19"/>
  <c r="V37" i="20"/>
  <c r="AA37" i="19"/>
  <c r="AX45" i="17"/>
  <c r="BD45" i="17"/>
  <c r="T24" i="17"/>
  <c r="BV16" i="17"/>
  <c r="AZ16" i="20"/>
  <c r="AG46" i="19"/>
  <c r="BF64" i="20"/>
  <c r="J46" i="12"/>
  <c r="J18" i="12"/>
  <c r="J29" i="12"/>
  <c r="J49" i="12"/>
  <c r="J57" i="12"/>
  <c r="J66" i="12"/>
  <c r="J23" i="12"/>
  <c r="J54" i="12"/>
  <c r="J39" i="12"/>
  <c r="BL22" i="20"/>
  <c r="BL30" i="20"/>
  <c r="BL38" i="20"/>
  <c r="BL62" i="20"/>
  <c r="BD7" i="17"/>
  <c r="AT15" i="20"/>
  <c r="BR19" i="20"/>
  <c r="AT23" i="20"/>
  <c r="BV23" i="17"/>
  <c r="BF27" i="20"/>
  <c r="V31" i="20"/>
  <c r="BR47" i="20"/>
  <c r="AB51" i="20"/>
  <c r="AX51" i="17"/>
  <c r="BR55" i="20"/>
  <c r="AM59" i="19"/>
  <c r="AL42" i="17"/>
  <c r="T48" i="17"/>
  <c r="BQ35" i="19"/>
  <c r="AF35" i="17"/>
  <c r="AL47" i="17"/>
  <c r="BD54" i="17"/>
  <c r="AX52" i="17"/>
  <c r="AR13" i="17"/>
  <c r="BJ37" i="17"/>
  <c r="AX6" i="17"/>
  <c r="AR38" i="17"/>
  <c r="BP46" i="17"/>
  <c r="AN58" i="20"/>
  <c r="AZ66" i="20"/>
  <c r="BQ57" i="19"/>
  <c r="AG65" i="19"/>
  <c r="V69" i="20"/>
  <c r="BE7" i="19"/>
  <c r="AL7" i="17"/>
  <c r="BX31" i="20"/>
  <c r="BJ39" i="17"/>
  <c r="AB55" i="20"/>
  <c r="AA63" i="19"/>
  <c r="BX63" i="20"/>
  <c r="AF60" i="17"/>
  <c r="Z53" i="17"/>
  <c r="AL50" i="17"/>
  <c r="BQ36" i="19"/>
  <c r="AR67" i="17"/>
  <c r="Z34" i="17"/>
  <c r="BE34" i="19"/>
  <c r="BJ34" i="17"/>
  <c r="V34" i="20"/>
  <c r="U14" i="19"/>
  <c r="BJ14" i="17"/>
  <c r="AT14" i="20"/>
  <c r="BL49" i="20"/>
  <c r="BL29" i="20"/>
  <c r="T61" i="17"/>
  <c r="AL57" i="17"/>
  <c r="AM62" i="19"/>
  <c r="T18" i="17"/>
  <c r="AS18" i="19"/>
  <c r="BR18" i="20"/>
  <c r="U18" i="19"/>
  <c r="BR28" i="20"/>
  <c r="BW28" i="19"/>
  <c r="BR44" i="20"/>
  <c r="BW44" i="19"/>
  <c r="AS44" i="19"/>
  <c r="Z30" i="17"/>
  <c r="BK30" i="19"/>
  <c r="T30" i="17"/>
  <c r="V30" i="20"/>
  <c r="BD37" i="17"/>
  <c r="BK37" i="19"/>
  <c r="U45" i="19"/>
  <c r="AY45" i="19"/>
  <c r="AX63" i="17"/>
  <c r="T63" i="17"/>
  <c r="BK24" i="19"/>
  <c r="AZ24" i="20"/>
  <c r="AL43" i="17"/>
  <c r="AS16" i="19"/>
  <c r="AR16" i="17"/>
  <c r="T16" i="17"/>
  <c r="AB16" i="20"/>
  <c r="BJ46" i="17"/>
  <c r="BK46" i="19"/>
  <c r="AN46" i="20"/>
  <c r="BD5" i="17"/>
  <c r="AM5" i="19"/>
  <c r="AF62" i="17"/>
  <c r="BP64" i="17"/>
  <c r="BX64" i="20"/>
  <c r="AZ27" i="20"/>
  <c r="AX55" i="17"/>
  <c r="T33" i="17"/>
  <c r="AT65" i="20"/>
  <c r="U69" i="19"/>
  <c r="BJ11" i="17"/>
  <c r="AX23" i="17"/>
  <c r="AR12" i="17"/>
  <c r="BE12" i="19"/>
  <c r="BV12" i="17"/>
  <c r="BR17" i="20"/>
  <c r="AY52" i="19"/>
  <c r="AM65" i="19"/>
  <c r="AA69" i="19"/>
  <c r="BF9" i="20"/>
  <c r="AG9" i="19"/>
  <c r="BK9" i="19"/>
  <c r="Z9" i="17"/>
  <c r="AX59" i="17"/>
  <c r="BF40" i="20"/>
  <c r="V40" i="20"/>
  <c r="AH4" i="20"/>
  <c r="AS4" i="19"/>
  <c r="AL4" i="17"/>
  <c r="Z4" i="17"/>
  <c r="AM54" i="19"/>
  <c r="BX54" i="20"/>
  <c r="BF54" i="20"/>
  <c r="AT25" i="20"/>
  <c r="AT20" i="20"/>
  <c r="AH60" i="20"/>
  <c r="V13" i="20"/>
  <c r="V14" i="20"/>
  <c r="AB22" i="20"/>
  <c r="BJ62" i="17"/>
  <c r="AZ45" i="20"/>
  <c r="AZ57" i="20"/>
  <c r="AS7" i="19"/>
  <c r="AR7" i="17"/>
  <c r="BE27" i="19"/>
  <c r="BV27" i="17"/>
  <c r="BE43" i="19"/>
  <c r="AA51" i="19"/>
  <c r="BX51" i="20"/>
  <c r="BP55" i="17"/>
  <c r="AA67" i="19"/>
  <c r="AR60" i="17"/>
  <c r="AR50" i="17"/>
  <c r="AF50" i="17"/>
  <c r="AZ19" i="20"/>
  <c r="T51" i="17"/>
  <c r="AM34" i="19"/>
  <c r="BQ34" i="19"/>
  <c r="BP34" i="17"/>
  <c r="BX14" i="20"/>
  <c r="AF49" i="17"/>
  <c r="BW29" i="19"/>
  <c r="AR61" i="17"/>
  <c r="AX61" i="17"/>
  <c r="BP62" i="17"/>
  <c r="BF62" i="20"/>
  <c r="AL18" i="17"/>
  <c r="BE18" i="19"/>
  <c r="AH18" i="20"/>
  <c r="V28" i="20"/>
  <c r="AB28" i="20"/>
  <c r="AX28" i="17"/>
  <c r="AM28" i="19"/>
  <c r="AN44" i="20"/>
  <c r="BJ44" i="17"/>
  <c r="AY44" i="19"/>
  <c r="BW30" i="19"/>
  <c r="BV30" i="17"/>
  <c r="BW37" i="19"/>
  <c r="AG37" i="19"/>
  <c r="BP37" i="17"/>
  <c r="AT37" i="20"/>
  <c r="AH45" i="20"/>
  <c r="AN45" i="20"/>
  <c r="AX24" i="17"/>
  <c r="U24" i="19"/>
  <c r="BW24" i="19"/>
  <c r="AA24" i="19"/>
  <c r="BL24" i="20"/>
  <c r="AZ39" i="20"/>
  <c r="AL39" i="17"/>
  <c r="BE16" i="19"/>
  <c r="AN16" i="20"/>
  <c r="BW46" i="19"/>
  <c r="AT46" i="20"/>
  <c r="BV5" i="17"/>
  <c r="AT64" i="20"/>
  <c r="AM64" i="19"/>
  <c r="BJ64" i="17"/>
  <c r="AY64" i="19"/>
  <c r="AF55" i="17"/>
  <c r="AG17" i="19"/>
  <c r="BL52" i="20"/>
  <c r="AX37" i="17"/>
  <c r="BL34" i="20"/>
  <c r="AX46" i="17"/>
  <c r="AB33" i="20"/>
  <c r="AS65" i="19"/>
  <c r="BE69" i="19"/>
  <c r="BL3" i="20"/>
  <c r="AG11" i="19"/>
  <c r="BL11" i="20"/>
  <c r="AA23" i="19"/>
  <c r="T38" i="17"/>
  <c r="AL68" i="17"/>
  <c r="BF12" i="20"/>
  <c r="AG12" i="19"/>
  <c r="BQ12" i="19"/>
  <c r="BF65" i="20"/>
  <c r="BW69" i="19"/>
  <c r="AR52" i="17"/>
  <c r="Z41" i="17"/>
  <c r="J43" i="12"/>
  <c r="J27" i="12"/>
  <c r="J59" i="12"/>
  <c r="BX66" i="20"/>
  <c r="AH32" i="20"/>
  <c r="BP32" i="17"/>
  <c r="AG66" i="19"/>
  <c r="BR24" i="20"/>
  <c r="AZ48" i="20"/>
  <c r="BL56" i="20"/>
  <c r="BL6" i="20"/>
  <c r="BL14" i="20"/>
  <c r="BL54" i="20"/>
  <c r="V57" i="20"/>
  <c r="BR69" i="20"/>
  <c r="BR3" i="20"/>
  <c r="BR11" i="20"/>
  <c r="BJ15" i="17"/>
  <c r="BF35" i="20"/>
  <c r="AN39" i="20"/>
  <c r="AH43" i="20"/>
  <c r="AX43" i="17"/>
  <c r="BQ42" i="19"/>
  <c r="BQ9" i="19"/>
  <c r="AM40" i="19"/>
  <c r="AY40" i="19"/>
  <c r="BJ4" i="17"/>
  <c r="U54" i="19"/>
  <c r="AZ52" i="20"/>
  <c r="AS37" i="19"/>
  <c r="AA30" i="19"/>
  <c r="BX65" i="20"/>
  <c r="Z11" i="17"/>
  <c r="AG19" i="19"/>
  <c r="BX19" i="20"/>
  <c r="AS23" i="19"/>
  <c r="AZ55" i="20"/>
  <c r="BX67" i="20"/>
  <c r="Z51" i="17"/>
  <c r="BW34" i="19"/>
  <c r="AB14" i="20"/>
  <c r="BE62" i="19"/>
  <c r="BQ62" i="19"/>
  <c r="BD62" i="17"/>
  <c r="AF28" i="17"/>
  <c r="AH28" i="20"/>
  <c r="AA44" i="19"/>
  <c r="AT30" i="20"/>
  <c r="BQ37" i="19"/>
  <c r="BJ45" i="17"/>
  <c r="BR45" i="20"/>
  <c r="AM45" i="19"/>
  <c r="AF56" i="17"/>
  <c r="AY16" i="19"/>
  <c r="AB10" i="20"/>
  <c r="AY46" i="19"/>
  <c r="BD46" i="17"/>
  <c r="BR5" i="20"/>
  <c r="U5" i="19"/>
  <c r="AG5" i="19"/>
  <c r="BQ38" i="19"/>
  <c r="BP12" i="17"/>
  <c r="AZ12" i="20"/>
  <c r="AT32" i="20"/>
  <c r="BV64" i="17"/>
  <c r="BX3" i="27"/>
  <c r="AH3" i="27"/>
  <c r="AT3" i="27"/>
  <c r="AN3" i="27"/>
  <c r="BF3" i="27"/>
  <c r="AB3" i="27"/>
  <c r="AZ3" i="27"/>
  <c r="BL3" i="27"/>
  <c r="V3" i="27"/>
  <c r="E86" i="24" s="1"/>
  <c r="AN3" i="26"/>
  <c r="AR3" i="12"/>
  <c r="BR3" i="26"/>
  <c r="AT3" i="26"/>
  <c r="BX3" i="26"/>
  <c r="AH3" i="26"/>
  <c r="BF3" i="26"/>
  <c r="BL3" i="26"/>
  <c r="AZ3" i="26"/>
  <c r="V3" i="26"/>
  <c r="G86" i="24" s="1"/>
  <c r="BR16" i="20"/>
  <c r="V42" i="20"/>
  <c r="BF7" i="20"/>
  <c r="AT31" i="20"/>
  <c r="T42" i="17"/>
  <c r="AX9" i="17"/>
  <c r="AN9" i="20"/>
  <c r="AS40" i="19"/>
  <c r="BW54" i="19"/>
  <c r="AS3" i="19"/>
  <c r="AM31" i="19"/>
  <c r="BE67" i="19"/>
  <c r="AT62" i="20"/>
  <c r="Z18" i="17"/>
  <c r="BL28" i="20"/>
  <c r="U44" i="19"/>
  <c r="AN10" i="20"/>
  <c r="AS55" i="19"/>
  <c r="T47" i="17"/>
  <c r="BL40" i="20"/>
  <c r="BR61" i="20"/>
  <c r="AL30" i="17"/>
  <c r="BP65" i="17"/>
  <c r="AX3" i="17"/>
  <c r="T19" i="17"/>
  <c r="BW62" i="19"/>
  <c r="AY18" i="19"/>
  <c r="AG28" i="19"/>
  <c r="AH52" i="20"/>
  <c r="AN26" i="20"/>
  <c r="AB50" i="20"/>
  <c r="BF43" i="20"/>
  <c r="BV9" i="17"/>
  <c r="AA40" i="19"/>
  <c r="BE64" i="19"/>
  <c r="AX22" i="17"/>
  <c r="BW14" i="19"/>
  <c r="AG44" i="19"/>
  <c r="BD30" i="17"/>
  <c r="AH37" i="20"/>
  <c r="AL3" i="17"/>
  <c r="AB23" i="20"/>
  <c r="AY12" i="19"/>
  <c r="BE58" i="19"/>
  <c r="BW65" i="19"/>
  <c r="T41" i="17"/>
  <c r="BJ18" i="17"/>
  <c r="AF34" i="17"/>
  <c r="AY65" i="19"/>
  <c r="AT3" i="20"/>
  <c r="BR7" i="20"/>
  <c r="AR27" i="17"/>
  <c r="BF31" i="20"/>
  <c r="BQ15" i="19"/>
  <c r="BQ48" i="19"/>
  <c r="BQ47" i="19"/>
  <c r="AR47" i="17"/>
  <c r="AS9" i="19"/>
  <c r="BP9" i="17"/>
  <c r="Z59" i="17"/>
  <c r="AZ40" i="20"/>
  <c r="AR4" i="17"/>
  <c r="BK4" i="19"/>
  <c r="AX4" i="17"/>
  <c r="AZ4" i="20"/>
  <c r="BJ54" i="17"/>
  <c r="AZ54" i="20"/>
  <c r="AS54" i="19"/>
  <c r="V8" i="20"/>
  <c r="BP44" i="17"/>
  <c r="AZ29" i="20"/>
  <c r="AB53" i="20"/>
  <c r="AZ10" i="20"/>
  <c r="AZ18" i="20"/>
  <c r="AZ26" i="20"/>
  <c r="AZ50" i="20"/>
  <c r="BX57" i="20"/>
  <c r="AN65" i="20"/>
  <c r="AN69" i="20"/>
  <c r="BE3" i="19"/>
  <c r="V11" i="20"/>
  <c r="BX11" i="20"/>
  <c r="BE19" i="19"/>
  <c r="AA27" i="19"/>
  <c r="AB31" i="20"/>
  <c r="AY43" i="19"/>
  <c r="BQ55" i="19"/>
  <c r="BE63" i="19"/>
  <c r="V67" i="20"/>
  <c r="AR53" i="17"/>
  <c r="Z50" i="17"/>
  <c r="AL36" i="17"/>
  <c r="AF51" i="17"/>
  <c r="AL67" i="17"/>
  <c r="BV34" i="17"/>
  <c r="AY34" i="19"/>
  <c r="BR34" i="20"/>
  <c r="AS34" i="19"/>
  <c r="BW66" i="19"/>
  <c r="BV14" i="17"/>
  <c r="BK14" i="19"/>
  <c r="AX57" i="17"/>
  <c r="Z57" i="17"/>
  <c r="BV62" i="17"/>
  <c r="AS62" i="19"/>
  <c r="AB18" i="20"/>
  <c r="BQ28" i="19"/>
  <c r="BJ28" i="17"/>
  <c r="AZ28" i="20"/>
  <c r="AM44" i="19"/>
  <c r="BQ44" i="19"/>
  <c r="AZ44" i="20"/>
  <c r="BP30" i="17"/>
  <c r="BR30" i="20"/>
  <c r="U30" i="19"/>
  <c r="AY37" i="19"/>
  <c r="AB37" i="20"/>
  <c r="U37" i="19"/>
  <c r="BQ45" i="19"/>
  <c r="AT45" i="20"/>
  <c r="BL44" i="20"/>
  <c r="BE30" i="19"/>
  <c r="BX45" i="20"/>
  <c r="BQ20" i="19"/>
  <c r="BJ24" i="17"/>
  <c r="BF16" i="20"/>
  <c r="BK64" i="19"/>
  <c r="AN38" i="20"/>
  <c r="AM58" i="19"/>
  <c r="BJ65" i="17"/>
  <c r="BD68" i="17"/>
  <c r="Z12" i="17"/>
  <c r="BP28" i="17"/>
  <c r="AZ33" i="20"/>
  <c r="AF4" i="17"/>
  <c r="BJ29" i="17"/>
  <c r="BD50" i="17"/>
  <c r="BJ21" i="17"/>
  <c r="BF69" i="20"/>
  <c r="Z3" i="17"/>
  <c r="AT11" i="20"/>
  <c r="AH27" i="20"/>
  <c r="AH35" i="20"/>
  <c r="BR43" i="20"/>
  <c r="V47" i="20"/>
  <c r="BR51" i="20"/>
  <c r="BF59" i="20"/>
  <c r="AY56" i="19"/>
  <c r="AM37" i="19"/>
  <c r="V6" i="20"/>
  <c r="AA14" i="19"/>
  <c r="U22" i="19"/>
  <c r="AS38" i="19"/>
  <c r="AY62" i="19"/>
  <c r="AH65" i="20"/>
  <c r="AH69" i="20"/>
  <c r="BF3" i="20"/>
  <c r="AH7" i="20"/>
  <c r="AF7" i="17"/>
  <c r="BF11" i="20"/>
  <c r="BF19" i="20"/>
  <c r="Z23" i="17"/>
  <c r="AX27" i="17"/>
  <c r="BR31" i="20"/>
  <c r="AT35" i="20"/>
  <c r="BP35" i="17"/>
  <c r="V43" i="20"/>
  <c r="BJ43" i="17"/>
  <c r="AY51" i="19"/>
  <c r="BD51" i="17"/>
  <c r="BF55" i="20"/>
  <c r="AG59" i="19"/>
  <c r="BR59" i="20"/>
  <c r="AG63" i="19"/>
  <c r="AL48" i="17"/>
  <c r="Z48" i="17"/>
  <c r="Z35" i="17"/>
  <c r="T35" i="17"/>
  <c r="BX9" i="20"/>
  <c r="V9" i="20"/>
  <c r="U9" i="19"/>
  <c r="AN40" i="20"/>
  <c r="BE40" i="19"/>
  <c r="AB40" i="20"/>
  <c r="BD4" i="17"/>
  <c r="BV4" i="17"/>
  <c r="AY4" i="19"/>
  <c r="AN4" i="20"/>
  <c r="AN54" i="20"/>
  <c r="BR54" i="20"/>
  <c r="AY54" i="19"/>
  <c r="T12" i="17"/>
  <c r="BP29" i="17"/>
  <c r="AX53" i="17"/>
  <c r="AL10" i="17"/>
  <c r="AX18" i="17"/>
  <c r="AL26" i="17"/>
  <c r="AX50" i="17"/>
  <c r="T5" i="17"/>
  <c r="BJ57" i="17"/>
  <c r="AG69" i="19"/>
  <c r="AS11" i="19"/>
  <c r="AG23" i="19"/>
  <c r="T27" i="17"/>
  <c r="AS39" i="19"/>
  <c r="AX56" i="17"/>
  <c r="AB7" i="20"/>
  <c r="BE24" i="19"/>
  <c r="AL24" i="17"/>
  <c r="T43" i="17"/>
  <c r="AB8" i="20"/>
  <c r="AL16" i="17"/>
  <c r="BW16" i="19"/>
  <c r="AG16" i="19"/>
  <c r="AH46" i="20"/>
  <c r="AA46" i="19"/>
  <c r="BP5" i="17"/>
  <c r="AT5" i="20"/>
  <c r="AG64" i="19"/>
  <c r="BQ64" i="19"/>
  <c r="AN64" i="20"/>
  <c r="AA5" i="19"/>
  <c r="AR55" i="17"/>
  <c r="AN6" i="20"/>
  <c r="BL18" i="20"/>
  <c r="BL58" i="20"/>
  <c r="AN23" i="20"/>
  <c r="AL38" i="17"/>
  <c r="AM12" i="19"/>
  <c r="BJ12" i="17"/>
  <c r="BF32" i="20"/>
  <c r="U41" i="19"/>
  <c r="Z33" i="17"/>
  <c r="Z52" i="17"/>
  <c r="BX39" i="20"/>
  <c r="AR43" i="17"/>
  <c r="BQ51" i="19"/>
  <c r="BQ67" i="19"/>
  <c r="AL53" i="17"/>
  <c r="AF53" i="17"/>
  <c r="AX34" i="17"/>
  <c r="AB34" i="20"/>
  <c r="AG34" i="19"/>
  <c r="BF34" i="20"/>
  <c r="AH66" i="20"/>
  <c r="AT66" i="20"/>
  <c r="AR14" i="17"/>
  <c r="AY14" i="19"/>
  <c r="AF14" i="17"/>
  <c r="AS14" i="19"/>
  <c r="AG14" i="19"/>
  <c r="AL61" i="17"/>
  <c r="Z61" i="17"/>
  <c r="T57" i="17"/>
  <c r="V62" i="20"/>
  <c r="BX62" i="20"/>
  <c r="BR62" i="20"/>
  <c r="AA62" i="19"/>
  <c r="BW18" i="19"/>
  <c r="AG18" i="19"/>
  <c r="BP18" i="17"/>
  <c r="T28" i="17"/>
  <c r="BE28" i="19"/>
  <c r="AN28" i="20"/>
  <c r="BD44" i="17"/>
  <c r="BE44" i="19"/>
  <c r="AX44" i="17"/>
  <c r="AH44" i="20"/>
  <c r="AF30" i="17"/>
  <c r="AB30" i="20"/>
  <c r="BX30" i="20"/>
  <c r="BF30" i="20"/>
  <c r="BX37" i="20"/>
  <c r="BE45" i="19"/>
  <c r="BP45" i="17"/>
  <c r="AB45" i="20"/>
  <c r="AL56" i="17"/>
  <c r="Z54" i="17"/>
  <c r="AR63" i="17"/>
  <c r="BD20" i="17"/>
  <c r="BF24" i="20"/>
  <c r="AS24" i="19"/>
  <c r="BV24" i="17"/>
  <c r="AH24" i="20"/>
  <c r="AT16" i="20"/>
  <c r="BK16" i="19"/>
  <c r="BP16" i="17"/>
  <c r="AS46" i="19"/>
  <c r="BX46" i="20"/>
  <c r="BK5" i="19"/>
  <c r="Z5" i="17"/>
  <c r="AH5" i="20"/>
  <c r="AZ64" i="20"/>
  <c r="AM52" i="19"/>
  <c r="BJ30" i="17"/>
  <c r="BK65" i="19"/>
  <c r="BL65" i="20"/>
  <c r="AF3" i="17"/>
  <c r="AZ23" i="20"/>
  <c r="BP23" i="17"/>
  <c r="Z38" i="17"/>
  <c r="Z68" i="17"/>
  <c r="BW12" i="19"/>
  <c r="U12" i="19"/>
  <c r="BL12" i="20"/>
  <c r="AA12" i="19"/>
  <c r="BL32" i="20"/>
  <c r="AA32" i="19"/>
  <c r="V64" i="20"/>
  <c r="AZ37" i="20"/>
  <c r="AZ46" i="20"/>
  <c r="AA45" i="19"/>
  <c r="AZ65" i="20"/>
  <c r="AB69" i="20"/>
  <c r="Z58" i="17"/>
  <c r="AF58" i="17"/>
  <c r="BQ41" i="19"/>
  <c r="AL41" i="17"/>
  <c r="AF41" i="17"/>
  <c r="AZ21" i="20"/>
  <c r="Z47" i="17"/>
  <c r="AL59" i="17"/>
  <c r="AZ42" i="20"/>
  <c r="AX21" i="17"/>
  <c r="BE15" i="19"/>
  <c r="T15" i="17"/>
  <c r="AS35" i="19"/>
  <c r="BX35" i="20"/>
  <c r="AF59" i="17"/>
  <c r="BW48" i="19"/>
  <c r="AX42" i="17"/>
  <c r="AR59" i="17"/>
  <c r="V15" i="20"/>
  <c r="BX15" i="20"/>
  <c r="BE35" i="19"/>
  <c r="BV35" i="17"/>
  <c r="BE47" i="19"/>
  <c r="BP47" i="17"/>
  <c r="U59" i="19"/>
  <c r="BX59" i="20"/>
  <c r="BD67" i="17"/>
  <c r="AB66" i="20"/>
  <c r="AA66" i="19"/>
  <c r="BD14" i="17"/>
  <c r="BL13" i="20"/>
  <c r="BD42" i="17"/>
  <c r="AB42" i="20"/>
  <c r="BX42" i="20"/>
  <c r="AS42" i="19"/>
  <c r="AR42" i="17"/>
  <c r="AT42" i="20"/>
  <c r="AF57" i="17"/>
  <c r="BW60" i="19"/>
  <c r="BK60" i="19"/>
  <c r="BJ60" i="17"/>
  <c r="AN60" i="20"/>
  <c r="BR60" i="20"/>
  <c r="AS60" i="19"/>
  <c r="AA29" i="19"/>
  <c r="AF29" i="17"/>
  <c r="BE29" i="19"/>
  <c r="BR29" i="20"/>
  <c r="U29" i="19"/>
  <c r="BW53" i="19"/>
  <c r="AY53" i="19"/>
  <c r="BD53" i="17"/>
  <c r="AZ53" i="20"/>
  <c r="BR53" i="20"/>
  <c r="AA53" i="19"/>
  <c r="BP61" i="17"/>
  <c r="AM61" i="19"/>
  <c r="AZ61" i="20"/>
  <c r="AS61" i="19"/>
  <c r="BQ40" i="19"/>
  <c r="AF40" i="17"/>
  <c r="T54" i="17"/>
  <c r="AH48" i="20"/>
  <c r="AB48" i="20"/>
  <c r="AT48" i="20"/>
  <c r="BX48" i="20"/>
  <c r="U48" i="19"/>
  <c r="BQ31" i="19"/>
  <c r="AF63" i="17"/>
  <c r="BW56" i="19"/>
  <c r="AS56" i="19"/>
  <c r="AT56" i="20"/>
  <c r="BR56" i="20"/>
  <c r="U56" i="19"/>
  <c r="AF13" i="17"/>
  <c r="AY13" i="19"/>
  <c r="BX13" i="20"/>
  <c r="AB13" i="20"/>
  <c r="AX13" i="17"/>
  <c r="AT13" i="20"/>
  <c r="Z62" i="17"/>
  <c r="AX10" i="17"/>
  <c r="BK10" i="19"/>
  <c r="T10" i="17"/>
  <c r="AS10" i="19"/>
  <c r="BF10" i="20"/>
  <c r="BP20" i="17"/>
  <c r="BL60" i="20"/>
  <c r="AX14" i="17"/>
  <c r="BD22" i="17"/>
  <c r="AG50" i="19"/>
  <c r="U21" i="19"/>
  <c r="U57" i="19"/>
  <c r="AN7" i="20"/>
  <c r="BP7" i="17"/>
  <c r="AN15" i="20"/>
  <c r="AX15" i="17"/>
  <c r="AA19" i="19"/>
  <c r="BL19" i="20"/>
  <c r="U27" i="19"/>
  <c r="BL27" i="20"/>
  <c r="AN31" i="20"/>
  <c r="AR31" i="17"/>
  <c r="AA35" i="19"/>
  <c r="BL35" i="20"/>
  <c r="V39" i="20"/>
  <c r="BP39" i="17"/>
  <c r="AG43" i="19"/>
  <c r="BL43" i="20"/>
  <c r="AT47" i="20"/>
  <c r="BJ47" i="17"/>
  <c r="U51" i="19"/>
  <c r="BL51" i="20"/>
  <c r="AT55" i="20"/>
  <c r="BJ55" i="17"/>
  <c r="AS59" i="19"/>
  <c r="BL59" i="20"/>
  <c r="AB63" i="20"/>
  <c r="AG67" i="19"/>
  <c r="BL67" i="20"/>
  <c r="AF38" i="17"/>
  <c r="BD24" i="17"/>
  <c r="BQ24" i="19"/>
  <c r="BQ11" i="19"/>
  <c r="BQ3" i="19"/>
  <c r="BX32" i="20"/>
  <c r="AM32" i="19"/>
  <c r="AY32" i="19"/>
  <c r="BQ23" i="19"/>
  <c r="BE23" i="19"/>
  <c r="BQ16" i="19"/>
  <c r="BP21" i="17"/>
  <c r="AB21" i="20"/>
  <c r="BQ21" i="19"/>
  <c r="AH21" i="20"/>
  <c r="BJ49" i="17"/>
  <c r="AT36" i="20"/>
  <c r="AX29" i="17"/>
  <c r="BE53" i="19"/>
  <c r="AR6" i="17"/>
  <c r="AZ14" i="20"/>
  <c r="T26" i="17"/>
  <c r="AY66" i="19"/>
  <c r="AX5" i="17"/>
  <c r="AM57" i="19"/>
  <c r="BW57" i="19"/>
  <c r="BK3" i="19"/>
  <c r="BV3" i="17"/>
  <c r="AM7" i="19"/>
  <c r="BJ7" i="17"/>
  <c r="BK11" i="19"/>
  <c r="AR11" i="17"/>
  <c r="AM15" i="19"/>
  <c r="BD15" i="17"/>
  <c r="BK19" i="19"/>
  <c r="AR19" i="17"/>
  <c r="AH23" i="20"/>
  <c r="BJ23" i="17"/>
  <c r="BK27" i="19"/>
  <c r="AF27" i="17"/>
  <c r="AH31" i="20"/>
  <c r="AF31" i="17"/>
  <c r="BK35" i="19"/>
  <c r="BD35" i="17"/>
  <c r="AA39" i="19"/>
  <c r="BK43" i="19"/>
  <c r="BP43" i="17"/>
  <c r="AA47" i="19"/>
  <c r="BV47" i="17"/>
  <c r="BK51" i="19"/>
  <c r="AA55" i="19"/>
  <c r="AZ59" i="20"/>
  <c r="BP59" i="17"/>
  <c r="AM63" i="19"/>
  <c r="BJ63" i="17"/>
  <c r="AN67" i="20"/>
  <c r="BV67" i="17"/>
  <c r="BQ46" i="19"/>
  <c r="AL46" i="17"/>
  <c r="AL52" i="17"/>
  <c r="T64" i="17"/>
  <c r="Z64" i="17"/>
  <c r="AL44" i="17"/>
  <c r="T37" i="17"/>
  <c r="BP22" i="17"/>
  <c r="BK22" i="19"/>
  <c r="AL22" i="17"/>
  <c r="AS22" i="19"/>
  <c r="BF22" i="20"/>
  <c r="AM50" i="19"/>
  <c r="BQ50" i="19"/>
  <c r="BP50" i="17"/>
  <c r="AA50" i="19"/>
  <c r="AR65" i="17"/>
  <c r="T65" i="17"/>
  <c r="BD26" i="17"/>
  <c r="BK26" i="19"/>
  <c r="BP26" i="17"/>
  <c r="AS26" i="19"/>
  <c r="BF26" i="20"/>
  <c r="BD58" i="17"/>
  <c r="AA58" i="19"/>
  <c r="BQ58" i="19"/>
  <c r="AG58" i="19"/>
  <c r="BR20" i="20"/>
  <c r="AL20" i="17"/>
  <c r="V20" i="20"/>
  <c r="AR20" i="17"/>
  <c r="AZ20" i="20"/>
  <c r="BW45" i="19"/>
  <c r="BD6" i="17"/>
  <c r="AM6" i="19"/>
  <c r="BQ6" i="19"/>
  <c r="AL6" i="17"/>
  <c r="AH6" i="20"/>
  <c r="AH8" i="20"/>
  <c r="AT8" i="20"/>
  <c r="AF8" i="17"/>
  <c r="BE8" i="19"/>
  <c r="BW8" i="19"/>
  <c r="U8" i="19"/>
  <c r="AN8" i="20"/>
  <c r="BW38" i="19"/>
  <c r="AM38" i="19"/>
  <c r="BP38" i="17"/>
  <c r="BE38" i="19"/>
  <c r="BR38" i="20"/>
  <c r="U38" i="19"/>
  <c r="AB12" i="20"/>
  <c r="BV36" i="17"/>
  <c r="AS36" i="19"/>
  <c r="AX36" i="17"/>
  <c r="BE36" i="19"/>
  <c r="BW36" i="19"/>
  <c r="AM36" i="19"/>
  <c r="AB36" i="20"/>
  <c r="BW52" i="19"/>
  <c r="AS52" i="19"/>
  <c r="BP52" i="17"/>
  <c r="AN52" i="20"/>
  <c r="BR52" i="20"/>
  <c r="BE52" i="19"/>
  <c r="BF68" i="20"/>
  <c r="BX68" i="20"/>
  <c r="BK68" i="19"/>
  <c r="V68" i="20"/>
  <c r="AX17" i="17"/>
  <c r="AR17" i="17"/>
  <c r="BQ17" i="19"/>
  <c r="AL17" i="17"/>
  <c r="AM17" i="19"/>
  <c r="BD17" i="17"/>
  <c r="AZ17" i="20"/>
  <c r="V25" i="20"/>
  <c r="AL25" i="17"/>
  <c r="AS25" i="19"/>
  <c r="T25" i="17"/>
  <c r="BK25" i="19"/>
  <c r="AR25" i="17"/>
  <c r="AH25" i="20"/>
  <c r="AX33" i="17"/>
  <c r="BK33" i="19"/>
  <c r="AR33" i="17"/>
  <c r="AN33" i="20"/>
  <c r="BF33" i="20"/>
  <c r="BF41" i="20"/>
  <c r="BX41" i="20"/>
  <c r="AA41" i="19"/>
  <c r="AB41" i="20"/>
  <c r="BL41" i="20"/>
  <c r="AG41" i="19"/>
  <c r="BP49" i="17"/>
  <c r="AG49" i="19"/>
  <c r="AT49" i="20"/>
  <c r="BW49" i="19"/>
  <c r="BE49" i="19"/>
  <c r="AN49" i="20"/>
  <c r="AB35" i="20"/>
  <c r="BE59" i="19"/>
  <c r="BD19" i="17"/>
  <c r="BD66" i="17"/>
  <c r="Z67" i="17"/>
  <c r="BK66" i="19"/>
  <c r="BQ66" i="19"/>
  <c r="BV66" i="17"/>
  <c r="BE66" i="19"/>
  <c r="BF14" i="20"/>
  <c r="BQ14" i="19"/>
  <c r="AM42" i="19"/>
  <c r="BJ42" i="17"/>
  <c r="AH42" i="20"/>
  <c r="AR57" i="17"/>
  <c r="BD60" i="17"/>
  <c r="AB60" i="20"/>
  <c r="U60" i="19"/>
  <c r="BV60" i="17"/>
  <c r="BF60" i="20"/>
  <c r="AL29" i="17"/>
  <c r="BK29" i="19"/>
  <c r="AR29" i="17"/>
  <c r="AH29" i="20"/>
  <c r="BF29" i="20"/>
  <c r="BK53" i="19"/>
  <c r="AN53" i="20"/>
  <c r="BF53" i="20"/>
  <c r="BF61" i="20"/>
  <c r="BX61" i="20"/>
  <c r="AG61" i="19"/>
  <c r="BV61" i="17"/>
  <c r="AH61" i="20"/>
  <c r="BL61" i="20"/>
  <c r="BK61" i="19"/>
  <c r="AL40" i="17"/>
  <c r="AF54" i="17"/>
  <c r="BD48" i="17"/>
  <c r="AS48" i="19"/>
  <c r="AY48" i="19"/>
  <c r="BP48" i="17"/>
  <c r="AA48" i="19"/>
  <c r="BE48" i="19"/>
  <c r="AL63" i="17"/>
  <c r="BQ39" i="19"/>
  <c r="AF39" i="17"/>
  <c r="BK56" i="19"/>
  <c r="BP56" i="17"/>
  <c r="AZ56" i="20"/>
  <c r="BF56" i="20"/>
  <c r="Z13" i="17"/>
  <c r="AM13" i="19"/>
  <c r="BQ13" i="19"/>
  <c r="BJ13" i="17"/>
  <c r="AH13" i="20"/>
  <c r="BQ43" i="19"/>
  <c r="BJ5" i="17"/>
  <c r="AY5" i="19"/>
  <c r="BX5" i="20"/>
  <c r="AX62" i="17"/>
  <c r="AL62" i="17"/>
  <c r="BL5" i="20"/>
  <c r="AB5" i="20"/>
  <c r="AL55" i="17"/>
  <c r="T55" i="17"/>
  <c r="AB6" i="20"/>
  <c r="BJ10" i="17"/>
  <c r="AY10" i="19"/>
  <c r="BX10" i="20"/>
  <c r="V10" i="20"/>
  <c r="BD10" i="17"/>
  <c r="AT10" i="20"/>
  <c r="BV25" i="17"/>
  <c r="AF6" i="17"/>
  <c r="U26" i="19"/>
  <c r="BL42" i="20"/>
  <c r="BL50" i="20"/>
  <c r="BL66" i="20"/>
  <c r="BL21" i="20"/>
  <c r="AT57" i="20"/>
  <c r="AX7" i="17"/>
  <c r="AL15" i="17"/>
  <c r="AB19" i="20"/>
  <c r="BJ19" i="17"/>
  <c r="AB27" i="20"/>
  <c r="BP27" i="17"/>
  <c r="AZ31" i="20"/>
  <c r="BP31" i="17"/>
  <c r="AM35" i="19"/>
  <c r="AR39" i="17"/>
  <c r="AA43" i="19"/>
  <c r="AX47" i="17"/>
  <c r="AG51" i="19"/>
  <c r="AH55" i="20"/>
  <c r="AY59" i="19"/>
  <c r="V63" i="20"/>
  <c r="AY67" i="19"/>
  <c r="BD18" i="17"/>
  <c r="U3" i="19"/>
  <c r="BJ32" i="17"/>
  <c r="Z32" i="17"/>
  <c r="AR32" i="17"/>
  <c r="V32" i="20"/>
  <c r="AX32" i="17"/>
  <c r="AZ32" i="20"/>
  <c r="AX16" i="17"/>
  <c r="BW21" i="19"/>
  <c r="AG21" i="19"/>
  <c r="AL21" i="17"/>
  <c r="BE21" i="19"/>
  <c r="BR21" i="20"/>
  <c r="AM21" i="19"/>
  <c r="BE60" i="19"/>
  <c r="AZ13" i="20"/>
  <c r="Z14" i="17"/>
  <c r="AZ22" i="20"/>
  <c r="AA42" i="19"/>
  <c r="AB54" i="20"/>
  <c r="BP66" i="17"/>
  <c r="T21" i="17"/>
  <c r="BE57" i="19"/>
  <c r="BV57" i="17"/>
  <c r="V3" i="20"/>
  <c r="BW3" i="19"/>
  <c r="AY7" i="19"/>
  <c r="T7" i="17"/>
  <c r="U11" i="19"/>
  <c r="BW11" i="19"/>
  <c r="AY15" i="19"/>
  <c r="AR15" i="17"/>
  <c r="U19" i="19"/>
  <c r="BW19" i="19"/>
  <c r="AY23" i="19"/>
  <c r="AL23" i="17"/>
  <c r="AG27" i="19"/>
  <c r="BW27" i="19"/>
  <c r="AY31" i="19"/>
  <c r="BV31" i="17"/>
  <c r="AG35" i="19"/>
  <c r="BW35" i="19"/>
  <c r="AB39" i="20"/>
  <c r="BV39" i="17"/>
  <c r="AM43" i="19"/>
  <c r="BW43" i="19"/>
  <c r="AH47" i="20"/>
  <c r="AM51" i="19"/>
  <c r="BW51" i="19"/>
  <c r="AN55" i="20"/>
  <c r="BK59" i="19"/>
  <c r="BW59" i="19"/>
  <c r="AN63" i="20"/>
  <c r="AS67" i="19"/>
  <c r="BW67" i="19"/>
  <c r="Z46" i="17"/>
  <c r="T52" i="17"/>
  <c r="AF64" i="17"/>
  <c r="AS28" i="19"/>
  <c r="Z44" i="17"/>
  <c r="AF44" i="17"/>
  <c r="AL58" i="17"/>
  <c r="AF37" i="17"/>
  <c r="AL37" i="17"/>
  <c r="T22" i="17"/>
  <c r="AY22" i="19"/>
  <c r="BX22" i="20"/>
  <c r="AA22" i="19"/>
  <c r="AF22" i="17"/>
  <c r="AT22" i="20"/>
  <c r="BW50" i="19"/>
  <c r="AY50" i="19"/>
  <c r="AT50" i="20"/>
  <c r="BR50" i="20"/>
  <c r="BE50" i="19"/>
  <c r="BL9" i="20"/>
  <c r="AB9" i="20"/>
  <c r="AX65" i="17"/>
  <c r="Z26" i="17"/>
  <c r="AY26" i="19"/>
  <c r="BX26" i="20"/>
  <c r="AG26" i="19"/>
  <c r="BJ26" i="17"/>
  <c r="AT26" i="20"/>
  <c r="BW58" i="19"/>
  <c r="AY58" i="19"/>
  <c r="AH58" i="20"/>
  <c r="BR58" i="20"/>
  <c r="U58" i="19"/>
  <c r="T20" i="17"/>
  <c r="AG20" i="19"/>
  <c r="BE20" i="19"/>
  <c r="BW20" i="19"/>
  <c r="U20" i="19"/>
  <c r="AF20" i="17"/>
  <c r="AN20" i="20"/>
  <c r="AF45" i="17"/>
  <c r="T45" i="17"/>
  <c r="BW6" i="19"/>
  <c r="AA6" i="19"/>
  <c r="BJ6" i="17"/>
  <c r="BE6" i="19"/>
  <c r="BR6" i="20"/>
  <c r="U6" i="19"/>
  <c r="AB4" i="20"/>
  <c r="BJ8" i="17"/>
  <c r="AS8" i="19"/>
  <c r="BP8" i="17"/>
  <c r="BK8" i="19"/>
  <c r="Z8" i="17"/>
  <c r="AX38" i="17"/>
  <c r="BK38" i="19"/>
  <c r="BJ38" i="17"/>
  <c r="AY38" i="19"/>
  <c r="BF38" i="20"/>
  <c r="AN36" i="20"/>
  <c r="V36" i="20"/>
  <c r="BD36" i="17"/>
  <c r="BK36" i="19"/>
  <c r="U36" i="19"/>
  <c r="BD52" i="17"/>
  <c r="BK52" i="19"/>
  <c r="AB52" i="20"/>
  <c r="BF52" i="20"/>
  <c r="AY68" i="19"/>
  <c r="AB68" i="20"/>
  <c r="AM68" i="19"/>
  <c r="AH17" i="20"/>
  <c r="AT17" i="20"/>
  <c r="T17" i="17"/>
  <c r="BE17" i="19"/>
  <c r="BW17" i="19"/>
  <c r="U17" i="19"/>
  <c r="BJ17" i="17"/>
  <c r="AN17" i="20"/>
  <c r="BF25" i="20"/>
  <c r="BX25" i="20"/>
  <c r="U25" i="19"/>
  <c r="Z25" i="17"/>
  <c r="AY25" i="19"/>
  <c r="AA25" i="19"/>
  <c r="BP33" i="17"/>
  <c r="AY33" i="19"/>
  <c r="BX33" i="20"/>
  <c r="AA33" i="19"/>
  <c r="BV33" i="17"/>
  <c r="AT33" i="20"/>
  <c r="BJ41" i="17"/>
  <c r="BP41" i="17"/>
  <c r="BD41" i="17"/>
  <c r="AM41" i="19"/>
  <c r="AZ41" i="20"/>
  <c r="AS49" i="19"/>
  <c r="AB49" i="20"/>
  <c r="BK49" i="19"/>
  <c r="U49" i="19"/>
  <c r="AY47" i="19"/>
  <c r="BX47" i="20"/>
  <c r="V59" i="20"/>
  <c r="BD59" i="17"/>
  <c r="AX60" i="17"/>
  <c r="AF36" i="17"/>
  <c r="AR51" i="17"/>
  <c r="AX67" i="17"/>
  <c r="BR66" i="20"/>
  <c r="U66" i="19"/>
  <c r="BW42" i="19"/>
  <c r="U42" i="19"/>
  <c r="BE42" i="19"/>
  <c r="BR42" i="20"/>
  <c r="AY42" i="19"/>
  <c r="AT60" i="20"/>
  <c r="BX60" i="20"/>
  <c r="AY60" i="19"/>
  <c r="AZ60" i="20"/>
  <c r="BD29" i="17"/>
  <c r="AY29" i="19"/>
  <c r="BX29" i="20"/>
  <c r="AG29" i="19"/>
  <c r="BV29" i="17"/>
  <c r="AT29" i="20"/>
  <c r="BP53" i="17"/>
  <c r="AH53" i="20"/>
  <c r="BX53" i="20"/>
  <c r="AS53" i="19"/>
  <c r="BV53" i="17"/>
  <c r="V53" i="20"/>
  <c r="BQ61" i="19"/>
  <c r="BE61" i="19"/>
  <c r="BD61" i="17"/>
  <c r="AN61" i="20"/>
  <c r="AR56" i="17"/>
  <c r="T40" i="17"/>
  <c r="AX54" i="17"/>
  <c r="AL54" i="17"/>
  <c r="BR48" i="20"/>
  <c r="AX48" i="17"/>
  <c r="BV48" i="17"/>
  <c r="V48" i="20"/>
  <c r="BQ7" i="19"/>
  <c r="AG7" i="19"/>
  <c r="Z39" i="17"/>
  <c r="AB56" i="20"/>
  <c r="BX56" i="20"/>
  <c r="AA56" i="19"/>
  <c r="BD56" i="17"/>
  <c r="AH56" i="20"/>
  <c r="BW13" i="19"/>
  <c r="U13" i="19"/>
  <c r="AL13" i="17"/>
  <c r="BE13" i="19"/>
  <c r="BR13" i="20"/>
  <c r="AA13" i="19"/>
  <c r="BQ5" i="19"/>
  <c r="BQ27" i="19"/>
  <c r="Z10" i="17"/>
  <c r="AM10" i="19"/>
  <c r="BV10" i="17"/>
  <c r="AH10" i="20"/>
  <c r="V49" i="20"/>
  <c r="BR40" i="20"/>
  <c r="BP13" i="17"/>
  <c r="BL10" i="20"/>
  <c r="BL26" i="20"/>
  <c r="AH57" i="20"/>
  <c r="U7" i="19"/>
  <c r="BL7" i="20"/>
  <c r="AA15" i="19"/>
  <c r="BL15" i="20"/>
  <c r="AN19" i="20"/>
  <c r="AL19" i="17"/>
  <c r="AN27" i="20"/>
  <c r="BD27" i="17"/>
  <c r="AG31" i="19"/>
  <c r="BL31" i="20"/>
  <c r="V35" i="20"/>
  <c r="AY39" i="19"/>
  <c r="BL39" i="20"/>
  <c r="AB43" i="20"/>
  <c r="BV43" i="17"/>
  <c r="AM47" i="19"/>
  <c r="BL47" i="20"/>
  <c r="AT51" i="20"/>
  <c r="BV51" i="17"/>
  <c r="BE55" i="19"/>
  <c r="BL55" i="20"/>
  <c r="AT59" i="20"/>
  <c r="AY63" i="19"/>
  <c r="BL63" i="20"/>
  <c r="AB67" i="20"/>
  <c r="AR68" i="17"/>
  <c r="BQ30" i="19"/>
  <c r="AL32" i="17"/>
  <c r="BE32" i="19"/>
  <c r="BW32" i="19"/>
  <c r="U32" i="19"/>
  <c r="BD32" i="17"/>
  <c r="AN32" i="20"/>
  <c r="AR21" i="17"/>
  <c r="BK21" i="19"/>
  <c r="Z21" i="17"/>
  <c r="AS21" i="19"/>
  <c r="BF21" i="20"/>
  <c r="AG48" i="19"/>
  <c r="BE68" i="19"/>
  <c r="BV13" i="17"/>
  <c r="AF10" i="17"/>
  <c r="V18" i="20"/>
  <c r="AR22" i="17"/>
  <c r="AZ30" i="20"/>
  <c r="U50" i="19"/>
  <c r="BV54" i="17"/>
  <c r="AH62" i="20"/>
  <c r="AB57" i="20"/>
  <c r="BD57" i="17"/>
  <c r="AM3" i="19"/>
  <c r="BD3" i="17"/>
  <c r="BK7" i="19"/>
  <c r="BV7" i="17"/>
  <c r="AM11" i="19"/>
  <c r="AL11" i="17"/>
  <c r="BK15" i="19"/>
  <c r="BV15" i="17"/>
  <c r="V19" i="20"/>
  <c r="AX19" i="17"/>
  <c r="BK23" i="19"/>
  <c r="BD23" i="17"/>
  <c r="V27" i="20"/>
  <c r="AL27" i="17"/>
  <c r="BK31" i="19"/>
  <c r="BJ31" i="17"/>
  <c r="AN35" i="20"/>
  <c r="AX35" i="17"/>
  <c r="BK39" i="19"/>
  <c r="AX39" i="17"/>
  <c r="AS43" i="19"/>
  <c r="BK47" i="19"/>
  <c r="BE51" i="19"/>
  <c r="BK55" i="19"/>
  <c r="BV55" i="17"/>
  <c r="AA59" i="19"/>
  <c r="AT63" i="20"/>
  <c r="BP63" i="17"/>
  <c r="BK67" i="19"/>
  <c r="BP67" i="17"/>
  <c r="AF46" i="17"/>
  <c r="AX64" i="17"/>
  <c r="T44" i="17"/>
  <c r="AX58" i="17"/>
  <c r="BJ22" i="17"/>
  <c r="V22" i="20"/>
  <c r="BQ22" i="19"/>
  <c r="BV22" i="17"/>
  <c r="AH22" i="20"/>
  <c r="BV50" i="17"/>
  <c r="BK50" i="19"/>
  <c r="AH50" i="20"/>
  <c r="BF50" i="20"/>
  <c r="Z65" i="17"/>
  <c r="AF65" i="17"/>
  <c r="AF26" i="17"/>
  <c r="AB26" i="20"/>
  <c r="BQ26" i="19"/>
  <c r="AX26" i="17"/>
  <c r="V26" i="20"/>
  <c r="BJ58" i="17"/>
  <c r="AT58" i="20"/>
  <c r="V58" i="20"/>
  <c r="BP58" i="17"/>
  <c r="BF58" i="20"/>
  <c r="AH20" i="20"/>
  <c r="BV20" i="17"/>
  <c r="AS20" i="19"/>
  <c r="AX20" i="17"/>
  <c r="BK20" i="19"/>
  <c r="Z20" i="17"/>
  <c r="AB20" i="20"/>
  <c r="AL45" i="17"/>
  <c r="AR45" i="17"/>
  <c r="Z6" i="17"/>
  <c r="BK6" i="19"/>
  <c r="BV6" i="17"/>
  <c r="AS6" i="19"/>
  <c r="BF6" i="20"/>
  <c r="BQ4" i="19"/>
  <c r="AG4" i="19"/>
  <c r="BF8" i="20"/>
  <c r="BX8" i="20"/>
  <c r="AG8" i="19"/>
  <c r="AX8" i="17"/>
  <c r="AY8" i="19"/>
  <c r="BL8" i="20"/>
  <c r="AA8" i="19"/>
  <c r="AB38" i="20"/>
  <c r="BX38" i="20"/>
  <c r="AA38" i="19"/>
  <c r="BD38" i="17"/>
  <c r="AT38" i="20"/>
  <c r="BF36" i="20"/>
  <c r="BX36" i="20"/>
  <c r="AA36" i="19"/>
  <c r="AR36" i="17"/>
  <c r="AY36" i="19"/>
  <c r="BL36" i="20"/>
  <c r="AG36" i="19"/>
  <c r="AT52" i="20"/>
  <c r="BX52" i="20"/>
  <c r="AG52" i="19"/>
  <c r="V52" i="20"/>
  <c r="BW68" i="19"/>
  <c r="AG68" i="19"/>
  <c r="BV68" i="17"/>
  <c r="BQ68" i="19"/>
  <c r="BR68" i="20"/>
  <c r="U68" i="19"/>
  <c r="BP17" i="17"/>
  <c r="AS17" i="19"/>
  <c r="Z17" i="17"/>
  <c r="BK17" i="19"/>
  <c r="AF17" i="17"/>
  <c r="V17" i="20"/>
  <c r="BR25" i="20"/>
  <c r="BQ25" i="19"/>
  <c r="BD25" i="17"/>
  <c r="AB25" i="20"/>
  <c r="BP25" i="17"/>
  <c r="AZ25" i="20"/>
  <c r="AL33" i="17"/>
  <c r="AH33" i="20"/>
  <c r="BQ33" i="19"/>
  <c r="BD33" i="17"/>
  <c r="V33" i="20"/>
  <c r="AN41" i="20"/>
  <c r="AT41" i="20"/>
  <c r="BV41" i="17"/>
  <c r="BE41" i="19"/>
  <c r="BW41" i="19"/>
  <c r="AY41" i="19"/>
  <c r="AX41" i="17"/>
  <c r="V41" i="20"/>
  <c r="BF49" i="20"/>
  <c r="BX49" i="20"/>
  <c r="AY49" i="19"/>
  <c r="AX49" i="17"/>
  <c r="AH49" i="20"/>
  <c r="AA49" i="19"/>
  <c r="AS15" i="19"/>
  <c r="AF15" i="17"/>
  <c r="AB47" i="20"/>
  <c r="BQ59" i="19"/>
  <c r="T53" i="17"/>
  <c r="BQ19" i="19"/>
  <c r="Z66" i="17"/>
  <c r="AF67" i="17"/>
  <c r="BF66" i="20"/>
  <c r="AM66" i="19"/>
  <c r="BJ66" i="17"/>
  <c r="V66" i="20"/>
  <c r="BP14" i="17"/>
  <c r="AL14" i="17"/>
  <c r="AH14" i="20"/>
  <c r="BK42" i="19"/>
  <c r="BP42" i="17"/>
  <c r="AN42" i="20"/>
  <c r="BF42" i="20"/>
  <c r="BP60" i="17"/>
  <c r="AG60" i="19"/>
  <c r="BQ60" i="19"/>
  <c r="AA60" i="19"/>
  <c r="Z29" i="17"/>
  <c r="V29" i="20"/>
  <c r="BQ29" i="19"/>
  <c r="T29" i="17"/>
  <c r="AB29" i="20"/>
  <c r="BJ53" i="17"/>
  <c r="AG53" i="19"/>
  <c r="BQ53" i="19"/>
  <c r="U53" i="19"/>
  <c r="AY61" i="19"/>
  <c r="AT61" i="20"/>
  <c r="V61" i="20"/>
  <c r="BW61" i="19"/>
  <c r="AA61" i="19"/>
  <c r="BJ61" i="17"/>
  <c r="AB61" i="20"/>
  <c r="Z40" i="17"/>
  <c r="AR54" i="17"/>
  <c r="BK48" i="19"/>
  <c r="BL48" i="20"/>
  <c r="BF48" i="20"/>
  <c r="BJ48" i="17"/>
  <c r="AN48" i="20"/>
  <c r="Z63" i="17"/>
  <c r="T39" i="17"/>
  <c r="BJ56" i="17"/>
  <c r="AM56" i="19"/>
  <c r="BQ56" i="19"/>
  <c r="BV56" i="17"/>
  <c r="BE56" i="19"/>
  <c r="BD13" i="17"/>
  <c r="BK13" i="19"/>
  <c r="T13" i="17"/>
  <c r="AS13" i="19"/>
  <c r="BF13" i="20"/>
  <c r="BW5" i="19"/>
  <c r="BE5" i="19"/>
  <c r="T62" i="17"/>
  <c r="BW10" i="19"/>
  <c r="U10" i="19"/>
  <c r="BP10" i="17"/>
  <c r="BE10" i="19"/>
  <c r="BR10" i="20"/>
  <c r="AG10" i="19"/>
  <c r="BR8" i="20"/>
  <c r="AN22" i="20"/>
  <c r="AT54" i="20"/>
  <c r="AR5" i="17"/>
  <c r="AA57" i="19"/>
  <c r="BL57" i="20"/>
  <c r="Z7" i="17"/>
  <c r="AB15" i="20"/>
  <c r="Z15" i="17"/>
  <c r="Z19" i="17"/>
  <c r="BJ27" i="17"/>
  <c r="AS31" i="19"/>
  <c r="Z31" i="17"/>
  <c r="U39" i="19"/>
  <c r="BD39" i="17"/>
  <c r="AZ43" i="20"/>
  <c r="AG47" i="19"/>
  <c r="U55" i="19"/>
  <c r="AN59" i="20"/>
  <c r="BV59" i="17"/>
  <c r="U63" i="19"/>
  <c r="BD63" i="17"/>
  <c r="AH67" i="20"/>
  <c r="BJ67" i="17"/>
  <c r="AZ11" i="20"/>
  <c r="AB11" i="20"/>
  <c r="AB3" i="20"/>
  <c r="BV32" i="17"/>
  <c r="AB32" i="20"/>
  <c r="AF32" i="17"/>
  <c r="BK32" i="19"/>
  <c r="T32" i="17"/>
  <c r="AG32" i="19"/>
  <c r="BD16" i="17"/>
  <c r="BV21" i="17"/>
  <c r="AY21" i="19"/>
  <c r="BX21" i="20"/>
  <c r="AA21" i="19"/>
  <c r="AF21" i="17"/>
  <c r="AT21" i="20"/>
  <c r="AN56" i="20"/>
  <c r="AS29" i="19"/>
  <c r="AZ6" i="20"/>
  <c r="BV18" i="17"/>
  <c r="AH26" i="20"/>
  <c r="AR30" i="17"/>
  <c r="AZ38" i="20"/>
  <c r="BK57" i="19"/>
  <c r="AY3" i="19"/>
  <c r="BP3" i="17"/>
  <c r="AA7" i="19"/>
  <c r="BW7" i="19"/>
  <c r="AY11" i="19"/>
  <c r="T11" i="17"/>
  <c r="U15" i="19"/>
  <c r="BW15" i="19"/>
  <c r="AY19" i="19"/>
  <c r="BP19" i="17"/>
  <c r="U23" i="19"/>
  <c r="AY27" i="19"/>
  <c r="Z27" i="17"/>
  <c r="U31" i="19"/>
  <c r="BW31" i="19"/>
  <c r="AY35" i="19"/>
  <c r="AR35" i="17"/>
  <c r="AM39" i="19"/>
  <c r="BW39" i="19"/>
  <c r="AT43" i="20"/>
  <c r="U47" i="19"/>
  <c r="BW47" i="19"/>
  <c r="AN51" i="20"/>
  <c r="BJ51" i="17"/>
  <c r="AM55" i="19"/>
  <c r="BW55" i="19"/>
  <c r="AB59" i="20"/>
  <c r="BJ59" i="17"/>
  <c r="BK63" i="19"/>
  <c r="BW63" i="19"/>
  <c r="AZ67" i="20"/>
  <c r="T46" i="17"/>
  <c r="AR46" i="17"/>
  <c r="AL64" i="17"/>
  <c r="AR64" i="17"/>
  <c r="BD28" i="17"/>
  <c r="BL37" i="20"/>
  <c r="Z37" i="17"/>
  <c r="BW22" i="19"/>
  <c r="AG22" i="19"/>
  <c r="Z22" i="17"/>
  <c r="BE22" i="19"/>
  <c r="BR22" i="20"/>
  <c r="AM22" i="19"/>
  <c r="V50" i="20"/>
  <c r="BX50" i="20"/>
  <c r="AS50" i="19"/>
  <c r="BJ50" i="17"/>
  <c r="AN50" i="20"/>
  <c r="BL33" i="20"/>
  <c r="AL65" i="17"/>
  <c r="BD65" i="17"/>
  <c r="BW26" i="19"/>
  <c r="AM26" i="19"/>
  <c r="AR26" i="17"/>
  <c r="BE26" i="19"/>
  <c r="BR26" i="20"/>
  <c r="AA26" i="19"/>
  <c r="BV58" i="17"/>
  <c r="AB58" i="20"/>
  <c r="BX58" i="20"/>
  <c r="AS58" i="19"/>
  <c r="AZ58" i="20"/>
  <c r="BF20" i="20"/>
  <c r="BX20" i="20"/>
  <c r="AM20" i="19"/>
  <c r="BJ20" i="17"/>
  <c r="AY20" i="19"/>
  <c r="BL20" i="20"/>
  <c r="AA20" i="19"/>
  <c r="Z45" i="17"/>
  <c r="T6" i="17"/>
  <c r="AY6" i="19"/>
  <c r="BX6" i="20"/>
  <c r="AG6" i="19"/>
  <c r="BP6" i="17"/>
  <c r="AT6" i="20"/>
  <c r="AR8" i="17"/>
  <c r="BV8" i="17"/>
  <c r="T8" i="17"/>
  <c r="AM8" i="19"/>
  <c r="AL8" i="17"/>
  <c r="AZ8" i="20"/>
  <c r="V38" i="20"/>
  <c r="BV38" i="17"/>
  <c r="AH38" i="20"/>
  <c r="BD12" i="17"/>
  <c r="BR36" i="20"/>
  <c r="BP36" i="17"/>
  <c r="AH36" i="20"/>
  <c r="BJ36" i="17"/>
  <c r="AZ36" i="20"/>
  <c r="BV52" i="17"/>
  <c r="U52" i="19"/>
  <c r="BQ52" i="19"/>
  <c r="BJ52" i="17"/>
  <c r="AA52" i="19"/>
  <c r="AN68" i="20"/>
  <c r="BP68" i="17"/>
  <c r="AA68" i="19"/>
  <c r="AH68" i="20"/>
  <c r="BF17" i="20"/>
  <c r="BX17" i="20"/>
  <c r="AB17" i="20"/>
  <c r="BV17" i="17"/>
  <c r="AY17" i="19"/>
  <c r="BL17" i="20"/>
  <c r="AA17" i="19"/>
  <c r="AF25" i="17"/>
  <c r="AM25" i="19"/>
  <c r="AX25" i="17"/>
  <c r="BE25" i="19"/>
  <c r="BW25" i="19"/>
  <c r="AG25" i="19"/>
  <c r="BJ25" i="17"/>
  <c r="AN25" i="20"/>
  <c r="BW33" i="19"/>
  <c r="AS33" i="19"/>
  <c r="BJ33" i="17"/>
  <c r="BE33" i="19"/>
  <c r="BR33" i="20"/>
  <c r="U33" i="19"/>
  <c r="AH41" i="20"/>
  <c r="BK41" i="19"/>
  <c r="AR41" i="17"/>
  <c r="AS41" i="19"/>
  <c r="BR49" i="20"/>
  <c r="BQ49" i="19"/>
  <c r="BD49" i="17"/>
  <c r="AM49" i="19"/>
  <c r="BV49" i="17"/>
  <c r="AZ49" i="20"/>
  <c r="Q4" i="11"/>
  <c r="Q6" i="11"/>
  <c r="Q3" i="11"/>
  <c r="B41" i="3" s="1"/>
  <c r="Q5" i="11"/>
  <c r="P70" i="12" l="1"/>
  <c r="Q70" i="12" s="1"/>
  <c r="V70" i="12" s="1"/>
  <c r="P71" i="12"/>
  <c r="Q71" i="12" s="1"/>
  <c r="V71" i="12" s="1"/>
  <c r="P72" i="12"/>
  <c r="Q72" i="12" s="1"/>
  <c r="V72" i="12" s="1"/>
  <c r="P73" i="12"/>
  <c r="Q73" i="12" s="1"/>
  <c r="V73" i="12" s="1"/>
  <c r="P74" i="12"/>
  <c r="Q74" i="12" s="1"/>
  <c r="V74" i="12" s="1"/>
  <c r="P75" i="12"/>
  <c r="Q75" i="12" s="1"/>
  <c r="V75" i="12" s="1"/>
  <c r="P76" i="12"/>
  <c r="Q76" i="12" s="1"/>
  <c r="V76" i="12" s="1"/>
  <c r="P77" i="12"/>
  <c r="Q77" i="12" s="1"/>
  <c r="V77" i="12" s="1"/>
  <c r="P78" i="12"/>
  <c r="Q78" i="12" s="1"/>
  <c r="V78" i="12" s="1"/>
  <c r="P79" i="12"/>
  <c r="Q79" i="12" s="1"/>
  <c r="V79" i="12" s="1"/>
  <c r="P80" i="12"/>
  <c r="Q80" i="12" s="1"/>
  <c r="V80" i="12" s="1"/>
  <c r="P81" i="12"/>
  <c r="Q81" i="12" s="1"/>
  <c r="V81" i="12" s="1"/>
  <c r="P82" i="12"/>
  <c r="Q82" i="12" s="1"/>
  <c r="V82" i="12" s="1"/>
  <c r="P83" i="12"/>
  <c r="Q83" i="12" s="1"/>
  <c r="V83" i="12" s="1"/>
  <c r="P84" i="12"/>
  <c r="Q84" i="12" s="1"/>
  <c r="V84" i="12" s="1"/>
  <c r="P85" i="12"/>
  <c r="Q85" i="12" s="1"/>
  <c r="V85" i="12" s="1"/>
  <c r="P86" i="12"/>
  <c r="Q86" i="12" s="1"/>
  <c r="V86" i="12" s="1"/>
  <c r="P87" i="12"/>
  <c r="Q87" i="12" s="1"/>
  <c r="V87" i="12" s="1"/>
  <c r="P88" i="12"/>
  <c r="Q88" i="12" s="1"/>
  <c r="V88" i="12" s="1"/>
  <c r="P89" i="12"/>
  <c r="Q89" i="12" s="1"/>
  <c r="V89" i="12" s="1"/>
  <c r="P90" i="12"/>
  <c r="Q90" i="12" s="1"/>
  <c r="V90" i="12" s="1"/>
  <c r="P91" i="12"/>
  <c r="Q91" i="12" s="1"/>
  <c r="V91" i="12" s="1"/>
  <c r="P92" i="12"/>
  <c r="Q92" i="12" s="1"/>
  <c r="V92" i="12" s="1"/>
  <c r="P51" i="12"/>
  <c r="Q51" i="12" s="1"/>
  <c r="V51" i="12" s="1"/>
  <c r="P62" i="12"/>
  <c r="Q62" i="12" s="1"/>
  <c r="V62" i="12" s="1"/>
  <c r="P66" i="12"/>
  <c r="Q66" i="12" s="1"/>
  <c r="V66" i="12" s="1"/>
  <c r="P53" i="12"/>
  <c r="Q53" i="12" s="1"/>
  <c r="V53" i="12" s="1"/>
  <c r="P61" i="12"/>
  <c r="Q61" i="12" s="1"/>
  <c r="V61" i="12" s="1"/>
  <c r="P52" i="12"/>
  <c r="Q52" i="12" s="1"/>
  <c r="V52" i="12" s="1"/>
  <c r="P49" i="12"/>
  <c r="Q49" i="12" s="1"/>
  <c r="V49" i="12" s="1"/>
  <c r="P57" i="12"/>
  <c r="Q57" i="12" s="1"/>
  <c r="V57" i="12" s="1"/>
  <c r="P60" i="12"/>
  <c r="Q60" i="12" s="1"/>
  <c r="V60" i="12" s="1"/>
  <c r="P65" i="12"/>
  <c r="Q65" i="12" s="1"/>
  <c r="V65" i="12" s="1"/>
  <c r="P59" i="12"/>
  <c r="Q59" i="12" s="1"/>
  <c r="V59" i="12" s="1"/>
  <c r="P48" i="12"/>
  <c r="Q48" i="12" s="1"/>
  <c r="V48" i="12" s="1"/>
  <c r="P69" i="12"/>
  <c r="Q69" i="12" s="1"/>
  <c r="V69" i="12" s="1"/>
  <c r="P54" i="12"/>
  <c r="Q54" i="12" s="1"/>
  <c r="V54" i="12" s="1"/>
  <c r="P55" i="12"/>
  <c r="Q55" i="12" s="1"/>
  <c r="V55" i="12" s="1"/>
  <c r="P64" i="12"/>
  <c r="Q64" i="12" s="1"/>
  <c r="V64" i="12" s="1"/>
  <c r="P56" i="12"/>
  <c r="Q56" i="12" s="1"/>
  <c r="V56" i="12" s="1"/>
  <c r="P67" i="12"/>
  <c r="Q67" i="12" s="1"/>
  <c r="V67" i="12" s="1"/>
  <c r="P68" i="12"/>
  <c r="Q68" i="12" s="1"/>
  <c r="V68" i="12" s="1"/>
  <c r="P58" i="12"/>
  <c r="Q58" i="12" s="1"/>
  <c r="V58" i="12" s="1"/>
  <c r="P63" i="12"/>
  <c r="Q63" i="12" s="1"/>
  <c r="V63" i="12" s="1"/>
  <c r="P50" i="12"/>
  <c r="Q50" i="12" s="1"/>
  <c r="V50" i="12" s="1"/>
  <c r="P47" i="12"/>
  <c r="Q47" i="12" s="1"/>
  <c r="V47" i="12" s="1"/>
  <c r="P46" i="12"/>
  <c r="Q46" i="12" s="1"/>
  <c r="V46" i="12" s="1"/>
  <c r="P45" i="12"/>
  <c r="Q45" i="12" s="1"/>
  <c r="V45" i="12" s="1"/>
  <c r="P44" i="12"/>
  <c r="Q44" i="12" s="1"/>
  <c r="V44" i="12" s="1"/>
  <c r="P43" i="12"/>
  <c r="Q43" i="12" s="1"/>
  <c r="V43" i="12" s="1"/>
  <c r="P42" i="12"/>
  <c r="Q42" i="12" s="1"/>
  <c r="V42" i="12" s="1"/>
  <c r="P41" i="12"/>
  <c r="Q41" i="12" s="1"/>
  <c r="V41" i="12" s="1"/>
  <c r="P40" i="12"/>
  <c r="Q40" i="12" s="1"/>
  <c r="V40" i="12" s="1"/>
  <c r="P39" i="12"/>
  <c r="Q39" i="12" s="1"/>
  <c r="V39" i="12" s="1"/>
  <c r="P38" i="12"/>
  <c r="Q38" i="12" s="1"/>
  <c r="V38" i="12" s="1"/>
  <c r="P37" i="12"/>
  <c r="Q37" i="12" s="1"/>
  <c r="V37" i="12" s="1"/>
  <c r="P36" i="12"/>
  <c r="Q36" i="12" s="1"/>
  <c r="V36" i="12" s="1"/>
  <c r="P35" i="12"/>
  <c r="Q35" i="12" s="1"/>
  <c r="V35" i="12" s="1"/>
  <c r="P34" i="12"/>
  <c r="Q34" i="12" s="1"/>
  <c r="V34" i="12" s="1"/>
  <c r="P33" i="12"/>
  <c r="Q33" i="12" s="1"/>
  <c r="V33" i="12" s="1"/>
  <c r="P32" i="12"/>
  <c r="Q32" i="12" s="1"/>
  <c r="V32" i="12" s="1"/>
  <c r="P31" i="12"/>
  <c r="Q31" i="12" s="1"/>
  <c r="V31" i="12" s="1"/>
  <c r="P30" i="12"/>
  <c r="Q30" i="12" s="1"/>
  <c r="V30" i="12" s="1"/>
  <c r="P29" i="12"/>
  <c r="Q29" i="12" s="1"/>
  <c r="V29" i="12" s="1"/>
  <c r="P28" i="12"/>
  <c r="Q28" i="12" s="1"/>
  <c r="V28" i="12" s="1"/>
  <c r="P27" i="12"/>
  <c r="Q27" i="12" s="1"/>
  <c r="V27" i="12" s="1"/>
  <c r="P26" i="12"/>
  <c r="Q26" i="12" s="1"/>
  <c r="V26" i="12" s="1"/>
  <c r="P25" i="12"/>
  <c r="Q25" i="12" s="1"/>
  <c r="V25" i="12" s="1"/>
  <c r="P24" i="12"/>
  <c r="Q24" i="12" s="1"/>
  <c r="V24" i="12" s="1"/>
  <c r="P23" i="12"/>
  <c r="Q23" i="12" s="1"/>
  <c r="V23" i="12" s="1"/>
  <c r="P22" i="12"/>
  <c r="Q22" i="12" s="1"/>
  <c r="V22" i="12" s="1"/>
  <c r="P21" i="12"/>
  <c r="Q21" i="12" s="1"/>
  <c r="V21" i="12" s="1"/>
  <c r="P20" i="12"/>
  <c r="Q20" i="12" s="1"/>
  <c r="V20" i="12" s="1"/>
  <c r="P19" i="12"/>
  <c r="Q19" i="12" s="1"/>
  <c r="V19" i="12" s="1"/>
  <c r="P18" i="12"/>
  <c r="Q18" i="12" s="1"/>
  <c r="V18" i="12" s="1"/>
  <c r="P17" i="12"/>
  <c r="Q17" i="12" s="1"/>
  <c r="V17" i="12" s="1"/>
  <c r="P16" i="12"/>
  <c r="Q16" i="12" s="1"/>
  <c r="V16" i="12" s="1"/>
  <c r="P15" i="12"/>
  <c r="Q15" i="12" s="1"/>
  <c r="V15" i="12" s="1"/>
  <c r="P14" i="12"/>
  <c r="Q14" i="12" s="1"/>
  <c r="V14" i="12" s="1"/>
  <c r="P13" i="12"/>
  <c r="Q13" i="12" s="1"/>
  <c r="V13" i="12" s="1"/>
  <c r="P12" i="12"/>
  <c r="Q12" i="12" s="1"/>
  <c r="V12" i="12" s="1"/>
  <c r="P11" i="12"/>
  <c r="Q11" i="12" s="1"/>
  <c r="V11" i="12" s="1"/>
  <c r="P10" i="12"/>
  <c r="Q10" i="12" s="1"/>
  <c r="V10" i="12" s="1"/>
  <c r="P9" i="12"/>
  <c r="Q9" i="12" s="1"/>
  <c r="V9" i="12" s="1"/>
  <c r="P8" i="12"/>
  <c r="Q8" i="12" s="1"/>
  <c r="V8" i="12" s="1"/>
  <c r="P7" i="12"/>
  <c r="Q7" i="12" s="1"/>
  <c r="V7" i="12" s="1"/>
  <c r="P6" i="12"/>
  <c r="Q6" i="12" s="1"/>
  <c r="V6" i="12" s="1"/>
  <c r="P5" i="12"/>
  <c r="Q5" i="12" s="1"/>
  <c r="V5" i="12" s="1"/>
  <c r="P4" i="12"/>
  <c r="P3" i="12"/>
  <c r="Q3" i="12" s="1"/>
  <c r="V3" i="12" l="1"/>
  <c r="Q4" i="12"/>
  <c r="V4" i="12" s="1"/>
</calcChain>
</file>

<file path=xl/comments1.xml><?xml version="1.0" encoding="utf-8"?>
<comments xmlns="http://schemas.openxmlformats.org/spreadsheetml/2006/main">
  <authors>
    <author>Melissa</author>
  </authors>
  <commentList>
    <comment ref="N2" authorId="0">
      <text>
        <r>
          <rPr>
            <b/>
            <sz val="9"/>
            <color indexed="81"/>
            <rFont val="Tahoma"/>
            <family val="2"/>
          </rPr>
          <t>Melissa:</t>
        </r>
        <r>
          <rPr>
            <sz val="9"/>
            <color indexed="81"/>
            <rFont val="Tahoma"/>
            <family val="2"/>
          </rPr>
          <t xml:space="preserve">
use this to divide by the natural frequency of the tower to get magnification factor</t>
        </r>
      </text>
    </comment>
  </commentList>
</comments>
</file>

<file path=xl/sharedStrings.xml><?xml version="1.0" encoding="utf-8"?>
<sst xmlns="http://schemas.openxmlformats.org/spreadsheetml/2006/main" count="1257" uniqueCount="226">
  <si>
    <t>Mpa</t>
  </si>
  <si>
    <t>m</t>
  </si>
  <si>
    <t>kg</t>
  </si>
  <si>
    <t>pcs</t>
  </si>
  <si>
    <t>Axial Loading Coeff.</t>
  </si>
  <si>
    <t>Section (m)</t>
  </si>
  <si>
    <t>Bending Coeff.</t>
  </si>
  <si>
    <t>thickness (m)</t>
  </si>
  <si>
    <t>Avg. r                       (m)</t>
  </si>
  <si>
    <t>Moment of Inertia (m^4)</t>
  </si>
  <si>
    <t>Area (m^2)</t>
  </si>
  <si>
    <t>Slenderness Ratio (KL/r) (m)</t>
  </si>
  <si>
    <t>Radius of Gyration   (m)</t>
  </si>
  <si>
    <t>Elastic Buckling Stress (Mpa)</t>
  </si>
  <si>
    <t>Nacelle Design Parameters</t>
  </si>
  <si>
    <t>Tower Design Parameters</t>
  </si>
  <si>
    <t>Tower Height</t>
  </si>
  <si>
    <t>Tower Weight</t>
  </si>
  <si>
    <t>Number of Sections</t>
  </si>
  <si>
    <t>Nacelle Weight</t>
  </si>
  <si>
    <t>Rotor Weight</t>
  </si>
  <si>
    <t>Blade Count</t>
  </si>
  <si>
    <t>Rotor Diameter</t>
  </si>
  <si>
    <t>Hub Height</t>
  </si>
  <si>
    <t>Power Rate</t>
  </si>
  <si>
    <t>Power Output</t>
  </si>
  <si>
    <t>MW</t>
  </si>
  <si>
    <t>m/s</t>
  </si>
  <si>
    <t>Rotor Height</t>
  </si>
  <si>
    <t>Rated Speed</t>
  </si>
  <si>
    <t>rpm</t>
  </si>
  <si>
    <t>D/t ratio</t>
  </si>
  <si>
    <t>13,000/Fy</t>
  </si>
  <si>
    <t>3,300/Fy</t>
  </si>
  <si>
    <t>Critical LOCAL Buckling Stress (Mpa)</t>
  </si>
  <si>
    <t>Slenderness Ratio (KL/Rm) (m)</t>
  </si>
  <si>
    <t>Outer r           (m)</t>
  </si>
  <si>
    <t>Inner r (m)</t>
  </si>
  <si>
    <t>Allowed LOCAL Buckling Stress (Mpa)</t>
  </si>
  <si>
    <t>LOCAL BUCKLING - TROITSKY</t>
  </si>
  <si>
    <t>LOCAL BUCKLING - JAMIL</t>
  </si>
  <si>
    <t>N</t>
  </si>
  <si>
    <t>Moment Arm for Dynamic (m)</t>
  </si>
  <si>
    <t>P</t>
  </si>
  <si>
    <t>A</t>
  </si>
  <si>
    <t>Moment (N*m)</t>
  </si>
  <si>
    <t>G</t>
  </si>
  <si>
    <t>F (N)</t>
  </si>
  <si>
    <t>Kips</t>
  </si>
  <si>
    <t>Section</t>
  </si>
  <si>
    <t>Buckling Parameters</t>
  </si>
  <si>
    <t>K</t>
  </si>
  <si>
    <t xml:space="preserve">Fy </t>
  </si>
  <si>
    <t>Ksi</t>
  </si>
  <si>
    <t>E</t>
  </si>
  <si>
    <t>FoS</t>
  </si>
  <si>
    <t>--</t>
  </si>
  <si>
    <t>parts</t>
  </si>
  <si>
    <t>Tower Design</t>
  </si>
  <si>
    <t>Avg. r (m)</t>
  </si>
  <si>
    <t>Radius of Gyration  (m)</t>
  </si>
  <si>
    <t>Avg. r  (m)</t>
  </si>
  <si>
    <t>Outer r  (m)</t>
  </si>
  <si>
    <t>Outer r (m)</t>
  </si>
  <si>
    <t>Tilt Up Parameters</t>
  </si>
  <si>
    <t>Weight: W</t>
  </si>
  <si>
    <t>Total Length: L</t>
  </si>
  <si>
    <t>CoG: l</t>
  </si>
  <si>
    <t>Tension: T</t>
  </si>
  <si>
    <t>CoG #1: l1</t>
  </si>
  <si>
    <t>Baseline Tower</t>
  </si>
  <si>
    <t>Z (m)</t>
  </si>
  <si>
    <t>Wind Parameters</t>
  </si>
  <si>
    <r>
      <t>C</t>
    </r>
    <r>
      <rPr>
        <vertAlign val="subscript"/>
        <sz val="11"/>
        <color theme="1"/>
        <rFont val="Calibri"/>
        <family val="2"/>
        <scheme val="minor"/>
      </rPr>
      <t>f</t>
    </r>
  </si>
  <si>
    <r>
      <t>A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(mid of Z) </t>
    </r>
  </si>
  <si>
    <r>
      <t>k</t>
    </r>
    <r>
      <rPr>
        <vertAlign val="subscript"/>
        <sz val="11"/>
        <color theme="1"/>
        <rFont val="Calibri"/>
        <family val="2"/>
        <scheme val="minor"/>
      </rPr>
      <t>zt</t>
    </r>
  </si>
  <si>
    <r>
      <t>k</t>
    </r>
    <r>
      <rPr>
        <vertAlign val="subscript"/>
        <sz val="11"/>
        <color theme="1"/>
        <rFont val="Calibri"/>
        <family val="2"/>
        <scheme val="minor"/>
      </rPr>
      <t>d</t>
    </r>
  </si>
  <si>
    <r>
      <t>Velocity</t>
    </r>
    <r>
      <rPr>
        <vertAlign val="superscript"/>
        <sz val="11"/>
        <color theme="1"/>
        <rFont val="Calibri"/>
        <family val="2"/>
        <scheme val="minor"/>
      </rPr>
      <t>2</t>
    </r>
  </si>
  <si>
    <t>Baseline</t>
  </si>
  <si>
    <t>Dynamic Loading Parameters</t>
  </si>
  <si>
    <t>Each tower section</t>
  </si>
  <si>
    <t>kg/m</t>
  </si>
  <si>
    <t>Moment Arm for Wind (m)</t>
  </si>
  <si>
    <t>Magnification Factor</t>
  </si>
  <si>
    <t>Critical Wind Speed</t>
  </si>
  <si>
    <t>Max Wind Speed</t>
  </si>
  <si>
    <t>Average Wind Speed</t>
  </si>
  <si>
    <t>Minimum Wind Speed</t>
  </si>
  <si>
    <t>Tip Speed Ratio</t>
  </si>
  <si>
    <r>
      <t>C</t>
    </r>
    <r>
      <rPr>
        <vertAlign val="subscript"/>
        <sz val="11"/>
        <color theme="1"/>
        <rFont val="Calibri"/>
        <family val="2"/>
        <scheme val="minor"/>
      </rPr>
      <t>p</t>
    </r>
  </si>
  <si>
    <t>Air Density</t>
  </si>
  <si>
    <t>kg/m^3</t>
  </si>
  <si>
    <t>Sweep Area</t>
  </si>
  <si>
    <t>m^2</t>
  </si>
  <si>
    <t>Tip Speeds (m/s)</t>
  </si>
  <si>
    <t>Ranges</t>
  </si>
  <si>
    <t>Critical</t>
  </si>
  <si>
    <t>Max</t>
  </si>
  <si>
    <t>Average</t>
  </si>
  <si>
    <t>Min</t>
  </si>
  <si>
    <t>Period (s/rev)</t>
  </si>
  <si>
    <t>RPM</t>
  </si>
  <si>
    <t>Freq of Force (rev/s) (Hz)</t>
  </si>
  <si>
    <t>Power (W)</t>
  </si>
  <si>
    <t>Bending Stress (Mpa)</t>
  </si>
  <si>
    <t>Multiple for Each Section Wt</t>
  </si>
  <si>
    <t>Axial Bending (Mpa)</t>
  </si>
  <si>
    <t>Combined Stress (Mpa)</t>
  </si>
  <si>
    <r>
      <t>k</t>
    </r>
    <r>
      <rPr>
        <b/>
        <vertAlign val="subscript"/>
        <sz val="11"/>
        <rFont val="Calibri"/>
        <family val="2"/>
        <scheme val="minor"/>
      </rPr>
      <t>z</t>
    </r>
  </si>
  <si>
    <r>
      <t>q</t>
    </r>
    <r>
      <rPr>
        <b/>
        <vertAlign val="subscript"/>
        <sz val="11"/>
        <rFont val="Calibri"/>
        <family val="2"/>
        <scheme val="minor"/>
      </rPr>
      <t>z</t>
    </r>
  </si>
  <si>
    <t>Static Load (N)</t>
  </si>
  <si>
    <t>Thrust (N)</t>
  </si>
  <si>
    <t>Dynamic Load as a Single Static Load</t>
  </si>
  <si>
    <t>Moment</t>
  </si>
  <si>
    <t>Euler Elastic Buckling Stress (ksi)</t>
  </si>
  <si>
    <t>Determine short or long column</t>
  </si>
  <si>
    <t>Critical GLOBAL Buckling Stress (ksi)</t>
  </si>
  <si>
    <t>Allowed GLOBAL Buckling Stress (FoS) (ksi)</t>
  </si>
  <si>
    <t>Dead Weight multiply factor</t>
  </si>
  <si>
    <t>Moment Arm for dead weight</t>
  </si>
  <si>
    <t>Moment arm for Fy , Fx</t>
  </si>
  <si>
    <t>Moment arm for T</t>
  </si>
  <si>
    <t>Theta (deg)</t>
  </si>
  <si>
    <t>Theta (rad)</t>
  </si>
  <si>
    <t>Tension Moment</t>
  </si>
  <si>
    <t>Weight Moment</t>
  </si>
  <si>
    <t>Critical T</t>
  </si>
  <si>
    <t>Fy</t>
  </si>
  <si>
    <t>Fx</t>
  </si>
  <si>
    <t xml:space="preserve">Tension Moment </t>
  </si>
  <si>
    <t>Moment arm for T  @ 47.75</t>
  </si>
  <si>
    <t>Moment arm for T@27.75</t>
  </si>
  <si>
    <t>Moment for T</t>
  </si>
  <si>
    <t>Resultant Forces</t>
  </si>
  <si>
    <t>Theta=2 Moment and Stress</t>
  </si>
  <si>
    <t>Theta = 10 Moment and Stress</t>
  </si>
  <si>
    <t>Theta = 20 Moment and Stress</t>
  </si>
  <si>
    <t>Theta = 30 Moment and Stress</t>
  </si>
  <si>
    <t>Theta = 40 Moment and Stress</t>
  </si>
  <si>
    <t>Theta = 50 Moment and Stress</t>
  </si>
  <si>
    <t>Theta =60 Moment and Stress</t>
  </si>
  <si>
    <t>Theta =70 Moment and Stress</t>
  </si>
  <si>
    <t>Theta = 80 Moment and Stress</t>
  </si>
  <si>
    <t>Theta = 90 Moment and Stress</t>
  </si>
  <si>
    <t>Upper Diameter</t>
  </si>
  <si>
    <t>Lower Diameter</t>
  </si>
  <si>
    <t>Thickness</t>
  </si>
  <si>
    <t>Alternative 1</t>
  </si>
  <si>
    <t>Alternative 2</t>
  </si>
  <si>
    <t>Alternative 3</t>
  </si>
  <si>
    <t>Moment arm for T@40.75</t>
  </si>
  <si>
    <t>Moment arm for T  @ 53.75</t>
  </si>
  <si>
    <t>Moment (Nm)</t>
  </si>
  <si>
    <t>Bending Stress</t>
  </si>
  <si>
    <t>P (Axial Load)</t>
  </si>
  <si>
    <t>Axial Stress</t>
  </si>
  <si>
    <t>Combined Stress</t>
  </si>
  <si>
    <t>P (axial load)</t>
  </si>
  <si>
    <t>P multiply factor</t>
  </si>
  <si>
    <t>P multiply Factor</t>
  </si>
  <si>
    <t>Density of A36 Steel</t>
  </si>
  <si>
    <t>Section of Tower (Height)</t>
  </si>
  <si>
    <t>Outer Radius at Height</t>
  </si>
  <si>
    <t>Inner Radius at Height</t>
  </si>
  <si>
    <t>Outer Volume</t>
  </si>
  <si>
    <t>Inner Volume</t>
  </si>
  <si>
    <t>Volume of Section</t>
  </si>
  <si>
    <t>Mass of Sections</t>
  </si>
  <si>
    <t>Sum of Sections Above</t>
  </si>
  <si>
    <t>Sum of Sections Below</t>
  </si>
  <si>
    <t>Difference (absolute value)</t>
  </si>
  <si>
    <t>Smallest Difference</t>
  </si>
  <si>
    <t>Center of Gravity</t>
  </si>
  <si>
    <r>
      <rPr>
        <b/>
        <u/>
        <sz val="36"/>
        <color theme="1"/>
        <rFont val="Calibri"/>
        <family val="2"/>
        <scheme val="minor"/>
      </rPr>
      <t>CHECK 2 of 2:</t>
    </r>
    <r>
      <rPr>
        <b/>
        <sz val="36"/>
        <color theme="1"/>
        <rFont val="Calibri"/>
        <family val="2"/>
        <scheme val="minor"/>
      </rPr>
      <t xml:space="preserve"> Operation Scenario</t>
    </r>
  </si>
  <si>
    <r>
      <rPr>
        <b/>
        <u/>
        <sz val="36"/>
        <color theme="1"/>
        <rFont val="Calibri"/>
        <family val="2"/>
        <scheme val="minor"/>
      </rPr>
      <t>CHECK 1 of 2:</t>
    </r>
    <r>
      <rPr>
        <b/>
        <sz val="36"/>
        <color theme="1"/>
        <rFont val="Calibri"/>
        <family val="2"/>
        <scheme val="minor"/>
      </rPr>
      <t xml:space="preserve"> Construction Scenario</t>
    </r>
  </si>
  <si>
    <t>Allowable Local Buckling stress (Mpa)</t>
  </si>
  <si>
    <t>Allowable Column Buckling Stress (Mpa)</t>
  </si>
  <si>
    <t>Attachment Point 2</t>
  </si>
  <si>
    <t>Attachment Point 3</t>
  </si>
  <si>
    <t>Tower Mass</t>
  </si>
  <si>
    <t>Mass of Tower</t>
  </si>
  <si>
    <t>Moment arm for T of 2nd Attachment Point</t>
  </si>
  <si>
    <t>Moment arm for T of 1st Attachment Point</t>
  </si>
  <si>
    <t>Moment arm for T of 3rd Attachment Point</t>
  </si>
  <si>
    <t>Minimum Tension</t>
  </si>
  <si>
    <t>Wind Parameters (From ASCE 7-10)</t>
  </si>
  <si>
    <t>N/m</t>
  </si>
  <si>
    <r>
      <t>A</t>
    </r>
    <r>
      <rPr>
        <b/>
        <vertAlign val="subscript"/>
        <sz val="11"/>
        <color theme="1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(Diameter at Z) </t>
    </r>
  </si>
  <si>
    <t xml:space="preserve">Max Stress </t>
  </si>
  <si>
    <t>Max Stress on Tower</t>
  </si>
  <si>
    <t>Allowable Stresses (Negative)</t>
  </si>
  <si>
    <t>Allowable  Stresses (Positive)</t>
  </si>
  <si>
    <t>Theta = 2 Moment and Stress</t>
  </si>
  <si>
    <t>I1/I2 Ratio</t>
  </si>
  <si>
    <t>m factor</t>
  </si>
  <si>
    <t>COLUMN BUCKLING - TIMOSHENKO</t>
  </si>
  <si>
    <t>I1/I2 ratio =</t>
  </si>
  <si>
    <t>K =</t>
  </si>
  <si>
    <t>m factor =</t>
  </si>
  <si>
    <t>λ =</t>
  </si>
  <si>
    <r>
      <t>σ</t>
    </r>
    <r>
      <rPr>
        <sz val="8.8000000000000007"/>
        <color theme="1"/>
        <rFont val="Calibri"/>
        <family val="2"/>
      </rPr>
      <t>cr</t>
    </r>
    <r>
      <rPr>
        <sz val="11"/>
        <color theme="1"/>
        <rFont val="Calibri"/>
        <family val="2"/>
      </rPr>
      <t xml:space="preserve"> =</t>
    </r>
  </si>
  <si>
    <r>
      <t>σ</t>
    </r>
    <r>
      <rPr>
        <sz val="8.8000000000000007"/>
        <color theme="1"/>
        <rFont val="Calibri"/>
        <family val="2"/>
      </rPr>
      <t>allowable</t>
    </r>
    <r>
      <rPr>
        <sz val="11"/>
        <color theme="1"/>
        <rFont val="Calibri"/>
        <family val="2"/>
      </rPr>
      <t xml:space="preserve"> =</t>
    </r>
  </si>
  <si>
    <t>LOCAL BUCKLING - W.E.H.</t>
  </si>
  <si>
    <t>Pr/Pc</t>
  </si>
  <si>
    <t>Mr/Mc</t>
  </si>
  <si>
    <t>Degree</t>
  </si>
  <si>
    <t>Yielding Check @ Base</t>
  </si>
  <si>
    <t>Theta (deg</t>
  </si>
  <si>
    <t>Pr/Pc + Mr/Mc</t>
  </si>
  <si>
    <t>Axial Stress =</t>
  </si>
  <si>
    <t>Allowable Stress (Mpa)</t>
  </si>
  <si>
    <r>
      <t>Bending Stress @ 2</t>
    </r>
    <r>
      <rPr>
        <sz val="11"/>
        <color theme="0"/>
        <rFont val="Times New Roman"/>
        <family val="1"/>
      </rPr>
      <t>°</t>
    </r>
  </si>
  <si>
    <t>Bending Stress @ 10°</t>
  </si>
  <si>
    <t>Bending Stress @ 20°</t>
  </si>
  <si>
    <t>Bending Stress @ 30°</t>
  </si>
  <si>
    <t>Bending Stress @ 40°</t>
  </si>
  <si>
    <t>Bending Stress @ 50°</t>
  </si>
  <si>
    <t>Bending Stress @ 60°</t>
  </si>
  <si>
    <t>Bending Stress @ 70°</t>
  </si>
  <si>
    <t>Bending Stress @ 80°</t>
  </si>
  <si>
    <r>
      <t>Bending Stress @ 90</t>
    </r>
    <r>
      <rPr>
        <b/>
        <sz val="11"/>
        <color theme="0"/>
        <rFont val="Calibri"/>
        <family val="2"/>
        <scheme val="minor"/>
      </rPr>
      <t>°</t>
    </r>
  </si>
  <si>
    <t>λ</t>
  </si>
  <si>
    <t>must be below 1.0 to pass</t>
  </si>
  <si>
    <r>
      <t>σ</t>
    </r>
    <r>
      <rPr>
        <sz val="8.8000000000000007"/>
        <color theme="1"/>
        <rFont val="Calibri"/>
        <family val="2"/>
      </rPr>
      <t>e</t>
    </r>
    <r>
      <rPr>
        <sz val="11"/>
        <color theme="1"/>
        <rFont val="Calibri"/>
        <family val="2"/>
      </rPr>
      <t xml:space="preserve"> =</t>
    </r>
  </si>
  <si>
    <t>AISC</t>
  </si>
  <si>
    <t>Allowable Stresses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</si>
</sst>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000"/>
    <numFmt numFmtId="165" formatCode="0.000"/>
    <numFmt numFmtId="166" formatCode="0.0"/>
    <numFmt numFmtId="167" formatCode="0.00_);\(0.00\)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u/>
      <sz val="3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1"/>
      <name val="Calibri"/>
      <family val="2"/>
    </font>
    <font>
      <sz val="8.8000000000000007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darkDown">
        <fgColor theme="4" tint="-0.24994659260841701"/>
        <bgColor theme="4" tint="0.39994506668294322"/>
      </patternFill>
    </fill>
    <fill>
      <patternFill patternType="solid">
        <fgColor theme="0"/>
        <bgColor indexed="64"/>
      </patternFill>
    </fill>
    <fill>
      <patternFill patternType="darkDown">
        <fgColor theme="4" tint="-0.499984740745262"/>
        <bgColor theme="4" tint="0.39994506668294322"/>
      </patternFill>
    </fill>
    <fill>
      <patternFill patternType="darkDown">
        <fgColor theme="4" tint="-0.24994659260841701"/>
        <bgColor theme="3" tint="-0.499984740745262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darkDown">
        <fgColor theme="3" tint="-0.24994659260841701"/>
        <bgColor theme="3" tint="0.39994506668294322"/>
      </patternFill>
    </fill>
    <fill>
      <patternFill patternType="darkDown">
        <fgColor theme="3" tint="-0.24994659260841701"/>
        <bgColor theme="3" tint="-0.499984740745262"/>
      </patternFill>
    </fill>
    <fill>
      <patternFill patternType="darkDown">
        <fgColor theme="3" tint="-0.499984740745262"/>
        <bgColor theme="3" tint="-0.24994659260841701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darkDown">
        <fgColor theme="4" tint="-0.499984740745262"/>
        <bgColor theme="3" tint="-0.24994659260841701"/>
      </patternFill>
    </fill>
    <fill>
      <patternFill patternType="darkDown">
        <fgColor theme="3" tint="-0.24994659260841701"/>
        <bgColor theme="4" tint="-0.24994659260841701"/>
      </patternFill>
    </fill>
    <fill>
      <patternFill patternType="darkDown">
        <fgColor theme="4" tint="-0.499984740745262"/>
        <bgColor indexed="65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250">
    <xf numFmtId="0" fontId="0" fillId="0" borderId="0" xfId="0"/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ont="1"/>
    <xf numFmtId="0" fontId="1" fillId="4" borderId="6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5" xfId="0" applyFill="1" applyBorder="1" applyAlignment="1">
      <alignment horizontal="right"/>
    </xf>
    <xf numFmtId="0" fontId="0" fillId="0" borderId="5" xfId="0" applyFill="1" applyBorder="1"/>
    <xf numFmtId="0" fontId="0" fillId="0" borderId="5" xfId="0" quotePrefix="1" applyBorder="1"/>
    <xf numFmtId="0" fontId="0" fillId="0" borderId="5" xfId="0" applyBorder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/>
    <xf numFmtId="0" fontId="0" fillId="3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wrapText="1"/>
    </xf>
    <xf numFmtId="0" fontId="0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Border="1" applyAlignment="1">
      <alignment wrapText="1"/>
    </xf>
    <xf numFmtId="0" fontId="10" fillId="0" borderId="0" xfId="0" applyFont="1" applyBorder="1" applyAlignment="1">
      <alignment horizontal="right" wrapText="1"/>
    </xf>
    <xf numFmtId="0" fontId="0" fillId="0" borderId="5" xfId="0" applyFont="1" applyBorder="1"/>
    <xf numFmtId="0" fontId="0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right"/>
    </xf>
    <xf numFmtId="0" fontId="0" fillId="0" borderId="5" xfId="0" quotePrefix="1" applyFont="1" applyBorder="1" applyAlignment="1">
      <alignment horizontal="center"/>
    </xf>
    <xf numFmtId="0" fontId="0" fillId="0" borderId="5" xfId="0" applyFont="1" applyFill="1" applyBorder="1" applyAlignment="1">
      <alignment horizontal="right"/>
    </xf>
    <xf numFmtId="0" fontId="0" fillId="0" borderId="5" xfId="0" applyFont="1" applyFill="1" applyBorder="1"/>
    <xf numFmtId="0" fontId="0" fillId="0" borderId="5" xfId="0" quotePrefix="1" applyFont="1" applyBorder="1"/>
    <xf numFmtId="0" fontId="0" fillId="0" borderId="0" xfId="0" applyFont="1" applyAlignment="1">
      <alignment horizontal="center"/>
    </xf>
    <xf numFmtId="4" fontId="0" fillId="0" borderId="5" xfId="0" applyNumberFormat="1" applyFont="1" applyBorder="1" applyAlignment="1">
      <alignment horizontal="center" vertical="center"/>
    </xf>
    <xf numFmtId="4" fontId="0" fillId="5" borderId="5" xfId="0" applyNumberFormat="1" applyFont="1" applyFill="1" applyBorder="1" applyAlignment="1">
      <alignment horizontal="center" vertical="center" wrapText="1"/>
    </xf>
    <xf numFmtId="4" fontId="0" fillId="5" borderId="5" xfId="0" applyNumberFormat="1" applyFont="1" applyFill="1" applyBorder="1" applyAlignment="1">
      <alignment horizontal="center" vertical="center"/>
    </xf>
    <xf numFmtId="4" fontId="0" fillId="5" borderId="5" xfId="0" applyNumberFormat="1" applyFill="1" applyBorder="1" applyAlignment="1">
      <alignment horizontal="center" vertical="center"/>
    </xf>
    <xf numFmtId="4" fontId="1" fillId="3" borderId="5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3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5" xfId="0" applyFont="1" applyFill="1" applyBorder="1" applyAlignment="1">
      <alignment wrapText="1"/>
    </xf>
    <xf numFmtId="0" fontId="16" fillId="12" borderId="4" xfId="0" applyFont="1" applyFill="1" applyBorder="1" applyAlignment="1"/>
    <xf numFmtId="0" fontId="17" fillId="12" borderId="4" xfId="0" applyFont="1" applyFill="1" applyBorder="1" applyAlignment="1">
      <alignment horizontal="center" vertical="center"/>
    </xf>
    <xf numFmtId="3" fontId="0" fillId="0" borderId="5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 wrapText="1"/>
    </xf>
    <xf numFmtId="2" fontId="0" fillId="0" borderId="5" xfId="0" applyNumberFormat="1" applyFont="1" applyFill="1" applyBorder="1" applyAlignment="1">
      <alignment horizontal="center" vertical="center"/>
    </xf>
    <xf numFmtId="2" fontId="0" fillId="0" borderId="0" xfId="0" applyNumberFormat="1" applyFont="1"/>
    <xf numFmtId="2" fontId="0" fillId="0" borderId="5" xfId="0" quotePrefix="1" applyNumberFormat="1" applyFont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/>
    </xf>
    <xf numFmtId="164" fontId="1" fillId="3" borderId="5" xfId="0" applyNumberFormat="1" applyFont="1" applyFill="1" applyBorder="1" applyAlignment="1">
      <alignment horizontal="center" vertical="center" wrapText="1"/>
    </xf>
    <xf numFmtId="164" fontId="0" fillId="0" borderId="5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0" fillId="16" borderId="0" xfId="0" applyFill="1" applyBorder="1"/>
    <xf numFmtId="0" fontId="0" fillId="16" borderId="0" xfId="0" applyFill="1" applyBorder="1" applyAlignment="1"/>
    <xf numFmtId="0" fontId="0" fillId="20" borderId="5" xfId="0" applyFont="1" applyFill="1" applyBorder="1"/>
    <xf numFmtId="0" fontId="0" fillId="20" borderId="5" xfId="0" applyFill="1" applyBorder="1"/>
    <xf numFmtId="0" fontId="25" fillId="20" borderId="5" xfId="0" applyFont="1" applyFill="1" applyBorder="1"/>
    <xf numFmtId="0" fontId="0" fillId="0" borderId="8" xfId="0" applyFont="1" applyFill="1" applyBorder="1"/>
    <xf numFmtId="0" fontId="0" fillId="0" borderId="8" xfId="0" applyFont="1" applyBorder="1"/>
    <xf numFmtId="0" fontId="0" fillId="0" borderId="12" xfId="0" applyFont="1" applyFill="1" applyBorder="1"/>
    <xf numFmtId="0" fontId="0" fillId="0" borderId="12" xfId="0" applyFont="1" applyBorder="1"/>
    <xf numFmtId="0" fontId="0" fillId="21" borderId="5" xfId="0" applyFill="1" applyBorder="1"/>
    <xf numFmtId="1" fontId="0" fillId="21" borderId="5" xfId="0" applyNumberFormat="1" applyFill="1" applyBorder="1"/>
    <xf numFmtId="3" fontId="0" fillId="21" borderId="5" xfId="0" applyNumberFormat="1" applyFill="1" applyBorder="1"/>
    <xf numFmtId="0" fontId="0" fillId="21" borderId="5" xfId="0" applyFont="1" applyFill="1" applyBorder="1"/>
    <xf numFmtId="0" fontId="0" fillId="22" borderId="5" xfId="0" applyFont="1" applyFill="1" applyBorder="1"/>
    <xf numFmtId="0" fontId="0" fillId="22" borderId="5" xfId="0" applyFill="1" applyBorder="1"/>
    <xf numFmtId="4" fontId="0" fillId="0" borderId="5" xfId="0" applyNumberFormat="1" applyFont="1" applyFill="1" applyBorder="1" applyAlignment="1">
      <alignment horizontal="center" vertical="center" wrapText="1"/>
    </xf>
    <xf numFmtId="4" fontId="0" fillId="0" borderId="5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0" borderId="0" xfId="0" applyFill="1" applyAlignment="1">
      <alignment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26" fillId="14" borderId="5" xfId="0" applyFont="1" applyFill="1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15" borderId="5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37" fontId="0" fillId="0" borderId="5" xfId="1" applyNumberFormat="1" applyFont="1" applyBorder="1" applyAlignment="1">
      <alignment horizontal="center" vertical="center"/>
    </xf>
    <xf numFmtId="43" fontId="0" fillId="0" borderId="5" xfId="1" applyFont="1" applyBorder="1" applyAlignment="1">
      <alignment horizontal="center" vertical="center"/>
    </xf>
    <xf numFmtId="43" fontId="0" fillId="0" borderId="5" xfId="0" applyNumberFormat="1" applyBorder="1" applyAlignment="1">
      <alignment horizontal="center" vertical="center"/>
    </xf>
    <xf numFmtId="43" fontId="0" fillId="0" borderId="5" xfId="0" applyNumberFormat="1" applyFill="1" applyBorder="1" applyAlignment="1">
      <alignment horizontal="center" vertical="center"/>
    </xf>
    <xf numFmtId="43" fontId="0" fillId="0" borderId="5" xfId="1" applyFont="1" applyFill="1" applyBorder="1" applyAlignment="1">
      <alignment horizontal="center" vertical="center"/>
    </xf>
    <xf numFmtId="43" fontId="0" fillId="5" borderId="5" xfId="1" applyFont="1" applyFill="1" applyBorder="1" applyAlignment="1">
      <alignment horizontal="center" vertical="center"/>
    </xf>
    <xf numFmtId="43" fontId="0" fillId="13" borderId="5" xfId="1" applyFon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 wrapText="1"/>
    </xf>
    <xf numFmtId="2" fontId="0" fillId="0" borderId="5" xfId="1" applyNumberFormat="1" applyFont="1" applyBorder="1" applyAlignment="1">
      <alignment horizontal="center" vertical="center"/>
    </xf>
    <xf numFmtId="37" fontId="0" fillId="5" borderId="5" xfId="1" applyNumberFormat="1" applyFont="1" applyFill="1" applyBorder="1" applyAlignment="1">
      <alignment horizontal="center" vertical="center"/>
    </xf>
    <xf numFmtId="37" fontId="0" fillId="13" borderId="5" xfId="1" applyNumberFormat="1" applyFont="1" applyFill="1" applyBorder="1" applyAlignment="1">
      <alignment horizontal="center" vertical="center"/>
    </xf>
    <xf numFmtId="37" fontId="0" fillId="9" borderId="5" xfId="1" applyNumberFormat="1" applyFont="1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43" fontId="0" fillId="12" borderId="5" xfId="0" applyNumberFormat="1" applyFill="1" applyBorder="1" applyAlignment="1">
      <alignment horizontal="center" vertical="center"/>
    </xf>
    <xf numFmtId="43" fontId="0" fillId="0" borderId="5" xfId="1" applyNumberFormat="1" applyFont="1" applyBorder="1" applyAlignment="1">
      <alignment horizontal="center" vertical="center"/>
    </xf>
    <xf numFmtId="165" fontId="0" fillId="0" borderId="0" xfId="0" applyNumberFormat="1" applyFont="1" applyFill="1" applyBorder="1" applyAlignment="1">
      <alignment horizontal="center" vertical="center"/>
    </xf>
    <xf numFmtId="165" fontId="0" fillId="0" borderId="0" xfId="0" applyNumberFormat="1" applyFont="1"/>
    <xf numFmtId="165" fontId="0" fillId="0" borderId="0" xfId="0" applyNumberFormat="1"/>
    <xf numFmtId="2" fontId="0" fillId="0" borderId="0" xfId="0" applyNumberFormat="1"/>
    <xf numFmtId="2" fontId="0" fillId="3" borderId="5" xfId="0" applyNumberFormat="1" applyFont="1" applyFill="1" applyBorder="1" applyAlignment="1">
      <alignment horizontal="center" vertical="center" wrapText="1"/>
    </xf>
    <xf numFmtId="165" fontId="0" fillId="3" borderId="5" xfId="0" applyNumberFormat="1" applyFont="1" applyFill="1" applyBorder="1" applyAlignment="1">
      <alignment horizontal="center" vertical="center" wrapText="1"/>
    </xf>
    <xf numFmtId="166" fontId="0" fillId="0" borderId="5" xfId="0" applyNumberFormat="1" applyFont="1" applyFill="1" applyBorder="1" applyAlignment="1">
      <alignment horizontal="center" vertical="center"/>
    </xf>
    <xf numFmtId="2" fontId="29" fillId="0" borderId="5" xfId="0" applyNumberFormat="1" applyFont="1" applyFill="1" applyBorder="1" applyAlignment="1">
      <alignment horizontal="center" vertical="center"/>
    </xf>
    <xf numFmtId="3" fontId="0" fillId="0" borderId="2" xfId="0" applyNumberFormat="1" applyFon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 vertical="center"/>
    </xf>
    <xf numFmtId="2" fontId="25" fillId="20" borderId="5" xfId="0" applyNumberFormat="1" applyFont="1" applyFill="1" applyBorder="1"/>
    <xf numFmtId="2" fontId="0" fillId="21" borderId="5" xfId="0" applyNumberFormat="1" applyFill="1" applyBorder="1"/>
    <xf numFmtId="2" fontId="0" fillId="22" borderId="5" xfId="0" applyNumberFormat="1" applyFill="1" applyBorder="1"/>
    <xf numFmtId="43" fontId="0" fillId="21" borderId="5" xfId="0" applyNumberFormat="1" applyFill="1" applyBorder="1"/>
    <xf numFmtId="2" fontId="0" fillId="21" borderId="5" xfId="0" applyNumberFormat="1" applyFont="1" applyFill="1" applyBorder="1"/>
    <xf numFmtId="2" fontId="0" fillId="21" borderId="8" xfId="0" applyNumberFormat="1" applyFont="1" applyFill="1" applyBorder="1"/>
    <xf numFmtId="2" fontId="0" fillId="20" borderId="5" xfId="0" applyNumberFormat="1" applyFont="1" applyFill="1" applyBorder="1"/>
    <xf numFmtId="2" fontId="25" fillId="21" borderId="5" xfId="0" applyNumberFormat="1" applyFont="1" applyFill="1" applyBorder="1"/>
    <xf numFmtId="0" fontId="13" fillId="21" borderId="0" xfId="0" applyFont="1" applyFill="1"/>
    <xf numFmtId="43" fontId="0" fillId="21" borderId="5" xfId="0" applyNumberFormat="1" applyFont="1" applyFill="1" applyBorder="1"/>
    <xf numFmtId="1" fontId="0" fillId="21" borderId="5" xfId="0" applyNumberFormat="1" applyFont="1" applyFill="1" applyBorder="1"/>
    <xf numFmtId="1" fontId="10" fillId="21" borderId="0" xfId="0" applyNumberFormat="1" applyFont="1" applyFill="1"/>
    <xf numFmtId="2" fontId="0" fillId="22" borderId="5" xfId="0" applyNumberFormat="1" applyFont="1" applyFill="1" applyBorder="1"/>
    <xf numFmtId="2" fontId="0" fillId="2" borderId="5" xfId="0" applyNumberFormat="1" applyFont="1" applyFill="1" applyBorder="1" applyAlignment="1">
      <alignment horizontal="center" vertical="center"/>
    </xf>
    <xf numFmtId="165" fontId="0" fillId="2" borderId="6" xfId="0" applyNumberFormat="1" applyFont="1" applyFill="1" applyBorder="1" applyAlignment="1">
      <alignment horizontal="center" vertical="center"/>
    </xf>
    <xf numFmtId="165" fontId="0" fillId="3" borderId="6" xfId="0" applyNumberFormat="1" applyFont="1" applyFill="1" applyBorder="1" applyAlignment="1">
      <alignment horizontal="center" vertical="center" wrapText="1"/>
    </xf>
    <xf numFmtId="166" fontId="0" fillId="0" borderId="6" xfId="0" applyNumberFormat="1" applyFont="1" applyFill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/>
    </xf>
    <xf numFmtId="2" fontId="0" fillId="2" borderId="11" xfId="0" applyNumberFormat="1" applyFont="1" applyFill="1" applyBorder="1" applyAlignment="1">
      <alignment horizontal="center" vertical="center"/>
    </xf>
    <xf numFmtId="2" fontId="0" fillId="0" borderId="11" xfId="0" applyNumberFormat="1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2" fontId="29" fillId="0" borderId="11" xfId="0" applyNumberFormat="1" applyFont="1" applyFill="1" applyBorder="1" applyAlignment="1">
      <alignment horizontal="center" vertical="center"/>
    </xf>
    <xf numFmtId="43" fontId="0" fillId="0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 applyAlignment="1">
      <alignment horizontal="center"/>
    </xf>
    <xf numFmtId="0" fontId="0" fillId="19" borderId="0" xfId="0" applyFill="1" applyBorder="1" applyAlignment="1"/>
    <xf numFmtId="0" fontId="0" fillId="0" borderId="0" xfId="0" applyFont="1" applyFill="1" applyBorder="1" applyAlignment="1">
      <alignment horizontal="center" vertical="center"/>
    </xf>
    <xf numFmtId="166" fontId="0" fillId="0" borderId="0" xfId="0" applyNumberFormat="1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/>
    </xf>
    <xf numFmtId="167" fontId="31" fillId="7" borderId="5" xfId="0" applyNumberFormat="1" applyFont="1" applyFill="1" applyBorder="1" applyAlignment="1">
      <alignment horizontal="center" vertical="center" wrapText="1"/>
    </xf>
    <xf numFmtId="167" fontId="0" fillId="0" borderId="0" xfId="0" applyNumberFormat="1" applyAlignment="1">
      <alignment horizontal="center" vertical="center" wrapText="1"/>
    </xf>
    <xf numFmtId="0" fontId="0" fillId="18" borderId="6" xfId="0" applyFill="1" applyBorder="1" applyAlignment="1">
      <alignment horizontal="center"/>
    </xf>
    <xf numFmtId="0" fontId="0" fillId="18" borderId="10" xfId="0" applyFill="1" applyBorder="1" applyAlignment="1">
      <alignment horizontal="center"/>
    </xf>
    <xf numFmtId="0" fontId="0" fillId="18" borderId="11" xfId="0" applyFill="1" applyBorder="1" applyAlignment="1">
      <alignment horizontal="center"/>
    </xf>
    <xf numFmtId="0" fontId="22" fillId="14" borderId="6" xfId="0" applyFont="1" applyFill="1" applyBorder="1" applyAlignment="1">
      <alignment horizontal="center"/>
    </xf>
    <xf numFmtId="0" fontId="21" fillId="14" borderId="10" xfId="0" applyFont="1" applyFill="1" applyBorder="1" applyAlignment="1">
      <alignment horizontal="center"/>
    </xf>
    <xf numFmtId="0" fontId="21" fillId="14" borderId="11" xfId="0" applyFont="1" applyFill="1" applyBorder="1" applyAlignment="1">
      <alignment horizontal="center"/>
    </xf>
    <xf numFmtId="0" fontId="24" fillId="14" borderId="10" xfId="0" applyFont="1" applyFill="1" applyBorder="1" applyAlignment="1">
      <alignment horizontal="center"/>
    </xf>
    <xf numFmtId="0" fontId="24" fillId="14" borderId="11" xfId="0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0" fillId="17" borderId="6" xfId="0" applyFill="1" applyBorder="1" applyAlignment="1">
      <alignment horizontal="center"/>
    </xf>
    <xf numFmtId="0" fontId="0" fillId="17" borderId="10" xfId="0" applyFill="1" applyBorder="1" applyAlignment="1">
      <alignment horizontal="center"/>
    </xf>
    <xf numFmtId="0" fontId="0" fillId="17" borderId="11" xfId="0" applyFill="1" applyBorder="1" applyAlignment="1">
      <alignment horizontal="center"/>
    </xf>
    <xf numFmtId="0" fontId="26" fillId="14" borderId="5" xfId="0" applyFont="1" applyFill="1" applyBorder="1" applyAlignment="1">
      <alignment horizontal="center" vertical="center"/>
    </xf>
    <xf numFmtId="43" fontId="26" fillId="14" borderId="6" xfId="0" applyNumberFormat="1" applyFont="1" applyFill="1" applyBorder="1" applyAlignment="1">
      <alignment horizontal="center" vertical="center"/>
    </xf>
    <xf numFmtId="0" fontId="26" fillId="14" borderId="11" xfId="0" applyFont="1" applyFill="1" applyBorder="1" applyAlignment="1">
      <alignment horizontal="center" vertical="center"/>
    </xf>
    <xf numFmtId="43" fontId="26" fillId="14" borderId="5" xfId="0" applyNumberFormat="1" applyFont="1" applyFill="1" applyBorder="1" applyAlignment="1">
      <alignment horizontal="center" vertical="center"/>
    </xf>
    <xf numFmtId="0" fontId="27" fillId="14" borderId="5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3" fillId="7" borderId="3" xfId="0" applyFont="1" applyFill="1" applyBorder="1" applyAlignment="1">
      <alignment horizontal="center"/>
    </xf>
    <xf numFmtId="0" fontId="3" fillId="7" borderId="4" xfId="0" applyFont="1" applyFill="1" applyBorder="1" applyAlignment="1">
      <alignment horizontal="center"/>
    </xf>
    <xf numFmtId="0" fontId="0" fillId="8" borderId="2" xfId="0" applyFont="1" applyFill="1" applyBorder="1" applyAlignment="1">
      <alignment horizontal="center"/>
    </xf>
    <xf numFmtId="0" fontId="0" fillId="8" borderId="0" xfId="0" applyFill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4" fillId="6" borderId="6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0" fillId="23" borderId="5" xfId="0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20" fillId="12" borderId="5" xfId="0" applyFont="1" applyFill="1" applyBorder="1" applyAlignment="1">
      <alignment horizontal="center" vertical="center"/>
    </xf>
    <xf numFmtId="0" fontId="19" fillId="12" borderId="5" xfId="0" applyFont="1" applyFill="1" applyBorder="1" applyAlignment="1">
      <alignment horizontal="center" vertical="center"/>
    </xf>
    <xf numFmtId="0" fontId="19" fillId="12" borderId="6" xfId="0" applyFont="1" applyFill="1" applyBorder="1" applyAlignment="1">
      <alignment horizontal="center" vertical="center"/>
    </xf>
    <xf numFmtId="0" fontId="19" fillId="12" borderId="10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0" fillId="12" borderId="5" xfId="0" applyFill="1" applyBorder="1" applyAlignment="1">
      <alignment horizontal="center" vertical="center"/>
    </xf>
    <xf numFmtId="0" fontId="28" fillId="12" borderId="6" xfId="0" applyFont="1" applyFill="1" applyBorder="1" applyAlignment="1">
      <alignment horizontal="center" vertical="center"/>
    </xf>
    <xf numFmtId="0" fontId="28" fillId="12" borderId="10" xfId="0" applyFont="1" applyFill="1" applyBorder="1" applyAlignment="1">
      <alignment horizontal="center" vertical="center"/>
    </xf>
    <xf numFmtId="0" fontId="28" fillId="12" borderId="11" xfId="0" applyFont="1" applyFill="1" applyBorder="1" applyAlignment="1">
      <alignment horizontal="center" vertical="center"/>
    </xf>
    <xf numFmtId="0" fontId="0" fillId="24" borderId="5" xfId="0" applyFill="1" applyBorder="1" applyAlignment="1">
      <alignment horizontal="center" vertical="center"/>
    </xf>
    <xf numFmtId="0" fontId="0" fillId="18" borderId="5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28" fillId="12" borderId="5" xfId="0" applyFont="1" applyFill="1" applyBorder="1" applyAlignment="1">
      <alignment horizontal="center" vertical="center"/>
    </xf>
    <xf numFmtId="0" fontId="0" fillId="11" borderId="0" xfId="0" applyFill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16" fillId="8" borderId="0" xfId="0" applyFont="1" applyFill="1" applyBorder="1" applyAlignment="1">
      <alignment horizontal="center"/>
    </xf>
    <xf numFmtId="0" fontId="16" fillId="8" borderId="4" xfId="0" applyFont="1" applyFill="1" applyBorder="1" applyAlignment="1">
      <alignment horizontal="center"/>
    </xf>
    <xf numFmtId="0" fontId="17" fillId="15" borderId="4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2" fillId="8" borderId="7" xfId="0" applyFont="1" applyFill="1" applyBorder="1" applyAlignment="1">
      <alignment horizontal="center" vertical="center"/>
    </xf>
    <xf numFmtId="0" fontId="0" fillId="19" borderId="2" xfId="0" applyFill="1" applyBorder="1" applyAlignment="1">
      <alignment horizontal="center"/>
    </xf>
    <xf numFmtId="0" fontId="6" fillId="7" borderId="5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13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0" fillId="19" borderId="0" xfId="0" applyFill="1" applyBorder="1" applyAlignment="1">
      <alignment horizontal="center"/>
    </xf>
    <xf numFmtId="2" fontId="0" fillId="25" borderId="10" xfId="0" applyNumberFormat="1" applyFont="1" applyFill="1" applyBorder="1" applyAlignment="1">
      <alignment horizontal="center" vertical="center"/>
    </xf>
    <xf numFmtId="2" fontId="6" fillId="7" borderId="3" xfId="0" applyNumberFormat="1" applyFont="1" applyFill="1" applyBorder="1" applyAlignment="1">
      <alignment horizontal="center" vertical="center" wrapText="1"/>
    </xf>
    <xf numFmtId="2" fontId="6" fillId="7" borderId="4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6" fillId="7" borderId="7" xfId="0" applyFont="1" applyFill="1" applyBorder="1" applyAlignment="1">
      <alignment horizontal="center" vertical="center"/>
    </xf>
    <xf numFmtId="2" fontId="0" fillId="25" borderId="6" xfId="0" applyNumberFormat="1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167" fontId="0" fillId="19" borderId="0" xfId="0" applyNumberForma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center"/>
    </xf>
    <xf numFmtId="0" fontId="0" fillId="0" borderId="6" xfId="0" applyBorder="1"/>
    <xf numFmtId="0" fontId="0" fillId="0" borderId="6" xfId="0" quotePrefix="1" applyBorder="1"/>
    <xf numFmtId="0" fontId="0" fillId="0" borderId="6" xfId="0" applyFill="1" applyBorder="1"/>
    <xf numFmtId="0" fontId="0" fillId="0" borderId="6" xfId="0" quotePrefix="1" applyFont="1" applyBorder="1"/>
    <xf numFmtId="0" fontId="0" fillId="0" borderId="6" xfId="0" applyFont="1" applyFill="1" applyBorder="1"/>
    <xf numFmtId="0" fontId="0" fillId="0" borderId="6" xfId="0" applyFont="1" applyBorder="1"/>
    <xf numFmtId="0" fontId="0" fillId="0" borderId="14" xfId="0" applyFont="1" applyBorder="1"/>
    <xf numFmtId="0" fontId="0" fillId="8" borderId="5" xfId="0" applyFill="1" applyBorder="1" applyAlignment="1">
      <alignment horizontal="center"/>
    </xf>
    <xf numFmtId="0" fontId="0" fillId="14" borderId="5" xfId="0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28" fillId="16" borderId="6" xfId="0" applyFont="1" applyFill="1" applyBorder="1" applyAlignment="1">
      <alignment horizontal="center" vertical="center"/>
    </xf>
    <xf numFmtId="0" fontId="28" fillId="16" borderId="11" xfId="0" applyFont="1" applyFill="1" applyBorder="1" applyAlignment="1">
      <alignment horizontal="center" vertical="center"/>
    </xf>
    <xf numFmtId="167" fontId="4" fillId="6" borderId="5" xfId="0" applyNumberFormat="1" applyFont="1" applyFill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Allowable Local Buckling vs Calculated</a:t>
            </a:r>
            <a:r>
              <a:rPr lang="en-US" baseline="0"/>
              <a:t> </a:t>
            </a:r>
            <a:r>
              <a:rPr lang="en-US"/>
              <a:t>Operation Stresses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Allowable Local Buckling</c:v>
          </c:tx>
          <c:marker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'Local Buckling'!$U$4:$U$70</c:f>
              <c:numCache>
                <c:formatCode>General</c:formatCode>
                <c:ptCount val="67"/>
                <c:pt idx="0">
                  <c:v>169.67873697102945</c:v>
                </c:pt>
                <c:pt idx="1">
                  <c:v>169.63101363570965</c:v>
                </c:pt>
                <c:pt idx="2">
                  <c:v>169.58280900786718</c:v>
                </c:pt>
                <c:pt idx="3">
                  <c:v>169.53411576980909</c:v>
                </c:pt>
                <c:pt idx="4">
                  <c:v>169.48492645474013</c:v>
                </c:pt>
                <c:pt idx="5">
                  <c:v>169.43523344294547</c:v>
                </c:pt>
                <c:pt idx="6">
                  <c:v>169.38502895785615</c:v>
                </c:pt>
                <c:pt idx="7">
                  <c:v>169.33430506199184</c:v>
                </c:pt>
                <c:pt idx="8">
                  <c:v>169.28305365277743</c:v>
                </c:pt>
                <c:pt idx="9">
                  <c:v>169.23126645822822</c:v>
                </c:pt>
                <c:pt idx="10">
                  <c:v>169.17893503249894</c:v>
                </c:pt>
                <c:pt idx="11">
                  <c:v>169.12605075129221</c:v>
                </c:pt>
                <c:pt idx="12">
                  <c:v>169.07260480711997</c:v>
                </c:pt>
                <c:pt idx="13">
                  <c:v>169.01858820441385</c:v>
                </c:pt>
                <c:pt idx="14">
                  <c:v>168.96399175447758</c:v>
                </c:pt>
                <c:pt idx="15">
                  <c:v>168.90880607027623</c:v>
                </c:pt>
                <c:pt idx="16">
                  <c:v>168.85302156105558</c:v>
                </c:pt>
                <c:pt idx="17">
                  <c:v>168.79662842678573</c:v>
                </c:pt>
                <c:pt idx="18">
                  <c:v>168.73961665242155</c:v>
                </c:pt>
                <c:pt idx="19">
                  <c:v>168.68197600197317</c:v>
                </c:pt>
                <c:pt idx="20">
                  <c:v>168.62369601237955</c:v>
                </c:pt>
                <c:pt idx="21">
                  <c:v>168.5647659871766</c:v>
                </c:pt>
                <c:pt idx="22">
                  <c:v>168.50517498995245</c:v>
                </c:pt>
                <c:pt idx="23">
                  <c:v>168.44491183758129</c:v>
                </c:pt>
                <c:pt idx="24">
                  <c:v>168.38396509322686</c:v>
                </c:pt>
                <c:pt idx="25">
                  <c:v>168.32232305910662</c:v>
                </c:pt>
                <c:pt idx="26">
                  <c:v>168.25997376900662</c:v>
                </c:pt>
                <c:pt idx="27">
                  <c:v>168.19690498053751</c:v>
                </c:pt>
                <c:pt idx="28">
                  <c:v>168.13310416712071</c:v>
                </c:pt>
                <c:pt idx="29">
                  <c:v>168.06855850969399</c:v>
                </c:pt>
                <c:pt idx="30">
                  <c:v>168.0032548881249</c:v>
                </c:pt>
                <c:pt idx="31">
                  <c:v>167.93717987231977</c:v>
                </c:pt>
                <c:pt idx="32">
                  <c:v>167.87031971301576</c:v>
                </c:pt>
                <c:pt idx="33">
                  <c:v>167.80266033224305</c:v>
                </c:pt>
                <c:pt idx="34">
                  <c:v>167.73418731344239</c:v>
                </c:pt>
                <c:pt idx="35">
                  <c:v>167.66488589122437</c:v>
                </c:pt>
                <c:pt idx="36">
                  <c:v>167.59474094075472</c:v>
                </c:pt>
                <c:pt idx="37">
                  <c:v>167.52373696674937</c:v>
                </c:pt>
                <c:pt idx="38">
                  <c:v>167.45185809206302</c:v>
                </c:pt>
                <c:pt idx="39">
                  <c:v>167.37908804585297</c:v>
                </c:pt>
                <c:pt idx="40">
                  <c:v>167.30541015130029</c:v>
                </c:pt>
                <c:pt idx="41">
                  <c:v>167.23080731286822</c:v>
                </c:pt>
                <c:pt idx="42">
                  <c:v>167.15526200307804</c:v>
                </c:pt>
                <c:pt idx="43">
                  <c:v>167.07875624877997</c:v>
                </c:pt>
                <c:pt idx="44">
                  <c:v>167.00127161689784</c:v>
                </c:pt>
                <c:pt idx="45">
                  <c:v>166.92278919962251</c:v>
                </c:pt>
                <c:pt idx="46">
                  <c:v>166.84328959902973</c:v>
                </c:pt>
                <c:pt idx="47">
                  <c:v>166.76275291109602</c:v>
                </c:pt>
                <c:pt idx="48">
                  <c:v>166.68115870908505</c:v>
                </c:pt>
                <c:pt idx="49">
                  <c:v>166.59848602627491</c:v>
                </c:pt>
                <c:pt idx="50">
                  <c:v>166.51471333799626</c:v>
                </c:pt>
                <c:pt idx="51">
                  <c:v>166.42981854294834</c:v>
                </c:pt>
                <c:pt idx="52">
                  <c:v>166.34377894375953</c:v>
                </c:pt>
                <c:pt idx="53">
                  <c:v>166.25657122675585</c:v>
                </c:pt>
                <c:pt idx="54">
                  <c:v>166.16817144089981</c:v>
                </c:pt>
                <c:pt idx="55">
                  <c:v>166.07855497585993</c:v>
                </c:pt>
                <c:pt idx="56">
                  <c:v>165.98769653916807</c:v>
                </c:pt>
                <c:pt idx="57">
                  <c:v>165.89557013242074</c:v>
                </c:pt>
                <c:pt idx="58">
                  <c:v>165.80214902647697</c:v>
                </c:pt>
                <c:pt idx="59">
                  <c:v>165.70740573560289</c:v>
                </c:pt>
                <c:pt idx="60">
                  <c:v>165.6113119905111</c:v>
                </c:pt>
                <c:pt idx="61">
                  <c:v>165.51383871023847</c:v>
                </c:pt>
                <c:pt idx="62">
                  <c:v>165.41495597280428</c:v>
                </c:pt>
                <c:pt idx="63">
                  <c:v>165.31463298458627</c:v>
                </c:pt>
                <c:pt idx="64">
                  <c:v>165.21283804834837</c:v>
                </c:pt>
                <c:pt idx="65">
                  <c:v>165.10953852985119</c:v>
                </c:pt>
                <c:pt idx="66">
                  <c:v>165.00470082297082</c:v>
                </c:pt>
              </c:numCache>
            </c:numRef>
          </c:yVal>
          <c:smooth val="0"/>
        </c:ser>
        <c:ser>
          <c:idx val="1"/>
          <c:order val="1"/>
          <c:tx>
            <c:v>Actual Combined Stresses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'Combined Stress'!$J$3:$J$69</c:f>
              <c:numCache>
                <c:formatCode>#,##0.00</c:formatCode>
                <c:ptCount val="67"/>
                <c:pt idx="0">
                  <c:v>-160.6879366409442</c:v>
                </c:pt>
                <c:pt idx="1">
                  <c:v>-158.78101391165683</c:v>
                </c:pt>
                <c:pt idx="2">
                  <c:v>-156.86553877624902</c:v>
                </c:pt>
                <c:pt idx="3">
                  <c:v>-154.94125902536879</c:v>
                </c:pt>
                <c:pt idx="4">
                  <c:v>-153.00791574789517</c:v>
                </c:pt>
                <c:pt idx="5">
                  <c:v>-151.06524310686814</c:v>
                </c:pt>
                <c:pt idx="6">
                  <c:v>-149.11323971265929</c:v>
                </c:pt>
                <c:pt idx="7">
                  <c:v>-147.15215458486978</c:v>
                </c:pt>
                <c:pt idx="8">
                  <c:v>-145.1821875083167</c:v>
                </c:pt>
                <c:pt idx="9">
                  <c:v>-143.20348506088388</c:v>
                </c:pt>
                <c:pt idx="10">
                  <c:v>-141.21615149219201</c:v>
                </c:pt>
                <c:pt idx="11">
                  <c:v>-139.2202561698135</c:v>
                </c:pt>
                <c:pt idx="12">
                  <c:v>-137.21583888597164</c:v>
                </c:pt>
                <c:pt idx="13">
                  <c:v>-135.20291375687574</c:v>
                </c:pt>
                <c:pt idx="14">
                  <c:v>-133.18147215566185</c:v>
                </c:pt>
                <c:pt idx="15">
                  <c:v>-131.15148495787182</c:v>
                </c:pt>
                <c:pt idx="16">
                  <c:v>-129.11290428310335</c:v>
                </c:pt>
                <c:pt idx="17">
                  <c:v>-127.06566485778866</c:v>
                </c:pt>
                <c:pt idx="18">
                  <c:v>-125.00968508653517</c:v>
                </c:pt>
                <c:pt idx="19">
                  <c:v>-122.94486789467538</c:v>
                </c:pt>
                <c:pt idx="20">
                  <c:v>-120.87110138781927</c:v>
                </c:pt>
                <c:pt idx="21">
                  <c:v>-118.78825936247813</c:v>
                </c:pt>
                <c:pt idx="22">
                  <c:v>-116.69620169347149</c:v>
                </c:pt>
                <c:pt idx="23">
                  <c:v>-114.59477461776983</c:v>
                </c:pt>
                <c:pt idx="24">
                  <c:v>-112.48381092995191</c:v>
                </c:pt>
                <c:pt idx="25">
                  <c:v>-110.36313010108661</c:v>
                </c:pt>
                <c:pt idx="26">
                  <c:v>-108.23253833029359</c:v>
                </c:pt>
                <c:pt idx="27">
                  <c:v>-106.09182853625241</c:v>
                </c:pt>
                <c:pt idx="28">
                  <c:v>-103.94078029437681</c:v>
                </c:pt>
                <c:pt idx="29">
                  <c:v>-101.77915972413967</c:v>
                </c:pt>
                <c:pt idx="30">
                  <c:v>-99.606719330038587</c:v>
                </c:pt>
                <c:pt idx="31">
                  <c:v>-97.423197798885624</c:v>
                </c:pt>
                <c:pt idx="32">
                  <c:v>-95.228319755431471</c:v>
                </c:pt>
                <c:pt idx="33">
                  <c:v>-93.021795477776877</c:v>
                </c:pt>
                <c:pt idx="34">
                  <c:v>-90.803320573542067</c:v>
                </c:pt>
                <c:pt idx="35">
                  <c:v>-88.572575617354573</c:v>
                </c:pt>
                <c:pt idx="36">
                  <c:v>-86.329225749850337</c:v>
                </c:pt>
                <c:pt idx="37">
                  <c:v>-84.072920238060263</c:v>
                </c:pt>
                <c:pt idx="38">
                  <c:v>-81.803291996755988</c:v>
                </c:pt>
                <c:pt idx="39">
                  <c:v>-79.519957070057373</c:v>
                </c:pt>
                <c:pt idx="40">
                  <c:v>-77.222514072344467</c:v>
                </c:pt>
                <c:pt idx="41">
                  <c:v>-74.910543587270155</c:v>
                </c:pt>
                <c:pt idx="42">
                  <c:v>-72.583607523427801</c:v>
                </c:pt>
                <c:pt idx="43">
                  <c:v>-70.241248424989294</c:v>
                </c:pt>
                <c:pt idx="44">
                  <c:v>-67.882988735390839</c:v>
                </c:pt>
                <c:pt idx="45">
                  <c:v>-65.508330011898025</c:v>
                </c:pt>
                <c:pt idx="46">
                  <c:v>-63.116752088634016</c:v>
                </c:pt>
                <c:pt idx="47">
                  <c:v>-60.707712185394165</c:v>
                </c:pt>
                <c:pt idx="48">
                  <c:v>-58.280643959298409</c:v>
                </c:pt>
                <c:pt idx="49">
                  <c:v>-55.834956496049791</c:v>
                </c:pt>
                <c:pt idx="50">
                  <c:v>-53.370033237261048</c:v>
                </c:pt>
                <c:pt idx="51">
                  <c:v>-50.885230839991941</c:v>
                </c:pt>
                <c:pt idx="52">
                  <c:v>-48.379877964292739</c:v>
                </c:pt>
                <c:pt idx="53">
                  <c:v>-45.853273984179687</c:v>
                </c:pt>
                <c:pt idx="54">
                  <c:v>-43.304687617068346</c:v>
                </c:pt>
                <c:pt idx="55">
                  <c:v>-40.733355466259113</c:v>
                </c:pt>
                <c:pt idx="56">
                  <c:v>-38.138480470601671</c:v>
                </c:pt>
                <c:pt idx="57">
                  <c:v>-35.5192302549573</c:v>
                </c:pt>
                <c:pt idx="58">
                  <c:v>-32.874735374525265</c:v>
                </c:pt>
                <c:pt idx="59">
                  <c:v>-30.204087445498264</c:v>
                </c:pt>
                <c:pt idx="60">
                  <c:v>-27.506337153853899</c:v>
                </c:pt>
                <c:pt idx="61">
                  <c:v>-24.780492133371208</c:v>
                </c:pt>
                <c:pt idx="62">
                  <c:v>-22.02551470317481</c:v>
                </c:pt>
                <c:pt idx="63">
                  <c:v>-19.240319454246471</c:v>
                </c:pt>
                <c:pt idx="64">
                  <c:v>-16.423770673397915</c:v>
                </c:pt>
                <c:pt idx="65">
                  <c:v>-13.574679592157485</c:v>
                </c:pt>
                <c:pt idx="66">
                  <c:v>-10.691801446879003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219840"/>
        <c:axId val="89222144"/>
      </c:scatterChart>
      <c:valAx>
        <c:axId val="8921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9222144"/>
        <c:crosses val="autoZero"/>
        <c:crossBetween val="midCat"/>
      </c:valAx>
      <c:valAx>
        <c:axId val="8922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892198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1</a:t>
            </a:r>
            <a:r>
              <a:rPr lang="en-US" baseline="0"/>
              <a:t>: </a:t>
            </a:r>
            <a:r>
              <a:rPr lang="en-US"/>
              <a:t>Allowable</a:t>
            </a:r>
            <a:r>
              <a:rPr lang="en-US" baseline="0"/>
              <a:t> Local Buckling</a:t>
            </a:r>
            <a:r>
              <a:rPr lang="en-US"/>
              <a:t> vs </a:t>
            </a:r>
            <a:r>
              <a:rPr lang="en-US" baseline="0"/>
              <a:t> Calculated O</a:t>
            </a:r>
            <a:r>
              <a:rPr lang="en-US"/>
              <a:t>peration Stresses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Allowable Local Buckling</c:v>
          </c:tx>
          <c:spPr>
            <a:ln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'Alternative 1'!$E$4:$E$70</c:f>
            </c:numRef>
          </c:xVal>
          <c:yVal>
            <c:numRef>
              <c:f>'Local Buckling'!$AB$4:$AB$70</c:f>
              <c:numCache>
                <c:formatCode>General</c:formatCode>
                <c:ptCount val="67"/>
                <c:pt idx="0">
                  <c:v>181.10090722034982</c:v>
                </c:pt>
                <c:pt idx="1">
                  <c:v>181.5180929720149</c:v>
                </c:pt>
                <c:pt idx="2">
                  <c:v>181.94334877820509</c:v>
                </c:pt>
                <c:pt idx="3">
                  <c:v>182.37691108693866</c:v>
                </c:pt>
                <c:pt idx="4">
                  <c:v>182.81902567439434</c:v>
                </c:pt>
                <c:pt idx="5">
                  <c:v>183.26994810950217</c:v>
                </c:pt>
                <c:pt idx="6">
                  <c:v>183.72994424658108</c:v>
                </c:pt>
                <c:pt idx="7">
                  <c:v>184.19929074801811</c:v>
                </c:pt>
                <c:pt idx="8">
                  <c:v>184.67827563914796</c:v>
                </c:pt>
                <c:pt idx="9">
                  <c:v>185.16719889767225</c:v>
                </c:pt>
                <c:pt idx="10">
                  <c:v>185.66637308015274</c:v>
                </c:pt>
                <c:pt idx="11">
                  <c:v>186.17612398832733</c:v>
                </c:pt>
                <c:pt idx="12">
                  <c:v>186.69679137823468</c:v>
                </c:pt>
                <c:pt idx="13">
                  <c:v>187.22872971539002</c:v>
                </c:pt>
                <c:pt idx="14">
                  <c:v>187.77230897953976</c:v>
                </c:pt>
                <c:pt idx="15">
                  <c:v>188.32791552283447</c:v>
                </c:pt>
                <c:pt idx="16">
                  <c:v>188.89595298560295</c:v>
                </c:pt>
                <c:pt idx="17">
                  <c:v>189.47684327428919</c:v>
                </c:pt>
                <c:pt idx="18">
                  <c:v>190.07102760653163</c:v>
                </c:pt>
                <c:pt idx="19">
                  <c:v>190.67896762882469</c:v>
                </c:pt>
                <c:pt idx="20">
                  <c:v>191.30114661271287</c:v>
                </c:pt>
                <c:pt idx="21">
                  <c:v>191.93807073603116</c:v>
                </c:pt>
                <c:pt idx="22">
                  <c:v>192.5902704563313</c:v>
                </c:pt>
                <c:pt idx="23">
                  <c:v>193.25830198432521</c:v>
                </c:pt>
                <c:pt idx="24">
                  <c:v>193.94274886594818</c:v>
                </c:pt>
                <c:pt idx="25">
                  <c:v>194.64422368249964</c:v>
                </c:pt>
                <c:pt idx="26">
                  <c:v>195.36336987927243</c:v>
                </c:pt>
                <c:pt idx="27">
                  <c:v>196.10086373414421</c:v>
                </c:pt>
                <c:pt idx="28">
                  <c:v>196.85741647879036</c:v>
                </c:pt>
                <c:pt idx="29">
                  <c:v>197.63377658650381</c:v>
                </c:pt>
                <c:pt idx="30">
                  <c:v>198.43073224209144</c:v>
                </c:pt>
                <c:pt idx="31">
                  <c:v>199.2491140109789</c:v>
                </c:pt>
                <c:pt idx="32">
                  <c:v>200.08979772652549</c:v>
                </c:pt>
                <c:pt idx="33">
                  <c:v>200.9537076166489</c:v>
                </c:pt>
                <c:pt idx="34">
                  <c:v>201.84181969322381</c:v>
                </c:pt>
                <c:pt idx="35">
                  <c:v>202.75516543038714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Calculated Combined Stresses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'Alternative 1'!$E$4:$E$70</c:f>
            </c:numRef>
          </c:xVal>
          <c:yVal>
            <c:numRef>
              <c:f>'Combined Stress'!$V$3:$V$69</c:f>
              <c:numCache>
                <c:formatCode>#,##0.00</c:formatCode>
                <c:ptCount val="67"/>
                <c:pt idx="0">
                  <c:v>5.9444045207321068</c:v>
                </c:pt>
                <c:pt idx="1">
                  <c:v>4.9438299603130336</c:v>
                </c:pt>
                <c:pt idx="2">
                  <c:v>5.5370194210178996</c:v>
                </c:pt>
                <c:pt idx="3">
                  <c:v>5.3510789414918802</c:v>
                </c:pt>
                <c:pt idx="4">
                  <c:v>5.1768401773307593</c:v>
                </c:pt>
                <c:pt idx="5">
                  <c:v>5.0141993141113552</c:v>
                </c:pt>
                <c:pt idx="6">
                  <c:v>4.8573052762540687</c:v>
                </c:pt>
                <c:pt idx="7">
                  <c:v>4.7003583407950353</c:v>
                </c:pt>
                <c:pt idx="8">
                  <c:v>4.5433557397941273</c:v>
                </c:pt>
                <c:pt idx="9">
                  <c:v>4.3862945427130482</c:v>
                </c:pt>
                <c:pt idx="10">
                  <c:v>4.2291716453643078</c:v>
                </c:pt>
                <c:pt idx="11">
                  <c:v>4.0719837579953273</c:v>
                </c:pt>
                <c:pt idx="12">
                  <c:v>3.9147273924305224</c:v>
                </c:pt>
                <c:pt idx="13">
                  <c:v>3.7573988481865053</c:v>
                </c:pt>
                <c:pt idx="14">
                  <c:v>3.5999941974668688</c:v>
                </c:pt>
                <c:pt idx="15">
                  <c:v>3.4425092689334673</c:v>
                </c:pt>
                <c:pt idx="16">
                  <c:v>3.2849396301403351</c:v>
                </c:pt>
                <c:pt idx="17">
                  <c:v>3.1272805685044873</c:v>
                </c:pt>
                <c:pt idx="18">
                  <c:v>2.9695270706744679</c:v>
                </c:pt>
                <c:pt idx="19">
                  <c:v>2.8116738001425796</c:v>
                </c:pt>
                <c:pt idx="20">
                  <c:v>2.6537150729299839</c:v>
                </c:pt>
                <c:pt idx="21">
                  <c:v>2.4956448311551207</c:v>
                </c:pt>
                <c:pt idx="22">
                  <c:v>2.3374566142748132</c:v>
                </c:pt>
                <c:pt idx="23">
                  <c:v>2.179143527763717</c:v>
                </c:pt>
                <c:pt idx="24">
                  <c:v>2.0206982089711265</c:v>
                </c:pt>
                <c:pt idx="25">
                  <c:v>1.8621127898640712</c:v>
                </c:pt>
                <c:pt idx="26">
                  <c:v>1.7033788563316694</c:v>
                </c:pt>
                <c:pt idx="27">
                  <c:v>1.5444874036873308</c:v>
                </c:pt>
                <c:pt idx="28">
                  <c:v>1.3854287879619396</c:v>
                </c:pt>
                <c:pt idx="29">
                  <c:v>1.226192672531847</c:v>
                </c:pt>
                <c:pt idx="30">
                  <c:v>1.0667679695695187</c:v>
                </c:pt>
                <c:pt idx="31">
                  <c:v>0.90714277574101843</c:v>
                </c:pt>
                <c:pt idx="32">
                  <c:v>0.74730430150190785</c:v>
                </c:pt>
                <c:pt idx="33">
                  <c:v>0.58723879326035799</c:v>
                </c:pt>
                <c:pt idx="34">
                  <c:v>0.42693144758155199</c:v>
                </c:pt>
                <c:pt idx="35">
                  <c:v>0.26636631649902232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84224"/>
        <c:axId val="98486528"/>
      </c:scatterChart>
      <c:valAx>
        <c:axId val="9848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486528"/>
        <c:crosses val="autoZero"/>
        <c:crossBetween val="midCat"/>
      </c:valAx>
      <c:valAx>
        <c:axId val="9848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98484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(3pt)'!$V$3:$V$93</c:f>
              <c:numCache>
                <c:formatCode>_(* #,##0.00_);_(* \(#,##0.00\);_(* "-"??_);_(@_)</c:formatCode>
                <c:ptCount val="91"/>
                <c:pt idx="0">
                  <c:v>10.121945882682787</c:v>
                </c:pt>
                <c:pt idx="1">
                  <c:v>9.4190790232350192</c:v>
                </c:pt>
                <c:pt idx="2">
                  <c:v>8.7847651720505269</c:v>
                </c:pt>
                <c:pt idx="3">
                  <c:v>8.2190402331437014</c:v>
                </c:pt>
                <c:pt idx="4">
                  <c:v>7.7219418755415958</c:v>
                </c:pt>
                <c:pt idx="5">
                  <c:v>7.2935096387235623</c:v>
                </c:pt>
                <c:pt idx="6">
                  <c:v>6.9337850454951679</c:v>
                </c:pt>
                <c:pt idx="7">
                  <c:v>6.6428117229020334</c:v>
                </c:pt>
                <c:pt idx="8">
                  <c:v>6.4206355318454511</c:v>
                </c:pt>
                <c:pt idx="9">
                  <c:v>6.2673047061236913</c:v>
                </c:pt>
                <c:pt idx="10">
                  <c:v>6.1828700016912874</c:v>
                </c:pt>
                <c:pt idx="11">
                  <c:v>6.1673848570044285</c:v>
                </c:pt>
                <c:pt idx="12">
                  <c:v>6.2209055654044603</c:v>
                </c:pt>
                <c:pt idx="13">
                  <c:v>6.3434914605846213</c:v>
                </c:pt>
                <c:pt idx="14">
                  <c:v>6.5352051162882949</c:v>
                </c:pt>
                <c:pt idx="15">
                  <c:v>6.0092140413796864</c:v>
                </c:pt>
                <c:pt idx="16">
                  <c:v>5.7666015271096285</c:v>
                </c:pt>
                <c:pt idx="17">
                  <c:v>5.5927218970337282</c:v>
                </c:pt>
                <c:pt idx="18">
                  <c:v>5.4876251975728438</c:v>
                </c:pt>
                <c:pt idx="19">
                  <c:v>5.4513643569901475</c:v>
                </c:pt>
                <c:pt idx="20">
                  <c:v>5.4839953875840388</c:v>
                </c:pt>
                <c:pt idx="21">
                  <c:v>5.5855776046628041</c:v>
                </c:pt>
                <c:pt idx="22">
                  <c:v>4.3631328126596474</c:v>
                </c:pt>
                <c:pt idx="23">
                  <c:v>4.0312979802498585</c:v>
                </c:pt>
                <c:pt idx="24">
                  <c:v>3.7680550171823275</c:v>
                </c:pt>
                <c:pt idx="25">
                  <c:v>3.5734522700843603</c:v>
                </c:pt>
                <c:pt idx="26">
                  <c:v>3.447541149483107</c:v>
                </c:pt>
                <c:pt idx="27">
                  <c:v>3.3903763657979296</c:v>
                </c:pt>
                <c:pt idx="28">
                  <c:v>3.402016186814711</c:v>
                </c:pt>
                <c:pt idx="29">
                  <c:v>1.6896732284035356</c:v>
                </c:pt>
                <c:pt idx="30">
                  <c:v>1.2461642560437938</c:v>
                </c:pt>
                <c:pt idx="31">
                  <c:v>0.87005640207922319</c:v>
                </c:pt>
                <c:pt idx="32">
                  <c:v>0.56133552805617193</c:v>
                </c:pt>
                <c:pt idx="33">
                  <c:v>0.31998643766617041</c:v>
                </c:pt>
                <c:pt idx="34">
                  <c:v>0.14599278301164942</c:v>
                </c:pt>
                <c:pt idx="35">
                  <c:v>3.9336961183589841E-2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(3pt)'!$AB$3:$AB$93</c:f>
              <c:numCache>
                <c:formatCode>_(* #,##0.00_);_(* \(#,##0.00\);_(* "-"??_);_(@_)</c:formatCode>
                <c:ptCount val="91"/>
                <c:pt idx="0">
                  <c:v>4.6758896290333505</c:v>
                </c:pt>
                <c:pt idx="1">
                  <c:v>4.1434830465139196</c:v>
                </c:pt>
                <c:pt idx="2">
                  <c:v>3.6778797678883079</c:v>
                </c:pt>
                <c:pt idx="3">
                  <c:v>3.2790857485008655</c:v>
                </c:pt>
                <c:pt idx="4">
                  <c:v>2.9471072245714622</c:v>
                </c:pt>
                <c:pt idx="5">
                  <c:v>2.6819507294947975</c:v>
                </c:pt>
                <c:pt idx="6">
                  <c:v>2.4836231112647318</c:v>
                </c:pt>
                <c:pt idx="7">
                  <c:v>2.3521315511134682</c:v>
                </c:pt>
                <c:pt idx="8">
                  <c:v>2.2874835834641178</c:v>
                </c:pt>
                <c:pt idx="9">
                  <c:v>2.2896871173041569</c:v>
                </c:pt>
                <c:pt idx="10">
                  <c:v>2.3587504590973101</c:v>
                </c:pt>
                <c:pt idx="11">
                  <c:v>2.4946823373623688</c:v>
                </c:pt>
                <c:pt idx="12">
                  <c:v>2.6974919290600101</c:v>
                </c:pt>
                <c:pt idx="13">
                  <c:v>2.967188887942013</c:v>
                </c:pt>
                <c:pt idx="14">
                  <c:v>3.3037833750325092</c:v>
                </c:pt>
                <c:pt idx="15">
                  <c:v>3.5363214374922247</c:v>
                </c:pt>
                <c:pt idx="16">
                  <c:v>3.3939528964368213</c:v>
                </c:pt>
                <c:pt idx="17">
                  <c:v>3.3183844638184858</c:v>
                </c:pt>
                <c:pt idx="18">
                  <c:v>3.3096226406892506</c:v>
                </c:pt>
                <c:pt idx="19">
                  <c:v>3.367674275191892</c:v>
                </c:pt>
                <c:pt idx="20">
                  <c:v>3.492546585613602</c:v>
                </c:pt>
                <c:pt idx="21">
                  <c:v>3.6842471852751051</c:v>
                </c:pt>
                <c:pt idx="22">
                  <c:v>3.2195571578288389</c:v>
                </c:pt>
                <c:pt idx="23">
                  <c:v>2.9372356078847637</c:v>
                </c:pt>
                <c:pt idx="24">
                  <c:v>2.7218637040689759</c:v>
                </c:pt>
                <c:pt idx="25">
                  <c:v>2.5734569791963979</c:v>
                </c:pt>
                <c:pt idx="26">
                  <c:v>2.4920319504523585</c:v>
                </c:pt>
                <c:pt idx="27">
                  <c:v>2.477606195212275</c:v>
                </c:pt>
                <c:pt idx="28">
                  <c:v>2.5301984337630521</c:v>
                </c:pt>
                <c:pt idx="29">
                  <c:v>1.6654966555035902</c:v>
                </c:pt>
                <c:pt idx="30">
                  <c:v>1.2284018759540378</c:v>
                </c:pt>
                <c:pt idx="31">
                  <c:v>0.85772141590578155</c:v>
                </c:pt>
                <c:pt idx="32">
                  <c:v>0.55344113690516938</c:v>
                </c:pt>
                <c:pt idx="33">
                  <c:v>0.31554584264373142</c:v>
                </c:pt>
                <c:pt idx="34">
                  <c:v>0.14401918522389875</c:v>
                </c:pt>
                <c:pt idx="35">
                  <c:v>3.8843561736652168E-2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(3pt)'!$AH$3:$AH$93</c:f>
              <c:numCache>
                <c:formatCode>_(* #,##0.00_);_(* \(#,##0.00\);_(* "-"??_);_(@_)</c:formatCode>
                <c:ptCount val="91"/>
                <c:pt idx="0">
                  <c:v>6.1498054910115121</c:v>
                </c:pt>
                <c:pt idx="1">
                  <c:v>5.5499566275530308</c:v>
                </c:pt>
                <c:pt idx="2">
                  <c:v>5.0137394276129941</c:v>
                </c:pt>
                <c:pt idx="3">
                  <c:v>4.5411551822833651</c:v>
                </c:pt>
                <c:pt idx="4">
                  <c:v>4.1322052323897909</c:v>
                </c:pt>
                <c:pt idx="5">
                  <c:v>3.7868909709081193</c:v>
                </c:pt>
                <c:pt idx="6">
                  <c:v>3.5052138455231674</c:v>
                </c:pt>
                <c:pt idx="7">
                  <c:v>3.2871753613395609</c:v>
                </c:pt>
                <c:pt idx="8">
                  <c:v>3.1327770837551761</c:v>
                </c:pt>
                <c:pt idx="9">
                  <c:v>3.0420206415088389</c:v>
                </c:pt>
                <c:pt idx="10">
                  <c:v>3.0149077299146469</c:v>
                </c:pt>
                <c:pt idx="11">
                  <c:v>3.0514401142963079</c:v>
                </c:pt>
                <c:pt idx="12">
                  <c:v>3.1516196336362099</c:v>
                </c:pt>
                <c:pt idx="13">
                  <c:v>3.3154482044548916</c:v>
                </c:pt>
                <c:pt idx="14">
                  <c:v>3.5429278249381899</c:v>
                </c:pt>
                <c:pt idx="15">
                  <c:v>3.7590224222458199</c:v>
                </c:pt>
                <c:pt idx="16">
                  <c:v>3.5604254079141202</c:v>
                </c:pt>
                <c:pt idx="17">
                  <c:v>3.4254283498218872</c:v>
                </c:pt>
                <c:pt idx="18">
                  <c:v>3.3540309671977928</c:v>
                </c:pt>
                <c:pt idx="19">
                  <c:v>3.346232931595098</c:v>
                </c:pt>
                <c:pt idx="20">
                  <c:v>3.4020338620459141</c:v>
                </c:pt>
                <c:pt idx="21">
                  <c:v>3.5214333197231342</c:v>
                </c:pt>
                <c:pt idx="22">
                  <c:v>3.151158222886858</c:v>
                </c:pt>
                <c:pt idx="23">
                  <c:v>2.8500498365501277</c:v>
                </c:pt>
                <c:pt idx="24">
                  <c:v>2.6127361952483734</c:v>
                </c:pt>
                <c:pt idx="25">
                  <c:v>2.4392277213224172</c:v>
                </c:pt>
                <c:pt idx="26">
                  <c:v>2.3295354976143452</c:v>
                </c:pt>
                <c:pt idx="27">
                  <c:v>2.2836713183416419</c:v>
                </c:pt>
                <c:pt idx="28">
                  <c:v>2.3016477446023069</c:v>
                </c:pt>
                <c:pt idx="29">
                  <c:v>1.5907024603534694</c:v>
                </c:pt>
                <c:pt idx="30">
                  <c:v>1.1734510387008876</c:v>
                </c:pt>
                <c:pt idx="31">
                  <c:v>0.81956111225776074</c:v>
                </c:pt>
                <c:pt idx="32">
                  <c:v>0.52901854257043601</c:v>
                </c:pt>
                <c:pt idx="33">
                  <c:v>0.30180813333044387</c:v>
                </c:pt>
                <c:pt idx="34">
                  <c:v>0.13791353664021541</c:v>
                </c:pt>
                <c:pt idx="35">
                  <c:v>3.731714959073134E-2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(3pt)'!$AN$3:$AN$93</c:f>
              <c:numCache>
                <c:formatCode>_(* #,##0.00_);_(* \(#,##0.00\);_(* "-"??_);_(@_)</c:formatCode>
                <c:ptCount val="91"/>
                <c:pt idx="0">
                  <c:v>6.0932284232059493</c:v>
                </c:pt>
                <c:pt idx="1">
                  <c:v>5.5168977923622862</c:v>
                </c:pt>
                <c:pt idx="2">
                  <c:v>4.9991742205673662</c:v>
                </c:pt>
                <c:pt idx="3">
                  <c:v>4.5400574390944186</c:v>
                </c:pt>
                <c:pt idx="4">
                  <c:v>4.1395471516519082</c:v>
                </c:pt>
                <c:pt idx="5">
                  <c:v>3.7976430321573931</c:v>
                </c:pt>
                <c:pt idx="6">
                  <c:v>3.514344722324978</c:v>
                </c:pt>
                <c:pt idx="7">
                  <c:v>3.2896518290493466</c:v>
                </c:pt>
                <c:pt idx="8">
                  <c:v>3.1235639215676461</c:v>
                </c:pt>
                <c:pt idx="9">
                  <c:v>3.0160805283786769</c:v>
                </c:pt>
                <c:pt idx="10">
                  <c:v>2.967201133896638</c:v>
                </c:pt>
                <c:pt idx="11">
                  <c:v>2.9769251748143315</c:v>
                </c:pt>
                <c:pt idx="12">
                  <c:v>3.0452520361482933</c:v>
                </c:pt>
                <c:pt idx="13">
                  <c:v>3.1721810469350888</c:v>
                </c:pt>
                <c:pt idx="14">
                  <c:v>3.3577114755451056</c:v>
                </c:pt>
                <c:pt idx="15">
                  <c:v>3.5588840955244745</c:v>
                </c:pt>
                <c:pt idx="16">
                  <c:v>3.3596455178695432</c:v>
                </c:pt>
                <c:pt idx="17">
                  <c:v>3.2189727570640767</c:v>
                </c:pt>
                <c:pt idx="18">
                  <c:v>3.1368632643601533</c:v>
                </c:pt>
                <c:pt idx="19">
                  <c:v>3.1133143113167971</c:v>
                </c:pt>
                <c:pt idx="20">
                  <c:v>3.148322975624112</c:v>
                </c:pt>
                <c:pt idx="21">
                  <c:v>3.2418861256566376</c:v>
                </c:pt>
                <c:pt idx="22">
                  <c:v>2.9291132028204858</c:v>
                </c:pt>
                <c:pt idx="23">
                  <c:v>2.6436861237350553</c:v>
                </c:pt>
                <c:pt idx="24">
                  <c:v>2.4170347831636807</c:v>
                </c:pt>
                <c:pt idx="25">
                  <c:v>2.2491678944030258</c:v>
                </c:pt>
                <c:pt idx="26">
                  <c:v>2.1400947229427345</c:v>
                </c:pt>
                <c:pt idx="27">
                  <c:v>2.089825128997282</c:v>
                </c:pt>
                <c:pt idx="28">
                  <c:v>2.0983696139094219</c:v>
                </c:pt>
                <c:pt idx="29">
                  <c:v>1.468573145139753</c:v>
                </c:pt>
                <c:pt idx="30">
                  <c:v>1.0837233785438718</c:v>
                </c:pt>
                <c:pt idx="31">
                  <c:v>0.75725023714872197</c:v>
                </c:pt>
                <c:pt idx="32">
                  <c:v>0.48913958250065115</c:v>
                </c:pt>
                <c:pt idx="33">
                  <c:v>0.27937621829118992</c:v>
                </c:pt>
                <c:pt idx="34">
                  <c:v>0.1279437966227692</c:v>
                </c:pt>
                <c:pt idx="35">
                  <c:v>3.4824714586369779E-2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(3pt)'!$AT$3:$AT$93</c:f>
              <c:numCache>
                <c:formatCode>_(* #,##0.00_);_(* \(#,##0.00\);_(* "-"??_);_(@_)</c:formatCode>
                <c:ptCount val="91"/>
                <c:pt idx="0">
                  <c:v>5.5195075486080478</c:v>
                </c:pt>
                <c:pt idx="1">
                  <c:v>5.0022699545614504</c:v>
                </c:pt>
                <c:pt idx="2">
                  <c:v>4.5368529752361484</c:v>
                </c:pt>
                <c:pt idx="3">
                  <c:v>4.1232555178673103</c:v>
                </c:pt>
                <c:pt idx="4">
                  <c:v>3.7614764212892848</c:v>
                </c:pt>
                <c:pt idx="5">
                  <c:v>3.4515144512567555</c:v>
                </c:pt>
                <c:pt idx="6">
                  <c:v>3.1933682954059224</c:v>
                </c:pt>
                <c:pt idx="7">
                  <c:v>2.9870365578243976</c:v>
                </c:pt>
                <c:pt idx="8">
                  <c:v>2.832517753195765</c:v>
                </c:pt>
                <c:pt idx="9">
                  <c:v>2.7298103004811036</c:v>
                </c:pt>
                <c:pt idx="10">
                  <c:v>2.6789125160962897</c:v>
                </c:pt>
                <c:pt idx="11">
                  <c:v>2.6798226065396018</c:v>
                </c:pt>
                <c:pt idx="12">
                  <c:v>2.7325386604196997</c:v>
                </c:pt>
                <c:pt idx="13">
                  <c:v>2.8370586398288884</c:v>
                </c:pt>
                <c:pt idx="14">
                  <c:v>2.9933803710008702</c:v>
                </c:pt>
                <c:pt idx="15">
                  <c:v>3.1754905338790955</c:v>
                </c:pt>
                <c:pt idx="16">
                  <c:v>2.9939407633876378</c:v>
                </c:pt>
                <c:pt idx="17">
                  <c:v>2.8641653282064721</c:v>
                </c:pt>
                <c:pt idx="18">
                  <c:v>2.7861604814362542</c:v>
                </c:pt>
                <c:pt idx="19">
                  <c:v>2.7599222267408723</c:v>
                </c:pt>
                <c:pt idx="20">
                  <c:v>2.7854462992425399</c:v>
                </c:pt>
                <c:pt idx="21">
                  <c:v>2.8627281447349029</c:v>
                </c:pt>
                <c:pt idx="22">
                  <c:v>2.6069079310838785</c:v>
                </c:pt>
                <c:pt idx="23">
                  <c:v>2.352207985937778</c:v>
                </c:pt>
                <c:pt idx="24">
                  <c:v>2.1495002923237552</c:v>
                </c:pt>
                <c:pt idx="25">
                  <c:v>1.9987926606659749</c:v>
                </c:pt>
                <c:pt idx="26">
                  <c:v>1.9000933963633067</c:v>
                </c:pt>
                <c:pt idx="27">
                  <c:v>1.8534113379140134</c:v>
                </c:pt>
                <c:pt idx="28">
                  <c:v>1.8587558985108728</c:v>
                </c:pt>
                <c:pt idx="29">
                  <c:v>1.3028195473047952</c:v>
                </c:pt>
                <c:pt idx="30">
                  <c:v>0.96194522503247404</c:v>
                </c:pt>
                <c:pt idx="31">
                  <c:v>0.67268207498802901</c:v>
                </c:pt>
                <c:pt idx="32">
                  <c:v>0.43501595871780768</c:v>
                </c:pt>
                <c:pt idx="33">
                  <c:v>0.24893167991334048</c:v>
                </c:pt>
                <c:pt idx="34">
                  <c:v>0.11441289067705833</c:v>
                </c:pt>
                <c:pt idx="35">
                  <c:v>3.1441988099942066E-2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(3pt)'!$AZ$3:$AZ$93</c:f>
              <c:numCache>
                <c:formatCode>_(* #,##0.00_);_(* \(#,##0.00\);_(* "-"??_);_(@_)</c:formatCode>
                <c:ptCount val="91"/>
                <c:pt idx="0">
                  <c:v>4.6363662233308514</c:v>
                </c:pt>
                <c:pt idx="1">
                  <c:v>4.2017171301751155</c:v>
                </c:pt>
                <c:pt idx="2">
                  <c:v>3.8105349932477113</c:v>
                </c:pt>
                <c:pt idx="3">
                  <c:v>3.4628182020974876</c:v>
                </c:pt>
                <c:pt idx="4">
                  <c:v>3.1585650522180106</c:v>
                </c:pt>
                <c:pt idx="5">
                  <c:v>2.8977737388278357</c:v>
                </c:pt>
                <c:pt idx="6">
                  <c:v>2.6804423501817634</c:v>
                </c:pt>
                <c:pt idx="7">
                  <c:v>2.5065688603728771</c:v>
                </c:pt>
                <c:pt idx="8">
                  <c:v>2.3761511215814388</c:v>
                </c:pt>
                <c:pt idx="9">
                  <c:v>2.2891868557224604</c:v>
                </c:pt>
                <c:pt idx="10">
                  <c:v>2.2456736454389947</c:v>
                </c:pt>
                <c:pt idx="11">
                  <c:v>2.2456089243828847</c:v>
                </c:pt>
                <c:pt idx="12">
                  <c:v>2.2889899667191065</c:v>
                </c:pt>
                <c:pt idx="13">
                  <c:v>2.3758138757831064</c:v>
                </c:pt>
                <c:pt idx="14">
                  <c:v>2.5060775718135244</c:v>
                </c:pt>
                <c:pt idx="15">
                  <c:v>2.6644136795988564</c:v>
                </c:pt>
                <c:pt idx="16">
                  <c:v>2.5113338696421965</c:v>
                </c:pt>
                <c:pt idx="17">
                  <c:v>2.4016715719699668</c:v>
                </c:pt>
                <c:pt idx="18">
                  <c:v>2.3354222869668786</c:v>
                </c:pt>
                <c:pt idx="19">
                  <c:v>2.3125812217657007</c:v>
                </c:pt>
                <c:pt idx="20">
                  <c:v>2.3331432680457946</c:v>
                </c:pt>
                <c:pt idx="21">
                  <c:v>2.3971029778912949</c:v>
                </c:pt>
                <c:pt idx="22">
                  <c:v>2.2031242408155642</c:v>
                </c:pt>
                <c:pt idx="23">
                  <c:v>1.9896998478074175</c:v>
                </c:pt>
                <c:pt idx="24">
                  <c:v>1.8199159057346748</c:v>
                </c:pt>
                <c:pt idx="25">
                  <c:v>1.6937796578089521</c:v>
                </c:pt>
                <c:pt idx="26">
                  <c:v>1.6112988062702633</c:v>
                </c:pt>
                <c:pt idx="27">
                  <c:v>1.5724815477430087</c:v>
                </c:pt>
                <c:pt idx="28">
                  <c:v>1.577336611810346</c:v>
                </c:pt>
                <c:pt idx="29">
                  <c:v>1.0984780060434429</c:v>
                </c:pt>
                <c:pt idx="30">
                  <c:v>0.81181674573841922</c:v>
                </c:pt>
                <c:pt idx="31">
                  <c:v>0.56842618658937982</c:v>
                </c:pt>
                <c:pt idx="32">
                  <c:v>0.36829219014267228</c:v>
                </c:pt>
                <c:pt idx="33">
                  <c:v>0.21139956008982683</c:v>
                </c:pt>
                <c:pt idx="34">
                  <c:v>9.7731948533274479E-2</c:v>
                </c:pt>
                <c:pt idx="35">
                  <c:v>2.7271752563996103E-2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(3pt)'!$BF$3:$BF$93</c:f>
              <c:numCache>
                <c:formatCode>_(* #,##0.00_);_(* \(#,##0.00\);_(* "-"??_);_(@_)</c:formatCode>
                <c:ptCount val="91"/>
                <c:pt idx="0">
                  <c:v>3.5333509318210425</c:v>
                </c:pt>
                <c:pt idx="1">
                  <c:v>3.1988872373683304</c:v>
                </c:pt>
                <c:pt idx="2">
                  <c:v>2.8982196328402066</c:v>
                </c:pt>
                <c:pt idx="3">
                  <c:v>2.6313461624056895</c:v>
                </c:pt>
                <c:pt idx="4">
                  <c:v>2.3982647590628439</c:v>
                </c:pt>
                <c:pt idx="5">
                  <c:v>2.1989732373910944</c:v>
                </c:pt>
                <c:pt idx="6">
                  <c:v>2.0334692857616763</c:v>
                </c:pt>
                <c:pt idx="7">
                  <c:v>1.9017504579602214</c:v>
                </c:pt>
                <c:pt idx="8">
                  <c:v>1.8038141641709833</c:v>
                </c:pt>
                <c:pt idx="9">
                  <c:v>1.739657661267408</c:v>
                </c:pt>
                <c:pt idx="10">
                  <c:v>1.7092780423483256</c:v>
                </c:pt>
                <c:pt idx="11">
                  <c:v>1.7126722254530076</c:v>
                </c:pt>
                <c:pt idx="12">
                  <c:v>1.7498369413818087</c:v>
                </c:pt>
                <c:pt idx="13">
                  <c:v>1.8207687205415557</c:v>
                </c:pt>
                <c:pt idx="14">
                  <c:v>1.9254638787268046</c:v>
                </c:pt>
                <c:pt idx="15">
                  <c:v>2.0556575941389803</c:v>
                </c:pt>
                <c:pt idx="16">
                  <c:v>1.9386530475286521</c:v>
                </c:pt>
                <c:pt idx="17">
                  <c:v>1.8553930356477968</c:v>
                </c:pt>
                <c:pt idx="18">
                  <c:v>1.8058725566988219</c:v>
                </c:pt>
                <c:pt idx="19">
                  <c:v>1.7900862864004323</c:v>
                </c:pt>
                <c:pt idx="20">
                  <c:v>1.8080285537202667</c:v>
                </c:pt>
                <c:pt idx="21">
                  <c:v>1.8596933144948162</c:v>
                </c:pt>
                <c:pt idx="22">
                  <c:v>1.7329283325733242</c:v>
                </c:pt>
                <c:pt idx="23">
                  <c:v>1.5688992875045458</c:v>
                </c:pt>
                <c:pt idx="24">
                  <c:v>1.4388410665823668</c:v>
                </c:pt>
                <c:pt idx="25">
                  <c:v>1.3427605345966176</c:v>
                </c:pt>
                <c:pt idx="26">
                  <c:v>1.2806649913835788</c:v>
                </c:pt>
                <c:pt idx="27">
                  <c:v>1.2525622053347887</c:v>
                </c:pt>
                <c:pt idx="28">
                  <c:v>1.2584604499561018</c:v>
                </c:pt>
                <c:pt idx="29">
                  <c:v>0.8617573356851137</c:v>
                </c:pt>
                <c:pt idx="30">
                  <c:v>0.63789951853638138</c:v>
                </c:pt>
                <c:pt idx="31">
                  <c:v>0.44765033436574253</c:v>
                </c:pt>
                <c:pt idx="32">
                  <c:v>0.29099564471954431</c:v>
                </c:pt>
                <c:pt idx="33">
                  <c:v>0.16792025328931737</c:v>
                </c:pt>
                <c:pt idx="34">
                  <c:v>7.84078121774925E-2</c:v>
                </c:pt>
                <c:pt idx="35">
                  <c:v>2.2440718475050608E-2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(3pt)'!$BL$3:$BL$93</c:f>
              <c:numCache>
                <c:formatCode>_(* #,##0.00_);_(* \(#,##0.00\);_(* "-"??_);_(@_)</c:formatCode>
                <c:ptCount val="91"/>
                <c:pt idx="0">
                  <c:v>2.2705872232142976</c:v>
                </c:pt>
                <c:pt idx="1">
                  <c:v>2.0494236156395029</c:v>
                </c:pt>
                <c:pt idx="2">
                  <c:v>1.8513602492871342</c:v>
                </c:pt>
                <c:pt idx="3">
                  <c:v>1.6763949421927786</c:v>
                </c:pt>
                <c:pt idx="4">
                  <c:v>1.5245253900147979</c:v>
                </c:pt>
                <c:pt idx="5">
                  <c:v>1.3957491581135564</c:v>
                </c:pt>
                <c:pt idx="6">
                  <c:v>1.2900636730411845</c:v>
                </c:pt>
                <c:pt idx="7">
                  <c:v>1.207466213391895</c:v>
                </c:pt>
                <c:pt idx="8">
                  <c:v>1.1479538999581922</c:v>
                </c:pt>
                <c:pt idx="9">
                  <c:v>1.1115236851329611</c:v>
                </c:pt>
                <c:pt idx="10">
                  <c:v>1.0981723414916438</c:v>
                </c:pt>
                <c:pt idx="11">
                  <c:v>1.1078964494821784</c:v>
                </c:pt>
                <c:pt idx="12">
                  <c:v>1.1406923841432464</c:v>
                </c:pt>
                <c:pt idx="13">
                  <c:v>1.1965563007633311</c:v>
                </c:pt>
                <c:pt idx="14">
                  <c:v>1.2754841193842466</c:v>
                </c:pt>
                <c:pt idx="15">
                  <c:v>1.3738613324792643</c:v>
                </c:pt>
                <c:pt idx="16">
                  <c:v>1.298460675181941</c:v>
                </c:pt>
                <c:pt idx="17">
                  <c:v>1.2461073215947489</c:v>
                </c:pt>
                <c:pt idx="18">
                  <c:v>1.2167959411220615</c:v>
                </c:pt>
                <c:pt idx="19">
                  <c:v>1.2105208615454035</c:v>
                </c:pt>
                <c:pt idx="20">
                  <c:v>1.227276043403462</c:v>
                </c:pt>
                <c:pt idx="21">
                  <c:v>1.267055052146512</c:v>
                </c:pt>
                <c:pt idx="22">
                  <c:v>1.211836346056961</c:v>
                </c:pt>
                <c:pt idx="23">
                  <c:v>1.1033232204308328</c:v>
                </c:pt>
                <c:pt idx="24">
                  <c:v>1.0180858818071366</c:v>
                </c:pt>
                <c:pt idx="25">
                  <c:v>0.95613094720844105</c:v>
                </c:pt>
                <c:pt idx="26">
                  <c:v>0.91746545300185922</c:v>
                </c:pt>
                <c:pt idx="27">
                  <c:v>0.90209688719844328</c:v>
                </c:pt>
                <c:pt idx="28">
                  <c:v>0.91003322469273451</c:v>
                </c:pt>
                <c:pt idx="29">
                  <c:v>0.59985017401220608</c:v>
                </c:pt>
                <c:pt idx="30">
                  <c:v>0.44547793036853089</c:v>
                </c:pt>
                <c:pt idx="31">
                  <c:v>0.31402423147140185</c:v>
                </c:pt>
                <c:pt idx="32">
                  <c:v>0.20547493886716633</c:v>
                </c:pt>
                <c:pt idx="33">
                  <c:v>0.11981485624735472</c:v>
                </c:pt>
                <c:pt idx="34">
                  <c:v>5.7027635714397992E-2</c:v>
                </c:pt>
                <c:pt idx="35">
                  <c:v>1.7095674359276985E-2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(3pt)'!$BR$3:$BR$93</c:f>
              <c:numCache>
                <c:formatCode>_(* #,##0.00_);_(* \(#,##0.00\);_(* "-"??_);_(@_)</c:formatCode>
                <c:ptCount val="91"/>
                <c:pt idx="0">
                  <c:v>0.89916722806159854</c:v>
                </c:pt>
                <c:pt idx="1">
                  <c:v>0.80028820819781876</c:v>
                </c:pt>
                <c:pt idx="2">
                  <c:v>0.71311281231873402</c:v>
                </c:pt>
                <c:pt idx="3">
                  <c:v>0.63763872805620947</c:v>
                </c:pt>
                <c:pt idx="4">
                  <c:v>0.57386351420260406</c:v>
                </c:pt>
                <c:pt idx="5">
                  <c:v>0.52178459240185215</c:v>
                </c:pt>
                <c:pt idx="6">
                  <c:v>0.48139923822360642</c:v>
                </c:pt>
                <c:pt idx="7">
                  <c:v>0.45270457156823996</c:v>
                </c:pt>
                <c:pt idx="8">
                  <c:v>0.43569754634555247</c:v>
                </c:pt>
                <c:pt idx="9">
                  <c:v>0.43037493936449556</c:v>
                </c:pt>
                <c:pt idx="10">
                  <c:v>0.4367333383652181</c:v>
                </c:pt>
                <c:pt idx="11">
                  <c:v>0.45476912911783207</c:v>
                </c:pt>
                <c:pt idx="12">
                  <c:v>0.48447848150496209</c:v>
                </c:pt>
                <c:pt idx="13">
                  <c:v>0.52585733449667083</c:v>
                </c:pt>
                <c:pt idx="14">
                  <c:v>0.57890137991718404</c:v>
                </c:pt>
                <c:pt idx="15">
                  <c:v>0.64267779357969423</c:v>
                </c:pt>
                <c:pt idx="16">
                  <c:v>0.6126767021829701</c:v>
                </c:pt>
                <c:pt idx="17">
                  <c:v>0.59432550012177232</c:v>
                </c:pt>
                <c:pt idx="18">
                  <c:v>0.58761866719346267</c:v>
                </c:pt>
                <c:pt idx="19">
                  <c:v>0.59255033053563511</c:v>
                </c:pt>
                <c:pt idx="20">
                  <c:v>0.60911423822610911</c:v>
                </c:pt>
                <c:pt idx="21">
                  <c:v>0.6373037305922683</c:v>
                </c:pt>
                <c:pt idx="22">
                  <c:v>0.65626925489568366</c:v>
                </c:pt>
                <c:pt idx="23">
                  <c:v>0.60746750723830312</c:v>
                </c:pt>
                <c:pt idx="24">
                  <c:v>0.57054539734443266</c:v>
                </c:pt>
                <c:pt idx="25">
                  <c:v>0.54550939935740617</c:v>
                </c:pt>
                <c:pt idx="26">
                  <c:v>0.53236639771033045</c:v>
                </c:pt>
                <c:pt idx="27">
                  <c:v>0.53112371872805031</c:v>
                </c:pt>
                <c:pt idx="28">
                  <c:v>0.54178916510578123</c:v>
                </c:pt>
                <c:pt idx="29">
                  <c:v>0.32071443760073265</c:v>
                </c:pt>
                <c:pt idx="30">
                  <c:v>0.24039861382132599</c:v>
                </c:pt>
                <c:pt idx="31">
                  <c:v>0.1716080394247318</c:v>
                </c:pt>
                <c:pt idx="32">
                  <c:v>0.11432857595729755</c:v>
                </c:pt>
                <c:pt idx="33">
                  <c:v>6.8545027110553505E-2</c:v>
                </c:pt>
                <c:pt idx="34">
                  <c:v>3.4241044986930785E-2</c:v>
                </c:pt>
                <c:pt idx="35">
                  <c:v>1.1399026677410183E-2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(3pt)'!$BX$3:$BX$93</c:f>
              <c:numCache>
                <c:formatCode>_(* #,##0.00_);_(* \(#,##0.00\);_(* "-"??_);_(@_)</c:formatCode>
                <c:ptCount val="91"/>
                <c:pt idx="0">
                  <c:v>8.8446390747259629E-2</c:v>
                </c:pt>
                <c:pt idx="1">
                  <c:v>8.7654859127375209E-2</c:v>
                </c:pt>
                <c:pt idx="2">
                  <c:v>8.6815478763777723E-2</c:v>
                </c:pt>
                <c:pt idx="3">
                  <c:v>8.5925892153794842E-2</c:v>
                </c:pt>
                <c:pt idx="4">
                  <c:v>8.4983610718552136E-2</c:v>
                </c:pt>
                <c:pt idx="5">
                  <c:v>8.3986006359726542E-2</c:v>
                </c:pt>
                <c:pt idx="6">
                  <c:v>8.2930302389836924E-2</c:v>
                </c:pt>
                <c:pt idx="7">
                  <c:v>8.1813563783109902E-2</c:v>
                </c:pt>
                <c:pt idx="8">
                  <c:v>8.0632686688912408E-2</c:v>
                </c:pt>
                <c:pt idx="9">
                  <c:v>7.9384387144160837E-2</c:v>
                </c:pt>
                <c:pt idx="10">
                  <c:v>7.8065188914929681E-2</c:v>
                </c:pt>
                <c:pt idx="11">
                  <c:v>7.6671410390629621E-2</c:v>
                </c:pt>
                <c:pt idx="12">
                  <c:v>7.5199150446516094E-2</c:v>
                </c:pt>
                <c:pt idx="13">
                  <c:v>7.3644273181837541E-2</c:v>
                </c:pt>
                <c:pt idx="14">
                  <c:v>7.2002391431534266E-2</c:v>
                </c:pt>
                <c:pt idx="15">
                  <c:v>7.0268848938932996E-2</c:v>
                </c:pt>
                <c:pt idx="16">
                  <c:v>6.8434580691369346E-2</c:v>
                </c:pt>
                <c:pt idx="17">
                  <c:v>6.6498453150758974E-2</c:v>
                </c:pt>
                <c:pt idx="18">
                  <c:v>6.4454880488837504E-2</c:v>
                </c:pt>
                <c:pt idx="19">
                  <c:v>6.2297920397541201E-2</c:v>
                </c:pt>
                <c:pt idx="20">
                  <c:v>6.0021247419026827E-2</c:v>
                </c:pt>
                <c:pt idx="21">
                  <c:v>5.7618123962511557E-2</c:v>
                </c:pt>
                <c:pt idx="22">
                  <c:v>0.14166605942212759</c:v>
                </c:pt>
                <c:pt idx="23">
                  <c:v>0.14513052237656907</c:v>
                </c:pt>
                <c:pt idx="24">
                  <c:v>0.14872331234701613</c:v>
                </c:pt>
                <c:pt idx="25">
                  <c:v>0.15245085402431133</c:v>
                </c:pt>
                <c:pt idx="26">
                  <c:v>0.15631997925508698</c:v>
                </c:pt>
                <c:pt idx="27">
                  <c:v>0.16033795840234108</c:v>
                </c:pt>
                <c:pt idx="28">
                  <c:v>0.16451253456070544</c:v>
                </c:pt>
                <c:pt idx="29">
                  <c:v>3.2831524552058497E-2</c:v>
                </c:pt>
                <c:pt idx="30">
                  <c:v>2.8892800152912321E-2</c:v>
                </c:pt>
                <c:pt idx="31">
                  <c:v>2.4729002155000103E-2</c:v>
                </c:pt>
                <c:pt idx="32">
                  <c:v>2.0325992104669257E-2</c:v>
                </c:pt>
                <c:pt idx="33">
                  <c:v>1.566857369345008E-2</c:v>
                </c:pt>
                <c:pt idx="34">
                  <c:v>1.0740399023773708E-2</c:v>
                </c:pt>
                <c:pt idx="35">
                  <c:v>5.5238651866209142E-3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(3pt)'!$BZ$3:$BZ$93</c:f>
              <c:numCache>
                <c:formatCode>_(* #,##0.00_);_(* \(#,##0.00\);_(* "-"??_);_(@_)</c:formatCode>
                <c:ptCount val="91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(3pt)'!$CA$3:$CA$93</c:f>
              <c:numCache>
                <c:formatCode>_(* #,##0.00_);_(* \(#,##0.00\);_(* "-"??_);_(@_)</c:formatCode>
                <c:ptCount val="91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'Local Buckling'!$AB$4:$AB$93</c:f>
              <c:numCache>
                <c:formatCode>General</c:formatCode>
                <c:ptCount val="90"/>
                <c:pt idx="0">
                  <c:v>181.10090722034982</c:v>
                </c:pt>
                <c:pt idx="1">
                  <c:v>181.5180929720149</c:v>
                </c:pt>
                <c:pt idx="2">
                  <c:v>181.94334877820509</c:v>
                </c:pt>
                <c:pt idx="3">
                  <c:v>182.37691108693866</c:v>
                </c:pt>
                <c:pt idx="4">
                  <c:v>182.81902567439434</c:v>
                </c:pt>
                <c:pt idx="5">
                  <c:v>183.26994810950217</c:v>
                </c:pt>
                <c:pt idx="6">
                  <c:v>183.72994424658108</c:v>
                </c:pt>
                <c:pt idx="7">
                  <c:v>184.19929074801811</c:v>
                </c:pt>
                <c:pt idx="8">
                  <c:v>184.67827563914796</c:v>
                </c:pt>
                <c:pt idx="9">
                  <c:v>185.16719889767225</c:v>
                </c:pt>
                <c:pt idx="10">
                  <c:v>185.66637308015274</c:v>
                </c:pt>
                <c:pt idx="11">
                  <c:v>186.17612398832733</c:v>
                </c:pt>
                <c:pt idx="12">
                  <c:v>186.69679137823468</c:v>
                </c:pt>
                <c:pt idx="13">
                  <c:v>187.22872971539002</c:v>
                </c:pt>
                <c:pt idx="14">
                  <c:v>187.77230897953976</c:v>
                </c:pt>
                <c:pt idx="15">
                  <c:v>188.32791552283447</c:v>
                </c:pt>
                <c:pt idx="16">
                  <c:v>188.89595298560295</c:v>
                </c:pt>
                <c:pt idx="17">
                  <c:v>189.47684327428919</c:v>
                </c:pt>
                <c:pt idx="18">
                  <c:v>190.07102760653163</c:v>
                </c:pt>
                <c:pt idx="19">
                  <c:v>190.67896762882469</c:v>
                </c:pt>
                <c:pt idx="20">
                  <c:v>191.30114661271287</c:v>
                </c:pt>
                <c:pt idx="21">
                  <c:v>191.93807073603116</c:v>
                </c:pt>
                <c:pt idx="22">
                  <c:v>192.5902704563313</c:v>
                </c:pt>
                <c:pt idx="23">
                  <c:v>193.25830198432521</c:v>
                </c:pt>
                <c:pt idx="24">
                  <c:v>193.94274886594818</c:v>
                </c:pt>
                <c:pt idx="25">
                  <c:v>194.64422368249964</c:v>
                </c:pt>
                <c:pt idx="26">
                  <c:v>195.36336987927243</c:v>
                </c:pt>
                <c:pt idx="27">
                  <c:v>196.10086373414421</c:v>
                </c:pt>
                <c:pt idx="28">
                  <c:v>196.85741647879036</c:v>
                </c:pt>
                <c:pt idx="29">
                  <c:v>197.63377658650381</c:v>
                </c:pt>
                <c:pt idx="30">
                  <c:v>198.43073224209144</c:v>
                </c:pt>
                <c:pt idx="31">
                  <c:v>199.2491140109789</c:v>
                </c:pt>
                <c:pt idx="32">
                  <c:v>200.08979772652549</c:v>
                </c:pt>
                <c:pt idx="33">
                  <c:v>200.9537076166489</c:v>
                </c:pt>
                <c:pt idx="34">
                  <c:v>201.84181969322381</c:v>
                </c:pt>
                <c:pt idx="35">
                  <c:v>202.75516543038714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6176"/>
        <c:axId val="95597312"/>
      </c:scatterChart>
      <c:valAx>
        <c:axId val="955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597312"/>
        <c:crosses val="autoZero"/>
        <c:crossBetween val="midCat"/>
      </c:valAx>
      <c:valAx>
        <c:axId val="9559731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5586176"/>
        <c:crosses val="autoZero"/>
        <c:crossBetween val="midCat"/>
      </c:valAx>
    </c:plotArea>
    <c:legend>
      <c:legendPos val="r"/>
      <c:layout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(3pt)'!$V$3:$V$93</c:f>
              <c:numCache>
                <c:formatCode>_(* #,##0.00_);_(* \(#,##0.00\);_(* "-"??_);_(@_)</c:formatCode>
                <c:ptCount val="91"/>
                <c:pt idx="0">
                  <c:v>10.121945882682787</c:v>
                </c:pt>
                <c:pt idx="1">
                  <c:v>9.4190790232350192</c:v>
                </c:pt>
                <c:pt idx="2">
                  <c:v>8.7847651720505269</c:v>
                </c:pt>
                <c:pt idx="3">
                  <c:v>8.2190402331437014</c:v>
                </c:pt>
                <c:pt idx="4">
                  <c:v>7.7219418755415958</c:v>
                </c:pt>
                <c:pt idx="5">
                  <c:v>7.2935096387235623</c:v>
                </c:pt>
                <c:pt idx="6">
                  <c:v>6.9337850454951679</c:v>
                </c:pt>
                <c:pt idx="7">
                  <c:v>6.6428117229020334</c:v>
                </c:pt>
                <c:pt idx="8">
                  <c:v>6.4206355318454511</c:v>
                </c:pt>
                <c:pt idx="9">
                  <c:v>6.2673047061236913</c:v>
                </c:pt>
                <c:pt idx="10">
                  <c:v>6.1828700016912874</c:v>
                </c:pt>
                <c:pt idx="11">
                  <c:v>6.1673848570044285</c:v>
                </c:pt>
                <c:pt idx="12">
                  <c:v>6.2209055654044603</c:v>
                </c:pt>
                <c:pt idx="13">
                  <c:v>6.3434914605846213</c:v>
                </c:pt>
                <c:pt idx="14">
                  <c:v>6.5352051162882949</c:v>
                </c:pt>
                <c:pt idx="15">
                  <c:v>6.0092140413796864</c:v>
                </c:pt>
                <c:pt idx="16">
                  <c:v>5.7666015271096285</c:v>
                </c:pt>
                <c:pt idx="17">
                  <c:v>5.5927218970337282</c:v>
                </c:pt>
                <c:pt idx="18">
                  <c:v>5.4876251975728438</c:v>
                </c:pt>
                <c:pt idx="19">
                  <c:v>5.4513643569901475</c:v>
                </c:pt>
                <c:pt idx="20">
                  <c:v>5.4839953875840388</c:v>
                </c:pt>
                <c:pt idx="21">
                  <c:v>5.5855776046628041</c:v>
                </c:pt>
                <c:pt idx="22">
                  <c:v>4.3631328126596474</c:v>
                </c:pt>
                <c:pt idx="23">
                  <c:v>4.0312979802498585</c:v>
                </c:pt>
                <c:pt idx="24">
                  <c:v>3.7680550171823275</c:v>
                </c:pt>
                <c:pt idx="25">
                  <c:v>3.5734522700843603</c:v>
                </c:pt>
                <c:pt idx="26">
                  <c:v>3.447541149483107</c:v>
                </c:pt>
                <c:pt idx="27">
                  <c:v>3.3903763657979296</c:v>
                </c:pt>
                <c:pt idx="28">
                  <c:v>3.402016186814711</c:v>
                </c:pt>
                <c:pt idx="29">
                  <c:v>1.6896732284035356</c:v>
                </c:pt>
                <c:pt idx="30">
                  <c:v>1.2461642560437938</c:v>
                </c:pt>
                <c:pt idx="31">
                  <c:v>0.87005640207922319</c:v>
                </c:pt>
                <c:pt idx="32">
                  <c:v>0.56133552805617193</c:v>
                </c:pt>
                <c:pt idx="33">
                  <c:v>0.31998643766617041</c:v>
                </c:pt>
                <c:pt idx="34">
                  <c:v>0.14599278301164942</c:v>
                </c:pt>
                <c:pt idx="35">
                  <c:v>3.9336961183589841E-2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(3pt)'!$AB$3:$AB$93</c:f>
              <c:numCache>
                <c:formatCode>_(* #,##0.00_);_(* \(#,##0.00\);_(* "-"??_);_(@_)</c:formatCode>
                <c:ptCount val="91"/>
                <c:pt idx="0">
                  <c:v>4.6758896290333505</c:v>
                </c:pt>
                <c:pt idx="1">
                  <c:v>4.1434830465139196</c:v>
                </c:pt>
                <c:pt idx="2">
                  <c:v>3.6778797678883079</c:v>
                </c:pt>
                <c:pt idx="3">
                  <c:v>3.2790857485008655</c:v>
                </c:pt>
                <c:pt idx="4">
                  <c:v>2.9471072245714622</c:v>
                </c:pt>
                <c:pt idx="5">
                  <c:v>2.6819507294947975</c:v>
                </c:pt>
                <c:pt idx="6">
                  <c:v>2.4836231112647318</c:v>
                </c:pt>
                <c:pt idx="7">
                  <c:v>2.3521315511134682</c:v>
                </c:pt>
                <c:pt idx="8">
                  <c:v>2.2874835834641178</c:v>
                </c:pt>
                <c:pt idx="9">
                  <c:v>2.2896871173041569</c:v>
                </c:pt>
                <c:pt idx="10">
                  <c:v>2.3587504590973101</c:v>
                </c:pt>
                <c:pt idx="11">
                  <c:v>2.4946823373623688</c:v>
                </c:pt>
                <c:pt idx="12">
                  <c:v>2.6974919290600101</c:v>
                </c:pt>
                <c:pt idx="13">
                  <c:v>2.967188887942013</c:v>
                </c:pt>
                <c:pt idx="14">
                  <c:v>3.3037833750325092</c:v>
                </c:pt>
                <c:pt idx="15">
                  <c:v>3.5363214374922247</c:v>
                </c:pt>
                <c:pt idx="16">
                  <c:v>3.3939528964368213</c:v>
                </c:pt>
                <c:pt idx="17">
                  <c:v>3.3183844638184858</c:v>
                </c:pt>
                <c:pt idx="18">
                  <c:v>3.3096226406892506</c:v>
                </c:pt>
                <c:pt idx="19">
                  <c:v>3.367674275191892</c:v>
                </c:pt>
                <c:pt idx="20">
                  <c:v>3.492546585613602</c:v>
                </c:pt>
                <c:pt idx="21">
                  <c:v>3.6842471852751051</c:v>
                </c:pt>
                <c:pt idx="22">
                  <c:v>3.2195571578288389</c:v>
                </c:pt>
                <c:pt idx="23">
                  <c:v>2.9372356078847637</c:v>
                </c:pt>
                <c:pt idx="24">
                  <c:v>2.7218637040689759</c:v>
                </c:pt>
                <c:pt idx="25">
                  <c:v>2.5734569791963979</c:v>
                </c:pt>
                <c:pt idx="26">
                  <c:v>2.4920319504523585</c:v>
                </c:pt>
                <c:pt idx="27">
                  <c:v>2.477606195212275</c:v>
                </c:pt>
                <c:pt idx="28">
                  <c:v>2.5301984337630521</c:v>
                </c:pt>
                <c:pt idx="29">
                  <c:v>1.6654966555035902</c:v>
                </c:pt>
                <c:pt idx="30">
                  <c:v>1.2284018759540378</c:v>
                </c:pt>
                <c:pt idx="31">
                  <c:v>0.85772141590578155</c:v>
                </c:pt>
                <c:pt idx="32">
                  <c:v>0.55344113690516938</c:v>
                </c:pt>
                <c:pt idx="33">
                  <c:v>0.31554584264373142</c:v>
                </c:pt>
                <c:pt idx="34">
                  <c:v>0.14401918522389875</c:v>
                </c:pt>
                <c:pt idx="35">
                  <c:v>3.8843561736652168E-2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(3pt)'!$AH$3:$AH$93</c:f>
              <c:numCache>
                <c:formatCode>_(* #,##0.00_);_(* \(#,##0.00\);_(* "-"??_);_(@_)</c:formatCode>
                <c:ptCount val="91"/>
                <c:pt idx="0">
                  <c:v>6.1498054910115121</c:v>
                </c:pt>
                <c:pt idx="1">
                  <c:v>5.5499566275530308</c:v>
                </c:pt>
                <c:pt idx="2">
                  <c:v>5.0137394276129941</c:v>
                </c:pt>
                <c:pt idx="3">
                  <c:v>4.5411551822833651</c:v>
                </c:pt>
                <c:pt idx="4">
                  <c:v>4.1322052323897909</c:v>
                </c:pt>
                <c:pt idx="5">
                  <c:v>3.7868909709081193</c:v>
                </c:pt>
                <c:pt idx="6">
                  <c:v>3.5052138455231674</c:v>
                </c:pt>
                <c:pt idx="7">
                  <c:v>3.2871753613395609</c:v>
                </c:pt>
                <c:pt idx="8">
                  <c:v>3.1327770837551761</c:v>
                </c:pt>
                <c:pt idx="9">
                  <c:v>3.0420206415088389</c:v>
                </c:pt>
                <c:pt idx="10">
                  <c:v>3.0149077299146469</c:v>
                </c:pt>
                <c:pt idx="11">
                  <c:v>3.0514401142963079</c:v>
                </c:pt>
                <c:pt idx="12">
                  <c:v>3.1516196336362099</c:v>
                </c:pt>
                <c:pt idx="13">
                  <c:v>3.3154482044548916</c:v>
                </c:pt>
                <c:pt idx="14">
                  <c:v>3.5429278249381899</c:v>
                </c:pt>
                <c:pt idx="15">
                  <c:v>3.7590224222458199</c:v>
                </c:pt>
                <c:pt idx="16">
                  <c:v>3.5604254079141202</c:v>
                </c:pt>
                <c:pt idx="17">
                  <c:v>3.4254283498218872</c:v>
                </c:pt>
                <c:pt idx="18">
                  <c:v>3.3540309671977928</c:v>
                </c:pt>
                <c:pt idx="19">
                  <c:v>3.346232931595098</c:v>
                </c:pt>
                <c:pt idx="20">
                  <c:v>3.4020338620459141</c:v>
                </c:pt>
                <c:pt idx="21">
                  <c:v>3.5214333197231342</c:v>
                </c:pt>
                <c:pt idx="22">
                  <c:v>3.151158222886858</c:v>
                </c:pt>
                <c:pt idx="23">
                  <c:v>2.8500498365501277</c:v>
                </c:pt>
                <c:pt idx="24">
                  <c:v>2.6127361952483734</c:v>
                </c:pt>
                <c:pt idx="25">
                  <c:v>2.4392277213224172</c:v>
                </c:pt>
                <c:pt idx="26">
                  <c:v>2.3295354976143452</c:v>
                </c:pt>
                <c:pt idx="27">
                  <c:v>2.2836713183416419</c:v>
                </c:pt>
                <c:pt idx="28">
                  <c:v>2.3016477446023069</c:v>
                </c:pt>
                <c:pt idx="29">
                  <c:v>1.5907024603534694</c:v>
                </c:pt>
                <c:pt idx="30">
                  <c:v>1.1734510387008876</c:v>
                </c:pt>
                <c:pt idx="31">
                  <c:v>0.81956111225776074</c:v>
                </c:pt>
                <c:pt idx="32">
                  <c:v>0.52901854257043601</c:v>
                </c:pt>
                <c:pt idx="33">
                  <c:v>0.30180813333044387</c:v>
                </c:pt>
                <c:pt idx="34">
                  <c:v>0.13791353664021541</c:v>
                </c:pt>
                <c:pt idx="35">
                  <c:v>3.731714959073134E-2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(3pt)'!$AN$3:$AN$93</c:f>
              <c:numCache>
                <c:formatCode>_(* #,##0.00_);_(* \(#,##0.00\);_(* "-"??_);_(@_)</c:formatCode>
                <c:ptCount val="91"/>
                <c:pt idx="0">
                  <c:v>6.0932284232059493</c:v>
                </c:pt>
                <c:pt idx="1">
                  <c:v>5.5168977923622862</c:v>
                </c:pt>
                <c:pt idx="2">
                  <c:v>4.9991742205673662</c:v>
                </c:pt>
                <c:pt idx="3">
                  <c:v>4.5400574390944186</c:v>
                </c:pt>
                <c:pt idx="4">
                  <c:v>4.1395471516519082</c:v>
                </c:pt>
                <c:pt idx="5">
                  <c:v>3.7976430321573931</c:v>
                </c:pt>
                <c:pt idx="6">
                  <c:v>3.514344722324978</c:v>
                </c:pt>
                <c:pt idx="7">
                  <c:v>3.2896518290493466</c:v>
                </c:pt>
                <c:pt idx="8">
                  <c:v>3.1235639215676461</c:v>
                </c:pt>
                <c:pt idx="9">
                  <c:v>3.0160805283786769</c:v>
                </c:pt>
                <c:pt idx="10">
                  <c:v>2.967201133896638</c:v>
                </c:pt>
                <c:pt idx="11">
                  <c:v>2.9769251748143315</c:v>
                </c:pt>
                <c:pt idx="12">
                  <c:v>3.0452520361482933</c:v>
                </c:pt>
                <c:pt idx="13">
                  <c:v>3.1721810469350888</c:v>
                </c:pt>
                <c:pt idx="14">
                  <c:v>3.3577114755451056</c:v>
                </c:pt>
                <c:pt idx="15">
                  <c:v>3.5588840955244745</c:v>
                </c:pt>
                <c:pt idx="16">
                  <c:v>3.3596455178695432</c:v>
                </c:pt>
                <c:pt idx="17">
                  <c:v>3.2189727570640767</c:v>
                </c:pt>
                <c:pt idx="18">
                  <c:v>3.1368632643601533</c:v>
                </c:pt>
                <c:pt idx="19">
                  <c:v>3.1133143113167971</c:v>
                </c:pt>
                <c:pt idx="20">
                  <c:v>3.148322975624112</c:v>
                </c:pt>
                <c:pt idx="21">
                  <c:v>3.2418861256566376</c:v>
                </c:pt>
                <c:pt idx="22">
                  <c:v>2.9291132028204858</c:v>
                </c:pt>
                <c:pt idx="23">
                  <c:v>2.6436861237350553</c:v>
                </c:pt>
                <c:pt idx="24">
                  <c:v>2.4170347831636807</c:v>
                </c:pt>
                <c:pt idx="25">
                  <c:v>2.2491678944030258</c:v>
                </c:pt>
                <c:pt idx="26">
                  <c:v>2.1400947229427345</c:v>
                </c:pt>
                <c:pt idx="27">
                  <c:v>2.089825128997282</c:v>
                </c:pt>
                <c:pt idx="28">
                  <c:v>2.0983696139094219</c:v>
                </c:pt>
                <c:pt idx="29">
                  <c:v>1.468573145139753</c:v>
                </c:pt>
                <c:pt idx="30">
                  <c:v>1.0837233785438718</c:v>
                </c:pt>
                <c:pt idx="31">
                  <c:v>0.75725023714872197</c:v>
                </c:pt>
                <c:pt idx="32">
                  <c:v>0.48913958250065115</c:v>
                </c:pt>
                <c:pt idx="33">
                  <c:v>0.27937621829118992</c:v>
                </c:pt>
                <c:pt idx="34">
                  <c:v>0.1279437966227692</c:v>
                </c:pt>
                <c:pt idx="35">
                  <c:v>3.4824714586369779E-2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(3pt)'!$AT$3:$AT$93</c:f>
              <c:numCache>
                <c:formatCode>_(* #,##0.00_);_(* \(#,##0.00\);_(* "-"??_);_(@_)</c:formatCode>
                <c:ptCount val="91"/>
                <c:pt idx="0">
                  <c:v>5.5195075486080478</c:v>
                </c:pt>
                <c:pt idx="1">
                  <c:v>5.0022699545614504</c:v>
                </c:pt>
                <c:pt idx="2">
                  <c:v>4.5368529752361484</c:v>
                </c:pt>
                <c:pt idx="3">
                  <c:v>4.1232555178673103</c:v>
                </c:pt>
                <c:pt idx="4">
                  <c:v>3.7614764212892848</c:v>
                </c:pt>
                <c:pt idx="5">
                  <c:v>3.4515144512567555</c:v>
                </c:pt>
                <c:pt idx="6">
                  <c:v>3.1933682954059224</c:v>
                </c:pt>
                <c:pt idx="7">
                  <c:v>2.9870365578243976</c:v>
                </c:pt>
                <c:pt idx="8">
                  <c:v>2.832517753195765</c:v>
                </c:pt>
                <c:pt idx="9">
                  <c:v>2.7298103004811036</c:v>
                </c:pt>
                <c:pt idx="10">
                  <c:v>2.6789125160962897</c:v>
                </c:pt>
                <c:pt idx="11">
                  <c:v>2.6798226065396018</c:v>
                </c:pt>
                <c:pt idx="12">
                  <c:v>2.7325386604196997</c:v>
                </c:pt>
                <c:pt idx="13">
                  <c:v>2.8370586398288884</c:v>
                </c:pt>
                <c:pt idx="14">
                  <c:v>2.9933803710008702</c:v>
                </c:pt>
                <c:pt idx="15">
                  <c:v>3.1754905338790955</c:v>
                </c:pt>
                <c:pt idx="16">
                  <c:v>2.9939407633876378</c:v>
                </c:pt>
                <c:pt idx="17">
                  <c:v>2.8641653282064721</c:v>
                </c:pt>
                <c:pt idx="18">
                  <c:v>2.7861604814362542</c:v>
                </c:pt>
                <c:pt idx="19">
                  <c:v>2.7599222267408723</c:v>
                </c:pt>
                <c:pt idx="20">
                  <c:v>2.7854462992425399</c:v>
                </c:pt>
                <c:pt idx="21">
                  <c:v>2.8627281447349029</c:v>
                </c:pt>
                <c:pt idx="22">
                  <c:v>2.6069079310838785</c:v>
                </c:pt>
                <c:pt idx="23">
                  <c:v>2.352207985937778</c:v>
                </c:pt>
                <c:pt idx="24">
                  <c:v>2.1495002923237552</c:v>
                </c:pt>
                <c:pt idx="25">
                  <c:v>1.9987926606659749</c:v>
                </c:pt>
                <c:pt idx="26">
                  <c:v>1.9000933963633067</c:v>
                </c:pt>
                <c:pt idx="27">
                  <c:v>1.8534113379140134</c:v>
                </c:pt>
                <c:pt idx="28">
                  <c:v>1.8587558985108728</c:v>
                </c:pt>
                <c:pt idx="29">
                  <c:v>1.3028195473047952</c:v>
                </c:pt>
                <c:pt idx="30">
                  <c:v>0.96194522503247404</c:v>
                </c:pt>
                <c:pt idx="31">
                  <c:v>0.67268207498802901</c:v>
                </c:pt>
                <c:pt idx="32">
                  <c:v>0.43501595871780768</c:v>
                </c:pt>
                <c:pt idx="33">
                  <c:v>0.24893167991334048</c:v>
                </c:pt>
                <c:pt idx="34">
                  <c:v>0.11441289067705833</c:v>
                </c:pt>
                <c:pt idx="35">
                  <c:v>3.1441988099942066E-2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(3pt)'!$AZ$3:$AZ$93</c:f>
              <c:numCache>
                <c:formatCode>_(* #,##0.00_);_(* \(#,##0.00\);_(* "-"??_);_(@_)</c:formatCode>
                <c:ptCount val="91"/>
                <c:pt idx="0">
                  <c:v>4.6363662233308514</c:v>
                </c:pt>
                <c:pt idx="1">
                  <c:v>4.2017171301751155</c:v>
                </c:pt>
                <c:pt idx="2">
                  <c:v>3.8105349932477113</c:v>
                </c:pt>
                <c:pt idx="3">
                  <c:v>3.4628182020974876</c:v>
                </c:pt>
                <c:pt idx="4">
                  <c:v>3.1585650522180106</c:v>
                </c:pt>
                <c:pt idx="5">
                  <c:v>2.8977737388278357</c:v>
                </c:pt>
                <c:pt idx="6">
                  <c:v>2.6804423501817634</c:v>
                </c:pt>
                <c:pt idx="7">
                  <c:v>2.5065688603728771</c:v>
                </c:pt>
                <c:pt idx="8">
                  <c:v>2.3761511215814388</c:v>
                </c:pt>
                <c:pt idx="9">
                  <c:v>2.2891868557224604</c:v>
                </c:pt>
                <c:pt idx="10">
                  <c:v>2.2456736454389947</c:v>
                </c:pt>
                <c:pt idx="11">
                  <c:v>2.2456089243828847</c:v>
                </c:pt>
                <c:pt idx="12">
                  <c:v>2.2889899667191065</c:v>
                </c:pt>
                <c:pt idx="13">
                  <c:v>2.3758138757831064</c:v>
                </c:pt>
                <c:pt idx="14">
                  <c:v>2.5060775718135244</c:v>
                </c:pt>
                <c:pt idx="15">
                  <c:v>2.6644136795988564</c:v>
                </c:pt>
                <c:pt idx="16">
                  <c:v>2.5113338696421965</c:v>
                </c:pt>
                <c:pt idx="17">
                  <c:v>2.4016715719699668</c:v>
                </c:pt>
                <c:pt idx="18">
                  <c:v>2.3354222869668786</c:v>
                </c:pt>
                <c:pt idx="19">
                  <c:v>2.3125812217657007</c:v>
                </c:pt>
                <c:pt idx="20">
                  <c:v>2.3331432680457946</c:v>
                </c:pt>
                <c:pt idx="21">
                  <c:v>2.3971029778912949</c:v>
                </c:pt>
                <c:pt idx="22">
                  <c:v>2.2031242408155642</c:v>
                </c:pt>
                <c:pt idx="23">
                  <c:v>1.9896998478074175</c:v>
                </c:pt>
                <c:pt idx="24">
                  <c:v>1.8199159057346748</c:v>
                </c:pt>
                <c:pt idx="25">
                  <c:v>1.6937796578089521</c:v>
                </c:pt>
                <c:pt idx="26">
                  <c:v>1.6112988062702633</c:v>
                </c:pt>
                <c:pt idx="27">
                  <c:v>1.5724815477430087</c:v>
                </c:pt>
                <c:pt idx="28">
                  <c:v>1.577336611810346</c:v>
                </c:pt>
                <c:pt idx="29">
                  <c:v>1.0984780060434429</c:v>
                </c:pt>
                <c:pt idx="30">
                  <c:v>0.81181674573841922</c:v>
                </c:pt>
                <c:pt idx="31">
                  <c:v>0.56842618658937982</c:v>
                </c:pt>
                <c:pt idx="32">
                  <c:v>0.36829219014267228</c:v>
                </c:pt>
                <c:pt idx="33">
                  <c:v>0.21139956008982683</c:v>
                </c:pt>
                <c:pt idx="34">
                  <c:v>9.7731948533274479E-2</c:v>
                </c:pt>
                <c:pt idx="35">
                  <c:v>2.7271752563996103E-2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(3pt)'!$BF$3:$BF$93</c:f>
              <c:numCache>
                <c:formatCode>_(* #,##0.00_);_(* \(#,##0.00\);_(* "-"??_);_(@_)</c:formatCode>
                <c:ptCount val="91"/>
                <c:pt idx="0">
                  <c:v>3.5333509318210425</c:v>
                </c:pt>
                <c:pt idx="1">
                  <c:v>3.1988872373683304</c:v>
                </c:pt>
                <c:pt idx="2">
                  <c:v>2.8982196328402066</c:v>
                </c:pt>
                <c:pt idx="3">
                  <c:v>2.6313461624056895</c:v>
                </c:pt>
                <c:pt idx="4">
                  <c:v>2.3982647590628439</c:v>
                </c:pt>
                <c:pt idx="5">
                  <c:v>2.1989732373910944</c:v>
                </c:pt>
                <c:pt idx="6">
                  <c:v>2.0334692857616763</c:v>
                </c:pt>
                <c:pt idx="7">
                  <c:v>1.9017504579602214</c:v>
                </c:pt>
                <c:pt idx="8">
                  <c:v>1.8038141641709833</c:v>
                </c:pt>
                <c:pt idx="9">
                  <c:v>1.739657661267408</c:v>
                </c:pt>
                <c:pt idx="10">
                  <c:v>1.7092780423483256</c:v>
                </c:pt>
                <c:pt idx="11">
                  <c:v>1.7126722254530076</c:v>
                </c:pt>
                <c:pt idx="12">
                  <c:v>1.7498369413818087</c:v>
                </c:pt>
                <c:pt idx="13">
                  <c:v>1.8207687205415557</c:v>
                </c:pt>
                <c:pt idx="14">
                  <c:v>1.9254638787268046</c:v>
                </c:pt>
                <c:pt idx="15">
                  <c:v>2.0556575941389803</c:v>
                </c:pt>
                <c:pt idx="16">
                  <c:v>1.9386530475286521</c:v>
                </c:pt>
                <c:pt idx="17">
                  <c:v>1.8553930356477968</c:v>
                </c:pt>
                <c:pt idx="18">
                  <c:v>1.8058725566988219</c:v>
                </c:pt>
                <c:pt idx="19">
                  <c:v>1.7900862864004323</c:v>
                </c:pt>
                <c:pt idx="20">
                  <c:v>1.8080285537202667</c:v>
                </c:pt>
                <c:pt idx="21">
                  <c:v>1.8596933144948162</c:v>
                </c:pt>
                <c:pt idx="22">
                  <c:v>1.7329283325733242</c:v>
                </c:pt>
                <c:pt idx="23">
                  <c:v>1.5688992875045458</c:v>
                </c:pt>
                <c:pt idx="24">
                  <c:v>1.4388410665823668</c:v>
                </c:pt>
                <c:pt idx="25">
                  <c:v>1.3427605345966176</c:v>
                </c:pt>
                <c:pt idx="26">
                  <c:v>1.2806649913835788</c:v>
                </c:pt>
                <c:pt idx="27">
                  <c:v>1.2525622053347887</c:v>
                </c:pt>
                <c:pt idx="28">
                  <c:v>1.2584604499561018</c:v>
                </c:pt>
                <c:pt idx="29">
                  <c:v>0.8617573356851137</c:v>
                </c:pt>
                <c:pt idx="30">
                  <c:v>0.63789951853638138</c:v>
                </c:pt>
                <c:pt idx="31">
                  <c:v>0.44765033436574253</c:v>
                </c:pt>
                <c:pt idx="32">
                  <c:v>0.29099564471954431</c:v>
                </c:pt>
                <c:pt idx="33">
                  <c:v>0.16792025328931737</c:v>
                </c:pt>
                <c:pt idx="34">
                  <c:v>7.84078121774925E-2</c:v>
                </c:pt>
                <c:pt idx="35">
                  <c:v>2.2440718475050608E-2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(3pt)'!$BL$3:$BL$93</c:f>
              <c:numCache>
                <c:formatCode>_(* #,##0.00_);_(* \(#,##0.00\);_(* "-"??_);_(@_)</c:formatCode>
                <c:ptCount val="91"/>
                <c:pt idx="0">
                  <c:v>2.2705872232142976</c:v>
                </c:pt>
                <c:pt idx="1">
                  <c:v>2.0494236156395029</c:v>
                </c:pt>
                <c:pt idx="2">
                  <c:v>1.8513602492871342</c:v>
                </c:pt>
                <c:pt idx="3">
                  <c:v>1.6763949421927786</c:v>
                </c:pt>
                <c:pt idx="4">
                  <c:v>1.5245253900147979</c:v>
                </c:pt>
                <c:pt idx="5">
                  <c:v>1.3957491581135564</c:v>
                </c:pt>
                <c:pt idx="6">
                  <c:v>1.2900636730411845</c:v>
                </c:pt>
                <c:pt idx="7">
                  <c:v>1.207466213391895</c:v>
                </c:pt>
                <c:pt idx="8">
                  <c:v>1.1479538999581922</c:v>
                </c:pt>
                <c:pt idx="9">
                  <c:v>1.1115236851329611</c:v>
                </c:pt>
                <c:pt idx="10">
                  <c:v>1.0981723414916438</c:v>
                </c:pt>
                <c:pt idx="11">
                  <c:v>1.1078964494821784</c:v>
                </c:pt>
                <c:pt idx="12">
                  <c:v>1.1406923841432464</c:v>
                </c:pt>
                <c:pt idx="13">
                  <c:v>1.1965563007633311</c:v>
                </c:pt>
                <c:pt idx="14">
                  <c:v>1.2754841193842466</c:v>
                </c:pt>
                <c:pt idx="15">
                  <c:v>1.3738613324792643</c:v>
                </c:pt>
                <c:pt idx="16">
                  <c:v>1.298460675181941</c:v>
                </c:pt>
                <c:pt idx="17">
                  <c:v>1.2461073215947489</c:v>
                </c:pt>
                <c:pt idx="18">
                  <c:v>1.2167959411220615</c:v>
                </c:pt>
                <c:pt idx="19">
                  <c:v>1.2105208615454035</c:v>
                </c:pt>
                <c:pt idx="20">
                  <c:v>1.227276043403462</c:v>
                </c:pt>
                <c:pt idx="21">
                  <c:v>1.267055052146512</c:v>
                </c:pt>
                <c:pt idx="22">
                  <c:v>1.211836346056961</c:v>
                </c:pt>
                <c:pt idx="23">
                  <c:v>1.1033232204308328</c:v>
                </c:pt>
                <c:pt idx="24">
                  <c:v>1.0180858818071366</c:v>
                </c:pt>
                <c:pt idx="25">
                  <c:v>0.95613094720844105</c:v>
                </c:pt>
                <c:pt idx="26">
                  <c:v>0.91746545300185922</c:v>
                </c:pt>
                <c:pt idx="27">
                  <c:v>0.90209688719844328</c:v>
                </c:pt>
                <c:pt idx="28">
                  <c:v>0.91003322469273451</c:v>
                </c:pt>
                <c:pt idx="29">
                  <c:v>0.59985017401220608</c:v>
                </c:pt>
                <c:pt idx="30">
                  <c:v>0.44547793036853089</c:v>
                </c:pt>
                <c:pt idx="31">
                  <c:v>0.31402423147140185</c:v>
                </c:pt>
                <c:pt idx="32">
                  <c:v>0.20547493886716633</c:v>
                </c:pt>
                <c:pt idx="33">
                  <c:v>0.11981485624735472</c:v>
                </c:pt>
                <c:pt idx="34">
                  <c:v>5.7027635714397992E-2</c:v>
                </c:pt>
                <c:pt idx="35">
                  <c:v>1.7095674359276985E-2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(3pt)'!$BR$3:$BR$93</c:f>
              <c:numCache>
                <c:formatCode>_(* #,##0.00_);_(* \(#,##0.00\);_(* "-"??_);_(@_)</c:formatCode>
                <c:ptCount val="91"/>
                <c:pt idx="0">
                  <c:v>0.89916722806159854</c:v>
                </c:pt>
                <c:pt idx="1">
                  <c:v>0.80028820819781876</c:v>
                </c:pt>
                <c:pt idx="2">
                  <c:v>0.71311281231873402</c:v>
                </c:pt>
                <c:pt idx="3">
                  <c:v>0.63763872805620947</c:v>
                </c:pt>
                <c:pt idx="4">
                  <c:v>0.57386351420260406</c:v>
                </c:pt>
                <c:pt idx="5">
                  <c:v>0.52178459240185215</c:v>
                </c:pt>
                <c:pt idx="6">
                  <c:v>0.48139923822360642</c:v>
                </c:pt>
                <c:pt idx="7">
                  <c:v>0.45270457156823996</c:v>
                </c:pt>
                <c:pt idx="8">
                  <c:v>0.43569754634555247</c:v>
                </c:pt>
                <c:pt idx="9">
                  <c:v>0.43037493936449556</c:v>
                </c:pt>
                <c:pt idx="10">
                  <c:v>0.4367333383652181</c:v>
                </c:pt>
                <c:pt idx="11">
                  <c:v>0.45476912911783207</c:v>
                </c:pt>
                <c:pt idx="12">
                  <c:v>0.48447848150496209</c:v>
                </c:pt>
                <c:pt idx="13">
                  <c:v>0.52585733449667083</c:v>
                </c:pt>
                <c:pt idx="14">
                  <c:v>0.57890137991718404</c:v>
                </c:pt>
                <c:pt idx="15">
                  <c:v>0.64267779357969423</c:v>
                </c:pt>
                <c:pt idx="16">
                  <c:v>0.6126767021829701</c:v>
                </c:pt>
                <c:pt idx="17">
                  <c:v>0.59432550012177232</c:v>
                </c:pt>
                <c:pt idx="18">
                  <c:v>0.58761866719346267</c:v>
                </c:pt>
                <c:pt idx="19">
                  <c:v>0.59255033053563511</c:v>
                </c:pt>
                <c:pt idx="20">
                  <c:v>0.60911423822610911</c:v>
                </c:pt>
                <c:pt idx="21">
                  <c:v>0.6373037305922683</c:v>
                </c:pt>
                <c:pt idx="22">
                  <c:v>0.65626925489568366</c:v>
                </c:pt>
                <c:pt idx="23">
                  <c:v>0.60746750723830312</c:v>
                </c:pt>
                <c:pt idx="24">
                  <c:v>0.57054539734443266</c:v>
                </c:pt>
                <c:pt idx="25">
                  <c:v>0.54550939935740617</c:v>
                </c:pt>
                <c:pt idx="26">
                  <c:v>0.53236639771033045</c:v>
                </c:pt>
                <c:pt idx="27">
                  <c:v>0.53112371872805031</c:v>
                </c:pt>
                <c:pt idx="28">
                  <c:v>0.54178916510578123</c:v>
                </c:pt>
                <c:pt idx="29">
                  <c:v>0.32071443760073265</c:v>
                </c:pt>
                <c:pt idx="30">
                  <c:v>0.24039861382132599</c:v>
                </c:pt>
                <c:pt idx="31">
                  <c:v>0.1716080394247318</c:v>
                </c:pt>
                <c:pt idx="32">
                  <c:v>0.11432857595729755</c:v>
                </c:pt>
                <c:pt idx="33">
                  <c:v>6.8545027110553505E-2</c:v>
                </c:pt>
                <c:pt idx="34">
                  <c:v>3.4241044986930785E-2</c:v>
                </c:pt>
                <c:pt idx="35">
                  <c:v>1.1399026677410183E-2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1'!$F$4:$F$93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1-Tilt Up (3pt)'!$BX$3:$BX$93</c:f>
              <c:numCache>
                <c:formatCode>_(* #,##0.00_);_(* \(#,##0.00\);_(* "-"??_);_(@_)</c:formatCode>
                <c:ptCount val="91"/>
                <c:pt idx="0">
                  <c:v>8.8446390747259629E-2</c:v>
                </c:pt>
                <c:pt idx="1">
                  <c:v>8.7654859127375209E-2</c:v>
                </c:pt>
                <c:pt idx="2">
                  <c:v>8.6815478763777723E-2</c:v>
                </c:pt>
                <c:pt idx="3">
                  <c:v>8.5925892153794842E-2</c:v>
                </c:pt>
                <c:pt idx="4">
                  <c:v>8.4983610718552136E-2</c:v>
                </c:pt>
                <c:pt idx="5">
                  <c:v>8.3986006359726542E-2</c:v>
                </c:pt>
                <c:pt idx="6">
                  <c:v>8.2930302389836924E-2</c:v>
                </c:pt>
                <c:pt idx="7">
                  <c:v>8.1813563783109902E-2</c:v>
                </c:pt>
                <c:pt idx="8">
                  <c:v>8.0632686688912408E-2</c:v>
                </c:pt>
                <c:pt idx="9">
                  <c:v>7.9384387144160837E-2</c:v>
                </c:pt>
                <c:pt idx="10">
                  <c:v>7.8065188914929681E-2</c:v>
                </c:pt>
                <c:pt idx="11">
                  <c:v>7.6671410390629621E-2</c:v>
                </c:pt>
                <c:pt idx="12">
                  <c:v>7.5199150446516094E-2</c:v>
                </c:pt>
                <c:pt idx="13">
                  <c:v>7.3644273181837541E-2</c:v>
                </c:pt>
                <c:pt idx="14">
                  <c:v>7.2002391431534266E-2</c:v>
                </c:pt>
                <c:pt idx="15">
                  <c:v>7.0268848938932996E-2</c:v>
                </c:pt>
                <c:pt idx="16">
                  <c:v>6.8434580691369346E-2</c:v>
                </c:pt>
                <c:pt idx="17">
                  <c:v>6.6498453150758974E-2</c:v>
                </c:pt>
                <c:pt idx="18">
                  <c:v>6.4454880488837504E-2</c:v>
                </c:pt>
                <c:pt idx="19">
                  <c:v>6.2297920397541201E-2</c:v>
                </c:pt>
                <c:pt idx="20">
                  <c:v>6.0021247419026827E-2</c:v>
                </c:pt>
                <c:pt idx="21">
                  <c:v>5.7618123962511557E-2</c:v>
                </c:pt>
                <c:pt idx="22">
                  <c:v>0.14166605942212759</c:v>
                </c:pt>
                <c:pt idx="23">
                  <c:v>0.14513052237656907</c:v>
                </c:pt>
                <c:pt idx="24">
                  <c:v>0.14872331234701613</c:v>
                </c:pt>
                <c:pt idx="25">
                  <c:v>0.15245085402431133</c:v>
                </c:pt>
                <c:pt idx="26">
                  <c:v>0.15631997925508698</c:v>
                </c:pt>
                <c:pt idx="27">
                  <c:v>0.16033795840234108</c:v>
                </c:pt>
                <c:pt idx="28">
                  <c:v>0.16451253456070544</c:v>
                </c:pt>
                <c:pt idx="29">
                  <c:v>3.2831524552058497E-2</c:v>
                </c:pt>
                <c:pt idx="30">
                  <c:v>2.8892800152912321E-2</c:v>
                </c:pt>
                <c:pt idx="31">
                  <c:v>2.4729002155000103E-2</c:v>
                </c:pt>
                <c:pt idx="32">
                  <c:v>2.0325992104669257E-2</c:v>
                </c:pt>
                <c:pt idx="33">
                  <c:v>1.566857369345008E-2</c:v>
                </c:pt>
                <c:pt idx="34">
                  <c:v>1.0740399023773708E-2</c:v>
                </c:pt>
                <c:pt idx="35">
                  <c:v>5.5238651866209142E-3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66176"/>
        <c:axId val="95667712"/>
      </c:scatterChart>
      <c:valAx>
        <c:axId val="95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5667712"/>
        <c:crosses val="autoZero"/>
        <c:crossBetween val="midCat"/>
      </c:valAx>
      <c:valAx>
        <c:axId val="95667712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95666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(3pt)'!$V$3:$V$93</c:f>
              <c:numCache>
                <c:formatCode>_(* #,##0.00_);_(* \(#,##0.00\);_(* "-"??_);_(@_)</c:formatCode>
                <c:ptCount val="91"/>
                <c:pt idx="0">
                  <c:v>3.5684221951960651</c:v>
                </c:pt>
                <c:pt idx="1">
                  <c:v>3.2972499896028</c:v>
                </c:pt>
                <c:pt idx="2">
                  <c:v>3.0704993785986234</c:v>
                </c:pt>
                <c:pt idx="3">
                  <c:v>2.8882404364313974</c:v>
                </c:pt>
                <c:pt idx="4">
                  <c:v>2.7505487092576431</c:v>
                </c:pt>
                <c:pt idx="5">
                  <c:v>2.657505737484954</c:v>
                </c:pt>
                <c:pt idx="6">
                  <c:v>2.6091996373234538</c:v>
                </c:pt>
                <c:pt idx="7">
                  <c:v>2.6057257493508019</c:v>
                </c:pt>
                <c:pt idx="8">
                  <c:v>2.6471873630728031</c:v>
                </c:pt>
                <c:pt idx="9">
                  <c:v>2.3458063017151214</c:v>
                </c:pt>
                <c:pt idx="10">
                  <c:v>2.2383745004542317</c:v>
                </c:pt>
                <c:pt idx="11">
                  <c:v>2.1755281232304648</c:v>
                </c:pt>
                <c:pt idx="12">
                  <c:v>2.1573598042180286</c:v>
                </c:pt>
                <c:pt idx="13">
                  <c:v>2.1839705803170624</c:v>
                </c:pt>
                <c:pt idx="14">
                  <c:v>1.6102525561451846</c:v>
                </c:pt>
                <c:pt idx="15">
                  <c:v>1.4883820181682845</c:v>
                </c:pt>
                <c:pt idx="16">
                  <c:v>1.4109733445640682</c:v>
                </c:pt>
                <c:pt idx="17">
                  <c:v>1.378120438797753</c:v>
                </c:pt>
                <c:pt idx="18">
                  <c:v>0.55905120359231153</c:v>
                </c:pt>
                <c:pt idx="19">
                  <c:v>0.36128569978617842</c:v>
                </c:pt>
                <c:pt idx="20">
                  <c:v>0.20652610386203013</c:v>
                </c:pt>
                <c:pt idx="21">
                  <c:v>9.4745760764192694E-2</c:v>
                </c:pt>
                <c:pt idx="22">
                  <c:v>2.5914861933094179E-2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(3pt)'!$AB$3:$AB$93</c:f>
              <c:numCache>
                <c:formatCode>_(* #,##0.00_);_(* \(#,##0.00\);_(* "-"??_);_(@_)</c:formatCode>
                <c:ptCount val="91"/>
                <c:pt idx="0">
                  <c:v>1.8618158461964986</c:v>
                </c:pt>
                <c:pt idx="1">
                  <c:v>1.6499140548796158</c:v>
                </c:pt>
                <c:pt idx="2">
                  <c:v>1.4808579597257492</c:v>
                </c:pt>
                <c:pt idx="3">
                  <c:v>1.3546590723320902</c:v>
                </c:pt>
                <c:pt idx="4">
                  <c:v>1.2713297655223854</c:v>
                </c:pt>
                <c:pt idx="5">
                  <c:v>1.2308833531269789</c:v>
                </c:pt>
                <c:pt idx="6">
                  <c:v>1.2333341786073355</c:v>
                </c:pt>
                <c:pt idx="7">
                  <c:v>1.2786977136710622</c:v>
                </c:pt>
                <c:pt idx="8">
                  <c:v>1.3669906681940491</c:v>
                </c:pt>
                <c:pt idx="9">
                  <c:v>1.4139564719747191</c:v>
                </c:pt>
                <c:pt idx="10">
                  <c:v>1.3377190616042187</c:v>
                </c:pt>
                <c:pt idx="11">
                  <c:v>1.3043143152507861</c:v>
                </c:pt>
                <c:pt idx="12">
                  <c:v>1.3137540649502388</c:v>
                </c:pt>
                <c:pt idx="13">
                  <c:v>1.3660511336175813</c:v>
                </c:pt>
                <c:pt idx="14">
                  <c:v>1.156550440568427</c:v>
                </c:pt>
                <c:pt idx="15">
                  <c:v>1.0481358017004729</c:v>
                </c:pt>
                <c:pt idx="16">
                  <c:v>0.982747399710861</c:v>
                </c:pt>
                <c:pt idx="17">
                  <c:v>0.96041545353683588</c:v>
                </c:pt>
                <c:pt idx="18">
                  <c:v>0.55115765441988718</c:v>
                </c:pt>
                <c:pt idx="19">
                  <c:v>0.35623382831582695</c:v>
                </c:pt>
                <c:pt idx="20">
                  <c:v>0.20368442615995741</c:v>
                </c:pt>
                <c:pt idx="21">
                  <c:v>9.3482792896604827E-2</c:v>
                </c:pt>
                <c:pt idx="22">
                  <c:v>2.5599119966197213E-2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(3pt)'!$AH$3:$AH$93</c:f>
              <c:numCache>
                <c:formatCode>_(* #,##0.00_);_(* \(#,##0.00\);_(* "-"??_);_(@_)</c:formatCode>
                <c:ptCount val="91"/>
                <c:pt idx="0">
                  <c:v>2.1457534797504971</c:v>
                </c:pt>
                <c:pt idx="1">
                  <c:v>1.9047917965139542</c:v>
                </c:pt>
                <c:pt idx="2">
                  <c:v>1.7045751259696766</c:v>
                </c:pt>
                <c:pt idx="3">
                  <c:v>1.5451058590935363</c:v>
                </c:pt>
                <c:pt idx="4">
                  <c:v>1.4263865300145124</c:v>
                </c:pt>
                <c:pt idx="5">
                  <c:v>1.3484198268694918</c:v>
                </c:pt>
                <c:pt idx="6">
                  <c:v>1.3112086036587234</c:v>
                </c:pt>
                <c:pt idx="7">
                  <c:v>1.3147558932109433</c:v>
                </c:pt>
                <c:pt idx="8">
                  <c:v>1.3590649213809392</c:v>
                </c:pt>
                <c:pt idx="9">
                  <c:v>1.4071499569865453</c:v>
                </c:pt>
                <c:pt idx="10">
                  <c:v>1.3074607631177915</c:v>
                </c:pt>
                <c:pt idx="11">
                  <c:v>1.2484760051469379</c:v>
                </c:pt>
                <c:pt idx="12">
                  <c:v>1.2301949308825406</c:v>
                </c:pt>
                <c:pt idx="13">
                  <c:v>1.2526166246819508</c:v>
                </c:pt>
                <c:pt idx="14">
                  <c:v>1.0907865212881558</c:v>
                </c:pt>
                <c:pt idx="15">
                  <c:v>0.97355919181865402</c:v>
                </c:pt>
                <c:pt idx="16">
                  <c:v>0.89727926172911443</c:v>
                </c:pt>
                <c:pt idx="17">
                  <c:v>0.86196703164782207</c:v>
                </c:pt>
                <c:pt idx="18">
                  <c:v>0.52673766488403773</c:v>
                </c:pt>
                <c:pt idx="19">
                  <c:v>0.34060503501288331</c:v>
                </c:pt>
                <c:pt idx="20">
                  <c:v>0.1948932299270516</c:v>
                </c:pt>
                <c:pt idx="21">
                  <c:v>8.9575594570868902E-2</c:v>
                </c:pt>
                <c:pt idx="22">
                  <c:v>2.4622320384763231E-2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(3pt)'!$AN$3:$AN$93</c:f>
              <c:numCache>
                <c:formatCode>_(* #,##0.00_);_(* \(#,##0.00\);_(* "-"??_);_(@_)</c:formatCode>
                <c:ptCount val="91"/>
                <c:pt idx="0">
                  <c:v>2.0698376990049381</c:v>
                </c:pt>
                <c:pt idx="1">
                  <c:v>1.8377652441663326</c:v>
                </c:pt>
                <c:pt idx="2">
                  <c:v>1.643198637715904</c:v>
                </c:pt>
                <c:pt idx="3">
                  <c:v>1.48613722052199</c:v>
                </c:pt>
                <c:pt idx="4">
                  <c:v>1.3665802364687398</c:v>
                </c:pt>
                <c:pt idx="5">
                  <c:v>1.2845268202610278</c:v>
                </c:pt>
                <c:pt idx="6">
                  <c:v>1.2399759836068893</c:v>
                </c:pt>
                <c:pt idx="7">
                  <c:v>1.2329265995396939</c:v>
                </c:pt>
                <c:pt idx="8">
                  <c:v>1.2633773846036263</c:v>
                </c:pt>
                <c:pt idx="9">
                  <c:v>1.310150866458947</c:v>
                </c:pt>
                <c:pt idx="10">
                  <c:v>1.2112189059304315</c:v>
                </c:pt>
                <c:pt idx="11">
                  <c:v>1.1497430055465412</c:v>
                </c:pt>
                <c:pt idx="12">
                  <c:v>1.1257182047132297</c:v>
                </c:pt>
                <c:pt idx="13">
                  <c:v>1.1391389933554257</c:v>
                </c:pt>
                <c:pt idx="14">
                  <c:v>1.0045266131735668</c:v>
                </c:pt>
                <c:pt idx="15">
                  <c:v>0.89309127803314903</c:v>
                </c:pt>
                <c:pt idx="16">
                  <c:v>0.81937148367320622</c:v>
                </c:pt>
                <c:pt idx="17">
                  <c:v>0.7833842138527114</c:v>
                </c:pt>
                <c:pt idx="18">
                  <c:v>0.48686295811630809</c:v>
                </c:pt>
                <c:pt idx="19">
                  <c:v>0.31508522268153633</c:v>
                </c:pt>
                <c:pt idx="20">
                  <c:v>0.18053833549066894</c:v>
                </c:pt>
                <c:pt idx="21">
                  <c:v>8.3195641488032171E-2</c:v>
                </c:pt>
                <c:pt idx="22">
                  <c:v>2.3027332114054042E-2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(3pt)'!$AT$3:$AT$93</c:f>
              <c:numCache>
                <c:formatCode>_(* #,##0.00_);_(* \(#,##0.00\);_(* "-"??_);_(@_)</c:formatCode>
                <c:ptCount val="91"/>
                <c:pt idx="0">
                  <c:v>1.8587875529819442</c:v>
                </c:pt>
                <c:pt idx="1">
                  <c:v>1.6502559632970968</c:v>
                </c:pt>
                <c:pt idx="2">
                  <c:v>1.4748748085020611</c:v>
                </c:pt>
                <c:pt idx="3">
                  <c:v>1.3326418181239694</c:v>
                </c:pt>
                <c:pt idx="4">
                  <c:v>1.2235544978436481</c:v>
                </c:pt>
                <c:pt idx="5">
                  <c:v>1.1476101051234984</c:v>
                </c:pt>
                <c:pt idx="6">
                  <c:v>1.1048056218271358</c:v>
                </c:pt>
                <c:pt idx="7">
                  <c:v>1.0951377234097872</c:v>
                </c:pt>
                <c:pt idx="8">
                  <c:v>1.1186027441920925</c:v>
                </c:pt>
                <c:pt idx="9">
                  <c:v>1.1623745563399062</c:v>
                </c:pt>
                <c:pt idx="10">
                  <c:v>1.0724395246636929</c:v>
                </c:pt>
                <c:pt idx="11">
                  <c:v>1.0156002733175715</c:v>
                </c:pt>
                <c:pt idx="12">
                  <c:v>0.99184961845063468</c:v>
                </c:pt>
                <c:pt idx="13">
                  <c:v>1.0011796227952672</c:v>
                </c:pt>
                <c:pt idx="14">
                  <c:v>0.89251607531872024</c:v>
                </c:pt>
                <c:pt idx="15">
                  <c:v>0.79306637982620087</c:v>
                </c:pt>
                <c:pt idx="16">
                  <c:v>0.72698067114621467</c:v>
                </c:pt>
                <c:pt idx="17">
                  <c:v>0.69427418076896241</c:v>
                </c:pt>
                <c:pt idx="18">
                  <c:v>0.4327451069042606</c:v>
                </c:pt>
                <c:pt idx="19">
                  <c:v>0.28044979790582597</c:v>
                </c:pt>
                <c:pt idx="20">
                  <c:v>0.16105590905433187</c:v>
                </c:pt>
                <c:pt idx="21">
                  <c:v>7.4536785294104554E-2</c:v>
                </c:pt>
                <c:pt idx="22">
                  <c:v>2.0862618065572148E-2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(3pt)'!$AZ$3:$AZ$93</c:f>
              <c:numCache>
                <c:formatCode>_(* #,##0.00_);_(* \(#,##0.00\);_(* "-"??_);_(@_)</c:formatCode>
                <c:ptCount val="91"/>
                <c:pt idx="0">
                  <c:v>1.5608522828439215</c:v>
                </c:pt>
                <c:pt idx="1">
                  <c:v>1.3854663811150632</c:v>
                </c:pt>
                <c:pt idx="2">
                  <c:v>1.23787725723792</c:v>
                </c:pt>
                <c:pt idx="3">
                  <c:v>1.1180816284430926</c:v>
                </c:pt>
                <c:pt idx="4">
                  <c:v>1.0260759084159978</c:v>
                </c:pt>
                <c:pt idx="5">
                  <c:v>0.96185617527475253</c:v>
                </c:pt>
                <c:pt idx="6">
                  <c:v>0.92541813566922104</c:v>
                </c:pt>
                <c:pt idx="7">
                  <c:v>0.9167570844651397</c:v>
                </c:pt>
                <c:pt idx="8">
                  <c:v>0.93586785939346218</c:v>
                </c:pt>
                <c:pt idx="9">
                  <c:v>0.97517091667496691</c:v>
                </c:pt>
                <c:pt idx="10">
                  <c:v>0.89919958197714234</c:v>
                </c:pt>
                <c:pt idx="11">
                  <c:v>0.85096731339449461</c:v>
                </c:pt>
                <c:pt idx="12">
                  <c:v>0.83046553035442783</c:v>
                </c:pt>
                <c:pt idx="13">
                  <c:v>0.83768477074866454</c:v>
                </c:pt>
                <c:pt idx="14">
                  <c:v>0.75667686100343268</c:v>
                </c:pt>
                <c:pt idx="15">
                  <c:v>0.67349322911269827</c:v>
                </c:pt>
                <c:pt idx="16">
                  <c:v>0.6183223516779297</c:v>
                </c:pt>
                <c:pt idx="17">
                  <c:v>0.59117835935755325</c:v>
                </c:pt>
                <c:pt idx="18">
                  <c:v>0.3660284547720194</c:v>
                </c:pt>
                <c:pt idx="19">
                  <c:v>0.23775114054119159</c:v>
                </c:pt>
                <c:pt idx="20">
                  <c:v>0.13703791428672502</c:v>
                </c:pt>
                <c:pt idx="21">
                  <c:v>6.386212095294598E-2</c:v>
                </c:pt>
                <c:pt idx="22">
                  <c:v>1.8193951980282501E-2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(3pt)'!$BF$3:$BF$93</c:f>
              <c:numCache>
                <c:formatCode>_(* #,##0.00_);_(* \(#,##0.00\);_(* "-"??_);_(@_)</c:formatCode>
                <c:ptCount val="91"/>
                <c:pt idx="0">
                  <c:v>1.1988722843036954</c:v>
                </c:pt>
                <c:pt idx="1">
                  <c:v>1.0638022650429069</c:v>
                </c:pt>
                <c:pt idx="2">
                  <c:v>0.95033506812616264</c:v>
                </c:pt>
                <c:pt idx="3">
                  <c:v>0.85846673541397833</c:v>
                </c:pt>
                <c:pt idx="4">
                  <c:v>0.78819295204929229</c:v>
                </c:pt>
                <c:pt idx="5">
                  <c:v>0.73950900933151431</c:v>
                </c:pt>
                <c:pt idx="6">
                  <c:v>0.71240976313092841</c:v>
                </c:pt>
                <c:pt idx="7">
                  <c:v>0.70688958723056028</c:v>
                </c:pt>
                <c:pt idx="8">
                  <c:v>0.72294232088723087</c:v>
                </c:pt>
                <c:pt idx="9">
                  <c:v>0.75648876413617694</c:v>
                </c:pt>
                <c:pt idx="10">
                  <c:v>0.69803507121465846</c:v>
                </c:pt>
                <c:pt idx="11">
                  <c:v>0.66112444925544833</c:v>
                </c:pt>
                <c:pt idx="12">
                  <c:v>0.64574738584037872</c:v>
                </c:pt>
                <c:pt idx="13">
                  <c:v>0.65189340153894293</c:v>
                </c:pt>
                <c:pt idx="14">
                  <c:v>0.60064815172863717</c:v>
                </c:pt>
                <c:pt idx="15">
                  <c:v>0.53700626408794427</c:v>
                </c:pt>
                <c:pt idx="16">
                  <c:v>0.49518479306123192</c:v>
                </c:pt>
                <c:pt idx="17">
                  <c:v>0.47519713486911719</c:v>
                </c:pt>
                <c:pt idx="18">
                  <c:v>0.28874015343436754</c:v>
                </c:pt>
                <c:pt idx="19">
                  <c:v>0.18828662768509444</c:v>
                </c:pt>
                <c:pt idx="20">
                  <c:v>0.10921412580517038</c:v>
                </c:pt>
                <c:pt idx="21">
                  <c:v>5.1495992738921685E-2</c:v>
                </c:pt>
                <c:pt idx="22">
                  <c:v>1.5102419926776425E-2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(3pt)'!$BL$3:$BL$93</c:f>
              <c:numCache>
                <c:formatCode>_(* #,##0.00_);_(* \(#,##0.00\);_(* "-"??_);_(@_)</c:formatCode>
                <c:ptCount val="91"/>
                <c:pt idx="0">
                  <c:v>0.78969677769866498</c:v>
                </c:pt>
                <c:pt idx="1">
                  <c:v>0.70028211362861992</c:v>
                </c:pt>
                <c:pt idx="2">
                  <c:v>0.62562221395607842</c:v>
                </c:pt>
                <c:pt idx="3">
                  <c:v>0.56571267834097383</c:v>
                </c:pt>
                <c:pt idx="4">
                  <c:v>0.52054871491087029</c:v>
                </c:pt>
                <c:pt idx="5">
                  <c:v>0.49012509979327473</c:v>
                </c:pt>
                <c:pt idx="6">
                  <c:v>0.4744361318079941</c:v>
                </c:pt>
                <c:pt idx="7">
                  <c:v>0.47347558165638565</c:v>
                </c:pt>
                <c:pt idx="8">
                  <c:v>0.48723663484134566</c:v>
                </c:pt>
                <c:pt idx="9">
                  <c:v>0.51393195199520803</c:v>
                </c:pt>
                <c:pt idx="10">
                  <c:v>0.4755981072173539</c:v>
                </c:pt>
                <c:pt idx="11">
                  <c:v>0.45195793999146711</c:v>
                </c:pt>
                <c:pt idx="12">
                  <c:v>0.443001327770699</c:v>
                </c:pt>
                <c:pt idx="13">
                  <c:v>0.44871712502976752</c:v>
                </c:pt>
                <c:pt idx="14">
                  <c:v>0.42896363013909627</c:v>
                </c:pt>
                <c:pt idx="15">
                  <c:v>0.387328775233512</c:v>
                </c:pt>
                <c:pt idx="16">
                  <c:v>0.36066733816682167</c:v>
                </c:pt>
                <c:pt idx="17">
                  <c:v>0.34899223428428766</c:v>
                </c:pt>
                <c:pt idx="18">
                  <c:v>0.20322856881768211</c:v>
                </c:pt>
                <c:pt idx="19">
                  <c:v>0.13355921353041572</c:v>
                </c:pt>
                <c:pt idx="20">
                  <c:v>7.8429955343163604E-2</c:v>
                </c:pt>
                <c:pt idx="21">
                  <c:v>3.7814139200251999E-2</c:v>
                </c:pt>
                <c:pt idx="22">
                  <c:v>1.1681956542109004E-2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(3pt)'!$BR$3:$BR$93</c:f>
              <c:numCache>
                <c:formatCode>_(* #,##0.00_);_(* \(#,##0.00\);_(* "-"??_);_(@_)</c:formatCode>
                <c:ptCount val="91"/>
                <c:pt idx="0">
                  <c:v>0.34855581436655525</c:v>
                </c:pt>
                <c:pt idx="1">
                  <c:v>0.30845912923537022</c:v>
                </c:pt>
                <c:pt idx="2">
                  <c:v>0.2758221646043808</c:v>
                </c:pt>
                <c:pt idx="3">
                  <c:v>0.25064026511557774</c:v>
                </c:pt>
                <c:pt idx="4">
                  <c:v>0.23290836380082666</c:v>
                </c:pt>
                <c:pt idx="5">
                  <c:v>0.2226209396869876</c:v>
                </c:pt>
                <c:pt idx="6">
                  <c:v>0.21977197034176649</c:v>
                </c:pt>
                <c:pt idx="7">
                  <c:v>0.22435487866814316</c:v>
                </c:pt>
                <c:pt idx="8">
                  <c:v>0.23636247314784289</c:v>
                </c:pt>
                <c:pt idx="9">
                  <c:v>0.25532913490800996</c:v>
                </c:pt>
                <c:pt idx="10">
                  <c:v>0.23890544354747151</c:v>
                </c:pt>
                <c:pt idx="11">
                  <c:v>0.22987961567700299</c:v>
                </c:pt>
                <c:pt idx="12">
                  <c:v>0.22824117688735168</c:v>
                </c:pt>
                <c:pt idx="13">
                  <c:v>0.23397859751507338</c:v>
                </c:pt>
                <c:pt idx="14">
                  <c:v>0.2467407856930087</c:v>
                </c:pt>
                <c:pt idx="15">
                  <c:v>0.22880600052893679</c:v>
                </c:pt>
                <c:pt idx="16">
                  <c:v>0.21855020013270304</c:v>
                </c:pt>
                <c:pt idx="17">
                  <c:v>0.21598602252781088</c:v>
                </c:pt>
                <c:pt idx="18">
                  <c:v>0.11209192714959133</c:v>
                </c:pt>
                <c:pt idx="19">
                  <c:v>7.5231762862837628E-2</c:v>
                </c:pt>
                <c:pt idx="20">
                  <c:v>4.5620764342650895E-2</c:v>
                </c:pt>
                <c:pt idx="21">
                  <c:v>2.3232276533357472E-2</c:v>
                </c:pt>
                <c:pt idx="22">
                  <c:v>8.0364908753853739E-3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(3pt)'!$BX$3:$BX$93</c:f>
              <c:numCache>
                <c:formatCode>_(* #,##0.00_);_(* \(#,##0.00\);_(* "-"??_);_(@_)</c:formatCode>
                <c:ptCount val="91"/>
                <c:pt idx="0">
                  <c:v>4.4692180357998899E-2</c:v>
                </c:pt>
                <c:pt idx="1">
                  <c:v>4.4054649827672571E-2</c:v>
                </c:pt>
                <c:pt idx="2">
                  <c:v>4.335601131369856E-2</c:v>
                </c:pt>
                <c:pt idx="3">
                  <c:v>4.2591521166151926E-2</c:v>
                </c:pt>
                <c:pt idx="4">
                  <c:v>4.1756017173692331E-2</c:v>
                </c:pt>
                <c:pt idx="5">
                  <c:v>4.0843875501457572E-2</c:v>
                </c:pt>
                <c:pt idx="6">
                  <c:v>3.9848962493749883E-2</c:v>
                </c:pt>
                <c:pt idx="7">
                  <c:v>3.8764580639336382E-2</c:v>
                </c:pt>
                <c:pt idx="8">
                  <c:v>3.7583407888258938E-2</c:v>
                </c:pt>
                <c:pt idx="9">
                  <c:v>3.6297429381131181E-2</c:v>
                </c:pt>
                <c:pt idx="10">
                  <c:v>3.4889619753602302E-2</c:v>
                </c:pt>
                <c:pt idx="11">
                  <c:v>3.3358578487113336E-2</c:v>
                </c:pt>
                <c:pt idx="12">
                  <c:v>3.1693709351157291E-2</c:v>
                </c:pt>
                <c:pt idx="13">
                  <c:v>2.9883349686573434E-2</c:v>
                </c:pt>
                <c:pt idx="14">
                  <c:v>7.1354820093268947E-2</c:v>
                </c:pt>
                <c:pt idx="15">
                  <c:v>7.4082039491732837E-2</c:v>
                </c:pt>
                <c:pt idx="16">
                  <c:v>7.6967626653505677E-2</c:v>
                </c:pt>
                <c:pt idx="17">
                  <c:v>8.0024123588182977E-2</c:v>
                </c:pt>
                <c:pt idx="18">
                  <c:v>1.8099369169814274E-2</c:v>
                </c:pt>
                <c:pt idx="19">
                  <c:v>1.5076525755780315E-2</c:v>
                </c:pt>
                <c:pt idx="20">
                  <c:v>1.1783443469931161E-2</c:v>
                </c:pt>
                <c:pt idx="21">
                  <c:v>8.1934672565931455E-3</c:v>
                </c:pt>
                <c:pt idx="22">
                  <c:v>4.2767885561942921E-3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(3pt)'!$BZ$3:$BZ$93</c:f>
              <c:numCache>
                <c:formatCode>_(* #,##0.00_);_(* \(#,##0.00\);_(* "-"??_);_(@_)</c:formatCode>
                <c:ptCount val="91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(3pt)'!$CA$3:$CA$93</c:f>
              <c:numCache>
                <c:formatCode>_(* #,##0.00_);_(* \(#,##0.00\);_(* "-"??_);_(@_)</c:formatCode>
                <c:ptCount val="91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>
              <a:solidFill>
                <a:schemeClr val="tx1"/>
              </a:solidFill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dPt>
            <c:idx val="23"/>
            <c:bubble3D val="0"/>
            <c:spPr>
              <a:ln>
                <a:noFill/>
              </a:ln>
            </c:spPr>
          </c:dPt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'Local Buckling'!$AH$4:$AH$93</c:f>
              <c:numCache>
                <c:formatCode>General</c:formatCode>
                <c:ptCount val="90"/>
                <c:pt idx="0">
                  <c:v>171.85750321098621</c:v>
                </c:pt>
                <c:pt idx="1">
                  <c:v>172.36954887411781</c:v>
                </c:pt>
                <c:pt idx="2">
                  <c:v>172.89711107249585</c:v>
                </c:pt>
                <c:pt idx="3">
                  <c:v>173.44090595390088</c:v>
                </c:pt>
                <c:pt idx="4">
                  <c:v>174.00169442534983</c:v>
                </c:pt>
                <c:pt idx="5">
                  <c:v>174.5802857054162</c:v>
                </c:pt>
                <c:pt idx="6">
                  <c:v>175.17754122032341</c:v>
                </c:pt>
                <c:pt idx="7">
                  <c:v>175.79437888326038</c:v>
                </c:pt>
                <c:pt idx="8">
                  <c:v>176.43177780162856</c:v>
                </c:pt>
                <c:pt idx="9">
                  <c:v>177.09078346299228</c:v>
                </c:pt>
                <c:pt idx="10">
                  <c:v>177.77251345750648</c:v>
                </c:pt>
                <c:pt idx="11">
                  <c:v>178.47816380270541</c:v>
                </c:pt>
                <c:pt idx="12">
                  <c:v>179.20901594594713</c:v>
                </c:pt>
                <c:pt idx="13">
                  <c:v>179.96644453076129</c:v>
                </c:pt>
                <c:pt idx="14">
                  <c:v>180.75192602612412</c:v>
                </c:pt>
                <c:pt idx="15">
                  <c:v>181.56704833263271</c:v>
                </c:pt>
                <c:pt idx="16">
                  <c:v>182.41352149708393</c:v>
                </c:pt>
                <c:pt idx="17">
                  <c:v>183.29318968759208</c:v>
                </c:pt>
                <c:pt idx="18">
                  <c:v>184.20804460572054</c:v>
                </c:pt>
                <c:pt idx="19">
                  <c:v>185.16024054091548</c:v>
                </c:pt>
                <c:pt idx="20">
                  <c:v>186.15211130674354</c:v>
                </c:pt>
                <c:pt idx="21">
                  <c:v>187.18618933920257</c:v>
                </c:pt>
                <c:pt idx="22">
                  <c:v>188.26522728611636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46208"/>
        <c:axId val="102447744"/>
      </c:scatterChart>
      <c:valAx>
        <c:axId val="1024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447744"/>
        <c:crosses val="autoZero"/>
        <c:crossBetween val="midCat"/>
      </c:valAx>
      <c:valAx>
        <c:axId val="10244774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24462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51302802760165E-2"/>
          <c:y val="1.8748140353423565E-2"/>
          <c:w val="0.73419902883082433"/>
          <c:h val="0.9317817530873157"/>
        </c:manualLayout>
      </c:layout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(3pt)'!$V$3:$V$93</c:f>
              <c:numCache>
                <c:formatCode>_(* #,##0.00_);_(* \(#,##0.00\);_(* "-"??_);_(@_)</c:formatCode>
                <c:ptCount val="91"/>
                <c:pt idx="0">
                  <c:v>7.9403441240248389</c:v>
                </c:pt>
                <c:pt idx="1">
                  <c:v>7.2685804974953774</c:v>
                </c:pt>
                <c:pt idx="2">
                  <c:v>6.6636515087345769</c:v>
                </c:pt>
                <c:pt idx="3">
                  <c:v>6.1255759244664478</c:v>
                </c:pt>
                <c:pt idx="4">
                  <c:v>5.6543734468043167</c:v>
                </c:pt>
                <c:pt idx="5">
                  <c:v>5.2500647699162455</c:v>
                </c:pt>
                <c:pt idx="6">
                  <c:v>4.9126716407426203</c:v>
                </c:pt>
                <c:pt idx="7">
                  <c:v>4.642216924100822</c:v>
                </c:pt>
                <c:pt idx="8">
                  <c:v>4.4387246725433256</c:v>
                </c:pt>
                <c:pt idx="9">
                  <c:v>4.3022202013705151</c:v>
                </c:pt>
                <c:pt idx="10">
                  <c:v>4.2327301692379677</c:v>
                </c:pt>
                <c:pt idx="11">
                  <c:v>4.23028266484057</c:v>
                </c:pt>
                <c:pt idx="12">
                  <c:v>4.2949073002033131</c:v>
                </c:pt>
                <c:pt idx="13">
                  <c:v>4.4266353111610766</c:v>
                </c:pt>
                <c:pt idx="14">
                  <c:v>4.6254996656682144</c:v>
                </c:pt>
                <c:pt idx="15">
                  <c:v>4.4944175389325753</c:v>
                </c:pt>
                <c:pt idx="16">
                  <c:v>4.2849355464703018</c:v>
                </c:pt>
                <c:pt idx="17">
                  <c:v>4.1423856255944873</c:v>
                </c:pt>
                <c:pt idx="18">
                  <c:v>4.0667942127753332</c:v>
                </c:pt>
                <c:pt idx="19">
                  <c:v>4.0581892917199696</c:v>
                </c:pt>
                <c:pt idx="20">
                  <c:v>4.116600503730437</c:v>
                </c:pt>
                <c:pt idx="21">
                  <c:v>4.2420592673752529</c:v>
                </c:pt>
                <c:pt idx="22">
                  <c:v>3.4778549471808096</c:v>
                </c:pt>
                <c:pt idx="23">
                  <c:v>3.1954338664549358</c:v>
                </c:pt>
                <c:pt idx="24">
                  <c:v>2.9798747866249271</c:v>
                </c:pt>
                <c:pt idx="25">
                  <c:v>2.8312034508359796</c:v>
                </c:pt>
                <c:pt idx="26">
                  <c:v>2.7494472629474034</c:v>
                </c:pt>
                <c:pt idx="27">
                  <c:v>2.7346354177722181</c:v>
                </c:pt>
                <c:pt idx="28">
                  <c:v>1.6423039281472462</c:v>
                </c:pt>
                <c:pt idx="29">
                  <c:v>1.2089999209616431</c:v>
                </c:pt>
                <c:pt idx="30">
                  <c:v>0.84193859618173217</c:v>
                </c:pt>
                <c:pt idx="31">
                  <c:v>0.54111274851069024</c:v>
                </c:pt>
                <c:pt idx="32">
                  <c:v>0.30651463056821487</c:v>
                </c:pt>
                <c:pt idx="33">
                  <c:v>0.13813590458983929</c:v>
                </c:pt>
                <c:pt idx="34">
                  <c:v>3.5967589105866032E-2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(3pt)'!$AB$3:$AB$93</c:f>
              <c:numCache>
                <c:formatCode>_(* #,##0.00_);_(* \(#,##0.00\);_(* "-"??_);_(@_)</c:formatCode>
                <c:ptCount val="91"/>
                <c:pt idx="0">
                  <c:v>3.4018578519478213</c:v>
                </c:pt>
                <c:pt idx="1">
                  <c:v>2.9055318808568065</c:v>
                </c:pt>
                <c:pt idx="2">
                  <c:v>2.4746784444051153</c:v>
                </c:pt>
                <c:pt idx="3">
                  <c:v>2.1093006352138857</c:v>
                </c:pt>
                <c:pt idx="4">
                  <c:v>1.8094016936890451</c:v>
                </c:pt>
                <c:pt idx="5">
                  <c:v>1.5749850167135988</c:v>
                </c:pt>
                <c:pt idx="6">
                  <c:v>1.4060541669481106</c:v>
                </c:pt>
                <c:pt idx="7">
                  <c:v>1.3026128827887646</c:v>
                </c:pt>
                <c:pt idx="8">
                  <c:v>1.264665089037067</c:v>
                </c:pt>
                <c:pt idx="9">
                  <c:v>1.2922149083401422</c:v>
                </c:pt>
                <c:pt idx="10">
                  <c:v>1.3852666734664834</c:v>
                </c:pt>
                <c:pt idx="11">
                  <c:v>1.5438249404878515</c:v>
                </c:pt>
                <c:pt idx="12">
                  <c:v>1.7678945029451978</c:v>
                </c:pt>
                <c:pt idx="13">
                  <c:v>2.0574804070838377</c:v>
                </c:pt>
                <c:pt idx="14">
                  <c:v>2.4125879682518838</c:v>
                </c:pt>
                <c:pt idx="15">
                  <c:v>2.7469434141014002</c:v>
                </c:pt>
                <c:pt idx="16">
                  <c:v>2.6457048914455958</c:v>
                </c:pt>
                <c:pt idx="17">
                  <c:v>2.6099373788240192</c:v>
                </c:pt>
                <c:pt idx="18">
                  <c:v>2.6396442596663983</c:v>
                </c:pt>
                <c:pt idx="19">
                  <c:v>2.7348291006469427</c:v>
                </c:pt>
                <c:pt idx="20">
                  <c:v>2.8954956640388039</c:v>
                </c:pt>
                <c:pt idx="21">
                  <c:v>3.1216479210674692</c:v>
                </c:pt>
                <c:pt idx="22">
                  <c:v>2.7709338057717527</c:v>
                </c:pt>
                <c:pt idx="23">
                  <c:v>2.5433047334882541</c:v>
                </c:pt>
                <c:pt idx="24">
                  <c:v>2.3812261166175133</c:v>
                </c:pt>
                <c:pt idx="25">
                  <c:v>2.2847062079871305</c:v>
                </c:pt>
                <c:pt idx="26">
                  <c:v>2.2537537928222493</c:v>
                </c:pt>
                <c:pt idx="27">
                  <c:v>2.2883782304982243</c:v>
                </c:pt>
                <c:pt idx="28">
                  <c:v>1.618581181701054</c:v>
                </c:pt>
                <c:pt idx="29">
                  <c:v>1.1915709643889303</c:v>
                </c:pt>
                <c:pt idx="30">
                  <c:v>0.82983515411734832</c:v>
                </c:pt>
                <c:pt idx="31">
                  <c:v>0.5333665455894846</c:v>
                </c:pt>
                <c:pt idx="32">
                  <c:v>0.30215739142503667</c:v>
                </c:pt>
                <c:pt idx="33">
                  <c:v>0.13619935385953785</c:v>
                </c:pt>
                <c:pt idx="34">
                  <c:v>3.5483451423290679E-2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(3pt)'!$AH$3:$AH$93</c:f>
              <c:numCache>
                <c:formatCode>_(* #,##0.00_);_(* \(#,##0.00\);_(* "-"??_);_(@_)</c:formatCode>
                <c:ptCount val="91"/>
                <c:pt idx="0">
                  <c:v>4.9280327383628872</c:v>
                </c:pt>
                <c:pt idx="1">
                  <c:v>4.3678679263760118</c:v>
                </c:pt>
                <c:pt idx="2">
                  <c:v>3.870118795013497</c:v>
                </c:pt>
                <c:pt idx="3">
                  <c:v>3.4347859957893174</c:v>
                </c:pt>
                <c:pt idx="4">
                  <c:v>3.0618702053395692</c:v>
                </c:pt>
                <c:pt idx="5">
                  <c:v>2.7513721266433775</c:v>
                </c:pt>
                <c:pt idx="6">
                  <c:v>2.5032924903155895</c:v>
                </c:pt>
                <c:pt idx="7">
                  <c:v>2.3176320559762331</c:v>
                </c:pt>
                <c:pt idx="8">
                  <c:v>2.1943916137021238</c:v>
                </c:pt>
                <c:pt idx="9">
                  <c:v>2.1335719855662991</c:v>
                </c:pt>
                <c:pt idx="10">
                  <c:v>2.1351740272717037</c:v>
                </c:pt>
                <c:pt idx="11">
                  <c:v>2.1991986298857578</c:v>
                </c:pt>
                <c:pt idx="12">
                  <c:v>2.3256467216832473</c:v>
                </c:pt>
                <c:pt idx="13">
                  <c:v>2.5145192701054198</c:v>
                </c:pt>
                <c:pt idx="14">
                  <c:v>2.7658172838439712</c:v>
                </c:pt>
                <c:pt idx="15">
                  <c:v>3.0416728363565331</c:v>
                </c:pt>
                <c:pt idx="16">
                  <c:v>2.8865612915559105</c:v>
                </c:pt>
                <c:pt idx="17">
                  <c:v>2.7938484908484229</c:v>
                </c:pt>
                <c:pt idx="18">
                  <c:v>2.7635342273503336</c:v>
                </c:pt>
                <c:pt idx="19">
                  <c:v>2.7956182649922767</c:v>
                </c:pt>
                <c:pt idx="20">
                  <c:v>2.8901003356104678</c:v>
                </c:pt>
                <c:pt idx="21">
                  <c:v>3.0469801357419906</c:v>
                </c:pt>
                <c:pt idx="22">
                  <c:v>2.735965761213567</c:v>
                </c:pt>
                <c:pt idx="23">
                  <c:v>2.4893275420677958</c:v>
                </c:pt>
                <c:pt idx="24">
                  <c:v>2.3051907982398658</c:v>
                </c:pt>
                <c:pt idx="25">
                  <c:v>2.1835610585903318</c:v>
                </c:pt>
                <c:pt idx="26">
                  <c:v>2.1244442086516573</c:v>
                </c:pt>
                <c:pt idx="27">
                  <c:v>2.1278465185997999</c:v>
                </c:pt>
                <c:pt idx="28">
                  <c:v>1.5451909731493141</c:v>
                </c:pt>
                <c:pt idx="29">
                  <c:v>1.1376516274937742</c:v>
                </c:pt>
                <c:pt idx="30">
                  <c:v>0.79239117016237903</c:v>
                </c:pt>
                <c:pt idx="31">
                  <c:v>0.50940239585830427</c:v>
                </c:pt>
                <c:pt idx="32">
                  <c:v>0.28867755720124771</c:v>
                </c:pt>
                <c:pt idx="33">
                  <c:v>0.1302083164267428</c:v>
                </c:pt>
                <c:pt idx="34">
                  <c:v>3.3985692065091909E-2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(3pt)'!$AN$3:$AN$93</c:f>
              <c:numCache>
                <c:formatCode>_(* #,##0.00_);_(* \(#,##0.00\);_(* "-"??_);_(@_)</c:formatCode>
                <c:ptCount val="91"/>
                <c:pt idx="0">
                  <c:v>4.9668642471232021</c:v>
                </c:pt>
                <c:pt idx="1">
                  <c:v>4.4285494982303337</c:v>
                </c:pt>
                <c:pt idx="2">
                  <c:v>3.947738620882733</c:v>
                </c:pt>
                <c:pt idx="3">
                  <c:v>3.5244314502406988</c:v>
                </c:pt>
                <c:pt idx="4">
                  <c:v>3.1586278055658998</c:v>
                </c:pt>
                <c:pt idx="5">
                  <c:v>2.8503274889436616</c:v>
                </c:pt>
                <c:pt idx="6">
                  <c:v>2.5995302838977037</c:v>
                </c:pt>
                <c:pt idx="7">
                  <c:v>2.4062359538874363</c:v>
                </c:pt>
                <c:pt idx="8">
                  <c:v>2.2704442406768353</c:v>
                </c:pt>
                <c:pt idx="9">
                  <c:v>2.1921548625628247</c:v>
                </c:pt>
                <c:pt idx="10">
                  <c:v>2.1713675124500758</c:v>
                </c:pt>
                <c:pt idx="11">
                  <c:v>2.2080818557573423</c:v>
                </c:pt>
                <c:pt idx="12">
                  <c:v>2.302297528139309</c:v>
                </c:pt>
                <c:pt idx="13">
                  <c:v>2.454014133005888</c:v>
                </c:pt>
                <c:pt idx="14">
                  <c:v>2.6632312388191912</c:v>
                </c:pt>
                <c:pt idx="15">
                  <c:v>2.9082687743981839</c:v>
                </c:pt>
                <c:pt idx="16">
                  <c:v>2.7503270035353586</c:v>
                </c:pt>
                <c:pt idx="17">
                  <c:v>2.6498670136390206</c:v>
                </c:pt>
                <c:pt idx="18">
                  <c:v>2.6068873971548618</c:v>
                </c:pt>
                <c:pt idx="19">
                  <c:v>2.6213866463021671</c:v>
                </c:pt>
                <c:pt idx="20">
                  <c:v>2.6933631450607409</c:v>
                </c:pt>
                <c:pt idx="21">
                  <c:v>2.8228151604287968</c:v>
                </c:pt>
                <c:pt idx="22">
                  <c:v>2.5472558966067815</c:v>
                </c:pt>
                <c:pt idx="23">
                  <c:v>2.3125498577304677</c:v>
                </c:pt>
                <c:pt idx="24">
                  <c:v>2.1354361182847592</c:v>
                </c:pt>
                <c:pt idx="25">
                  <c:v>2.0159192961827022</c:v>
                </c:pt>
                <c:pt idx="26">
                  <c:v>1.954004307243187</c:v>
                </c:pt>
                <c:pt idx="27">
                  <c:v>1.9496963885538703</c:v>
                </c:pt>
                <c:pt idx="28">
                  <c:v>1.4253541877433638</c:v>
                </c:pt>
                <c:pt idx="29">
                  <c:v>1.0496082749506273</c:v>
                </c:pt>
                <c:pt idx="30">
                  <c:v>0.73124995311852692</c:v>
                </c:pt>
                <c:pt idx="31">
                  <c:v>0.4702720169502389</c:v>
                </c:pt>
                <c:pt idx="32">
                  <c:v>0.26666671906546097</c:v>
                </c:pt>
                <c:pt idx="33">
                  <c:v>0.12042572169972644</c:v>
                </c:pt>
                <c:pt idx="34">
                  <c:v>3.1540043383337817E-2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(3pt)'!$AT$3:$AT$93</c:f>
              <c:numCache>
                <c:formatCode>_(* #,##0.00_);_(* \(#,##0.00\);_(* "-"??_);_(@_)</c:formatCode>
                <c:ptCount val="91"/>
                <c:pt idx="0">
                  <c:v>4.5232299735672123</c:v>
                </c:pt>
                <c:pt idx="1">
                  <c:v>4.0401843485283466</c:v>
                </c:pt>
                <c:pt idx="2">
                  <c:v>3.6079933024748723</c:v>
                </c:pt>
                <c:pt idx="3">
                  <c:v>3.2266562392952292</c:v>
                </c:pt>
                <c:pt idx="4">
                  <c:v>2.8961725253083039</c:v>
                </c:pt>
                <c:pt idx="5">
                  <c:v>2.6165414866657732</c:v>
                </c:pt>
                <c:pt idx="6">
                  <c:v>2.3877624065521252</c:v>
                </c:pt>
                <c:pt idx="7">
                  <c:v>2.2098345221645879</c:v>
                </c:pt>
                <c:pt idx="8">
                  <c:v>2.0827570214533959</c:v>
                </c:pt>
                <c:pt idx="9">
                  <c:v>2.0065290396010473</c:v>
                </c:pt>
                <c:pt idx="10">
                  <c:v>1.9811496552169365</c:v>
                </c:pt>
                <c:pt idx="11">
                  <c:v>2.0066178862212634</c:v>
                </c:pt>
                <c:pt idx="12">
                  <c:v>2.0829326853897943</c:v>
                </c:pt>
                <c:pt idx="13">
                  <c:v>2.2100929355276349</c:v>
                </c:pt>
                <c:pt idx="14">
                  <c:v>2.3880974442372978</c:v>
                </c:pt>
                <c:pt idx="15">
                  <c:v>2.603818030565122</c:v>
                </c:pt>
                <c:pt idx="16">
                  <c:v>2.4593412001923669</c:v>
                </c:pt>
                <c:pt idx="17">
                  <c:v>2.3656941353918741</c:v>
                </c:pt>
                <c:pt idx="18">
                  <c:v>2.3228747943064745</c:v>
                </c:pt>
                <c:pt idx="19">
                  <c:v>2.3308809973224309</c:v>
                </c:pt>
                <c:pt idx="20">
                  <c:v>2.3897104163598022</c:v>
                </c:pt>
                <c:pt idx="21">
                  <c:v>2.4993605632050024</c:v>
                </c:pt>
                <c:pt idx="22">
                  <c:v>2.2652160729103277</c:v>
                </c:pt>
                <c:pt idx="23">
                  <c:v>2.0554434363654925</c:v>
                </c:pt>
                <c:pt idx="24">
                  <c:v>1.8966151977816501</c:v>
                </c:pt>
                <c:pt idx="25">
                  <c:v>1.7887354938269324</c:v>
                </c:pt>
                <c:pt idx="26">
                  <c:v>1.7318087280297594</c:v>
                </c:pt>
                <c:pt idx="27">
                  <c:v>1.7258395917070515</c:v>
                </c:pt>
                <c:pt idx="28">
                  <c:v>1.2627120055674232</c:v>
                </c:pt>
                <c:pt idx="29">
                  <c:v>0.9301160594744261</c:v>
                </c:pt>
                <c:pt idx="30">
                  <c:v>0.64826924792672058</c:v>
                </c:pt>
                <c:pt idx="31">
                  <c:v>0.41716436562748288</c:v>
                </c:pt>
                <c:pt idx="32">
                  <c:v>0.23679366519641068</c:v>
                </c:pt>
                <c:pt idx="33">
                  <c:v>0.10714880886903744</c:v>
                </c:pt>
                <c:pt idx="34">
                  <c:v>2.8220815175665569E-2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(3pt)'!$AZ$3:$AZ$93</c:f>
              <c:numCache>
                <c:formatCode>_(* #,##0.00_);_(* \(#,##0.00\);_(* "-"??_);_(@_)</c:formatCode>
                <c:ptCount val="91"/>
                <c:pt idx="0">
                  <c:v>3.7998525227360211</c:v>
                </c:pt>
                <c:pt idx="1">
                  <c:v>3.3941084963707704</c:v>
                </c:pt>
                <c:pt idx="2">
                  <c:v>3.0310283320544729</c:v>
                </c:pt>
                <c:pt idx="3">
                  <c:v>2.7106111627369374</c:v>
                </c:pt>
                <c:pt idx="4">
                  <c:v>2.4328560701840849</c:v>
                </c:pt>
                <c:pt idx="5">
                  <c:v>2.1977620815510543</c:v>
                </c:pt>
                <c:pt idx="6">
                  <c:v>2.0053281656934181</c:v>
                </c:pt>
                <c:pt idx="7">
                  <c:v>1.8555532291938721</c:v>
                </c:pt>
                <c:pt idx="8">
                  <c:v>1.7484361120793805</c:v>
                </c:pt>
                <c:pt idx="9">
                  <c:v>1.6839755832015495</c:v>
                </c:pt>
                <c:pt idx="10">
                  <c:v>1.6621703352500581</c:v>
                </c:pt>
                <c:pt idx="11">
                  <c:v>1.6830189793660757</c:v>
                </c:pt>
                <c:pt idx="12">
                  <c:v>1.7465200393192561</c:v>
                </c:pt>
                <c:pt idx="13">
                  <c:v>1.8526719452080178</c:v>
                </c:pt>
                <c:pt idx="14">
                  <c:v>2.0014730266388323</c:v>
                </c:pt>
                <c:pt idx="15">
                  <c:v>2.1851676702010243</c:v>
                </c:pt>
                <c:pt idx="16">
                  <c:v>2.0634894923330207</c:v>
                </c:pt>
                <c:pt idx="17">
                  <c:v>1.9844486525302796</c:v>
                </c:pt>
                <c:pt idx="18">
                  <c:v>1.948042710446541</c:v>
                </c:pt>
                <c:pt idx="19">
                  <c:v>1.9542690644013438</c:v>
                </c:pt>
                <c:pt idx="20">
                  <c:v>2.003124938976327</c:v>
                </c:pt>
                <c:pt idx="21">
                  <c:v>2.0946073715099978</c:v>
                </c:pt>
                <c:pt idx="22">
                  <c:v>1.9087010558162441</c:v>
                </c:pt>
                <c:pt idx="23">
                  <c:v>1.7327990546012435</c:v>
                </c:pt>
                <c:pt idx="24">
                  <c:v>1.5996516083376113</c:v>
                </c:pt>
                <c:pt idx="25">
                  <c:v>1.5092625513602245</c:v>
                </c:pt>
                <c:pt idx="26">
                  <c:v>1.4616359653604494</c:v>
                </c:pt>
                <c:pt idx="27">
                  <c:v>1.456776198784792</c:v>
                </c:pt>
                <c:pt idx="28">
                  <c:v>1.0622062270259942</c:v>
                </c:pt>
                <c:pt idx="29">
                  <c:v>0.7828056915664372</c:v>
                </c:pt>
                <c:pt idx="30">
                  <c:v>0.54597038132395037</c:v>
                </c:pt>
                <c:pt idx="31">
                  <c:v>0.35169309100171003</c:v>
                </c:pt>
                <c:pt idx="32">
                  <c:v>0.19996607321941345</c:v>
                </c:pt>
                <c:pt idx="33">
                  <c:v>9.0780990212594212E-2</c:v>
                </c:pt>
                <c:pt idx="34">
                  <c:v>2.4128860511554766E-2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(3pt)'!$BF$3:$BF$93</c:f>
              <c:numCache>
                <c:formatCode>_(* #,##0.00_);_(* \(#,##0.00\);_(* "-"??_);_(@_)</c:formatCode>
                <c:ptCount val="91"/>
                <c:pt idx="0">
                  <c:v>2.8810786939794855</c:v>
                </c:pt>
                <c:pt idx="1">
                  <c:v>2.5691208245924591</c:v>
                </c:pt>
                <c:pt idx="2">
                  <c:v>2.2903415771728839</c:v>
                </c:pt>
                <c:pt idx="3">
                  <c:v>2.0447399039103606</c:v>
                </c:pt>
                <c:pt idx="4">
                  <c:v>1.8323146967276156</c:v>
                </c:pt>
                <c:pt idx="5">
                  <c:v>1.6530647833003689</c:v>
                </c:pt>
                <c:pt idx="6">
                  <c:v>1.5069889227755866</c:v>
                </c:pt>
                <c:pt idx="7">
                  <c:v>1.3940858011621824</c:v>
                </c:pt>
                <c:pt idx="8">
                  <c:v>1.314354026365615</c:v>
                </c:pt>
                <c:pt idx="9">
                  <c:v>1.2677921228350717</c:v>
                </c:pt>
                <c:pt idx="10">
                  <c:v>1.2543985257888999</c:v>
                </c:pt>
                <c:pt idx="11">
                  <c:v>1.2741715749803675</c:v>
                </c:pt>
                <c:pt idx="12">
                  <c:v>1.3271095079621393</c:v>
                </c:pt>
                <c:pt idx="13">
                  <c:v>1.4132104528034888</c:v>
                </c:pt>
                <c:pt idx="14">
                  <c:v>1.532472420209644</c:v>
                </c:pt>
                <c:pt idx="15">
                  <c:v>1.6807241748512225</c:v>
                </c:pt>
                <c:pt idx="16">
                  <c:v>1.5883262359285681</c:v>
                </c:pt>
                <c:pt idx="17">
                  <c:v>1.529079253760365</c:v>
                </c:pt>
                <c:pt idx="18">
                  <c:v>1.5029805221431927</c:v>
                </c:pt>
                <c:pt idx="19">
                  <c:v>1.5100271578092983</c:v>
                </c:pt>
                <c:pt idx="20">
                  <c:v>1.5502160868926971</c:v>
                </c:pt>
                <c:pt idx="21">
                  <c:v>1.6235440301978246</c:v>
                </c:pt>
                <c:pt idx="22">
                  <c:v>1.4919329633239791</c:v>
                </c:pt>
                <c:pt idx="23">
                  <c:v>1.3567200237562249</c:v>
                </c:pt>
                <c:pt idx="24">
                  <c:v>1.2547769821099541</c:v>
                </c:pt>
                <c:pt idx="25">
                  <c:v>1.186107471014493</c:v>
                </c:pt>
                <c:pt idx="26">
                  <c:v>1.1507153574434457</c:v>
                </c:pt>
                <c:pt idx="27">
                  <c:v>1.1486047610928765</c:v>
                </c:pt>
                <c:pt idx="28">
                  <c:v>0.82992911873923758</c:v>
                </c:pt>
                <c:pt idx="29">
                  <c:v>0.61215312221290163</c:v>
                </c:pt>
                <c:pt idx="30">
                  <c:v>0.42746165260621743</c:v>
                </c:pt>
                <c:pt idx="31">
                  <c:v>0.27584750462236085</c:v>
                </c:pt>
                <c:pt idx="32">
                  <c:v>0.15730293088102959</c:v>
                </c:pt>
                <c:pt idx="33">
                  <c:v>7.1819593617756944E-2</c:v>
                </c:pt>
                <c:pt idx="34">
                  <c:v>1.9388511362845442E-2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(3pt)'!$BL$3:$BL$93</c:f>
              <c:numCache>
                <c:formatCode>_(* #,##0.00_);_(* \(#,##0.00\);_(* "-"??_);_(@_)</c:formatCode>
                <c:ptCount val="91"/>
                <c:pt idx="0">
                  <c:v>1.8212895035029379</c:v>
                </c:pt>
                <c:pt idx="1">
                  <c:v>1.615395200139409</c:v>
                </c:pt>
                <c:pt idx="2">
                  <c:v>1.4321871239879573</c:v>
                </c:pt>
                <c:pt idx="3">
                  <c:v>1.2716641088863969</c:v>
                </c:pt>
                <c:pt idx="4">
                  <c:v>1.1338249224586365</c:v>
                </c:pt>
                <c:pt idx="5">
                  <c:v>1.0186682617722898</c:v>
                </c:pt>
                <c:pt idx="6">
                  <c:v>0.9261927486687318</c:v>
                </c:pt>
                <c:pt idx="7">
                  <c:v>0.85639692473737017</c:v>
                </c:pt>
                <c:pt idx="8">
                  <c:v>0.80927924590332345</c:v>
                </c:pt>
                <c:pt idx="9">
                  <c:v>0.78483807659459393</c:v>
                </c:pt>
                <c:pt idx="10">
                  <c:v>0.78307168345154821</c:v>
                </c:pt>
                <c:pt idx="11">
                  <c:v>0.803978228537651</c:v>
                </c:pt>
                <c:pt idx="12">
                  <c:v>0.84755576200651517</c:v>
                </c:pt>
                <c:pt idx="13">
                  <c:v>0.9138022141754405</c:v>
                </c:pt>
                <c:pt idx="14">
                  <c:v>1.0027153869507435</c:v>
                </c:pt>
                <c:pt idx="15">
                  <c:v>1.1124708975550426</c:v>
                </c:pt>
                <c:pt idx="16">
                  <c:v>1.0540288134757787</c:v>
                </c:pt>
                <c:pt idx="17">
                  <c:v>1.018244544181752</c:v>
                </c:pt>
                <c:pt idx="18">
                  <c:v>1.005115209400973</c:v>
                </c:pt>
                <c:pt idx="19">
                  <c:v>1.0146377414979073</c:v>
                </c:pt>
                <c:pt idx="20">
                  <c:v>1.046808871199568</c:v>
                </c:pt>
                <c:pt idx="21">
                  <c:v>1.1016251120613847</c:v>
                </c:pt>
                <c:pt idx="22">
                  <c:v>1.029013398691863</c:v>
                </c:pt>
                <c:pt idx="23">
                  <c:v>0.93960924960560077</c:v>
                </c:pt>
                <c:pt idx="24">
                  <c:v>0.87298298543540698</c:v>
                </c:pt>
                <c:pt idx="25">
                  <c:v>0.82913810674496735</c:v>
                </c:pt>
                <c:pt idx="26">
                  <c:v>0.80807833992256972</c:v>
                </c:pt>
                <c:pt idx="27">
                  <c:v>0.80980765489113915</c:v>
                </c:pt>
                <c:pt idx="28">
                  <c:v>0.57293830310455818</c:v>
                </c:pt>
                <c:pt idx="29">
                  <c:v>0.42334354337925972</c:v>
                </c:pt>
                <c:pt idx="30">
                  <c:v>0.29634388952729934</c:v>
                </c:pt>
                <c:pt idx="31">
                  <c:v>0.19193213625185337</c:v>
                </c:pt>
                <c:pt idx="32">
                  <c:v>0.11010053617261906</c:v>
                </c:pt>
                <c:pt idx="33">
                  <c:v>5.084075152513004E-2</c:v>
                </c:pt>
                <c:pt idx="34">
                  <c:v>1.4143800839688723E-2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(3pt)'!$BR$3:$BR$93</c:f>
              <c:numCache>
                <c:formatCode>_(* #,##0.00_);_(* \(#,##0.00\);_(* "-"??_);_(@_)</c:formatCode>
                <c:ptCount val="91"/>
                <c:pt idx="0">
                  <c:v>0.66533988542339995</c:v>
                </c:pt>
                <c:pt idx="1">
                  <c:v>0.57391479111987798</c:v>
                </c:pt>
                <c:pt idx="2">
                  <c:v>0.49399478109875994</c:v>
                </c:pt>
                <c:pt idx="3">
                  <c:v>0.42557862094647908</c:v>
                </c:pt>
                <c:pt idx="4">
                  <c:v>0.36866500660602147</c:v>
                </c:pt>
                <c:pt idx="5">
                  <c:v>0.3232525598256516</c:v>
                </c:pt>
                <c:pt idx="6">
                  <c:v>0.28933982326504182</c:v>
                </c:pt>
                <c:pt idx="7">
                  <c:v>0.26692525522944077</c:v>
                </c:pt>
                <c:pt idx="8">
                  <c:v>0.2560072239996144</c:v>
                </c:pt>
                <c:pt idx="9">
                  <c:v>0.25658400172220414</c:v>
                </c:pt>
                <c:pt idx="10">
                  <c:v>0.2686537578216418</c:v>
                </c:pt>
                <c:pt idx="11">
                  <c:v>0.29221455189086171</c:v>
                </c:pt>
                <c:pt idx="12">
                  <c:v>0.32726432601377137</c:v>
                </c:pt>
                <c:pt idx="13">
                  <c:v>0.37380089646762882</c:v>
                </c:pt>
                <c:pt idx="14">
                  <c:v>0.43182194474814073</c:v>
                </c:pt>
                <c:pt idx="15">
                  <c:v>0.50085647615653195</c:v>
                </c:pt>
                <c:pt idx="16">
                  <c:v>0.479576008392468</c:v>
                </c:pt>
                <c:pt idx="17">
                  <c:v>0.46977178157904131</c:v>
                </c:pt>
                <c:pt idx="18">
                  <c:v>0.47144081506201674</c:v>
                </c:pt>
                <c:pt idx="19">
                  <c:v>0.48457993488424422</c:v>
                </c:pt>
                <c:pt idx="20">
                  <c:v>0.50918575908499619</c:v>
                </c:pt>
                <c:pt idx="21">
                  <c:v>0.54525468170289326</c:v>
                </c:pt>
                <c:pt idx="22">
                  <c:v>0.53469565606113212</c:v>
                </c:pt>
                <c:pt idx="23">
                  <c:v>0.49460706617677164</c:v>
                </c:pt>
                <c:pt idx="24">
                  <c:v>0.46611543842719932</c:v>
                </c:pt>
                <c:pt idx="25">
                  <c:v>0.44922419721619739</c:v>
                </c:pt>
                <c:pt idx="26">
                  <c:v>0.44393698785900471</c:v>
                </c:pt>
                <c:pt idx="27">
                  <c:v>0.45025769390704401</c:v>
                </c:pt>
                <c:pt idx="28">
                  <c:v>0.29904231601138881</c:v>
                </c:pt>
                <c:pt idx="29">
                  <c:v>0.22211383857611486</c:v>
                </c:pt>
                <c:pt idx="30">
                  <c:v>0.15660103896955985</c:v>
                </c:pt>
                <c:pt idx="31">
                  <c:v>0.10249671189490006</c:v>
                </c:pt>
                <c:pt idx="32">
                  <c:v>5.9793109971832854E-2</c:v>
                </c:pt>
                <c:pt idx="33">
                  <c:v>2.8481895435891729E-2</c:v>
                </c:pt>
                <c:pt idx="34">
                  <c:v>8.5540868173791442E-3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(3pt)'!$BX$3:$BX$93</c:f>
              <c:numCache>
                <c:formatCode>_(* #,##0.00_);_(* \(#,##0.00\);_(* "-"??_);_(@_)</c:formatCode>
                <c:ptCount val="91"/>
                <c:pt idx="0">
                  <c:v>4.3706933361151591E-2</c:v>
                </c:pt>
                <c:pt idx="1">
                  <c:v>4.3306325615525651E-2</c:v>
                </c:pt>
                <c:pt idx="2">
                  <c:v>4.2880454750300306E-2</c:v>
                </c:pt>
                <c:pt idx="3">
                  <c:v>4.2428062726077118E-2</c:v>
                </c:pt>
                <c:pt idx="4">
                  <c:v>4.1947820672833529E-2</c:v>
                </c:pt>
                <c:pt idx="5">
                  <c:v>4.1438324266345368E-2</c:v>
                </c:pt>
                <c:pt idx="6">
                  <c:v>4.0898088756821938E-2</c:v>
                </c:pt>
                <c:pt idx="7">
                  <c:v>4.0325543619937829E-2</c:v>
                </c:pt>
                <c:pt idx="8">
                  <c:v>3.9719026797563034E-2</c:v>
                </c:pt>
                <c:pt idx="9">
                  <c:v>3.9076778492300727E-2</c:v>
                </c:pt>
                <c:pt idx="10">
                  <c:v>3.8396934476400323E-2</c:v>
                </c:pt>
                <c:pt idx="11">
                  <c:v>3.7677518871681942E-2</c:v>
                </c:pt>
                <c:pt idx="12">
                  <c:v>3.6916436352739147E-2</c:v>
                </c:pt>
                <c:pt idx="13">
                  <c:v>3.6111463720825146E-2</c:v>
                </c:pt>
                <c:pt idx="14">
                  <c:v>3.5260240790412636E-2</c:v>
                </c:pt>
                <c:pt idx="15">
                  <c:v>3.4360260524379599E-2</c:v>
                </c:pt>
                <c:pt idx="16">
                  <c:v>3.3400617599330745E-2</c:v>
                </c:pt>
                <c:pt idx="17">
                  <c:v>3.2386719061238689E-2</c:v>
                </c:pt>
                <c:pt idx="18">
                  <c:v>3.1315549507636313E-2</c:v>
                </c:pt>
                <c:pt idx="19">
                  <c:v>3.0183898177173339E-2</c:v>
                </c:pt>
                <c:pt idx="20">
                  <c:v>2.8988344101230964E-2</c:v>
                </c:pt>
                <c:pt idx="21">
                  <c:v>2.7725239946592452E-2</c:v>
                </c:pt>
                <c:pt idx="22">
                  <c:v>7.1099412359635239E-2</c:v>
                </c:pt>
                <c:pt idx="23">
                  <c:v>7.2875054482736262E-2</c:v>
                </c:pt>
                <c:pt idx="24">
                  <c:v>7.4717387545006383E-2</c:v>
                </c:pt>
                <c:pt idx="25">
                  <c:v>7.6629809586780728E-2</c:v>
                </c:pt>
                <c:pt idx="26">
                  <c:v>7.8615937859120966E-2</c:v>
                </c:pt>
                <c:pt idx="27">
                  <c:v>8.0679626015163916E-2</c:v>
                </c:pt>
                <c:pt idx="28">
                  <c:v>1.6563348429498234E-2</c:v>
                </c:pt>
                <c:pt idx="29">
                  <c:v>1.4578270556766738E-2</c:v>
                </c:pt>
                <c:pt idx="30">
                  <c:v>1.2479116733901388E-2</c:v>
                </c:pt>
                <c:pt idx="31">
                  <c:v>1.0258681664078661E-2</c:v>
                </c:pt>
                <c:pt idx="32">
                  <c:v>7.9092179669958216E-3</c:v>
                </c:pt>
                <c:pt idx="33">
                  <c:v>5.4223878781863785E-3</c:v>
                </c:pt>
                <c:pt idx="34">
                  <c:v>2.7892099279528074E-3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(3pt)'!$BZ$3:$BZ$93</c:f>
              <c:numCache>
                <c:formatCode>_(* #,##0.00_);_(* \(#,##0.00\);_(* "-"??_);_(@_)</c:formatCode>
                <c:ptCount val="91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Stresses</c:v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(3pt)'!$CA$3:$CA$93</c:f>
              <c:numCache>
                <c:formatCode>_(* #,##0.00_);_(* \(#,##0.00\);_(* "-"??_);_(@_)</c:formatCode>
                <c:ptCount val="91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  <c:pt idx="66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'Local Buckling'!$AN$4:$AN$93</c:f>
              <c:numCache>
                <c:formatCode>General</c:formatCode>
                <c:ptCount val="90"/>
                <c:pt idx="0">
                  <c:v>159.81236797857463</c:v>
                </c:pt>
                <c:pt idx="1">
                  <c:v>160.02850316495721</c:v>
                </c:pt>
                <c:pt idx="2">
                  <c:v>160.24887629617083</c:v>
                </c:pt>
                <c:pt idx="3">
                  <c:v>160.4736132517649</c:v>
                </c:pt>
                <c:pt idx="4">
                  <c:v>160.70284494647086</c:v>
                </c:pt>
                <c:pt idx="5">
                  <c:v>160.93670758450423</c:v>
                </c:pt>
                <c:pt idx="6">
                  <c:v>161.17534292943623</c:v>
                </c:pt>
                <c:pt idx="7">
                  <c:v>161.41889859075857</c:v>
                </c:pt>
                <c:pt idx="8">
                  <c:v>161.66752832835846</c:v>
                </c:pt>
                <c:pt idx="9">
                  <c:v>161.92139237622362</c:v>
                </c:pt>
                <c:pt idx="10">
                  <c:v>162.18065778680932</c:v>
                </c:pt>
                <c:pt idx="11">
                  <c:v>162.44549879762263</c:v>
                </c:pt>
                <c:pt idx="12">
                  <c:v>162.71609722171453</c:v>
                </c:pt>
                <c:pt idx="13">
                  <c:v>162.99264286391835</c:v>
                </c:pt>
                <c:pt idx="14">
                  <c:v>163.27533396483778</c:v>
                </c:pt>
                <c:pt idx="15">
                  <c:v>163.56437767476663</c:v>
                </c:pt>
                <c:pt idx="16">
                  <c:v>163.85999055992119</c:v>
                </c:pt>
                <c:pt idx="17">
                  <c:v>164.16239914358499</c:v>
                </c:pt>
                <c:pt idx="18">
                  <c:v>164.47184048500844</c:v>
                </c:pt>
                <c:pt idx="19">
                  <c:v>164.78856279917125</c:v>
                </c:pt>
                <c:pt idx="20">
                  <c:v>165.11282612081416</c:v>
                </c:pt>
                <c:pt idx="21">
                  <c:v>165.44490301647252</c:v>
                </c:pt>
                <c:pt idx="22">
                  <c:v>165.7850793486104</c:v>
                </c:pt>
                <c:pt idx="23">
                  <c:v>166.13365509635659</c:v>
                </c:pt>
                <c:pt idx="24">
                  <c:v>166.49094523779641</c:v>
                </c:pt>
                <c:pt idx="25">
                  <c:v>166.85728069927274</c:v>
                </c:pt>
                <c:pt idx="26">
                  <c:v>167.23300937770998</c:v>
                </c:pt>
                <c:pt idx="27">
                  <c:v>167.61849724260009</c:v>
                </c:pt>
                <c:pt idx="28">
                  <c:v>168.01412952498737</c:v>
                </c:pt>
                <c:pt idx="29">
                  <c:v>168.4203120015716</c:v>
                </c:pt>
                <c:pt idx="30">
                  <c:v>168.83747238292838</c:v>
                </c:pt>
                <c:pt idx="31">
                  <c:v>169.2660618158292</c:v>
                </c:pt>
                <c:pt idx="32">
                  <c:v>169.70655651075506</c:v>
                </c:pt>
                <c:pt idx="33">
                  <c:v>170.15945950694643</c:v>
                </c:pt>
                <c:pt idx="34">
                  <c:v>170.62530258874327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536320"/>
        <c:axId val="102539264"/>
      </c:scatterChart>
      <c:valAx>
        <c:axId val="1025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539264"/>
        <c:crosses val="autoZero"/>
        <c:crossBetween val="midCat"/>
      </c:valAx>
      <c:valAx>
        <c:axId val="10253926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2536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(3pt)'!$V$3:$V$93</c:f>
              <c:numCache>
                <c:formatCode>_(* #,##0.00_);_(* \(#,##0.00\);_(* "-"??_);_(@_)</c:formatCode>
                <c:ptCount val="91"/>
                <c:pt idx="0">
                  <c:v>3.5684221951960651</c:v>
                </c:pt>
                <c:pt idx="1">
                  <c:v>3.2972499896028</c:v>
                </c:pt>
                <c:pt idx="2">
                  <c:v>3.0704993785986234</c:v>
                </c:pt>
                <c:pt idx="3">
                  <c:v>2.8882404364313974</c:v>
                </c:pt>
                <c:pt idx="4">
                  <c:v>2.7505487092576431</c:v>
                </c:pt>
                <c:pt idx="5">
                  <c:v>2.657505737484954</c:v>
                </c:pt>
                <c:pt idx="6">
                  <c:v>2.6091996373234538</c:v>
                </c:pt>
                <c:pt idx="7">
                  <c:v>2.6057257493508019</c:v>
                </c:pt>
                <c:pt idx="8">
                  <c:v>2.6471873630728031</c:v>
                </c:pt>
                <c:pt idx="9">
                  <c:v>2.3458063017151214</c:v>
                </c:pt>
                <c:pt idx="10">
                  <c:v>2.2383745004542317</c:v>
                </c:pt>
                <c:pt idx="11">
                  <c:v>2.1755281232304648</c:v>
                </c:pt>
                <c:pt idx="12">
                  <c:v>2.1573598042180286</c:v>
                </c:pt>
                <c:pt idx="13">
                  <c:v>2.1839705803170624</c:v>
                </c:pt>
                <c:pt idx="14">
                  <c:v>1.6102525561451846</c:v>
                </c:pt>
                <c:pt idx="15">
                  <c:v>1.4883820181682845</c:v>
                </c:pt>
                <c:pt idx="16">
                  <c:v>1.4109733445640682</c:v>
                </c:pt>
                <c:pt idx="17">
                  <c:v>1.378120438797753</c:v>
                </c:pt>
                <c:pt idx="18">
                  <c:v>0.55905120359231153</c:v>
                </c:pt>
                <c:pt idx="19">
                  <c:v>0.36128569978617842</c:v>
                </c:pt>
                <c:pt idx="20">
                  <c:v>0.20652610386203013</c:v>
                </c:pt>
                <c:pt idx="21">
                  <c:v>9.4745760764192694E-2</c:v>
                </c:pt>
                <c:pt idx="22">
                  <c:v>2.5914861933094179E-2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(3pt)'!$AB$3:$AB$93</c:f>
              <c:numCache>
                <c:formatCode>_(* #,##0.00_);_(* \(#,##0.00\);_(* "-"??_);_(@_)</c:formatCode>
                <c:ptCount val="91"/>
                <c:pt idx="0">
                  <c:v>1.8618158461964986</c:v>
                </c:pt>
                <c:pt idx="1">
                  <c:v>1.6499140548796158</c:v>
                </c:pt>
                <c:pt idx="2">
                  <c:v>1.4808579597257492</c:v>
                </c:pt>
                <c:pt idx="3">
                  <c:v>1.3546590723320902</c:v>
                </c:pt>
                <c:pt idx="4">
                  <c:v>1.2713297655223854</c:v>
                </c:pt>
                <c:pt idx="5">
                  <c:v>1.2308833531269789</c:v>
                </c:pt>
                <c:pt idx="6">
                  <c:v>1.2333341786073355</c:v>
                </c:pt>
                <c:pt idx="7">
                  <c:v>1.2786977136710622</c:v>
                </c:pt>
                <c:pt idx="8">
                  <c:v>1.3669906681940491</c:v>
                </c:pt>
                <c:pt idx="9">
                  <c:v>1.4139564719747191</c:v>
                </c:pt>
                <c:pt idx="10">
                  <c:v>1.3377190616042187</c:v>
                </c:pt>
                <c:pt idx="11">
                  <c:v>1.3043143152507861</c:v>
                </c:pt>
                <c:pt idx="12">
                  <c:v>1.3137540649502388</c:v>
                </c:pt>
                <c:pt idx="13">
                  <c:v>1.3660511336175813</c:v>
                </c:pt>
                <c:pt idx="14">
                  <c:v>1.156550440568427</c:v>
                </c:pt>
                <c:pt idx="15">
                  <c:v>1.0481358017004729</c:v>
                </c:pt>
                <c:pt idx="16">
                  <c:v>0.982747399710861</c:v>
                </c:pt>
                <c:pt idx="17">
                  <c:v>0.96041545353683588</c:v>
                </c:pt>
                <c:pt idx="18">
                  <c:v>0.55115765441988718</c:v>
                </c:pt>
                <c:pt idx="19">
                  <c:v>0.35623382831582695</c:v>
                </c:pt>
                <c:pt idx="20">
                  <c:v>0.20368442615995741</c:v>
                </c:pt>
                <c:pt idx="21">
                  <c:v>9.3482792896604827E-2</c:v>
                </c:pt>
                <c:pt idx="22">
                  <c:v>2.5599119966197213E-2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(3pt)'!$AH$3:$AH$93</c:f>
              <c:numCache>
                <c:formatCode>_(* #,##0.00_);_(* \(#,##0.00\);_(* "-"??_);_(@_)</c:formatCode>
                <c:ptCount val="91"/>
                <c:pt idx="0">
                  <c:v>2.1457534797504971</c:v>
                </c:pt>
                <c:pt idx="1">
                  <c:v>1.9047917965139542</c:v>
                </c:pt>
                <c:pt idx="2">
                  <c:v>1.7045751259696766</c:v>
                </c:pt>
                <c:pt idx="3">
                  <c:v>1.5451058590935363</c:v>
                </c:pt>
                <c:pt idx="4">
                  <c:v>1.4263865300145124</c:v>
                </c:pt>
                <c:pt idx="5">
                  <c:v>1.3484198268694918</c:v>
                </c:pt>
                <c:pt idx="6">
                  <c:v>1.3112086036587234</c:v>
                </c:pt>
                <c:pt idx="7">
                  <c:v>1.3147558932109433</c:v>
                </c:pt>
                <c:pt idx="8">
                  <c:v>1.3590649213809392</c:v>
                </c:pt>
                <c:pt idx="9">
                  <c:v>1.4071499569865453</c:v>
                </c:pt>
                <c:pt idx="10">
                  <c:v>1.3074607631177915</c:v>
                </c:pt>
                <c:pt idx="11">
                  <c:v>1.2484760051469379</c:v>
                </c:pt>
                <c:pt idx="12">
                  <c:v>1.2301949308825406</c:v>
                </c:pt>
                <c:pt idx="13">
                  <c:v>1.2526166246819508</c:v>
                </c:pt>
                <c:pt idx="14">
                  <c:v>1.0907865212881558</c:v>
                </c:pt>
                <c:pt idx="15">
                  <c:v>0.97355919181865402</c:v>
                </c:pt>
                <c:pt idx="16">
                  <c:v>0.89727926172911443</c:v>
                </c:pt>
                <c:pt idx="17">
                  <c:v>0.86196703164782207</c:v>
                </c:pt>
                <c:pt idx="18">
                  <c:v>0.52673766488403773</c:v>
                </c:pt>
                <c:pt idx="19">
                  <c:v>0.34060503501288331</c:v>
                </c:pt>
                <c:pt idx="20">
                  <c:v>0.1948932299270516</c:v>
                </c:pt>
                <c:pt idx="21">
                  <c:v>8.9575594570868902E-2</c:v>
                </c:pt>
                <c:pt idx="22">
                  <c:v>2.4622320384763231E-2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(3pt)'!$AN$3:$AN$93</c:f>
              <c:numCache>
                <c:formatCode>_(* #,##0.00_);_(* \(#,##0.00\);_(* "-"??_);_(@_)</c:formatCode>
                <c:ptCount val="91"/>
                <c:pt idx="0">
                  <c:v>2.0698376990049381</c:v>
                </c:pt>
                <c:pt idx="1">
                  <c:v>1.8377652441663326</c:v>
                </c:pt>
                <c:pt idx="2">
                  <c:v>1.643198637715904</c:v>
                </c:pt>
                <c:pt idx="3">
                  <c:v>1.48613722052199</c:v>
                </c:pt>
                <c:pt idx="4">
                  <c:v>1.3665802364687398</c:v>
                </c:pt>
                <c:pt idx="5">
                  <c:v>1.2845268202610278</c:v>
                </c:pt>
                <c:pt idx="6">
                  <c:v>1.2399759836068893</c:v>
                </c:pt>
                <c:pt idx="7">
                  <c:v>1.2329265995396939</c:v>
                </c:pt>
                <c:pt idx="8">
                  <c:v>1.2633773846036263</c:v>
                </c:pt>
                <c:pt idx="9">
                  <c:v>1.310150866458947</c:v>
                </c:pt>
                <c:pt idx="10">
                  <c:v>1.2112189059304315</c:v>
                </c:pt>
                <c:pt idx="11">
                  <c:v>1.1497430055465412</c:v>
                </c:pt>
                <c:pt idx="12">
                  <c:v>1.1257182047132297</c:v>
                </c:pt>
                <c:pt idx="13">
                  <c:v>1.1391389933554257</c:v>
                </c:pt>
                <c:pt idx="14">
                  <c:v>1.0045266131735668</c:v>
                </c:pt>
                <c:pt idx="15">
                  <c:v>0.89309127803314903</c:v>
                </c:pt>
                <c:pt idx="16">
                  <c:v>0.81937148367320622</c:v>
                </c:pt>
                <c:pt idx="17">
                  <c:v>0.7833842138527114</c:v>
                </c:pt>
                <c:pt idx="18">
                  <c:v>0.48686295811630809</c:v>
                </c:pt>
                <c:pt idx="19">
                  <c:v>0.31508522268153633</c:v>
                </c:pt>
                <c:pt idx="20">
                  <c:v>0.18053833549066894</c:v>
                </c:pt>
                <c:pt idx="21">
                  <c:v>8.3195641488032171E-2</c:v>
                </c:pt>
                <c:pt idx="22">
                  <c:v>2.3027332114054042E-2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(3pt)'!$AT$3:$AT$93</c:f>
              <c:numCache>
                <c:formatCode>_(* #,##0.00_);_(* \(#,##0.00\);_(* "-"??_);_(@_)</c:formatCode>
                <c:ptCount val="91"/>
                <c:pt idx="0">
                  <c:v>1.8587875529819442</c:v>
                </c:pt>
                <c:pt idx="1">
                  <c:v>1.6502559632970968</c:v>
                </c:pt>
                <c:pt idx="2">
                  <c:v>1.4748748085020611</c:v>
                </c:pt>
                <c:pt idx="3">
                  <c:v>1.3326418181239694</c:v>
                </c:pt>
                <c:pt idx="4">
                  <c:v>1.2235544978436481</c:v>
                </c:pt>
                <c:pt idx="5">
                  <c:v>1.1476101051234984</c:v>
                </c:pt>
                <c:pt idx="6">
                  <c:v>1.1048056218271358</c:v>
                </c:pt>
                <c:pt idx="7">
                  <c:v>1.0951377234097872</c:v>
                </c:pt>
                <c:pt idx="8">
                  <c:v>1.1186027441920925</c:v>
                </c:pt>
                <c:pt idx="9">
                  <c:v>1.1623745563399062</c:v>
                </c:pt>
                <c:pt idx="10">
                  <c:v>1.0724395246636929</c:v>
                </c:pt>
                <c:pt idx="11">
                  <c:v>1.0156002733175715</c:v>
                </c:pt>
                <c:pt idx="12">
                  <c:v>0.99184961845063468</c:v>
                </c:pt>
                <c:pt idx="13">
                  <c:v>1.0011796227952672</c:v>
                </c:pt>
                <c:pt idx="14">
                  <c:v>0.89251607531872024</c:v>
                </c:pt>
                <c:pt idx="15">
                  <c:v>0.79306637982620087</c:v>
                </c:pt>
                <c:pt idx="16">
                  <c:v>0.72698067114621467</c:v>
                </c:pt>
                <c:pt idx="17">
                  <c:v>0.69427418076896241</c:v>
                </c:pt>
                <c:pt idx="18">
                  <c:v>0.4327451069042606</c:v>
                </c:pt>
                <c:pt idx="19">
                  <c:v>0.28044979790582597</c:v>
                </c:pt>
                <c:pt idx="20">
                  <c:v>0.16105590905433187</c:v>
                </c:pt>
                <c:pt idx="21">
                  <c:v>7.4536785294104554E-2</c:v>
                </c:pt>
                <c:pt idx="22">
                  <c:v>2.0862618065572148E-2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(3pt)'!$AZ$3:$AZ$93</c:f>
              <c:numCache>
                <c:formatCode>_(* #,##0.00_);_(* \(#,##0.00\);_(* "-"??_);_(@_)</c:formatCode>
                <c:ptCount val="91"/>
                <c:pt idx="0">
                  <c:v>1.5608522828439215</c:v>
                </c:pt>
                <c:pt idx="1">
                  <c:v>1.3854663811150632</c:v>
                </c:pt>
                <c:pt idx="2">
                  <c:v>1.23787725723792</c:v>
                </c:pt>
                <c:pt idx="3">
                  <c:v>1.1180816284430926</c:v>
                </c:pt>
                <c:pt idx="4">
                  <c:v>1.0260759084159978</c:v>
                </c:pt>
                <c:pt idx="5">
                  <c:v>0.96185617527475253</c:v>
                </c:pt>
                <c:pt idx="6">
                  <c:v>0.92541813566922104</c:v>
                </c:pt>
                <c:pt idx="7">
                  <c:v>0.9167570844651397</c:v>
                </c:pt>
                <c:pt idx="8">
                  <c:v>0.93586785939346218</c:v>
                </c:pt>
                <c:pt idx="9">
                  <c:v>0.97517091667496691</c:v>
                </c:pt>
                <c:pt idx="10">
                  <c:v>0.89919958197714234</c:v>
                </c:pt>
                <c:pt idx="11">
                  <c:v>0.85096731339449461</c:v>
                </c:pt>
                <c:pt idx="12">
                  <c:v>0.83046553035442783</c:v>
                </c:pt>
                <c:pt idx="13">
                  <c:v>0.83768477074866454</c:v>
                </c:pt>
                <c:pt idx="14">
                  <c:v>0.75667686100343268</c:v>
                </c:pt>
                <c:pt idx="15">
                  <c:v>0.67349322911269827</c:v>
                </c:pt>
                <c:pt idx="16">
                  <c:v>0.6183223516779297</c:v>
                </c:pt>
                <c:pt idx="17">
                  <c:v>0.59117835935755325</c:v>
                </c:pt>
                <c:pt idx="18">
                  <c:v>0.3660284547720194</c:v>
                </c:pt>
                <c:pt idx="19">
                  <c:v>0.23775114054119159</c:v>
                </c:pt>
                <c:pt idx="20">
                  <c:v>0.13703791428672502</c:v>
                </c:pt>
                <c:pt idx="21">
                  <c:v>6.386212095294598E-2</c:v>
                </c:pt>
                <c:pt idx="22">
                  <c:v>1.8193951980282501E-2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(3pt)'!$BF$3:$BF$93</c:f>
              <c:numCache>
                <c:formatCode>_(* #,##0.00_);_(* \(#,##0.00\);_(* "-"??_);_(@_)</c:formatCode>
                <c:ptCount val="91"/>
                <c:pt idx="0">
                  <c:v>1.1988722843036954</c:v>
                </c:pt>
                <c:pt idx="1">
                  <c:v>1.0638022650429069</c:v>
                </c:pt>
                <c:pt idx="2">
                  <c:v>0.95033506812616264</c:v>
                </c:pt>
                <c:pt idx="3">
                  <c:v>0.85846673541397833</c:v>
                </c:pt>
                <c:pt idx="4">
                  <c:v>0.78819295204929229</c:v>
                </c:pt>
                <c:pt idx="5">
                  <c:v>0.73950900933151431</c:v>
                </c:pt>
                <c:pt idx="6">
                  <c:v>0.71240976313092841</c:v>
                </c:pt>
                <c:pt idx="7">
                  <c:v>0.70688958723056028</c:v>
                </c:pt>
                <c:pt idx="8">
                  <c:v>0.72294232088723087</c:v>
                </c:pt>
                <c:pt idx="9">
                  <c:v>0.75648876413617694</c:v>
                </c:pt>
                <c:pt idx="10">
                  <c:v>0.69803507121465846</c:v>
                </c:pt>
                <c:pt idx="11">
                  <c:v>0.66112444925544833</c:v>
                </c:pt>
                <c:pt idx="12">
                  <c:v>0.64574738584037872</c:v>
                </c:pt>
                <c:pt idx="13">
                  <c:v>0.65189340153894293</c:v>
                </c:pt>
                <c:pt idx="14">
                  <c:v>0.60064815172863717</c:v>
                </c:pt>
                <c:pt idx="15">
                  <c:v>0.53700626408794427</c:v>
                </c:pt>
                <c:pt idx="16">
                  <c:v>0.49518479306123192</c:v>
                </c:pt>
                <c:pt idx="17">
                  <c:v>0.47519713486911719</c:v>
                </c:pt>
                <c:pt idx="18">
                  <c:v>0.28874015343436754</c:v>
                </c:pt>
                <c:pt idx="19">
                  <c:v>0.18828662768509444</c:v>
                </c:pt>
                <c:pt idx="20">
                  <c:v>0.10921412580517038</c:v>
                </c:pt>
                <c:pt idx="21">
                  <c:v>5.1495992738921685E-2</c:v>
                </c:pt>
                <c:pt idx="22">
                  <c:v>1.5102419926776425E-2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(3pt)'!$BL$3:$BL$93</c:f>
              <c:numCache>
                <c:formatCode>_(* #,##0.00_);_(* \(#,##0.00\);_(* "-"??_);_(@_)</c:formatCode>
                <c:ptCount val="91"/>
                <c:pt idx="0">
                  <c:v>0.78969677769866498</c:v>
                </c:pt>
                <c:pt idx="1">
                  <c:v>0.70028211362861992</c:v>
                </c:pt>
                <c:pt idx="2">
                  <c:v>0.62562221395607842</c:v>
                </c:pt>
                <c:pt idx="3">
                  <c:v>0.56571267834097383</c:v>
                </c:pt>
                <c:pt idx="4">
                  <c:v>0.52054871491087029</c:v>
                </c:pt>
                <c:pt idx="5">
                  <c:v>0.49012509979327473</c:v>
                </c:pt>
                <c:pt idx="6">
                  <c:v>0.4744361318079941</c:v>
                </c:pt>
                <c:pt idx="7">
                  <c:v>0.47347558165638565</c:v>
                </c:pt>
                <c:pt idx="8">
                  <c:v>0.48723663484134566</c:v>
                </c:pt>
                <c:pt idx="9">
                  <c:v>0.51393195199520803</c:v>
                </c:pt>
                <c:pt idx="10">
                  <c:v>0.4755981072173539</c:v>
                </c:pt>
                <c:pt idx="11">
                  <c:v>0.45195793999146711</c:v>
                </c:pt>
                <c:pt idx="12">
                  <c:v>0.443001327770699</c:v>
                </c:pt>
                <c:pt idx="13">
                  <c:v>0.44871712502976752</c:v>
                </c:pt>
                <c:pt idx="14">
                  <c:v>0.42896363013909627</c:v>
                </c:pt>
                <c:pt idx="15">
                  <c:v>0.387328775233512</c:v>
                </c:pt>
                <c:pt idx="16">
                  <c:v>0.36066733816682167</c:v>
                </c:pt>
                <c:pt idx="17">
                  <c:v>0.34899223428428766</c:v>
                </c:pt>
                <c:pt idx="18">
                  <c:v>0.20322856881768211</c:v>
                </c:pt>
                <c:pt idx="19">
                  <c:v>0.13355921353041572</c:v>
                </c:pt>
                <c:pt idx="20">
                  <c:v>7.8429955343163604E-2</c:v>
                </c:pt>
                <c:pt idx="21">
                  <c:v>3.7814139200251999E-2</c:v>
                </c:pt>
                <c:pt idx="22">
                  <c:v>1.1681956542109004E-2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(3pt)'!$BR$3:$BR$93</c:f>
              <c:numCache>
                <c:formatCode>_(* #,##0.00_);_(* \(#,##0.00\);_(* "-"??_);_(@_)</c:formatCode>
                <c:ptCount val="91"/>
                <c:pt idx="0">
                  <c:v>0.34855581436655525</c:v>
                </c:pt>
                <c:pt idx="1">
                  <c:v>0.30845912923537022</c:v>
                </c:pt>
                <c:pt idx="2">
                  <c:v>0.2758221646043808</c:v>
                </c:pt>
                <c:pt idx="3">
                  <c:v>0.25064026511557774</c:v>
                </c:pt>
                <c:pt idx="4">
                  <c:v>0.23290836380082666</c:v>
                </c:pt>
                <c:pt idx="5">
                  <c:v>0.2226209396869876</c:v>
                </c:pt>
                <c:pt idx="6">
                  <c:v>0.21977197034176649</c:v>
                </c:pt>
                <c:pt idx="7">
                  <c:v>0.22435487866814316</c:v>
                </c:pt>
                <c:pt idx="8">
                  <c:v>0.23636247314784289</c:v>
                </c:pt>
                <c:pt idx="9">
                  <c:v>0.25532913490800996</c:v>
                </c:pt>
                <c:pt idx="10">
                  <c:v>0.23890544354747151</c:v>
                </c:pt>
                <c:pt idx="11">
                  <c:v>0.22987961567700299</c:v>
                </c:pt>
                <c:pt idx="12">
                  <c:v>0.22824117688735168</c:v>
                </c:pt>
                <c:pt idx="13">
                  <c:v>0.23397859751507338</c:v>
                </c:pt>
                <c:pt idx="14">
                  <c:v>0.2467407856930087</c:v>
                </c:pt>
                <c:pt idx="15">
                  <c:v>0.22880600052893679</c:v>
                </c:pt>
                <c:pt idx="16">
                  <c:v>0.21855020013270304</c:v>
                </c:pt>
                <c:pt idx="17">
                  <c:v>0.21598602252781088</c:v>
                </c:pt>
                <c:pt idx="18">
                  <c:v>0.11209192714959133</c:v>
                </c:pt>
                <c:pt idx="19">
                  <c:v>7.5231762862837628E-2</c:v>
                </c:pt>
                <c:pt idx="20">
                  <c:v>4.5620764342650895E-2</c:v>
                </c:pt>
                <c:pt idx="21">
                  <c:v>2.3232276533357472E-2</c:v>
                </c:pt>
                <c:pt idx="22">
                  <c:v>8.0364908753853739E-3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2'!$F$4:$F$93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x</c:v>
                </c:pt>
                <c:pt idx="24">
                  <c:v>x</c:v>
                </c:pt>
                <c:pt idx="25">
                  <c:v>x</c:v>
                </c:pt>
                <c:pt idx="26">
                  <c:v>x</c:v>
                </c:pt>
                <c:pt idx="27">
                  <c:v>x</c:v>
                </c:pt>
                <c:pt idx="28">
                  <c:v>x</c:v>
                </c:pt>
                <c:pt idx="29">
                  <c:v>x</c:v>
                </c:pt>
                <c:pt idx="30">
                  <c:v>x</c:v>
                </c:pt>
                <c:pt idx="31">
                  <c:v>x</c:v>
                </c:pt>
                <c:pt idx="32">
                  <c:v>x</c:v>
                </c:pt>
                <c:pt idx="33">
                  <c:v>x</c:v>
                </c:pt>
                <c:pt idx="34">
                  <c:v>x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2-Tilt Up (3pt)'!$BX$3:$BX$93</c:f>
              <c:numCache>
                <c:formatCode>_(* #,##0.00_);_(* \(#,##0.00\);_(* "-"??_);_(@_)</c:formatCode>
                <c:ptCount val="91"/>
                <c:pt idx="0">
                  <c:v>4.4692180357998899E-2</c:v>
                </c:pt>
                <c:pt idx="1">
                  <c:v>4.4054649827672571E-2</c:v>
                </c:pt>
                <c:pt idx="2">
                  <c:v>4.335601131369856E-2</c:v>
                </c:pt>
                <c:pt idx="3">
                  <c:v>4.2591521166151926E-2</c:v>
                </c:pt>
                <c:pt idx="4">
                  <c:v>4.1756017173692331E-2</c:v>
                </c:pt>
                <c:pt idx="5">
                  <c:v>4.0843875501457572E-2</c:v>
                </c:pt>
                <c:pt idx="6">
                  <c:v>3.9848962493749883E-2</c:v>
                </c:pt>
                <c:pt idx="7">
                  <c:v>3.8764580639336382E-2</c:v>
                </c:pt>
                <c:pt idx="8">
                  <c:v>3.7583407888258938E-2</c:v>
                </c:pt>
                <c:pt idx="9">
                  <c:v>3.6297429381131181E-2</c:v>
                </c:pt>
                <c:pt idx="10">
                  <c:v>3.4889619753602302E-2</c:v>
                </c:pt>
                <c:pt idx="11">
                  <c:v>3.3358578487113336E-2</c:v>
                </c:pt>
                <c:pt idx="12">
                  <c:v>3.1693709351157291E-2</c:v>
                </c:pt>
                <c:pt idx="13">
                  <c:v>2.9883349686573434E-2</c:v>
                </c:pt>
                <c:pt idx="14">
                  <c:v>7.1354820093268947E-2</c:v>
                </c:pt>
                <c:pt idx="15">
                  <c:v>7.4082039491732837E-2</c:v>
                </c:pt>
                <c:pt idx="16">
                  <c:v>7.6967626653505677E-2</c:v>
                </c:pt>
                <c:pt idx="17">
                  <c:v>8.0024123588182977E-2</c:v>
                </c:pt>
                <c:pt idx="18">
                  <c:v>1.8099369169814274E-2</c:v>
                </c:pt>
                <c:pt idx="19">
                  <c:v>1.5076525755780315E-2</c:v>
                </c:pt>
                <c:pt idx="20">
                  <c:v>1.1783443469931161E-2</c:v>
                </c:pt>
                <c:pt idx="21">
                  <c:v>8.1934672565931455E-3</c:v>
                </c:pt>
                <c:pt idx="22">
                  <c:v>4.2767885561942921E-3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11968"/>
        <c:axId val="102617856"/>
      </c:scatterChart>
      <c:valAx>
        <c:axId val="1026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617856"/>
        <c:crosses val="autoZero"/>
        <c:crossBetween val="midCat"/>
      </c:valAx>
      <c:valAx>
        <c:axId val="10261785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2611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(3pt)'!$V$3:$V$93</c:f>
              <c:numCache>
                <c:formatCode>_(* #,##0.00_);_(* \(#,##0.00\);_(* "-"??_);_(@_)</c:formatCode>
                <c:ptCount val="91"/>
                <c:pt idx="0">
                  <c:v>7.9403441240248389</c:v>
                </c:pt>
                <c:pt idx="1">
                  <c:v>7.2685804974953774</c:v>
                </c:pt>
                <c:pt idx="2">
                  <c:v>6.6636515087345769</c:v>
                </c:pt>
                <c:pt idx="3">
                  <c:v>6.1255759244664478</c:v>
                </c:pt>
                <c:pt idx="4">
                  <c:v>5.6543734468043167</c:v>
                </c:pt>
                <c:pt idx="5">
                  <c:v>5.2500647699162455</c:v>
                </c:pt>
                <c:pt idx="6">
                  <c:v>4.9126716407426203</c:v>
                </c:pt>
                <c:pt idx="7">
                  <c:v>4.642216924100822</c:v>
                </c:pt>
                <c:pt idx="8">
                  <c:v>4.4387246725433256</c:v>
                </c:pt>
                <c:pt idx="9">
                  <c:v>4.3022202013705151</c:v>
                </c:pt>
                <c:pt idx="10">
                  <c:v>4.2327301692379677</c:v>
                </c:pt>
                <c:pt idx="11">
                  <c:v>4.23028266484057</c:v>
                </c:pt>
                <c:pt idx="12">
                  <c:v>4.2949073002033131</c:v>
                </c:pt>
                <c:pt idx="13">
                  <c:v>4.4266353111610766</c:v>
                </c:pt>
                <c:pt idx="14">
                  <c:v>4.6254996656682144</c:v>
                </c:pt>
                <c:pt idx="15">
                  <c:v>4.4944175389325753</c:v>
                </c:pt>
                <c:pt idx="16">
                  <c:v>4.2849355464703018</c:v>
                </c:pt>
                <c:pt idx="17">
                  <c:v>4.1423856255944873</c:v>
                </c:pt>
                <c:pt idx="18">
                  <c:v>4.0667942127753332</c:v>
                </c:pt>
                <c:pt idx="19">
                  <c:v>4.0581892917199696</c:v>
                </c:pt>
                <c:pt idx="20">
                  <c:v>4.116600503730437</c:v>
                </c:pt>
                <c:pt idx="21">
                  <c:v>4.2420592673752529</c:v>
                </c:pt>
                <c:pt idx="22">
                  <c:v>3.4778549471808096</c:v>
                </c:pt>
                <c:pt idx="23">
                  <c:v>3.1954338664549358</c:v>
                </c:pt>
                <c:pt idx="24">
                  <c:v>2.9798747866249271</c:v>
                </c:pt>
                <c:pt idx="25">
                  <c:v>2.8312034508359796</c:v>
                </c:pt>
                <c:pt idx="26">
                  <c:v>2.7494472629474034</c:v>
                </c:pt>
                <c:pt idx="27">
                  <c:v>2.7346354177722181</c:v>
                </c:pt>
                <c:pt idx="28">
                  <c:v>1.6423039281472462</c:v>
                </c:pt>
                <c:pt idx="29">
                  <c:v>1.2089999209616431</c:v>
                </c:pt>
                <c:pt idx="30">
                  <c:v>0.84193859618173217</c:v>
                </c:pt>
                <c:pt idx="31">
                  <c:v>0.54111274851069024</c:v>
                </c:pt>
                <c:pt idx="32">
                  <c:v>0.30651463056821487</c:v>
                </c:pt>
                <c:pt idx="33">
                  <c:v>0.13813590458983929</c:v>
                </c:pt>
                <c:pt idx="34">
                  <c:v>3.5967589105866032E-2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(3pt)'!$AB$3:$AB$93</c:f>
              <c:numCache>
                <c:formatCode>_(* #,##0.00_);_(* \(#,##0.00\);_(* "-"??_);_(@_)</c:formatCode>
                <c:ptCount val="91"/>
                <c:pt idx="0">
                  <c:v>3.4018578519478213</c:v>
                </c:pt>
                <c:pt idx="1">
                  <c:v>2.9055318808568065</c:v>
                </c:pt>
                <c:pt idx="2">
                  <c:v>2.4746784444051153</c:v>
                </c:pt>
                <c:pt idx="3">
                  <c:v>2.1093006352138857</c:v>
                </c:pt>
                <c:pt idx="4">
                  <c:v>1.8094016936890451</c:v>
                </c:pt>
                <c:pt idx="5">
                  <c:v>1.5749850167135988</c:v>
                </c:pt>
                <c:pt idx="6">
                  <c:v>1.4060541669481106</c:v>
                </c:pt>
                <c:pt idx="7">
                  <c:v>1.3026128827887646</c:v>
                </c:pt>
                <c:pt idx="8">
                  <c:v>1.264665089037067</c:v>
                </c:pt>
                <c:pt idx="9">
                  <c:v>1.2922149083401422</c:v>
                </c:pt>
                <c:pt idx="10">
                  <c:v>1.3852666734664834</c:v>
                </c:pt>
                <c:pt idx="11">
                  <c:v>1.5438249404878515</c:v>
                </c:pt>
                <c:pt idx="12">
                  <c:v>1.7678945029451978</c:v>
                </c:pt>
                <c:pt idx="13">
                  <c:v>2.0574804070838377</c:v>
                </c:pt>
                <c:pt idx="14">
                  <c:v>2.4125879682518838</c:v>
                </c:pt>
                <c:pt idx="15">
                  <c:v>2.7469434141014002</c:v>
                </c:pt>
                <c:pt idx="16">
                  <c:v>2.6457048914455958</c:v>
                </c:pt>
                <c:pt idx="17">
                  <c:v>2.6099373788240192</c:v>
                </c:pt>
                <c:pt idx="18">
                  <c:v>2.6396442596663983</c:v>
                </c:pt>
                <c:pt idx="19">
                  <c:v>2.7348291006469427</c:v>
                </c:pt>
                <c:pt idx="20">
                  <c:v>2.8954956640388039</c:v>
                </c:pt>
                <c:pt idx="21">
                  <c:v>3.1216479210674692</c:v>
                </c:pt>
                <c:pt idx="22">
                  <c:v>2.7709338057717527</c:v>
                </c:pt>
                <c:pt idx="23">
                  <c:v>2.5433047334882541</c:v>
                </c:pt>
                <c:pt idx="24">
                  <c:v>2.3812261166175133</c:v>
                </c:pt>
                <c:pt idx="25">
                  <c:v>2.2847062079871305</c:v>
                </c:pt>
                <c:pt idx="26">
                  <c:v>2.2537537928222493</c:v>
                </c:pt>
                <c:pt idx="27">
                  <c:v>2.2883782304982243</c:v>
                </c:pt>
                <c:pt idx="28">
                  <c:v>1.618581181701054</c:v>
                </c:pt>
                <c:pt idx="29">
                  <c:v>1.1915709643889303</c:v>
                </c:pt>
                <c:pt idx="30">
                  <c:v>0.82983515411734832</c:v>
                </c:pt>
                <c:pt idx="31">
                  <c:v>0.5333665455894846</c:v>
                </c:pt>
                <c:pt idx="32">
                  <c:v>0.30215739142503667</c:v>
                </c:pt>
                <c:pt idx="33">
                  <c:v>0.13619935385953785</c:v>
                </c:pt>
                <c:pt idx="34">
                  <c:v>3.5483451423290679E-2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(3pt)'!$AH$3:$AH$93</c:f>
              <c:numCache>
                <c:formatCode>_(* #,##0.00_);_(* \(#,##0.00\);_(* "-"??_);_(@_)</c:formatCode>
                <c:ptCount val="91"/>
                <c:pt idx="0">
                  <c:v>4.9280327383628872</c:v>
                </c:pt>
                <c:pt idx="1">
                  <c:v>4.3678679263760118</c:v>
                </c:pt>
                <c:pt idx="2">
                  <c:v>3.870118795013497</c:v>
                </c:pt>
                <c:pt idx="3">
                  <c:v>3.4347859957893174</c:v>
                </c:pt>
                <c:pt idx="4">
                  <c:v>3.0618702053395692</c:v>
                </c:pt>
                <c:pt idx="5">
                  <c:v>2.7513721266433775</c:v>
                </c:pt>
                <c:pt idx="6">
                  <c:v>2.5032924903155895</c:v>
                </c:pt>
                <c:pt idx="7">
                  <c:v>2.3176320559762331</c:v>
                </c:pt>
                <c:pt idx="8">
                  <c:v>2.1943916137021238</c:v>
                </c:pt>
                <c:pt idx="9">
                  <c:v>2.1335719855662991</c:v>
                </c:pt>
                <c:pt idx="10">
                  <c:v>2.1351740272717037</c:v>
                </c:pt>
                <c:pt idx="11">
                  <c:v>2.1991986298857578</c:v>
                </c:pt>
                <c:pt idx="12">
                  <c:v>2.3256467216832473</c:v>
                </c:pt>
                <c:pt idx="13">
                  <c:v>2.5145192701054198</c:v>
                </c:pt>
                <c:pt idx="14">
                  <c:v>2.7658172838439712</c:v>
                </c:pt>
                <c:pt idx="15">
                  <c:v>3.0416728363565331</c:v>
                </c:pt>
                <c:pt idx="16">
                  <c:v>2.8865612915559105</c:v>
                </c:pt>
                <c:pt idx="17">
                  <c:v>2.7938484908484229</c:v>
                </c:pt>
                <c:pt idx="18">
                  <c:v>2.7635342273503336</c:v>
                </c:pt>
                <c:pt idx="19">
                  <c:v>2.7956182649922767</c:v>
                </c:pt>
                <c:pt idx="20">
                  <c:v>2.8901003356104678</c:v>
                </c:pt>
                <c:pt idx="21">
                  <c:v>3.0469801357419906</c:v>
                </c:pt>
                <c:pt idx="22">
                  <c:v>2.735965761213567</c:v>
                </c:pt>
                <c:pt idx="23">
                  <c:v>2.4893275420677958</c:v>
                </c:pt>
                <c:pt idx="24">
                  <c:v>2.3051907982398658</c:v>
                </c:pt>
                <c:pt idx="25">
                  <c:v>2.1835610585903318</c:v>
                </c:pt>
                <c:pt idx="26">
                  <c:v>2.1244442086516573</c:v>
                </c:pt>
                <c:pt idx="27">
                  <c:v>2.1278465185997999</c:v>
                </c:pt>
                <c:pt idx="28">
                  <c:v>1.5451909731493141</c:v>
                </c:pt>
                <c:pt idx="29">
                  <c:v>1.1376516274937742</c:v>
                </c:pt>
                <c:pt idx="30">
                  <c:v>0.79239117016237903</c:v>
                </c:pt>
                <c:pt idx="31">
                  <c:v>0.50940239585830427</c:v>
                </c:pt>
                <c:pt idx="32">
                  <c:v>0.28867755720124771</c:v>
                </c:pt>
                <c:pt idx="33">
                  <c:v>0.1302083164267428</c:v>
                </c:pt>
                <c:pt idx="34">
                  <c:v>3.3985692065091909E-2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(3pt)'!$AN$3:$AN$93</c:f>
              <c:numCache>
                <c:formatCode>_(* #,##0.00_);_(* \(#,##0.00\);_(* "-"??_);_(@_)</c:formatCode>
                <c:ptCount val="91"/>
                <c:pt idx="0">
                  <c:v>4.9668642471232021</c:v>
                </c:pt>
                <c:pt idx="1">
                  <c:v>4.4285494982303337</c:v>
                </c:pt>
                <c:pt idx="2">
                  <c:v>3.947738620882733</c:v>
                </c:pt>
                <c:pt idx="3">
                  <c:v>3.5244314502406988</c:v>
                </c:pt>
                <c:pt idx="4">
                  <c:v>3.1586278055658998</c:v>
                </c:pt>
                <c:pt idx="5">
                  <c:v>2.8503274889436616</c:v>
                </c:pt>
                <c:pt idx="6">
                  <c:v>2.5995302838977037</c:v>
                </c:pt>
                <c:pt idx="7">
                  <c:v>2.4062359538874363</c:v>
                </c:pt>
                <c:pt idx="8">
                  <c:v>2.2704442406768353</c:v>
                </c:pt>
                <c:pt idx="9">
                  <c:v>2.1921548625628247</c:v>
                </c:pt>
                <c:pt idx="10">
                  <c:v>2.1713675124500758</c:v>
                </c:pt>
                <c:pt idx="11">
                  <c:v>2.2080818557573423</c:v>
                </c:pt>
                <c:pt idx="12">
                  <c:v>2.302297528139309</c:v>
                </c:pt>
                <c:pt idx="13">
                  <c:v>2.454014133005888</c:v>
                </c:pt>
                <c:pt idx="14">
                  <c:v>2.6632312388191912</c:v>
                </c:pt>
                <c:pt idx="15">
                  <c:v>2.9082687743981839</c:v>
                </c:pt>
                <c:pt idx="16">
                  <c:v>2.7503270035353586</c:v>
                </c:pt>
                <c:pt idx="17">
                  <c:v>2.6498670136390206</c:v>
                </c:pt>
                <c:pt idx="18">
                  <c:v>2.6068873971548618</c:v>
                </c:pt>
                <c:pt idx="19">
                  <c:v>2.6213866463021671</c:v>
                </c:pt>
                <c:pt idx="20">
                  <c:v>2.6933631450607409</c:v>
                </c:pt>
                <c:pt idx="21">
                  <c:v>2.8228151604287968</c:v>
                </c:pt>
                <c:pt idx="22">
                  <c:v>2.5472558966067815</c:v>
                </c:pt>
                <c:pt idx="23">
                  <c:v>2.3125498577304677</c:v>
                </c:pt>
                <c:pt idx="24">
                  <c:v>2.1354361182847592</c:v>
                </c:pt>
                <c:pt idx="25">
                  <c:v>2.0159192961827022</c:v>
                </c:pt>
                <c:pt idx="26">
                  <c:v>1.954004307243187</c:v>
                </c:pt>
                <c:pt idx="27">
                  <c:v>1.9496963885538703</c:v>
                </c:pt>
                <c:pt idx="28">
                  <c:v>1.4253541877433638</c:v>
                </c:pt>
                <c:pt idx="29">
                  <c:v>1.0496082749506273</c:v>
                </c:pt>
                <c:pt idx="30">
                  <c:v>0.73124995311852692</c:v>
                </c:pt>
                <c:pt idx="31">
                  <c:v>0.4702720169502389</c:v>
                </c:pt>
                <c:pt idx="32">
                  <c:v>0.26666671906546097</c:v>
                </c:pt>
                <c:pt idx="33">
                  <c:v>0.12042572169972644</c:v>
                </c:pt>
                <c:pt idx="34">
                  <c:v>3.1540043383337817E-2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(3pt)'!$AT$3:$AT$93</c:f>
              <c:numCache>
                <c:formatCode>_(* #,##0.00_);_(* \(#,##0.00\);_(* "-"??_);_(@_)</c:formatCode>
                <c:ptCount val="91"/>
                <c:pt idx="0">
                  <c:v>4.5232299735672123</c:v>
                </c:pt>
                <c:pt idx="1">
                  <c:v>4.0401843485283466</c:v>
                </c:pt>
                <c:pt idx="2">
                  <c:v>3.6079933024748723</c:v>
                </c:pt>
                <c:pt idx="3">
                  <c:v>3.2266562392952292</c:v>
                </c:pt>
                <c:pt idx="4">
                  <c:v>2.8961725253083039</c:v>
                </c:pt>
                <c:pt idx="5">
                  <c:v>2.6165414866657732</c:v>
                </c:pt>
                <c:pt idx="6">
                  <c:v>2.3877624065521252</c:v>
                </c:pt>
                <c:pt idx="7">
                  <c:v>2.2098345221645879</c:v>
                </c:pt>
                <c:pt idx="8">
                  <c:v>2.0827570214533959</c:v>
                </c:pt>
                <c:pt idx="9">
                  <c:v>2.0065290396010473</c:v>
                </c:pt>
                <c:pt idx="10">
                  <c:v>1.9811496552169365</c:v>
                </c:pt>
                <c:pt idx="11">
                  <c:v>2.0066178862212634</c:v>
                </c:pt>
                <c:pt idx="12">
                  <c:v>2.0829326853897943</c:v>
                </c:pt>
                <c:pt idx="13">
                  <c:v>2.2100929355276349</c:v>
                </c:pt>
                <c:pt idx="14">
                  <c:v>2.3880974442372978</c:v>
                </c:pt>
                <c:pt idx="15">
                  <c:v>2.603818030565122</c:v>
                </c:pt>
                <c:pt idx="16">
                  <c:v>2.4593412001923669</c:v>
                </c:pt>
                <c:pt idx="17">
                  <c:v>2.3656941353918741</c:v>
                </c:pt>
                <c:pt idx="18">
                  <c:v>2.3228747943064745</c:v>
                </c:pt>
                <c:pt idx="19">
                  <c:v>2.3308809973224309</c:v>
                </c:pt>
                <c:pt idx="20">
                  <c:v>2.3897104163598022</c:v>
                </c:pt>
                <c:pt idx="21">
                  <c:v>2.4993605632050024</c:v>
                </c:pt>
                <c:pt idx="22">
                  <c:v>2.2652160729103277</c:v>
                </c:pt>
                <c:pt idx="23">
                  <c:v>2.0554434363654925</c:v>
                </c:pt>
                <c:pt idx="24">
                  <c:v>1.8966151977816501</c:v>
                </c:pt>
                <c:pt idx="25">
                  <c:v>1.7887354938269324</c:v>
                </c:pt>
                <c:pt idx="26">
                  <c:v>1.7318087280297594</c:v>
                </c:pt>
                <c:pt idx="27">
                  <c:v>1.7258395917070515</c:v>
                </c:pt>
                <c:pt idx="28">
                  <c:v>1.2627120055674232</c:v>
                </c:pt>
                <c:pt idx="29">
                  <c:v>0.9301160594744261</c:v>
                </c:pt>
                <c:pt idx="30">
                  <c:v>0.64826924792672058</c:v>
                </c:pt>
                <c:pt idx="31">
                  <c:v>0.41716436562748288</c:v>
                </c:pt>
                <c:pt idx="32">
                  <c:v>0.23679366519641068</c:v>
                </c:pt>
                <c:pt idx="33">
                  <c:v>0.10714880886903744</c:v>
                </c:pt>
                <c:pt idx="34">
                  <c:v>2.8220815175665569E-2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(3pt)'!$AZ$3:$AZ$93</c:f>
              <c:numCache>
                <c:formatCode>_(* #,##0.00_);_(* \(#,##0.00\);_(* "-"??_);_(@_)</c:formatCode>
                <c:ptCount val="91"/>
                <c:pt idx="0">
                  <c:v>3.7998525227360211</c:v>
                </c:pt>
                <c:pt idx="1">
                  <c:v>3.3941084963707704</c:v>
                </c:pt>
                <c:pt idx="2">
                  <c:v>3.0310283320544729</c:v>
                </c:pt>
                <c:pt idx="3">
                  <c:v>2.7106111627369374</c:v>
                </c:pt>
                <c:pt idx="4">
                  <c:v>2.4328560701840849</c:v>
                </c:pt>
                <c:pt idx="5">
                  <c:v>2.1977620815510543</c:v>
                </c:pt>
                <c:pt idx="6">
                  <c:v>2.0053281656934181</c:v>
                </c:pt>
                <c:pt idx="7">
                  <c:v>1.8555532291938721</c:v>
                </c:pt>
                <c:pt idx="8">
                  <c:v>1.7484361120793805</c:v>
                </c:pt>
                <c:pt idx="9">
                  <c:v>1.6839755832015495</c:v>
                </c:pt>
                <c:pt idx="10">
                  <c:v>1.6621703352500581</c:v>
                </c:pt>
                <c:pt idx="11">
                  <c:v>1.6830189793660757</c:v>
                </c:pt>
                <c:pt idx="12">
                  <c:v>1.7465200393192561</c:v>
                </c:pt>
                <c:pt idx="13">
                  <c:v>1.8526719452080178</c:v>
                </c:pt>
                <c:pt idx="14">
                  <c:v>2.0014730266388323</c:v>
                </c:pt>
                <c:pt idx="15">
                  <c:v>2.1851676702010243</c:v>
                </c:pt>
                <c:pt idx="16">
                  <c:v>2.0634894923330207</c:v>
                </c:pt>
                <c:pt idx="17">
                  <c:v>1.9844486525302796</c:v>
                </c:pt>
                <c:pt idx="18">
                  <c:v>1.948042710446541</c:v>
                </c:pt>
                <c:pt idx="19">
                  <c:v>1.9542690644013438</c:v>
                </c:pt>
                <c:pt idx="20">
                  <c:v>2.003124938976327</c:v>
                </c:pt>
                <c:pt idx="21">
                  <c:v>2.0946073715099978</c:v>
                </c:pt>
                <c:pt idx="22">
                  <c:v>1.9087010558162441</c:v>
                </c:pt>
                <c:pt idx="23">
                  <c:v>1.7327990546012435</c:v>
                </c:pt>
                <c:pt idx="24">
                  <c:v>1.5996516083376113</c:v>
                </c:pt>
                <c:pt idx="25">
                  <c:v>1.5092625513602245</c:v>
                </c:pt>
                <c:pt idx="26">
                  <c:v>1.4616359653604494</c:v>
                </c:pt>
                <c:pt idx="27">
                  <c:v>1.456776198784792</c:v>
                </c:pt>
                <c:pt idx="28">
                  <c:v>1.0622062270259942</c:v>
                </c:pt>
                <c:pt idx="29">
                  <c:v>0.7828056915664372</c:v>
                </c:pt>
                <c:pt idx="30">
                  <c:v>0.54597038132395037</c:v>
                </c:pt>
                <c:pt idx="31">
                  <c:v>0.35169309100171003</c:v>
                </c:pt>
                <c:pt idx="32">
                  <c:v>0.19996607321941345</c:v>
                </c:pt>
                <c:pt idx="33">
                  <c:v>9.0780990212594212E-2</c:v>
                </c:pt>
                <c:pt idx="34">
                  <c:v>2.4128860511554766E-2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(3pt)'!$BF$3:$BF$93</c:f>
              <c:numCache>
                <c:formatCode>_(* #,##0.00_);_(* \(#,##0.00\);_(* "-"??_);_(@_)</c:formatCode>
                <c:ptCount val="91"/>
                <c:pt idx="0">
                  <c:v>2.8810786939794855</c:v>
                </c:pt>
                <c:pt idx="1">
                  <c:v>2.5691208245924591</c:v>
                </c:pt>
                <c:pt idx="2">
                  <c:v>2.2903415771728839</c:v>
                </c:pt>
                <c:pt idx="3">
                  <c:v>2.0447399039103606</c:v>
                </c:pt>
                <c:pt idx="4">
                  <c:v>1.8323146967276156</c:v>
                </c:pt>
                <c:pt idx="5">
                  <c:v>1.6530647833003689</c:v>
                </c:pt>
                <c:pt idx="6">
                  <c:v>1.5069889227755866</c:v>
                </c:pt>
                <c:pt idx="7">
                  <c:v>1.3940858011621824</c:v>
                </c:pt>
                <c:pt idx="8">
                  <c:v>1.314354026365615</c:v>
                </c:pt>
                <c:pt idx="9">
                  <c:v>1.2677921228350717</c:v>
                </c:pt>
                <c:pt idx="10">
                  <c:v>1.2543985257888999</c:v>
                </c:pt>
                <c:pt idx="11">
                  <c:v>1.2741715749803675</c:v>
                </c:pt>
                <c:pt idx="12">
                  <c:v>1.3271095079621393</c:v>
                </c:pt>
                <c:pt idx="13">
                  <c:v>1.4132104528034888</c:v>
                </c:pt>
                <c:pt idx="14">
                  <c:v>1.532472420209644</c:v>
                </c:pt>
                <c:pt idx="15">
                  <c:v>1.6807241748512225</c:v>
                </c:pt>
                <c:pt idx="16">
                  <c:v>1.5883262359285681</c:v>
                </c:pt>
                <c:pt idx="17">
                  <c:v>1.529079253760365</c:v>
                </c:pt>
                <c:pt idx="18">
                  <c:v>1.5029805221431927</c:v>
                </c:pt>
                <c:pt idx="19">
                  <c:v>1.5100271578092983</c:v>
                </c:pt>
                <c:pt idx="20">
                  <c:v>1.5502160868926971</c:v>
                </c:pt>
                <c:pt idx="21">
                  <c:v>1.6235440301978246</c:v>
                </c:pt>
                <c:pt idx="22">
                  <c:v>1.4919329633239791</c:v>
                </c:pt>
                <c:pt idx="23">
                  <c:v>1.3567200237562249</c:v>
                </c:pt>
                <c:pt idx="24">
                  <c:v>1.2547769821099541</c:v>
                </c:pt>
                <c:pt idx="25">
                  <c:v>1.186107471014493</c:v>
                </c:pt>
                <c:pt idx="26">
                  <c:v>1.1507153574434457</c:v>
                </c:pt>
                <c:pt idx="27">
                  <c:v>1.1486047610928765</c:v>
                </c:pt>
                <c:pt idx="28">
                  <c:v>0.82992911873923758</c:v>
                </c:pt>
                <c:pt idx="29">
                  <c:v>0.61215312221290163</c:v>
                </c:pt>
                <c:pt idx="30">
                  <c:v>0.42746165260621743</c:v>
                </c:pt>
                <c:pt idx="31">
                  <c:v>0.27584750462236085</c:v>
                </c:pt>
                <c:pt idx="32">
                  <c:v>0.15730293088102959</c:v>
                </c:pt>
                <c:pt idx="33">
                  <c:v>7.1819593617756944E-2</c:v>
                </c:pt>
                <c:pt idx="34">
                  <c:v>1.9388511362845442E-2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(3pt)'!$BL$3:$BL$93</c:f>
              <c:numCache>
                <c:formatCode>_(* #,##0.00_);_(* \(#,##0.00\);_(* "-"??_);_(@_)</c:formatCode>
                <c:ptCount val="91"/>
                <c:pt idx="0">
                  <c:v>1.8212895035029379</c:v>
                </c:pt>
                <c:pt idx="1">
                  <c:v>1.615395200139409</c:v>
                </c:pt>
                <c:pt idx="2">
                  <c:v>1.4321871239879573</c:v>
                </c:pt>
                <c:pt idx="3">
                  <c:v>1.2716641088863969</c:v>
                </c:pt>
                <c:pt idx="4">
                  <c:v>1.1338249224586365</c:v>
                </c:pt>
                <c:pt idx="5">
                  <c:v>1.0186682617722898</c:v>
                </c:pt>
                <c:pt idx="6">
                  <c:v>0.9261927486687318</c:v>
                </c:pt>
                <c:pt idx="7">
                  <c:v>0.85639692473737017</c:v>
                </c:pt>
                <c:pt idx="8">
                  <c:v>0.80927924590332345</c:v>
                </c:pt>
                <c:pt idx="9">
                  <c:v>0.78483807659459393</c:v>
                </c:pt>
                <c:pt idx="10">
                  <c:v>0.78307168345154821</c:v>
                </c:pt>
                <c:pt idx="11">
                  <c:v>0.803978228537651</c:v>
                </c:pt>
                <c:pt idx="12">
                  <c:v>0.84755576200651517</c:v>
                </c:pt>
                <c:pt idx="13">
                  <c:v>0.9138022141754405</c:v>
                </c:pt>
                <c:pt idx="14">
                  <c:v>1.0027153869507435</c:v>
                </c:pt>
                <c:pt idx="15">
                  <c:v>1.1124708975550426</c:v>
                </c:pt>
                <c:pt idx="16">
                  <c:v>1.0540288134757787</c:v>
                </c:pt>
                <c:pt idx="17">
                  <c:v>1.018244544181752</c:v>
                </c:pt>
                <c:pt idx="18">
                  <c:v>1.005115209400973</c:v>
                </c:pt>
                <c:pt idx="19">
                  <c:v>1.0146377414979073</c:v>
                </c:pt>
                <c:pt idx="20">
                  <c:v>1.046808871199568</c:v>
                </c:pt>
                <c:pt idx="21">
                  <c:v>1.1016251120613847</c:v>
                </c:pt>
                <c:pt idx="22">
                  <c:v>1.029013398691863</c:v>
                </c:pt>
                <c:pt idx="23">
                  <c:v>0.93960924960560077</c:v>
                </c:pt>
                <c:pt idx="24">
                  <c:v>0.87298298543540698</c:v>
                </c:pt>
                <c:pt idx="25">
                  <c:v>0.82913810674496735</c:v>
                </c:pt>
                <c:pt idx="26">
                  <c:v>0.80807833992256972</c:v>
                </c:pt>
                <c:pt idx="27">
                  <c:v>0.80980765489113915</c:v>
                </c:pt>
                <c:pt idx="28">
                  <c:v>0.57293830310455818</c:v>
                </c:pt>
                <c:pt idx="29">
                  <c:v>0.42334354337925972</c:v>
                </c:pt>
                <c:pt idx="30">
                  <c:v>0.29634388952729934</c:v>
                </c:pt>
                <c:pt idx="31">
                  <c:v>0.19193213625185337</c:v>
                </c:pt>
                <c:pt idx="32">
                  <c:v>0.11010053617261906</c:v>
                </c:pt>
                <c:pt idx="33">
                  <c:v>5.084075152513004E-2</c:v>
                </c:pt>
                <c:pt idx="34">
                  <c:v>1.4143800839688723E-2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(3pt)'!$BR$3:$BR$93</c:f>
              <c:numCache>
                <c:formatCode>_(* #,##0.00_);_(* \(#,##0.00\);_(* "-"??_);_(@_)</c:formatCode>
                <c:ptCount val="91"/>
                <c:pt idx="0">
                  <c:v>0.66533988542339995</c:v>
                </c:pt>
                <c:pt idx="1">
                  <c:v>0.57391479111987798</c:v>
                </c:pt>
                <c:pt idx="2">
                  <c:v>0.49399478109875994</c:v>
                </c:pt>
                <c:pt idx="3">
                  <c:v>0.42557862094647908</c:v>
                </c:pt>
                <c:pt idx="4">
                  <c:v>0.36866500660602147</c:v>
                </c:pt>
                <c:pt idx="5">
                  <c:v>0.3232525598256516</c:v>
                </c:pt>
                <c:pt idx="6">
                  <c:v>0.28933982326504182</c:v>
                </c:pt>
                <c:pt idx="7">
                  <c:v>0.26692525522944077</c:v>
                </c:pt>
                <c:pt idx="8">
                  <c:v>0.2560072239996144</c:v>
                </c:pt>
                <c:pt idx="9">
                  <c:v>0.25658400172220414</c:v>
                </c:pt>
                <c:pt idx="10">
                  <c:v>0.2686537578216418</c:v>
                </c:pt>
                <c:pt idx="11">
                  <c:v>0.29221455189086171</c:v>
                </c:pt>
                <c:pt idx="12">
                  <c:v>0.32726432601377137</c:v>
                </c:pt>
                <c:pt idx="13">
                  <c:v>0.37380089646762882</c:v>
                </c:pt>
                <c:pt idx="14">
                  <c:v>0.43182194474814073</c:v>
                </c:pt>
                <c:pt idx="15">
                  <c:v>0.50085647615653195</c:v>
                </c:pt>
                <c:pt idx="16">
                  <c:v>0.479576008392468</c:v>
                </c:pt>
                <c:pt idx="17">
                  <c:v>0.46977178157904131</c:v>
                </c:pt>
                <c:pt idx="18">
                  <c:v>0.47144081506201674</c:v>
                </c:pt>
                <c:pt idx="19">
                  <c:v>0.48457993488424422</c:v>
                </c:pt>
                <c:pt idx="20">
                  <c:v>0.50918575908499619</c:v>
                </c:pt>
                <c:pt idx="21">
                  <c:v>0.54525468170289326</c:v>
                </c:pt>
                <c:pt idx="22">
                  <c:v>0.53469565606113212</c:v>
                </c:pt>
                <c:pt idx="23">
                  <c:v>0.49460706617677164</c:v>
                </c:pt>
                <c:pt idx="24">
                  <c:v>0.46611543842719932</c:v>
                </c:pt>
                <c:pt idx="25">
                  <c:v>0.44922419721619739</c:v>
                </c:pt>
                <c:pt idx="26">
                  <c:v>0.44393698785900471</c:v>
                </c:pt>
                <c:pt idx="27">
                  <c:v>0.45025769390704401</c:v>
                </c:pt>
                <c:pt idx="28">
                  <c:v>0.29904231601138881</c:v>
                </c:pt>
                <c:pt idx="29">
                  <c:v>0.22211383857611486</c:v>
                </c:pt>
                <c:pt idx="30">
                  <c:v>0.15660103896955985</c:v>
                </c:pt>
                <c:pt idx="31">
                  <c:v>0.10249671189490006</c:v>
                </c:pt>
                <c:pt idx="32">
                  <c:v>5.9793109971832854E-2</c:v>
                </c:pt>
                <c:pt idx="33">
                  <c:v>2.8481895435891729E-2</c:v>
                </c:pt>
                <c:pt idx="34">
                  <c:v>8.5540868173791442E-3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xVal>
            <c:strRef>
              <c:f>'Alternative 3'!$F$4:$F$93</c:f>
              <c:strCache>
                <c:ptCount val="9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x</c:v>
                </c:pt>
                <c:pt idx="36">
                  <c:v>x</c:v>
                </c:pt>
                <c:pt idx="37">
                  <c:v>x</c:v>
                </c:pt>
                <c:pt idx="38">
                  <c:v>x</c:v>
                </c:pt>
                <c:pt idx="39">
                  <c:v>x</c:v>
                </c:pt>
                <c:pt idx="40">
                  <c:v>x</c:v>
                </c:pt>
                <c:pt idx="41">
                  <c:v>x</c:v>
                </c:pt>
                <c:pt idx="42">
                  <c:v>x</c:v>
                </c:pt>
                <c:pt idx="43">
                  <c:v>x</c:v>
                </c:pt>
                <c:pt idx="44">
                  <c:v>x</c:v>
                </c:pt>
                <c:pt idx="45">
                  <c:v>x</c:v>
                </c:pt>
                <c:pt idx="46">
                  <c:v>x</c:v>
                </c:pt>
                <c:pt idx="47">
                  <c:v>x</c:v>
                </c:pt>
                <c:pt idx="48">
                  <c:v>x</c:v>
                </c:pt>
                <c:pt idx="49">
                  <c:v>x</c:v>
                </c:pt>
                <c:pt idx="50">
                  <c:v>x</c:v>
                </c:pt>
                <c:pt idx="51">
                  <c:v>x</c:v>
                </c:pt>
                <c:pt idx="52">
                  <c:v>x</c:v>
                </c:pt>
                <c:pt idx="53">
                  <c:v>x</c:v>
                </c:pt>
                <c:pt idx="54">
                  <c:v>x</c:v>
                </c:pt>
                <c:pt idx="55">
                  <c:v>x</c:v>
                </c:pt>
                <c:pt idx="56">
                  <c:v>x</c:v>
                </c:pt>
                <c:pt idx="57">
                  <c:v>x</c:v>
                </c:pt>
                <c:pt idx="58">
                  <c:v>x</c:v>
                </c:pt>
                <c:pt idx="59">
                  <c:v>x</c:v>
                </c:pt>
                <c:pt idx="60">
                  <c:v>x</c:v>
                </c:pt>
                <c:pt idx="61">
                  <c:v>x</c:v>
                </c:pt>
                <c:pt idx="62">
                  <c:v>x</c:v>
                </c:pt>
                <c:pt idx="63">
                  <c:v>x</c:v>
                </c:pt>
                <c:pt idx="64">
                  <c:v>x</c:v>
                </c:pt>
                <c:pt idx="65">
                  <c:v>x</c:v>
                </c:pt>
                <c:pt idx="66">
                  <c:v>x</c:v>
                </c:pt>
                <c:pt idx="67">
                  <c:v>x</c:v>
                </c:pt>
                <c:pt idx="68">
                  <c:v>x</c:v>
                </c:pt>
                <c:pt idx="69">
                  <c:v>x</c:v>
                </c:pt>
                <c:pt idx="70">
                  <c:v>x</c:v>
                </c:pt>
                <c:pt idx="71">
                  <c:v>x</c:v>
                </c:pt>
                <c:pt idx="72">
                  <c:v>x</c:v>
                </c:pt>
                <c:pt idx="73">
                  <c:v>x</c:v>
                </c:pt>
                <c:pt idx="74">
                  <c:v>x</c:v>
                </c:pt>
                <c:pt idx="75">
                  <c:v>x</c:v>
                </c:pt>
                <c:pt idx="76">
                  <c:v>x</c:v>
                </c:pt>
                <c:pt idx="77">
                  <c:v>x</c:v>
                </c:pt>
                <c:pt idx="78">
                  <c:v>x</c:v>
                </c:pt>
                <c:pt idx="79">
                  <c:v>x</c:v>
                </c:pt>
                <c:pt idx="80">
                  <c:v>x</c:v>
                </c:pt>
                <c:pt idx="81">
                  <c:v>x</c:v>
                </c:pt>
                <c:pt idx="82">
                  <c:v>x</c:v>
                </c:pt>
                <c:pt idx="83">
                  <c:v>x</c:v>
                </c:pt>
                <c:pt idx="84">
                  <c:v>x</c:v>
                </c:pt>
                <c:pt idx="85">
                  <c:v>x</c:v>
                </c:pt>
                <c:pt idx="86">
                  <c:v>x</c:v>
                </c:pt>
                <c:pt idx="87">
                  <c:v>x</c:v>
                </c:pt>
                <c:pt idx="88">
                  <c:v>x</c:v>
                </c:pt>
                <c:pt idx="89">
                  <c:v>x</c:v>
                </c:pt>
              </c:strCache>
            </c:strRef>
          </c:xVal>
          <c:yVal>
            <c:numRef>
              <c:f>'Alternative 3-Tilt Up (3pt)'!$BX$3:$BX$93</c:f>
              <c:numCache>
                <c:formatCode>_(* #,##0.00_);_(* \(#,##0.00\);_(* "-"??_);_(@_)</c:formatCode>
                <c:ptCount val="91"/>
                <c:pt idx="0">
                  <c:v>4.3706933361151591E-2</c:v>
                </c:pt>
                <c:pt idx="1">
                  <c:v>4.3306325615525651E-2</c:v>
                </c:pt>
                <c:pt idx="2">
                  <c:v>4.2880454750300306E-2</c:v>
                </c:pt>
                <c:pt idx="3">
                  <c:v>4.2428062726077118E-2</c:v>
                </c:pt>
                <c:pt idx="4">
                  <c:v>4.1947820672833529E-2</c:v>
                </c:pt>
                <c:pt idx="5">
                  <c:v>4.1438324266345368E-2</c:v>
                </c:pt>
                <c:pt idx="6">
                  <c:v>4.0898088756821938E-2</c:v>
                </c:pt>
                <c:pt idx="7">
                  <c:v>4.0325543619937829E-2</c:v>
                </c:pt>
                <c:pt idx="8">
                  <c:v>3.9719026797563034E-2</c:v>
                </c:pt>
                <c:pt idx="9">
                  <c:v>3.9076778492300727E-2</c:v>
                </c:pt>
                <c:pt idx="10">
                  <c:v>3.8396934476400323E-2</c:v>
                </c:pt>
                <c:pt idx="11">
                  <c:v>3.7677518871681942E-2</c:v>
                </c:pt>
                <c:pt idx="12">
                  <c:v>3.6916436352739147E-2</c:v>
                </c:pt>
                <c:pt idx="13">
                  <c:v>3.6111463720825146E-2</c:v>
                </c:pt>
                <c:pt idx="14">
                  <c:v>3.5260240790412636E-2</c:v>
                </c:pt>
                <c:pt idx="15">
                  <c:v>3.4360260524379599E-2</c:v>
                </c:pt>
                <c:pt idx="16">
                  <c:v>3.3400617599330745E-2</c:v>
                </c:pt>
                <c:pt idx="17">
                  <c:v>3.2386719061238689E-2</c:v>
                </c:pt>
                <c:pt idx="18">
                  <c:v>3.1315549507636313E-2</c:v>
                </c:pt>
                <c:pt idx="19">
                  <c:v>3.0183898177173339E-2</c:v>
                </c:pt>
                <c:pt idx="20">
                  <c:v>2.8988344101230964E-2</c:v>
                </c:pt>
                <c:pt idx="21">
                  <c:v>2.7725239946592452E-2</c:v>
                </c:pt>
                <c:pt idx="22">
                  <c:v>7.1099412359635239E-2</c:v>
                </c:pt>
                <c:pt idx="23">
                  <c:v>7.2875054482736262E-2</c:v>
                </c:pt>
                <c:pt idx="24">
                  <c:v>7.4717387545006383E-2</c:v>
                </c:pt>
                <c:pt idx="25">
                  <c:v>7.6629809586780728E-2</c:v>
                </c:pt>
                <c:pt idx="26">
                  <c:v>7.8615937859120966E-2</c:v>
                </c:pt>
                <c:pt idx="27">
                  <c:v>8.0679626015163916E-2</c:v>
                </c:pt>
                <c:pt idx="28">
                  <c:v>1.6563348429498234E-2</c:v>
                </c:pt>
                <c:pt idx="29">
                  <c:v>1.4578270556766738E-2</c:v>
                </c:pt>
                <c:pt idx="30">
                  <c:v>1.2479116733901388E-2</c:v>
                </c:pt>
                <c:pt idx="31">
                  <c:v>1.0258681664078661E-2</c:v>
                </c:pt>
                <c:pt idx="32">
                  <c:v>7.9092179669958216E-3</c:v>
                </c:pt>
                <c:pt idx="33">
                  <c:v>5.4223878781863785E-3</c:v>
                </c:pt>
                <c:pt idx="34">
                  <c:v>2.7892099279528074E-3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013376"/>
        <c:axId val="102695680"/>
      </c:scatterChart>
      <c:valAx>
        <c:axId val="1030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695680"/>
        <c:crosses val="autoZero"/>
        <c:crossBetween val="midCat"/>
      </c:valAx>
      <c:valAx>
        <c:axId val="102695680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30133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'ALTERNATIVE SUMMARY'!$B$86</c:f>
              <c:strCache>
                <c:ptCount val="1"/>
                <c:pt idx="0">
                  <c:v>Max Stress </c:v>
                </c:pt>
              </c:strCache>
            </c:strRef>
          </c:tx>
          <c:invertIfNegative val="0"/>
          <c:cat>
            <c:strRef>
              <c:f>'ALTERNATIVE SUMMARY'!$C$85:$H$85</c:f>
              <c:strCache>
                <c:ptCount val="5"/>
                <c:pt idx="0">
                  <c:v>Alternative 1</c:v>
                </c:pt>
                <c:pt idx="2">
                  <c:v>Alternative 2</c:v>
                </c:pt>
                <c:pt idx="4">
                  <c:v>Alternative 3</c:v>
                </c:pt>
              </c:strCache>
            </c:strRef>
          </c:cat>
          <c:val>
            <c:numRef>
              <c:f>'ALTERNATIVE SUMMARY'!$C$86:$H$86</c:f>
              <c:numCache>
                <c:formatCode>General</c:formatCode>
                <c:ptCount val="6"/>
                <c:pt idx="0" formatCode="_(* #,##0.00_);_(* \(#,##0.00\);_(* &quot;-&quot;??_);_(@_)">
                  <c:v>10.121945882682787</c:v>
                </c:pt>
                <c:pt idx="2" formatCode="_(* #,##0.00_);_(* \(#,##0.00\);_(* &quot;-&quot;??_);_(@_)">
                  <c:v>3.5684221951960651</c:v>
                </c:pt>
                <c:pt idx="4" formatCode="_(* #,##0.00_);_(* \(#,##0.00\);_(* &quot;-&quot;??_);_(@_)">
                  <c:v>7.9403441240248389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719488"/>
        <c:axId val="102721024"/>
      </c:barChart>
      <c:catAx>
        <c:axId val="1027194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721024"/>
        <c:crosses val="autoZero"/>
        <c:auto val="1"/>
        <c:lblAlgn val="ctr"/>
        <c:lblOffset val="100"/>
        <c:noMultiLvlLbl val="0"/>
      </c:catAx>
      <c:valAx>
        <c:axId val="102721024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1027194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 2</a:t>
            </a:r>
            <a:r>
              <a:rPr lang="en-US"/>
              <a:t>: </a:t>
            </a:r>
            <a:r>
              <a:rPr lang="en-US" sz="1800" b="1" i="0" u="none" strike="noStrike" baseline="0">
                <a:effectLst/>
              </a:rPr>
              <a:t>Allowable Local Buckling </a:t>
            </a:r>
            <a:r>
              <a:rPr lang="en-US"/>
              <a:t> vs </a:t>
            </a:r>
            <a:r>
              <a:rPr lang="en-US" baseline="0"/>
              <a:t> Calculated O</a:t>
            </a:r>
            <a:r>
              <a:rPr lang="en-US"/>
              <a:t>peration Stresses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Allowable Local Buckling</c:v>
          </c:tx>
          <c:spPr>
            <a:ln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'Alternative 2'!$E$4:$E$70</c:f>
            </c:numRef>
          </c:xVal>
          <c:yVal>
            <c:numRef>
              <c:f>'Local Buckling'!$AH$4:$AH$93</c:f>
              <c:numCache>
                <c:formatCode>General</c:formatCode>
                <c:ptCount val="90"/>
                <c:pt idx="0">
                  <c:v>171.85750321098621</c:v>
                </c:pt>
                <c:pt idx="1">
                  <c:v>172.36954887411781</c:v>
                </c:pt>
                <c:pt idx="2">
                  <c:v>172.89711107249585</c:v>
                </c:pt>
                <c:pt idx="3">
                  <c:v>173.44090595390088</c:v>
                </c:pt>
                <c:pt idx="4">
                  <c:v>174.00169442534983</c:v>
                </c:pt>
                <c:pt idx="5">
                  <c:v>174.5802857054162</c:v>
                </c:pt>
                <c:pt idx="6">
                  <c:v>175.17754122032341</c:v>
                </c:pt>
                <c:pt idx="7">
                  <c:v>175.79437888326038</c:v>
                </c:pt>
                <c:pt idx="8">
                  <c:v>176.43177780162856</c:v>
                </c:pt>
                <c:pt idx="9">
                  <c:v>177.09078346299228</c:v>
                </c:pt>
                <c:pt idx="10">
                  <c:v>177.77251345750648</c:v>
                </c:pt>
                <c:pt idx="11">
                  <c:v>178.47816380270541</c:v>
                </c:pt>
                <c:pt idx="12">
                  <c:v>179.20901594594713</c:v>
                </c:pt>
                <c:pt idx="13">
                  <c:v>179.96644453076129</c:v>
                </c:pt>
                <c:pt idx="14">
                  <c:v>180.75192602612412</c:v>
                </c:pt>
                <c:pt idx="15">
                  <c:v>181.56704833263271</c:v>
                </c:pt>
                <c:pt idx="16">
                  <c:v>182.41352149708393</c:v>
                </c:pt>
                <c:pt idx="17">
                  <c:v>183.29318968759208</c:v>
                </c:pt>
                <c:pt idx="18">
                  <c:v>184.20804460572054</c:v>
                </c:pt>
                <c:pt idx="19">
                  <c:v>185.16024054091548</c:v>
                </c:pt>
                <c:pt idx="20">
                  <c:v>186.15211130674354</c:v>
                </c:pt>
                <c:pt idx="21">
                  <c:v>187.18618933920257</c:v>
                </c:pt>
                <c:pt idx="22">
                  <c:v>188.26522728611636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Calculated Combined Stresses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'Alternative 2'!$E$4:$E$70</c:f>
            </c:numRef>
          </c:xVal>
          <c:yVal>
            <c:numRef>
              <c:f>'Combined Stress'!$AG$3:$AG$92</c:f>
              <c:numCache>
                <c:formatCode>#,##0.00</c:formatCode>
                <c:ptCount val="90"/>
                <c:pt idx="0">
                  <c:v>8.8763716305287499</c:v>
                </c:pt>
                <c:pt idx="1">
                  <c:v>8.5039029901314347</c:v>
                </c:pt>
                <c:pt idx="2">
                  <c:v>8.1314490243149002</c:v>
                </c:pt>
                <c:pt idx="3">
                  <c:v>7.7590096886665592</c:v>
                </c:pt>
                <c:pt idx="4">
                  <c:v>7.3865848901869509</c:v>
                </c:pt>
                <c:pt idx="5">
                  <c:v>7.0141744797401167</c:v>
                </c:pt>
                <c:pt idx="6">
                  <c:v>6.6417782434101804</c:v>
                </c:pt>
                <c:pt idx="7">
                  <c:v>6.2693958925962336</c:v>
                </c:pt>
                <c:pt idx="8">
                  <c:v>5.8970270526495252</c:v>
                </c:pt>
                <c:pt idx="9">
                  <c:v>5.5246712498236272</c:v>
                </c:pt>
                <c:pt idx="10">
                  <c:v>5.1523278962687478</c:v>
                </c:pt>
                <c:pt idx="11">
                  <c:v>4.7799962727542491</c:v>
                </c:pt>
                <c:pt idx="12">
                  <c:v>4.4076755087473565</c:v>
                </c:pt>
                <c:pt idx="13">
                  <c:v>4.0353645594088405</c:v>
                </c:pt>
                <c:pt idx="14">
                  <c:v>3.6630621789858915</c:v>
                </c:pt>
                <c:pt idx="15">
                  <c:v>3.2907668899854965</c:v>
                </c:pt>
                <c:pt idx="16">
                  <c:v>2.9184769473946575</c:v>
                </c:pt>
                <c:pt idx="17">
                  <c:v>2.546190297072183</c:v>
                </c:pt>
                <c:pt idx="18">
                  <c:v>2.1739045272648987</c:v>
                </c:pt>
                <c:pt idx="19">
                  <c:v>1.8016168119916087</c:v>
                </c:pt>
                <c:pt idx="20">
                  <c:v>1.42932384478202</c:v>
                </c:pt>
                <c:pt idx="21">
                  <c:v>1.0570217609435106</c:v>
                </c:pt>
                <c:pt idx="22">
                  <c:v>0.68470604614148467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29984"/>
        <c:axId val="102753408"/>
      </c:scatterChart>
      <c:valAx>
        <c:axId val="10272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753408"/>
        <c:crosses val="autoZero"/>
        <c:crossBetween val="midCat"/>
      </c:valAx>
      <c:valAx>
        <c:axId val="10275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72998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 3:</a:t>
            </a:r>
            <a:r>
              <a:rPr lang="en-US"/>
              <a:t> </a:t>
            </a:r>
            <a:r>
              <a:rPr lang="en-US" sz="1800" b="1" i="0" u="none" strike="noStrike" baseline="0">
                <a:effectLst/>
              </a:rPr>
              <a:t>Allowable Local Buckling </a:t>
            </a:r>
            <a:r>
              <a:rPr lang="en-US"/>
              <a:t> vs </a:t>
            </a:r>
            <a:r>
              <a:rPr lang="en-US" baseline="0"/>
              <a:t> Calculated O</a:t>
            </a:r>
            <a:r>
              <a:rPr lang="en-US"/>
              <a:t>peration Stresses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Allowable Local Buckling</c:v>
          </c:tx>
          <c:spPr>
            <a:ln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'Alternative 3'!$E$4:$E$70</c:f>
            </c:numRef>
          </c:xVal>
          <c:yVal>
            <c:numRef>
              <c:f>'Local Buckling'!$AN$4:$AN$93</c:f>
              <c:numCache>
                <c:formatCode>General</c:formatCode>
                <c:ptCount val="90"/>
                <c:pt idx="0">
                  <c:v>159.81236797857463</c:v>
                </c:pt>
                <c:pt idx="1">
                  <c:v>160.02850316495721</c:v>
                </c:pt>
                <c:pt idx="2">
                  <c:v>160.24887629617083</c:v>
                </c:pt>
                <c:pt idx="3">
                  <c:v>160.4736132517649</c:v>
                </c:pt>
                <c:pt idx="4">
                  <c:v>160.70284494647086</c:v>
                </c:pt>
                <c:pt idx="5">
                  <c:v>160.93670758450423</c:v>
                </c:pt>
                <c:pt idx="6">
                  <c:v>161.17534292943623</c:v>
                </c:pt>
                <c:pt idx="7">
                  <c:v>161.41889859075857</c:v>
                </c:pt>
                <c:pt idx="8">
                  <c:v>161.66752832835846</c:v>
                </c:pt>
                <c:pt idx="9">
                  <c:v>161.92139237622362</c:v>
                </c:pt>
                <c:pt idx="10">
                  <c:v>162.18065778680932</c:v>
                </c:pt>
                <c:pt idx="11">
                  <c:v>162.44549879762263</c:v>
                </c:pt>
                <c:pt idx="12">
                  <c:v>162.71609722171453</c:v>
                </c:pt>
                <c:pt idx="13">
                  <c:v>162.99264286391835</c:v>
                </c:pt>
                <c:pt idx="14">
                  <c:v>163.27533396483778</c:v>
                </c:pt>
                <c:pt idx="15">
                  <c:v>163.56437767476663</c:v>
                </c:pt>
                <c:pt idx="16">
                  <c:v>163.85999055992119</c:v>
                </c:pt>
                <c:pt idx="17">
                  <c:v>164.16239914358499</c:v>
                </c:pt>
                <c:pt idx="18">
                  <c:v>164.47184048500844</c:v>
                </c:pt>
                <c:pt idx="19">
                  <c:v>164.78856279917125</c:v>
                </c:pt>
                <c:pt idx="20">
                  <c:v>165.11282612081416</c:v>
                </c:pt>
                <c:pt idx="21">
                  <c:v>165.44490301647252</c:v>
                </c:pt>
                <c:pt idx="22">
                  <c:v>165.7850793486104</c:v>
                </c:pt>
                <c:pt idx="23">
                  <c:v>166.13365509635659</c:v>
                </c:pt>
                <c:pt idx="24">
                  <c:v>166.49094523779641</c:v>
                </c:pt>
                <c:pt idx="25">
                  <c:v>166.85728069927274</c:v>
                </c:pt>
                <c:pt idx="26">
                  <c:v>167.23300937770998</c:v>
                </c:pt>
                <c:pt idx="27">
                  <c:v>167.61849724260009</c:v>
                </c:pt>
                <c:pt idx="28">
                  <c:v>168.01412952498737</c:v>
                </c:pt>
                <c:pt idx="29">
                  <c:v>168.4203120015716</c:v>
                </c:pt>
                <c:pt idx="30">
                  <c:v>168.83747238292838</c:v>
                </c:pt>
                <c:pt idx="31">
                  <c:v>169.2660618158292</c:v>
                </c:pt>
                <c:pt idx="32">
                  <c:v>169.70655651075506</c:v>
                </c:pt>
                <c:pt idx="33">
                  <c:v>170.15945950694643</c:v>
                </c:pt>
                <c:pt idx="34">
                  <c:v>170.62530258874327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Calculated Combined Stresses</c:v>
          </c:tx>
          <c:spPr>
            <a:ln w="38100"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xVal>
            <c:numRef>
              <c:f>'Alternative 3'!$E$4:$E$70</c:f>
            </c:numRef>
          </c:xVal>
          <c:yVal>
            <c:numRef>
              <c:f>'Combined Stress'!$AR$3:$AR$92</c:f>
              <c:numCache>
                <c:formatCode>#,##0.00</c:formatCode>
                <c:ptCount val="90"/>
                <c:pt idx="0">
                  <c:v>77.690455933849734</c:v>
                </c:pt>
                <c:pt idx="1">
                  <c:v>75.388623734559246</c:v>
                </c:pt>
                <c:pt idx="2">
                  <c:v>73.109702412342131</c:v>
                </c:pt>
                <c:pt idx="3">
                  <c:v>70.853494633255323</c:v>
                </c:pt>
                <c:pt idx="4">
                  <c:v>68.60860661248033</c:v>
                </c:pt>
                <c:pt idx="5">
                  <c:v>66.363745218306462</c:v>
                </c:pt>
                <c:pt idx="6">
                  <c:v>64.118911357436644</c:v>
                </c:pt>
                <c:pt idx="7">
                  <c:v>61.874105977780012</c:v>
                </c:pt>
                <c:pt idx="8">
                  <c:v>59.629330070798879</c:v>
                </c:pt>
                <c:pt idx="9">
                  <c:v>57.384584674016772</c:v>
                </c:pt>
                <c:pt idx="10">
                  <c:v>55.139870873700559</c:v>
                </c:pt>
                <c:pt idx="11">
                  <c:v>52.895189807730581</c:v>
                </c:pt>
                <c:pt idx="12">
                  <c:v>50.650542668674504</c:v>
                </c:pt>
                <c:pt idx="13">
                  <c:v>48.405930707081907</c:v>
                </c:pt>
                <c:pt idx="14">
                  <c:v>46.161355235017687</c:v>
                </c:pt>
                <c:pt idx="15">
                  <c:v>43.916817629855359</c:v>
                </c:pt>
                <c:pt idx="16">
                  <c:v>41.672319338351919</c:v>
                </c:pt>
                <c:pt idx="17">
                  <c:v>39.427861881029358</c:v>
                </c:pt>
                <c:pt idx="18">
                  <c:v>37.183446856889553</c:v>
                </c:pt>
                <c:pt idx="19">
                  <c:v>34.939075948492473</c:v>
                </c:pt>
                <c:pt idx="20">
                  <c:v>32.694750927430455</c:v>
                </c:pt>
                <c:pt idx="21">
                  <c:v>30.450473660234785</c:v>
                </c:pt>
                <c:pt idx="22">
                  <c:v>28.20624611475488</c:v>
                </c:pt>
                <c:pt idx="23">
                  <c:v>25.962070367054014</c:v>
                </c:pt>
                <c:pt idx="24">
                  <c:v>23.717948608871112</c:v>
                </c:pt>
                <c:pt idx="25">
                  <c:v>21.473883155702953</c:v>
                </c:pt>
                <c:pt idx="26">
                  <c:v>19.2298764555673</c:v>
                </c:pt>
                <c:pt idx="27">
                  <c:v>16.985931098514438</c:v>
                </c:pt>
                <c:pt idx="28">
                  <c:v>14.742049826962099</c:v>
                </c:pt>
                <c:pt idx="29">
                  <c:v>12.498235546937501</c:v>
                </c:pt>
                <c:pt idx="30">
                  <c:v>10.254491340319987</c:v>
                </c:pt>
                <c:pt idx="31">
                  <c:v>8.0108204781888723</c:v>
                </c:pt>
                <c:pt idx="32">
                  <c:v>5.7672264353937592</c:v>
                </c:pt>
                <c:pt idx="33">
                  <c:v>3.5237129064787762</c:v>
                </c:pt>
                <c:pt idx="34">
                  <c:v>1.2802838231086395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7328"/>
        <c:axId val="102794368"/>
      </c:scatterChart>
      <c:valAx>
        <c:axId val="10278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794368"/>
        <c:crosses val="autoZero"/>
        <c:crossBetween val="midCat"/>
      </c:valAx>
      <c:valAx>
        <c:axId val="10279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02787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pt)'!$T$3:$T$68</c:f>
              <c:numCache>
                <c:formatCode>_(* #,##0.00_);_(* \(#,##0.00\);_(* "-"??_);_(@_)</c:formatCode>
                <c:ptCount val="66"/>
                <c:pt idx="0">
                  <c:v>38.263879364162207</c:v>
                </c:pt>
                <c:pt idx="1">
                  <c:v>38.660091694743116</c:v>
                </c:pt>
                <c:pt idx="2">
                  <c:v>39.15514741486006</c:v>
                </c:pt>
                <c:pt idx="3">
                  <c:v>39.751003230095471</c:v>
                </c:pt>
                <c:pt idx="4">
                  <c:v>40.449667823518332</c:v>
                </c:pt>
                <c:pt idx="5">
                  <c:v>41.253203592893684</c:v>
                </c:pt>
                <c:pt idx="6">
                  <c:v>42.163728458030782</c:v>
                </c:pt>
                <c:pt idx="7">
                  <c:v>43.183417741595754</c:v>
                </c:pt>
                <c:pt idx="8">
                  <c:v>44.314506126896475</c:v>
                </c:pt>
                <c:pt idx="9">
                  <c:v>45.5592896963404</c:v>
                </c:pt>
                <c:pt idx="10">
                  <c:v>46.920128054469046</c:v>
                </c:pt>
                <c:pt idx="11">
                  <c:v>48.399446539693706</c:v>
                </c:pt>
                <c:pt idx="12">
                  <c:v>49.999738529083793</c:v>
                </c:pt>
                <c:pt idx="13">
                  <c:v>51.723567840809828</c:v>
                </c:pt>
                <c:pt idx="14">
                  <c:v>53.573571239100822</c:v>
                </c:pt>
                <c:pt idx="15">
                  <c:v>55.552461046857218</c:v>
                </c:pt>
                <c:pt idx="16">
                  <c:v>57.663027871355332</c:v>
                </c:pt>
                <c:pt idx="17">
                  <c:v>59.90814344879675</c:v>
                </c:pt>
                <c:pt idx="18">
                  <c:v>62.290763613791768</c:v>
                </c:pt>
                <c:pt idx="19">
                  <c:v>64.81393140022621</c:v>
                </c:pt>
                <c:pt idx="20">
                  <c:v>67.480780280343566</c:v>
                </c:pt>
                <c:pt idx="21">
                  <c:v>70.294537549284016</c:v>
                </c:pt>
                <c:pt idx="22">
                  <c:v>73.258527862758271</c:v>
                </c:pt>
                <c:pt idx="23">
                  <c:v>76.376176936001244</c:v>
                </c:pt>
                <c:pt idx="24">
                  <c:v>79.651015412649372</c:v>
                </c:pt>
                <c:pt idx="25">
                  <c:v>83.086682912718857</c:v>
                </c:pt>
                <c:pt idx="26">
                  <c:v>86.6869322694332</c:v>
                </c:pt>
                <c:pt idx="27">
                  <c:v>85.206840988390226</c:v>
                </c:pt>
                <c:pt idx="28">
                  <c:v>81.534449549087952</c:v>
                </c:pt>
                <c:pt idx="29">
                  <c:v>77.917281411836356</c:v>
                </c:pt>
                <c:pt idx="30">
                  <c:v>74.356666557026273</c:v>
                </c:pt>
                <c:pt idx="31">
                  <c:v>70.853978021920014</c:v>
                </c:pt>
                <c:pt idx="32">
                  <c:v>67.410633657352804</c:v>
                </c:pt>
                <c:pt idx="33">
                  <c:v>64.028097971150643</c:v>
                </c:pt>
                <c:pt idx="34">
                  <c:v>60.707884063300085</c:v>
                </c:pt>
                <c:pt idx="35">
                  <c:v>57.451555658242668</c:v>
                </c:pt>
                <c:pt idx="36">
                  <c:v>54.26072924002866</c:v>
                </c:pt>
                <c:pt idx="37">
                  <c:v>51.137076296455845</c:v>
                </c:pt>
                <c:pt idx="38">
                  <c:v>48.082325678738755</c:v>
                </c:pt>
                <c:pt idx="39">
                  <c:v>45.098266083707678</c:v>
                </c:pt>
                <c:pt idx="40">
                  <c:v>42.18674866602494</c:v>
                </c:pt>
                <c:pt idx="41">
                  <c:v>39.349689788434183</c:v>
                </c:pt>
                <c:pt idx="42">
                  <c:v>36.589073918627207</c:v>
                </c:pt>
                <c:pt idx="43">
                  <c:v>33.906956681929863</c:v>
                </c:pt>
                <c:pt idx="44">
                  <c:v>31.30546807967281</c:v>
                </c:pt>
                <c:pt idx="45">
                  <c:v>28.786815883835143</c:v>
                </c:pt>
                <c:pt idx="46">
                  <c:v>26.353289219327593</c:v>
                </c:pt>
                <c:pt idx="47">
                  <c:v>24.007262346128826</c:v>
                </c:pt>
                <c:pt idx="48">
                  <c:v>21.751198654404533</c:v>
                </c:pt>
                <c:pt idx="49">
                  <c:v>19.587654886734683</c:v>
                </c:pt>
                <c:pt idx="50">
                  <c:v>17.519285602654797</c:v>
                </c:pt>
                <c:pt idx="51">
                  <c:v>15.548847901892264</c:v>
                </c:pt>
                <c:pt idx="52">
                  <c:v>13.679206423956257</c:v>
                </c:pt>
                <c:pt idx="53">
                  <c:v>11.913338643131238</c:v>
                </c:pt>
                <c:pt idx="54">
                  <c:v>10.254340479439572</c:v>
                </c:pt>
                <c:pt idx="55">
                  <c:v>8.7054322477914567</c:v>
                </c:pt>
                <c:pt idx="56">
                  <c:v>7.2699649693441657</c:v>
                </c:pt>
                <c:pt idx="57">
                  <c:v>5.9514270710623824</c:v>
                </c:pt>
                <c:pt idx="58">
                  <c:v>4.7534515016253263</c:v>
                </c:pt>
                <c:pt idx="59">
                  <c:v>3.679823294182746</c:v>
                </c:pt>
                <c:pt idx="60">
                  <c:v>2.7344876090427479</c:v>
                </c:pt>
                <c:pt idx="61">
                  <c:v>1.9215582922035586</c:v>
                </c:pt>
                <c:pt idx="62">
                  <c:v>1.2453269887455656</c:v>
                </c:pt>
                <c:pt idx="63">
                  <c:v>0.71027285350940061</c:v>
                </c:pt>
                <c:pt idx="64">
                  <c:v>0.32107290523408893</c:v>
                </c:pt>
                <c:pt idx="65">
                  <c:v>8.2613074454304325E-2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pt)'!$Z$3:$Z$68</c:f>
              <c:numCache>
                <c:formatCode>_(* #,##0.00_);_(* \(#,##0.00\);_(* "-"??_);_(@_)</c:formatCode>
                <c:ptCount val="66"/>
                <c:pt idx="0">
                  <c:v>17.282721611295781</c:v>
                </c:pt>
                <c:pt idx="1">
                  <c:v>18.228750275254622</c:v>
                </c:pt>
                <c:pt idx="2">
                  <c:v>19.279423655040986</c:v>
                </c:pt>
                <c:pt idx="3">
                  <c:v>20.436813132364325</c:v>
                </c:pt>
                <c:pt idx="4">
                  <c:v>21.70304511950464</c:v>
                </c:pt>
                <c:pt idx="5">
                  <c:v>23.080302899006121</c:v>
                </c:pt>
                <c:pt idx="6">
                  <c:v>24.57082853766909</c:v>
                </c:pt>
                <c:pt idx="7">
                  <c:v>26.17692487836522</c:v>
                </c:pt>
                <c:pt idx="8">
                  <c:v>27.900957613391782</c:v>
                </c:pt>
                <c:pt idx="9">
                  <c:v>29.745357443287418</c:v>
                </c:pt>
                <c:pt idx="10">
                  <c:v>31.712622325246095</c:v>
                </c:pt>
                <c:pt idx="11">
                  <c:v>33.80531981549931</c:v>
                </c:pt>
                <c:pt idx="12">
                  <c:v>36.026089510279363</c:v>
                </c:pt>
                <c:pt idx="13">
                  <c:v>38.3776455902386</c:v>
                </c:pt>
                <c:pt idx="14">
                  <c:v>40.862779473477183</c:v>
                </c:pt>
                <c:pt idx="15">
                  <c:v>43.48436258262555</c:v>
                </c:pt>
                <c:pt idx="16">
                  <c:v>46.245349231744676</c:v>
                </c:pt>
                <c:pt idx="17">
                  <c:v>49.148779639139988</c:v>
                </c:pt>
                <c:pt idx="18">
                  <c:v>52.197783072543785</c:v>
                </c:pt>
                <c:pt idx="19">
                  <c:v>55.395581133500485</c:v>
                </c:pt>
                <c:pt idx="20">
                  <c:v>58.74549118819656</c:v>
                </c:pt>
                <c:pt idx="21">
                  <c:v>62.250929952409649</c:v>
                </c:pt>
                <c:pt idx="22">
                  <c:v>65.915417238715293</c:v>
                </c:pt>
                <c:pt idx="23">
                  <c:v>69.742579874584507</c:v>
                </c:pt>
                <c:pt idx="24">
                  <c:v>73.736155800533666</c:v>
                </c:pt>
                <c:pt idx="25">
                  <c:v>77.899998358055157</c:v>
                </c:pt>
                <c:pt idx="26">
                  <c:v>82.238080777661239</c:v>
                </c:pt>
                <c:pt idx="27">
                  <c:v>83.964507279403506</c:v>
                </c:pt>
                <c:pt idx="28">
                  <c:v>80.345688921669435</c:v>
                </c:pt>
                <c:pt idx="29">
                  <c:v>76.781287646062793</c:v>
                </c:pt>
                <c:pt idx="30">
                  <c:v>73.272614014653342</c:v>
                </c:pt>
                <c:pt idx="31">
                  <c:v>69.821021017731653</c:v>
                </c:pt>
                <c:pt idx="32">
                  <c:v>66.427905804862945</c:v>
                </c:pt>
                <c:pt idx="33">
                  <c:v>63.094711501391316</c:v>
                </c:pt>
                <c:pt idx="34">
                  <c:v>59.822929115356729</c:v>
                </c:pt>
                <c:pt idx="35">
                  <c:v>56.614099540118232</c:v>
                </c:pt>
                <c:pt idx="36">
                  <c:v>53.469815658335413</c:v>
                </c:pt>
                <c:pt idx="37">
                  <c:v>50.39172455334338</c:v>
                </c:pt>
                <c:pt idx="38">
                  <c:v>47.381529834371968</c:v>
                </c:pt>
                <c:pt idx="39">
                  <c:v>44.440994082505725</c:v>
                </c:pt>
                <c:pt idx="40">
                  <c:v>41.571941424763295</c:v>
                </c:pt>
                <c:pt idx="41">
                  <c:v>38.776260244194468</c:v>
                </c:pt>
                <c:pt idx="42">
                  <c:v>36.055906034454772</c:v>
                </c:pt>
                <c:pt idx="43">
                  <c:v>33.412904407924017</c:v>
                </c:pt>
                <c:pt idx="44">
                  <c:v>30.849354267091371</c:v>
                </c:pt>
                <c:pt idx="45">
                  <c:v>28.367431149639724</c:v>
                </c:pt>
                <c:pt idx="46">
                  <c:v>25.969390758430649</c:v>
                </c:pt>
                <c:pt idx="47">
                  <c:v>23.657572688424878</c:v>
                </c:pt>
                <c:pt idx="48">
                  <c:v>21.434404363476471</c:v>
                </c:pt>
                <c:pt idx="49">
                  <c:v>19.302405196919853</c:v>
                </c:pt>
                <c:pt idx="50">
                  <c:v>17.26419099093361</c:v>
                </c:pt>
                <c:pt idx="51">
                  <c:v>15.32247859082287</c:v>
                </c:pt>
                <c:pt idx="52">
                  <c:v>13.48009081162127</c:v>
                </c:pt>
                <c:pt idx="53">
                  <c:v>11.739961655784203</c:v>
                </c:pt>
                <c:pt idx="54">
                  <c:v>10.105141842238831</c:v>
                </c:pt>
                <c:pt idx="55">
                  <c:v>8.5788046686847252</c:v>
                </c:pt>
                <c:pt idx="56">
                  <c:v>7.1642522308164569</c:v>
                </c:pt>
                <c:pt idx="57">
                  <c:v>5.8649220240806015</c:v>
                </c:pt>
                <c:pt idx="58">
                  <c:v>4.6843939557019549</c:v>
                </c:pt>
                <c:pt idx="59">
                  <c:v>3.6263977970358883</c:v>
                </c:pt>
                <c:pt idx="60">
                  <c:v>2.6948211088468992</c:v>
                </c:pt>
                <c:pt idx="61">
                  <c:v>1.893717674901279</c:v>
                </c:pt>
                <c:pt idx="62">
                  <c:v>1.2273164823207727</c:v>
                </c:pt>
                <c:pt idx="63">
                  <c:v>0.70003129050373691</c:v>
                </c:pt>
                <c:pt idx="64">
                  <c:v>0.31647083411388888</c:v>
                </c:pt>
                <c:pt idx="65">
                  <c:v>8.1449709701524209E-2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pt)'!$AF$3:$AF$68</c:f>
              <c:numCache>
                <c:formatCode>_(* #,##0.00_);_(* \(#,##0.00\);_(* "-"??_);_(@_)</c:formatCode>
                <c:ptCount val="66"/>
                <c:pt idx="0">
                  <c:v>24.967991680997041</c:v>
                </c:pt>
                <c:pt idx="1">
                  <c:v>25.595386764580692</c:v>
                </c:pt>
                <c:pt idx="2">
                  <c:v>26.319017364875013</c:v>
                </c:pt>
                <c:pt idx="3">
                  <c:v>27.140788380993182</c:v>
                </c:pt>
                <c:pt idx="4">
                  <c:v>28.062655320452258</c:v>
                </c:pt>
                <c:pt idx="5">
                  <c:v>29.086625991087196</c:v>
                </c:pt>
                <c:pt idx="6">
                  <c:v>30.214762261298318</c:v>
                </c:pt>
                <c:pt idx="7">
                  <c:v>31.449181891872978</c:v>
                </c:pt>
                <c:pt idx="8">
                  <c:v>32.792060442800512</c:v>
                </c:pt>
                <c:pt idx="9">
                  <c:v>34.245633258686624</c:v>
                </c:pt>
                <c:pt idx="10">
                  <c:v>35.812197536573819</c:v>
                </c:pt>
                <c:pt idx="11">
                  <c:v>37.494114480185083</c:v>
                </c:pt>
                <c:pt idx="12">
                  <c:v>39.293811544835499</c:v>
                </c:pt>
                <c:pt idx="13">
                  <c:v>41.213784777494354</c:v>
                </c:pt>
                <c:pt idx="14">
                  <c:v>43.256601256736985</c:v>
                </c:pt>
                <c:pt idx="15">
                  <c:v>45.424901637596356</c:v>
                </c:pt>
                <c:pt idx="16">
                  <c:v>47.72140280661398</c:v>
                </c:pt>
                <c:pt idx="17">
                  <c:v>50.148900652698003</c:v>
                </c:pt>
                <c:pt idx="18">
                  <c:v>52.710272959724556</c:v>
                </c:pt>
                <c:pt idx="19">
                  <c:v>55.408482427169311</c:v>
                </c:pt>
                <c:pt idx="20">
                  <c:v>58.246579825429151</c:v>
                </c:pt>
                <c:pt idx="21">
                  <c:v>61.227707292893932</c:v>
                </c:pt>
                <c:pt idx="22">
                  <c:v>64.355101782252916</c:v>
                </c:pt>
                <c:pt idx="23">
                  <c:v>67.632098663977075</c:v>
                </c:pt>
                <c:pt idx="24">
                  <c:v>71.062135495404178</c:v>
                </c:pt>
                <c:pt idx="25">
                  <c:v>74.648755964373834</c:v>
                </c:pt>
                <c:pt idx="26">
                  <c:v>78.395614016917307</c:v>
                </c:pt>
                <c:pt idx="27">
                  <c:v>80.121144108946325</c:v>
                </c:pt>
                <c:pt idx="28">
                  <c:v>76.668062869297032</c:v>
                </c:pt>
                <c:pt idx="29">
                  <c:v>73.266904538158371</c:v>
                </c:pt>
                <c:pt idx="30">
                  <c:v>69.918919603837679</c:v>
                </c:pt>
                <c:pt idx="31">
                  <c:v>66.625399038029073</c:v>
                </c:pt>
                <c:pt idx="32">
                  <c:v>63.38767594752229</c:v>
                </c:pt>
                <c:pt idx="33">
                  <c:v>60.207127307445496</c:v>
                </c:pt>
                <c:pt idx="34">
                  <c:v>57.085175780776758</c:v>
                </c:pt>
                <c:pt idx="35">
                  <c:v>54.023291629175567</c:v>
                </c:pt>
                <c:pt idx="36">
                  <c:v>51.022994720526682</c:v>
                </c:pt>
                <c:pt idx="37">
                  <c:v>48.085856638955796</c:v>
                </c:pt>
                <c:pt idx="38">
                  <c:v>45.213502903471358</c:v>
                </c:pt>
                <c:pt idx="39">
                  <c:v>42.407615301813458</c:v>
                </c:pt>
                <c:pt idx="40">
                  <c:v>39.669934346550185</c:v>
                </c:pt>
                <c:pt idx="41">
                  <c:v>37.002261860957681</c:v>
                </c:pt>
                <c:pt idx="42">
                  <c:v>34.406463702756028</c:v>
                </c:pt>
                <c:pt idx="43">
                  <c:v>31.884472634352107</c:v>
                </c:pt>
                <c:pt idx="44">
                  <c:v>29.438291348866141</c:v>
                </c:pt>
                <c:pt idx="45">
                  <c:v>27.06999566189678</c:v>
                </c:pt>
                <c:pt idx="46">
                  <c:v>24.781737879712619</c:v>
                </c:pt>
                <c:pt idx="47">
                  <c:v>22.575750355353556</c:v>
                </c:pt>
                <c:pt idx="48">
                  <c:v>20.454349244987327</c:v>
                </c:pt>
                <c:pt idx="49">
                  <c:v>18.419938477802294</c:v>
                </c:pt>
                <c:pt idx="50">
                  <c:v>16.47501395373402</c:v>
                </c:pt>
                <c:pt idx="51">
                  <c:v>14.622167984427506</c:v>
                </c:pt>
                <c:pt idx="52">
                  <c:v>12.864093994038733</c:v>
                </c:pt>
                <c:pt idx="53">
                  <c:v>11.20359149778702</c:v>
                </c:pt>
                <c:pt idx="54">
                  <c:v>9.6435713775949541</c:v>
                </c:pt>
                <c:pt idx="55">
                  <c:v>8.1870614757064608</c:v>
                </c:pt>
                <c:pt idx="56">
                  <c:v>6.8372125288695802</c:v>
                </c:pt>
                <c:pt idx="57">
                  <c:v>5.5973044675227746</c:v>
                </c:pt>
                <c:pt idx="58">
                  <c:v>4.4707531064485559</c:v>
                </c:pt>
                <c:pt idx="59">
                  <c:v>3.4611172555740621</c:v>
                </c:pt>
                <c:pt idx="60">
                  <c:v>2.5721062820247171</c:v>
                </c:pt>
                <c:pt idx="61">
                  <c:v>1.807588157197336</c:v>
                </c:pt>
                <c:pt idx="62">
                  <c:v>1.1715980255376985</c:v>
                </c:pt>
                <c:pt idx="63">
                  <c:v>0.66834733491342235</c:v>
                </c:pt>
                <c:pt idx="64">
                  <c:v>0.30223357199723216</c:v>
                </c:pt>
                <c:pt idx="65">
                  <c:v>7.7850649954292458E-2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pt)'!$AL$3:$AL$68</c:f>
              <c:numCache>
                <c:formatCode>_(* #,##0.00_);_(* \(#,##0.00\);_(* "-"??_);_(@_)</c:formatCode>
                <c:ptCount val="66"/>
                <c:pt idx="0">
                  <c:v>25.15565868085174</c:v>
                </c:pt>
                <c:pt idx="1">
                  <c:v>25.663896499475896</c:v>
                </c:pt>
                <c:pt idx="2">
                  <c:v>26.259905798287175</c:v>
                </c:pt>
                <c:pt idx="3">
                  <c:v>26.945423924952205</c:v>
                </c:pt>
                <c:pt idx="4">
                  <c:v>27.722234384316081</c:v>
                </c:pt>
                <c:pt idx="5">
                  <c:v>28.59216838152242</c:v>
                </c:pt>
                <c:pt idx="6">
                  <c:v>29.557106427458354</c:v>
                </c:pt>
                <c:pt idx="7">
                  <c:v>30.61898000948009</c:v>
                </c:pt>
                <c:pt idx="8">
                  <c:v>31.779773330537729</c:v>
                </c:pt>
                <c:pt idx="9">
                  <c:v>33.041525119988528</c:v>
                </c:pt>
                <c:pt idx="10">
                  <c:v>34.406330519569842</c:v>
                </c:pt>
                <c:pt idx="11">
                  <c:v>35.87634304819715</c:v>
                </c:pt>
                <c:pt idx="12">
                  <c:v>37.453776649457012</c:v>
                </c:pt>
                <c:pt idx="13">
                  <c:v>39.140907825885115</c:v>
                </c:pt>
                <c:pt idx="14">
                  <c:v>40.940077864350691</c:v>
                </c:pt>
                <c:pt idx="15">
                  <c:v>42.853695157117599</c:v>
                </c:pt>
                <c:pt idx="16">
                  <c:v>44.884237623415594</c:v>
                </c:pt>
                <c:pt idx="17">
                  <c:v>47.034255236636618</c:v>
                </c:pt>
                <c:pt idx="18">
                  <c:v>49.306372662570453</c:v>
                </c:pt>
                <c:pt idx="19">
                  <c:v>51.703292014413819</c:v>
                </c:pt>
                <c:pt idx="20">
                  <c:v>54.227795730627776</c:v>
                </c:pt>
                <c:pt idx="21">
                  <c:v>56.882749582082255</c:v>
                </c:pt>
                <c:pt idx="22">
                  <c:v>59.671105815314888</c:v>
                </c:pt>
                <c:pt idx="23">
                  <c:v>62.595906439147043</c:v>
                </c:pt>
                <c:pt idx="24">
                  <c:v>65.660286662342955</c:v>
                </c:pt>
                <c:pt idx="25">
                  <c:v>68.867478490473445</c:v>
                </c:pt>
                <c:pt idx="26">
                  <c:v>72.220814490652515</c:v>
                </c:pt>
                <c:pt idx="27">
                  <c:v>73.845425636631248</c:v>
                </c:pt>
                <c:pt idx="28">
                  <c:v>70.662971825976456</c:v>
                </c:pt>
                <c:pt idx="29">
                  <c:v>67.528368258631019</c:v>
                </c:pt>
                <c:pt idx="30">
                  <c:v>64.442767330163207</c:v>
                </c:pt>
                <c:pt idx="31">
                  <c:v>61.407358743863988</c:v>
                </c:pt>
                <c:pt idx="32">
                  <c:v>58.423371032895403</c:v>
                </c:pt>
                <c:pt idx="33">
                  <c:v>55.492073157578311</c:v>
                </c:pt>
                <c:pt idx="34">
                  <c:v>52.614776182182013</c:v>
                </c:pt>
                <c:pt idx="35">
                  <c:v>49.792835035871391</c:v>
                </c:pt>
                <c:pt idx="36">
                  <c:v>47.02765036278101</c:v>
                </c:pt>
                <c:pt idx="37">
                  <c:v>44.320670466523531</c:v>
                </c:pt>
                <c:pt idx="38">
                  <c:v>41.673393354804617</c:v>
                </c:pt>
                <c:pt idx="39">
                  <c:v>39.087368890208801</c:v>
                </c:pt>
                <c:pt idx="40">
                  <c:v>36.564201053644609</c:v>
                </c:pt>
                <c:pt idx="41">
                  <c:v>34.105550327394262</c:v>
                </c:pt>
                <c:pt idx="42">
                  <c:v>31.713136205206805</c:v>
                </c:pt>
                <c:pt idx="43">
                  <c:v>29.38873983740762</c:v>
                </c:pt>
                <c:pt idx="44">
                  <c:v>27.134206819573148</c:v>
                </c:pt>
                <c:pt idx="45">
                  <c:v>24.951450133945297</c:v>
                </c:pt>
                <c:pt idx="46">
                  <c:v>22.842453253435067</c:v>
                </c:pt>
                <c:pt idx="47">
                  <c:v>20.809273418798252</c:v>
                </c:pt>
                <c:pt idx="48">
                  <c:v>18.854045100360352</c:v>
                </c:pt>
                <c:pt idx="49">
                  <c:v>16.978983656530332</c:v>
                </c:pt>
                <c:pt idx="50">
                  <c:v>15.186389202279372</c:v>
                </c:pt>
                <c:pt idx="51">
                  <c:v>13.478650701778735</c:v>
                </c:pt>
                <c:pt idx="52">
                  <c:v>11.858250300498264</c:v>
                </c:pt>
                <c:pt idx="53">
                  <c:v>10.327767913272345</c:v>
                </c:pt>
                <c:pt idx="54">
                  <c:v>8.8898860861536928</c:v>
                </c:pt>
                <c:pt idx="55">
                  <c:v>7.5473951513073168</c:v>
                </c:pt>
                <c:pt idx="56">
                  <c:v>6.3031986957598942</c:v>
                </c:pt>
                <c:pt idx="57">
                  <c:v>5.1603193665269709</c:v>
                </c:pt>
                <c:pt idx="58">
                  <c:v>4.1219050365064316</c:v>
                </c:pt>
                <c:pt idx="59">
                  <c:v>3.1912353575688721</c:v>
                </c:pt>
                <c:pt idx="60">
                  <c:v>2.3717287295116911</c:v>
                </c:pt>
                <c:pt idx="61">
                  <c:v>1.6669497159953492</c:v>
                </c:pt>
                <c:pt idx="62">
                  <c:v>1.0806169412700795</c:v>
                </c:pt>
                <c:pt idx="63">
                  <c:v>0.61661150445572055</c:v>
                </c:pt>
                <c:pt idx="64">
                  <c:v>0.27898595138529153</c:v>
                </c:pt>
                <c:pt idx="65">
                  <c:v>7.1973847597365762E-2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pt)'!$AR$3:$AR$68</c:f>
              <c:numCache>
                <c:formatCode>_(* #,##0.00_);_(* \(#,##0.00\);_(* "-"??_);_(@_)</c:formatCode>
                <c:ptCount val="66"/>
                <c:pt idx="0">
                  <c:v>22.904213896054365</c:v>
                </c:pt>
                <c:pt idx="1">
                  <c:v>23.332149179094458</c:v>
                </c:pt>
                <c:pt idx="2">
                  <c:v>23.837437681656784</c:v>
                </c:pt>
                <c:pt idx="3">
                  <c:v>24.421610520451583</c:v>
                </c:pt>
                <c:pt idx="4">
                  <c:v>25.086239490343146</c:v>
                </c:pt>
                <c:pt idx="5">
                  <c:v>25.832938424304274</c:v>
                </c:pt>
                <c:pt idx="6">
                  <c:v>26.663364608298465</c:v>
                </c:pt>
                <c:pt idx="7">
                  <c:v>27.579220253694352</c:v>
                </c:pt>
                <c:pt idx="8">
                  <c:v>28.582254029961387</c:v>
                </c:pt>
                <c:pt idx="9">
                  <c:v>29.674262660545065</c:v>
                </c:pt>
                <c:pt idx="10">
                  <c:v>30.857092584981409</c:v>
                </c:pt>
                <c:pt idx="11">
                  <c:v>32.132641690480803</c:v>
                </c:pt>
                <c:pt idx="12">
                  <c:v>33.502861116392197</c:v>
                </c:pt>
                <c:pt idx="13">
                  <c:v>34.969757135151532</c:v>
                </c:pt>
                <c:pt idx="14">
                  <c:v>36.535393113524044</c:v>
                </c:pt>
                <c:pt idx="15">
                  <c:v>38.201891558167276</c:v>
                </c:pt>
                <c:pt idx="16">
                  <c:v>39.971436249775365</c:v>
                </c:pt>
                <c:pt idx="17">
                  <c:v>41.846274470312068</c:v>
                </c:pt>
                <c:pt idx="18">
                  <c:v>43.828719328104491</c:v>
                </c:pt>
                <c:pt idx="19">
                  <c:v>45.921152185851106</c:v>
                </c:pt>
                <c:pt idx="20">
                  <c:v>48.126025196897871</c:v>
                </c:pt>
                <c:pt idx="21">
                  <c:v>50.445863955457241</c:v>
                </c:pt>
                <c:pt idx="22">
                  <c:v>52.883270266787022</c:v>
                </c:pt>
                <c:pt idx="23">
                  <c:v>55.44092504371249</c:v>
                </c:pt>
                <c:pt idx="24">
                  <c:v>58.121591336265375</c:v>
                </c:pt>
                <c:pt idx="25">
                  <c:v>60.928117501632883</c:v>
                </c:pt>
                <c:pt idx="26">
                  <c:v>63.863440522056294</c:v>
                </c:pt>
                <c:pt idx="27">
                  <c:v>65.32803639257277</c:v>
                </c:pt>
                <c:pt idx="28">
                  <c:v>62.512877444336304</c:v>
                </c:pt>
                <c:pt idx="29">
                  <c:v>59.740041328494677</c:v>
                </c:pt>
                <c:pt idx="30">
                  <c:v>57.010547309398824</c:v>
                </c:pt>
                <c:pt idx="31">
                  <c:v>54.325447649118814</c:v>
                </c:pt>
                <c:pt idx="32">
                  <c:v>51.685828953753727</c:v>
                </c:pt>
                <c:pt idx="33">
                  <c:v>49.092813586200961</c:v>
                </c:pt>
                <c:pt idx="34">
                  <c:v>46.547561149244416</c:v>
                </c:pt>
                <c:pt idx="35">
                  <c:v>44.051270043078958</c:v>
                </c:pt>
                <c:pt idx="36">
                  <c:v>41.605179101666721</c:v>
                </c:pt>
                <c:pt idx="37">
                  <c:v>39.210569312619803</c:v>
                </c:pt>
                <c:pt idx="38">
                  <c:v>36.868765625626125</c:v>
                </c:pt>
                <c:pt idx="39">
                  <c:v>34.581138854782608</c:v>
                </c:pt>
                <c:pt idx="40">
                  <c:v>32.349107680574619</c:v>
                </c:pt>
                <c:pt idx="41">
                  <c:v>30.174140757644746</c:v>
                </c:pt>
                <c:pt idx="42">
                  <c:v>28.057758934930671</c:v>
                </c:pt>
                <c:pt idx="43">
                  <c:v>26.001537595223986</c:v>
                </c:pt>
                <c:pt idx="44">
                  <c:v>24.007109121711917</c:v>
                </c:pt>
                <c:pt idx="45">
                  <c:v>22.076165499616305</c:v>
                </c:pt>
                <c:pt idx="46">
                  <c:v>20.210461061642068</c:v>
                </c:pt>
                <c:pt idx="47">
                  <c:v>18.411815386595745</c:v>
                </c:pt>
                <c:pt idx="48">
                  <c:v>16.682116361237082</c:v>
                </c:pt>
                <c:pt idx="49">
                  <c:v>15.023323416190001</c:v>
                </c:pt>
                <c:pt idx="50">
                  <c:v>13.43747094756702</c:v>
                </c:pt>
                <c:pt idx="51">
                  <c:v>11.926671936862173</c:v>
                </c:pt>
                <c:pt idx="52">
                  <c:v>10.493121782646631</c:v>
                </c:pt>
                <c:pt idx="53">
                  <c:v>9.1391023586675395</c:v>
                </c:pt>
                <c:pt idx="54">
                  <c:v>7.8669863141123333</c:v>
                </c:pt>
                <c:pt idx="55">
                  <c:v>6.6792416330673818</c:v>
                </c:pt>
                <c:pt idx="56">
                  <c:v>5.5784364715823989</c:v>
                </c:pt>
                <c:pt idx="57">
                  <c:v>4.5672442922618171</c:v>
                </c:pt>
                <c:pt idx="58">
                  <c:v>3.6484493179551305</c:v>
                </c:pt>
                <c:pt idx="59">
                  <c:v>2.8249523279243793</c:v>
                </c:pt>
                <c:pt idx="60">
                  <c:v>2.0997768218449959</c:v>
                </c:pt>
                <c:pt idx="61">
                  <c:v>1.4760755791647557</c:v>
                </c:pt>
                <c:pt idx="62">
                  <c:v>0.95713764372473709</c:v>
                </c:pt>
                <c:pt idx="63">
                  <c:v>0.54639576615949559</c:v>
                </c:pt>
                <c:pt idx="64">
                  <c:v>0.24743433946649701</c:v>
                </c:pt>
                <c:pt idx="65">
                  <c:v>6.3997866296553865E-2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pt)'!$AX$3:$AX$68</c:f>
              <c:numCache>
                <c:formatCode>_(* #,##0.00_);_(* \(#,##0.00\);_(* "-"??_);_(@_)</c:formatCode>
                <c:ptCount val="66"/>
                <c:pt idx="0">
                  <c:v>19.236463546879772</c:v>
                </c:pt>
                <c:pt idx="1">
                  <c:v>19.594514635749018</c:v>
                </c:pt>
                <c:pt idx="2">
                  <c:v>20.017457631654811</c:v>
                </c:pt>
                <c:pt idx="3">
                  <c:v>20.506576980341158</c:v>
                </c:pt>
                <c:pt idx="4">
                  <c:v>21.063191252195793</c:v>
                </c:pt>
                <c:pt idx="5">
                  <c:v>21.688654283112417</c:v>
                </c:pt>
                <c:pt idx="6">
                  <c:v>22.384356361431824</c:v>
                </c:pt>
                <c:pt idx="7">
                  <c:v>23.151725463147233</c:v>
                </c:pt>
                <c:pt idx="8">
                  <c:v>23.992228537679512</c:v>
                </c:pt>
                <c:pt idx="9">
                  <c:v>24.907372846654393</c:v>
                </c:pt>
                <c:pt idx="10">
                  <c:v>25.898707358247865</c:v>
                </c:pt>
                <c:pt idx="11">
                  <c:v>26.967824199809947</c:v>
                </c:pt>
                <c:pt idx="12">
                  <c:v>28.116360171628006</c:v>
                </c:pt>
                <c:pt idx="13">
                  <c:v>29.345998324853475</c:v>
                </c:pt>
                <c:pt idx="14">
                  <c:v>30.658469606787342</c:v>
                </c:pt>
                <c:pt idx="15">
                  <c:v>32.055554576903013</c:v>
                </c:pt>
                <c:pt idx="16">
                  <c:v>33.539085197180626</c:v>
                </c:pt>
                <c:pt idx="17">
                  <c:v>35.110946700534171</c:v>
                </c:pt>
                <c:pt idx="18">
                  <c:v>36.773079541334887</c:v>
                </c:pt>
                <c:pt idx="19">
                  <c:v>38.527481432270193</c:v>
                </c:pt>
                <c:pt idx="20">
                  <c:v>40.376209472029736</c:v>
                </c:pt>
                <c:pt idx="21">
                  <c:v>42.321382368579229</c:v>
                </c:pt>
                <c:pt idx="22">
                  <c:v>44.365182763069747</c:v>
                </c:pt>
                <c:pt idx="23">
                  <c:v>46.509859659737728</c:v>
                </c:pt>
                <c:pt idx="24">
                  <c:v>48.757730967477976</c:v>
                </c:pt>
                <c:pt idx="25">
                  <c:v>51.1111861591246</c:v>
                </c:pt>
                <c:pt idx="26">
                  <c:v>53.572689054848176</c:v>
                </c:pt>
                <c:pt idx="27">
                  <c:v>54.827772938944733</c:v>
                </c:pt>
                <c:pt idx="28">
                  <c:v>52.465416218015967</c:v>
                </c:pt>
                <c:pt idx="29">
                  <c:v>50.138568120437988</c:v>
                </c:pt>
                <c:pt idx="30">
                  <c:v>47.848083785990625</c:v>
                </c:pt>
                <c:pt idx="31">
                  <c:v>45.594846038787473</c:v>
                </c:pt>
                <c:pt idx="32">
                  <c:v>43.379766516811181</c:v>
                </c:pt>
                <c:pt idx="33">
                  <c:v>41.203786857208158</c:v>
                </c:pt>
                <c:pt idx="34">
                  <c:v>39.067879940580852</c:v>
                </c:pt>
                <c:pt idx="35">
                  <c:v>36.973051197732183</c:v>
                </c:pt>
                <c:pt idx="36">
                  <c:v>34.920339982549912</c:v>
                </c:pt>
                <c:pt idx="37">
                  <c:v>32.910821014970047</c:v>
                </c:pt>
                <c:pt idx="38">
                  <c:v>30.945605898228035</c:v>
                </c:pt>
                <c:pt idx="39">
                  <c:v>29.025844714898874</c:v>
                </c:pt>
                <c:pt idx="40">
                  <c:v>27.152727706540784</c:v>
                </c:pt>
                <c:pt idx="41">
                  <c:v>25.327487042096788</c:v>
                </c:pt>
                <c:pt idx="42">
                  <c:v>23.551398680574817</c:v>
                </c:pt>
                <c:pt idx="43">
                  <c:v>21.825784333922922</c:v>
                </c:pt>
                <c:pt idx="44">
                  <c:v>20.152013536444191</c:v>
                </c:pt>
                <c:pt idx="45">
                  <c:v>18.531505827559677</c:v>
                </c:pt>
                <c:pt idx="46">
                  <c:v>16.965733055228956</c:v>
                </c:pt>
                <c:pt idx="47">
                  <c:v>15.456221807882192</c:v>
                </c:pt>
                <c:pt idx="48">
                  <c:v>14.004555983306796</c:v>
                </c:pt>
                <c:pt idx="49">
                  <c:v>12.612379503572205</c:v>
                </c:pt>
                <c:pt idx="50">
                  <c:v>11.281399185771066</c:v>
                </c:pt>
                <c:pt idx="51">
                  <c:v>10.01338777911066</c:v>
                </c:pt>
                <c:pt idx="52">
                  <c:v>8.8101871797103897</c:v>
                </c:pt>
                <c:pt idx="53">
                  <c:v>7.6737118353554834</c:v>
                </c:pt>
                <c:pt idx="54">
                  <c:v>6.6059523534320919</c:v>
                </c:pt>
                <c:pt idx="55">
                  <c:v>5.6089793263315038</c:v>
                </c:pt>
                <c:pt idx="56">
                  <c:v>4.6849473897713478</c:v>
                </c:pt>
                <c:pt idx="57">
                  <c:v>3.8360995307483927</c:v>
                </c:pt>
                <c:pt idx="58">
                  <c:v>3.0647716632226825</c:v>
                </c:pt>
                <c:pt idx="59">
                  <c:v>2.373397491148173</c:v>
                </c:pt>
                <c:pt idx="60">
                  <c:v>1.7645136801247792</c:v>
                </c:pt>
                <c:pt idx="61">
                  <c:v>1.2407653607661802</c:v>
                </c:pt>
                <c:pt idx="62">
                  <c:v>0.8049119888740478</c:v>
                </c:pt>
                <c:pt idx="63">
                  <c:v>0.45983358970200022</c:v>
                </c:pt>
                <c:pt idx="64">
                  <c:v>0.20853741600311537</c:v>
                </c:pt>
                <c:pt idx="65">
                  <c:v>5.4165052207640708E-2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pt)'!$BD$3:$BD$68</c:f>
              <c:numCache>
                <c:formatCode>_(* #,##0.00_);_(* \(#,##0.00\);_(* "-"??_);_(@_)</c:formatCode>
                <c:ptCount val="66"/>
                <c:pt idx="0">
                  <c:v>14.57794864612568</c:v>
                </c:pt>
                <c:pt idx="1">
                  <c:v>14.868477264669359</c:v>
                </c:pt>
                <c:pt idx="2">
                  <c:v>15.209638392418002</c:v>
                </c:pt>
                <c:pt idx="3">
                  <c:v>15.602434212468559</c:v>
                </c:pt>
                <c:pt idx="4">
                  <c:v>16.047893533405809</c:v>
                </c:pt>
                <c:pt idx="5">
                  <c:v>16.547072679454637</c:v>
                </c:pt>
                <c:pt idx="6">
                  <c:v>17.1010564165855</c:v>
                </c:pt>
                <c:pt idx="7">
                  <c:v>17.710958916278067</c:v>
                </c:pt>
                <c:pt idx="8">
                  <c:v>18.377924758742331</c:v>
                </c:pt>
                <c:pt idx="9">
                  <c:v>19.103129977494458</c:v>
                </c:pt>
                <c:pt idx="10">
                  <c:v>19.887783147290072</c:v>
                </c:pt>
                <c:pt idx="11">
                  <c:v>20.7331265175293</c:v>
                </c:pt>
                <c:pt idx="12">
                  <c:v>21.640437193366438</c:v>
                </c:pt>
                <c:pt idx="13">
                  <c:v>22.611028366883193</c:v>
                </c:pt>
                <c:pt idx="14">
                  <c:v>23.646250600819013</c:v>
                </c:pt>
                <c:pt idx="15">
                  <c:v>24.747493167494749</c:v>
                </c:pt>
                <c:pt idx="16">
                  <c:v>25.91618544571806</c:v>
                </c:pt>
                <c:pt idx="17">
                  <c:v>27.153798378621488</c:v>
                </c:pt>
                <c:pt idx="18">
                  <c:v>28.461845995556473</c:v>
                </c:pt>
                <c:pt idx="19">
                  <c:v>29.841887001351438</c:v>
                </c:pt>
                <c:pt idx="20">
                  <c:v>31.295526436438429</c:v>
                </c:pt>
                <c:pt idx="21">
                  <c:v>32.82441741156287</c:v>
                </c:pt>
                <c:pt idx="22">
                  <c:v>34.430262921015114</c:v>
                </c:pt>
                <c:pt idx="23">
                  <c:v>36.114817738561975</c:v>
                </c:pt>
                <c:pt idx="24">
                  <c:v>37.879890400512636</c:v>
                </c:pt>
                <c:pt idx="25">
                  <c:v>39.727345280626892</c:v>
                </c:pt>
                <c:pt idx="26">
                  <c:v>41.6591047618668</c:v>
                </c:pt>
                <c:pt idx="27">
                  <c:v>42.663680467395906</c:v>
                </c:pt>
                <c:pt idx="28">
                  <c:v>40.825875172116483</c:v>
                </c:pt>
                <c:pt idx="29">
                  <c:v>39.015684539307863</c:v>
                </c:pt>
                <c:pt idx="30">
                  <c:v>37.233773577667129</c:v>
                </c:pt>
                <c:pt idx="31">
                  <c:v>35.480828824902318</c:v>
                </c:pt>
                <c:pt idx="32">
                  <c:v>33.757559226143883</c:v>
                </c:pt>
                <c:pt idx="33">
                  <c:v>32.064697055720188</c:v>
                </c:pt>
                <c:pt idx="34">
                  <c:v>30.40299888481524</c:v>
                </c:pt>
                <c:pt idx="35">
                  <c:v>28.773246597695351</c:v>
                </c:pt>
                <c:pt idx="36">
                  <c:v>27.176248459373149</c:v>
                </c:pt>
                <c:pt idx="37">
                  <c:v>25.612840237771874</c:v>
                </c:pt>
                <c:pt idx="38">
                  <c:v>24.083886383663884</c:v>
                </c:pt>
                <c:pt idx="39">
                  <c:v>22.590281271883502</c:v>
                </c:pt>
                <c:pt idx="40">
                  <c:v>21.132950507558981</c:v>
                </c:pt>
                <c:pt idx="41">
                  <c:v>19.712852301372163</c:v>
                </c:pt>
                <c:pt idx="42">
                  <c:v>18.330978918139525</c:v>
                </c:pt>
                <c:pt idx="43">
                  <c:v>16.988358203315943</c:v>
                </c:pt>
                <c:pt idx="44">
                  <c:v>15.686055192355829</c:v>
                </c:pt>
                <c:pt idx="45">
                  <c:v>14.425173808226505</c:v>
                </c:pt>
                <c:pt idx="46">
                  <c:v>13.206858652758992</c:v>
                </c:pt>
                <c:pt idx="47">
                  <c:v>12.032296897944303</c:v>
                </c:pt>
                <c:pt idx="48">
                  <c:v>10.90272028374198</c:v>
                </c:pt>
                <c:pt idx="49">
                  <c:v>9.8194072294653569</c:v>
                </c:pt>
                <c:pt idx="50">
                  <c:v>8.7836850663487276</c:v>
                </c:pt>
                <c:pt idx="51">
                  <c:v>7.7969323994889885</c:v>
                </c:pt>
                <c:pt idx="52">
                  <c:v>6.8605816079937636</c:v>
                </c:pt>
                <c:pt idx="53">
                  <c:v>5.9761214928636246</c:v>
                </c:pt>
                <c:pt idx="54">
                  <c:v>5.1451000828942606</c:v>
                </c:pt>
                <c:pt idx="55">
                  <c:v>4.3691276097109908</c:v>
                </c:pt>
                <c:pt idx="56">
                  <c:v>3.6498796639502786</c:v>
                </c:pt>
                <c:pt idx="57">
                  <c:v>2.9891005455881832</c:v>
                </c:pt>
                <c:pt idx="58">
                  <c:v>2.3886068224929877</c:v>
                </c:pt>
                <c:pt idx="59">
                  <c:v>1.8502911124579271</c:v>
                </c:pt>
                <c:pt idx="60">
                  <c:v>1.3761261052608731</c:v>
                </c:pt>
                <c:pt idx="61">
                  <c:v>0.96816884271294745</c:v>
                </c:pt>
                <c:pt idx="62">
                  <c:v>0.62856527621075087</c:v>
                </c:pt>
                <c:pt idx="63">
                  <c:v>0.35955512301232062</c:v>
                </c:pt>
                <c:pt idx="64">
                  <c:v>0.16347704433178825</c:v>
                </c:pt>
                <c:pt idx="65">
                  <c:v>4.2774170411073842E-2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pt)'!$BJ$3:$BJ$68</c:f>
              <c:numCache>
                <c:formatCode>_(* #,##0.00_);_(* \(#,##0.00\);_(* "-"??_);_(@_)</c:formatCode>
                <c:ptCount val="66"/>
                <c:pt idx="0">
                  <c:v>9.2034972397165689</c:v>
                </c:pt>
                <c:pt idx="1">
                  <c:v>9.4265970592931598</c:v>
                </c:pt>
                <c:pt idx="2">
                  <c:v>9.6846484517093963</c:v>
                </c:pt>
                <c:pt idx="3">
                  <c:v>9.9783431990910962</c:v>
                </c:pt>
                <c:pt idx="4">
                  <c:v>10.308391462284211</c:v>
                </c:pt>
                <c:pt idx="5">
                  <c:v>10.67552239530122</c:v>
                </c:pt>
                <c:pt idx="6">
                  <c:v>11.080484784585032</c:v>
                </c:pt>
                <c:pt idx="7">
                  <c:v>11.524047714267899</c:v>
                </c:pt>
                <c:pt idx="8">
                  <c:v>12.007001258666737</c:v>
                </c:pt>
                <c:pt idx="9">
                  <c:v>12.530157203325128</c:v>
                </c:pt>
                <c:pt idx="10">
                  <c:v>13.094349795984096</c:v>
                </c:pt>
                <c:pt idx="11">
                  <c:v>13.70043652894123</c:v>
                </c:pt>
                <c:pt idx="12">
                  <c:v>14.349298954339575</c:v>
                </c:pt>
                <c:pt idx="13">
                  <c:v>15.041843534014554</c:v>
                </c:pt>
                <c:pt idx="14">
                  <c:v>15.779002525620294</c:v>
                </c:pt>
                <c:pt idx="15">
                  <c:v>16.561734906855055</c:v>
                </c:pt>
                <c:pt idx="16">
                  <c:v>17.391027339710686</c:v>
                </c:pt>
                <c:pt idx="17">
                  <c:v>18.267895176783036</c:v>
                </c:pt>
                <c:pt idx="18">
                  <c:v>19.193383511799365</c:v>
                </c:pt>
                <c:pt idx="19">
                  <c:v>20.168568276646443</c:v>
                </c:pt>
                <c:pt idx="20">
                  <c:v>21.194557387318291</c:v>
                </c:pt>
                <c:pt idx="21">
                  <c:v>22.272491941347894</c:v>
                </c:pt>
                <c:pt idx="22">
                  <c:v>23.403547469441754</c:v>
                </c:pt>
                <c:pt idx="23">
                  <c:v>24.588935244201462</c:v>
                </c:pt>
                <c:pt idx="24">
                  <c:v>25.829903648993309</c:v>
                </c:pt>
                <c:pt idx="25">
                  <c:v>27.127739610216043</c:v>
                </c:pt>
                <c:pt idx="26">
                  <c:v>28.483770096418919</c:v>
                </c:pt>
                <c:pt idx="27">
                  <c:v>29.205358772346525</c:v>
                </c:pt>
                <c:pt idx="28">
                  <c:v>27.947915871425543</c:v>
                </c:pt>
                <c:pt idx="29">
                  <c:v>26.709353774266265</c:v>
                </c:pt>
                <c:pt idx="30">
                  <c:v>25.490127129008108</c:v>
                </c:pt>
                <c:pt idx="31">
                  <c:v>24.290705302567552</c:v>
                </c:pt>
                <c:pt idx="32">
                  <c:v>23.111572981206908</c:v>
                </c:pt>
                <c:pt idx="33">
                  <c:v>21.953230800752699</c:v>
                </c:pt>
                <c:pt idx="34">
                  <c:v>20.816196008185631</c:v>
                </c:pt>
                <c:pt idx="35">
                  <c:v>19.701003156439274</c:v>
                </c:pt>
                <c:pt idx="36">
                  <c:v>18.608204834368745</c:v>
                </c:pt>
                <c:pt idx="37">
                  <c:v>17.538372433983984</c:v>
                </c:pt>
                <c:pt idx="38">
                  <c:v>16.492096957186092</c:v>
                </c:pt>
                <c:pt idx="39">
                  <c:v>15.469989864400283</c:v>
                </c:pt>
                <c:pt idx="40">
                  <c:v>14.472683967666022</c:v>
                </c:pt>
                <c:pt idx="41">
                  <c:v>13.500834370925533</c:v>
                </c:pt>
                <c:pt idx="42">
                  <c:v>12.55511946044653</c:v>
                </c:pt>
                <c:pt idx="43">
                  <c:v>11.636241948525816</c:v>
                </c:pt>
                <c:pt idx="44">
                  <c:v>10.744929973847984</c:v>
                </c:pt>
                <c:pt idx="45">
                  <c:v>9.8819382621199612</c:v>
                </c:pt>
                <c:pt idx="46">
                  <c:v>9.0480493508689914</c:v>
                </c:pt>
                <c:pt idx="47">
                  <c:v>8.2440748825809322</c:v>
                </c:pt>
                <c:pt idx="48">
                  <c:v>7.4708569706693089</c:v>
                </c:pt>
                <c:pt idx="49">
                  <c:v>6.7292696431060222</c:v>
                </c:pt>
                <c:pt idx="50">
                  <c:v>6.020220368914317</c:v>
                </c:pt>
                <c:pt idx="51">
                  <c:v>5.3446516731264095</c:v>
                </c:pt>
                <c:pt idx="52">
                  <c:v>4.7035428462453348</c:v>
                </c:pt>
                <c:pt idx="53">
                  <c:v>4.0979117547264163</c:v>
                </c:pt>
                <c:pt idx="54">
                  <c:v>3.5288167595122166</c:v>
                </c:pt>
                <c:pt idx="55">
                  <c:v>2.9973587502201142</c:v>
                </c:pt>
                <c:pt idx="56">
                  <c:v>2.5046833031987199</c:v>
                </c:pt>
                <c:pt idx="57">
                  <c:v>2.0519829723431129</c:v>
                </c:pt>
                <c:pt idx="58">
                  <c:v>1.6404997222956983</c:v>
                </c:pt>
                <c:pt idx="59">
                  <c:v>1.2715275144655434</c:v>
                </c:pt>
                <c:pt idx="60">
                  <c:v>0.94641505718192198</c:v>
                </c:pt>
                <c:pt idx="61">
                  <c:v>0.66656873226560998</c:v>
                </c:pt>
                <c:pt idx="62">
                  <c:v>0.43345571136337857</c:v>
                </c:pt>
                <c:pt idx="63">
                  <c:v>0.24860727655747011</c:v>
                </c:pt>
                <c:pt idx="64">
                  <c:v>0.11362236104410084</c:v>
                </c:pt>
                <c:pt idx="65">
                  <c:v>3.0171327086177667E-2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pt)'!$BP$3:$BP$68</c:f>
              <c:numCache>
                <c:formatCode>_(* #,##0.00_);_(* \(#,##0.00\);_(* "-"??_);_(@_)</c:formatCode>
                <c:ptCount val="66"/>
                <c:pt idx="0">
                  <c:v>3.3401355314270784</c:v>
                </c:pt>
                <c:pt idx="1">
                  <c:v>3.4958836286960322</c:v>
                </c:pt>
                <c:pt idx="2">
                  <c:v>3.6699301625955032</c:v>
                </c:pt>
                <c:pt idx="3">
                  <c:v>3.8626372703649543</c:v>
                </c:pt>
                <c:pt idx="4">
                  <c:v>4.0743767098986714</c:v>
                </c:pt>
                <c:pt idx="5">
                  <c:v>4.3055301813908553</c:v>
                </c:pt>
                <c:pt idx="6">
                  <c:v>4.5564896619724369</c:v>
                </c:pt>
                <c:pt idx="7">
                  <c:v>4.8276577539559362</c:v>
                </c:pt>
                <c:pt idx="8">
                  <c:v>5.1194480473384258</c:v>
                </c:pt>
                <c:pt idx="9">
                  <c:v>5.4322854972483841</c:v>
                </c:pt>
                <c:pt idx="10">
                  <c:v>5.7666068170600351</c:v>
                </c:pt>
                <c:pt idx="11">
                  <c:v>6.1228608879393747</c:v>
                </c:pt>
                <c:pt idx="12">
                  <c:v>6.501509185628688</c:v>
                </c:pt>
                <c:pt idx="13">
                  <c:v>6.9030262253221197</c:v>
                </c:pt>
                <c:pt idx="14">
                  <c:v>7.3279000255334514</c:v>
                </c:pt>
                <c:pt idx="15">
                  <c:v>7.7766325919086325</c:v>
                </c:pt>
                <c:pt idx="16">
                  <c:v>8.2497404219910084</c:v>
                </c:pt>
                <c:pt idx="17">
                  <c:v>8.7477550320054203</c:v>
                </c:pt>
                <c:pt idx="18">
                  <c:v>9.2712235067900917</c:v>
                </c:pt>
                <c:pt idx="19">
                  <c:v>9.8207090740717753</c:v>
                </c:pt>
                <c:pt idx="20">
                  <c:v>10.396791704350639</c:v>
                </c:pt>
                <c:pt idx="21">
                  <c:v>11.000068737737323</c:v>
                </c:pt>
                <c:pt idx="22">
                  <c:v>11.631155539165638</c:v>
                </c:pt>
                <c:pt idx="23">
                  <c:v>12.290686183490903</c:v>
                </c:pt>
                <c:pt idx="24">
                  <c:v>12.97931417207641</c:v>
                </c:pt>
                <c:pt idx="25">
                  <c:v>13.697713182569604</c:v>
                </c:pt>
                <c:pt idx="26">
                  <c:v>14.446577853675381</c:v>
                </c:pt>
                <c:pt idx="27">
                  <c:v>14.861732148261288</c:v>
                </c:pt>
                <c:pt idx="28">
                  <c:v>14.222828592732803</c:v>
                </c:pt>
                <c:pt idx="29">
                  <c:v>13.593497458305146</c:v>
                </c:pt>
                <c:pt idx="30">
                  <c:v>12.97396919478423</c:v>
                </c:pt>
                <c:pt idx="31">
                  <c:v>12.364481712533621</c:v>
                </c:pt>
                <c:pt idx="32">
                  <c:v>11.765280686923711</c:v>
                </c:pt>
                <c:pt idx="33">
                  <c:v>11.176619877814066</c:v>
                </c:pt>
                <c:pt idx="34">
                  <c:v>10.598761464942099</c:v>
                </c:pt>
                <c:pt idx="35">
                  <c:v>10.031976400149809</c:v>
                </c:pt>
                <c:pt idx="36">
                  <c:v>9.4765447774432001</c:v>
                </c:pt>
                <c:pt idx="37">
                  <c:v>8.9327562219466312</c:v>
                </c:pt>
                <c:pt idx="38">
                  <c:v>8.4009102988873838</c:v>
                </c:pt>
                <c:pt idx="39">
                  <c:v>7.8813169438242827</c:v>
                </c:pt>
                <c:pt idx="40">
                  <c:v>7.3742969154190803</c:v>
                </c:pt>
                <c:pt idx="41">
                  <c:v>6.8801822721407753</c:v>
                </c:pt>
                <c:pt idx="42">
                  <c:v>6.3993168743919249</c:v>
                </c:pt>
                <c:pt idx="43">
                  <c:v>5.9320569136528354</c:v>
                </c:pt>
                <c:pt idx="44">
                  <c:v>5.478771470355027</c:v>
                </c:pt>
                <c:pt idx="45">
                  <c:v>5.0398431023203871</c:v>
                </c:pt>
                <c:pt idx="46">
                  <c:v>4.6156684657378397</c:v>
                </c:pt>
                <c:pt idx="47">
                  <c:v>4.2066589707960622</c:v>
                </c:pt>
                <c:pt idx="48">
                  <c:v>3.8132414742498719</c:v>
                </c:pt>
                <c:pt idx="49">
                  <c:v>3.4358590113706646</c:v>
                </c:pt>
                <c:pt idx="50">
                  <c:v>3.0749715699187754</c:v>
                </c:pt>
                <c:pt idx="51">
                  <c:v>2.731056908979534</c:v>
                </c:pt>
                <c:pt idx="52">
                  <c:v>2.4046114257265523</c:v>
                </c:pt>
                <c:pt idx="53">
                  <c:v>2.0961510734171727</c:v>
                </c:pt>
                <c:pt idx="54">
                  <c:v>1.8062123341880967</c:v>
                </c:pt>
                <c:pt idx="55">
                  <c:v>1.5353532505059706</c:v>
                </c:pt>
                <c:pt idx="56">
                  <c:v>1.2841545194407904</c:v>
                </c:pt>
                <c:pt idx="57">
                  <c:v>1.0532206542718603</c:v>
                </c:pt>
                <c:pt idx="58">
                  <c:v>0.84318121830985127</c:v>
                </c:pt>
                <c:pt idx="59">
                  <c:v>0.6546921362275101</c:v>
                </c:pt>
                <c:pt idx="60">
                  <c:v>0.48843708863952257</c:v>
                </c:pt>
                <c:pt idx="61">
                  <c:v>0.34512899616309128</c:v>
                </c:pt>
                <c:pt idx="62">
                  <c:v>0.22551159972961474</c:v>
                </c:pt>
                <c:pt idx="63">
                  <c:v>0.13036114450966008</c:v>
                </c:pt>
                <c:pt idx="64">
                  <c:v>6.0488175464062419E-2</c:v>
                </c:pt>
                <c:pt idx="65">
                  <c:v>1.6739453250032722E-2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pt)'!$BV$3:$BV$68</c:f>
              <c:numCache>
                <c:formatCode>_(* #,##0.00_);_(* \(#,##0.00\);_(* "-"??_);_(@_)</c:formatCode>
                <c:ptCount val="66"/>
                <c:pt idx="0">
                  <c:v>-2.8037357351280154</c:v>
                </c:pt>
                <c:pt idx="1">
                  <c:v>-2.7141960995403407</c:v>
                </c:pt>
                <c:pt idx="2">
                  <c:v>-2.6234902371850373</c:v>
                </c:pt>
                <c:pt idx="3">
                  <c:v>-2.5315951383843096</c:v>
                </c:pt>
                <c:pt idx="4">
                  <c:v>-2.4384871828271675</c:v>
                </c:pt>
                <c:pt idx="5">
                  <c:v>-2.3441421191502654</c:v>
                </c:pt>
                <c:pt idx="6">
                  <c:v>-2.2485350436932179</c:v>
                </c:pt>
                <c:pt idx="7">
                  <c:v>-2.1516403783891693</c:v>
                </c:pt>
                <c:pt idx="8">
                  <c:v>-2.0534318477492488</c:v>
                </c:pt>
                <c:pt idx="9">
                  <c:v>-1.9538824548972737</c:v>
                </c:pt>
                <c:pt idx="10">
                  <c:v>-1.8529644566086529</c:v>
                </c:pt>
                <c:pt idx="11">
                  <c:v>-1.7506493373048411</c:v>
                </c:pt>
                <c:pt idx="12">
                  <c:v>-1.646907781952003</c:v>
                </c:pt>
                <c:pt idx="13">
                  <c:v>-1.5417096478095964</c:v>
                </c:pt>
                <c:pt idx="14">
                  <c:v>-1.4350239349715339</c:v>
                </c:pt>
                <c:pt idx="15">
                  <c:v>-1.326818755639239</c:v>
                </c:pt>
                <c:pt idx="16">
                  <c:v>-1.2170613020624517</c:v>
                </c:pt>
                <c:pt idx="17">
                  <c:v>-1.1057178130798708</c:v>
                </c:pt>
                <c:pt idx="18">
                  <c:v>-0.9927535391877409</c:v>
                </c:pt>
                <c:pt idx="19">
                  <c:v>-0.87813270606025395</c:v>
                </c:pt>
                <c:pt idx="20">
                  <c:v>-0.76181847644108469</c:v>
                </c:pt>
                <c:pt idx="21">
                  <c:v>-0.6437729103205504</c:v>
                </c:pt>
                <c:pt idx="22">
                  <c:v>-0.52395692330771104</c:v>
                </c:pt>
                <c:pt idx="23">
                  <c:v>-0.40233024310120041</c:v>
                </c:pt>
                <c:pt idx="24">
                  <c:v>-0.27885136395667831</c:v>
                </c:pt>
                <c:pt idx="25">
                  <c:v>-0.15347749904247135</c:v>
                </c:pt>
                <c:pt idx="26">
                  <c:v>-2.6164530568217263E-2</c:v>
                </c:pt>
                <c:pt idx="27">
                  <c:v>6.8624431887733983E-2</c:v>
                </c:pt>
                <c:pt idx="28">
                  <c:v>6.7643167772074617E-2</c:v>
                </c:pt>
                <c:pt idx="29">
                  <c:v>6.6634248641454688E-2</c:v>
                </c:pt>
                <c:pt idx="30">
                  <c:v>6.5596900345384943E-2</c:v>
                </c:pt>
                <c:pt idx="31">
                  <c:v>6.453032362336962E-2</c:v>
                </c:pt>
                <c:pt idx="32">
                  <c:v>6.343369315514899E-2</c:v>
                </c:pt>
                <c:pt idx="33">
                  <c:v>6.2306156569529786E-2</c:v>
                </c:pt>
                <c:pt idx="34">
                  <c:v>6.1146833409748753E-2</c:v>
                </c:pt>
                <c:pt idx="35">
                  <c:v>5.9954814053201286E-2</c:v>
                </c:pt>
                <c:pt idx="36">
                  <c:v>5.8729158583243193E-2</c:v>
                </c:pt>
                <c:pt idx="37">
                  <c:v>5.7468895610646956E-2</c:v>
                </c:pt>
                <c:pt idx="38">
                  <c:v>5.6173021042154617E-2</c:v>
                </c:pt>
                <c:pt idx="39">
                  <c:v>5.4840496793423572E-2</c:v>
                </c:pt>
                <c:pt idx="40">
                  <c:v>5.3470249443507298E-2</c:v>
                </c:pt>
                <c:pt idx="41">
                  <c:v>5.2061168827846158E-2</c:v>
                </c:pt>
                <c:pt idx="42">
                  <c:v>5.0612106566568858E-2</c:v>
                </c:pt>
                <c:pt idx="43">
                  <c:v>4.9121874524716509E-2</c:v>
                </c:pt>
                <c:pt idx="44">
                  <c:v>4.758924320080285E-2</c:v>
                </c:pt>
                <c:pt idx="45">
                  <c:v>4.6012940039910778E-2</c:v>
                </c:pt>
                <c:pt idx="46">
                  <c:v>4.4391647667298514E-2</c:v>
                </c:pt>
                <c:pt idx="47">
                  <c:v>4.2724002038247735E-2</c:v>
                </c:pt>
                <c:pt idx="48">
                  <c:v>4.100859049962733E-2</c:v>
                </c:pt>
                <c:pt idx="49">
                  <c:v>3.9243949758371047E-2</c:v>
                </c:pt>
                <c:pt idx="50">
                  <c:v>3.7428563751774349E-2</c:v>
                </c:pt>
                <c:pt idx="51">
                  <c:v>3.5560861414200388E-2</c:v>
                </c:pt>
                <c:pt idx="52">
                  <c:v>3.3639214334450399E-2</c:v>
                </c:pt>
                <c:pt idx="53">
                  <c:v>3.1661934297694788E-2</c:v>
                </c:pt>
                <c:pt idx="54">
                  <c:v>2.9627270705477295E-2</c:v>
                </c:pt>
                <c:pt idx="55">
                  <c:v>2.7533407866894035E-2</c:v>
                </c:pt>
                <c:pt idx="56">
                  <c:v>2.5378462153609796E-2</c:v>
                </c:pt>
                <c:pt idx="57">
                  <c:v>2.3160479010902933E-2</c:v>
                </c:pt>
                <c:pt idx="58">
                  <c:v>2.0877429816425864E-2</c:v>
                </c:pt>
                <c:pt idx="59">
                  <c:v>1.8527208577827234E-2</c:v>
                </c:pt>
                <c:pt idx="60">
                  <c:v>1.6107628459801727E-2</c:v>
                </c:pt>
                <c:pt idx="61">
                  <c:v>1.3616418130511371E-2</c:v>
                </c:pt>
                <c:pt idx="62">
                  <c:v>1.1051217916653531E-2</c:v>
                </c:pt>
                <c:pt idx="63">
                  <c:v>8.409575755733369E-3</c:v>
                </c:pt>
                <c:pt idx="64">
                  <c:v>5.6889429333272607E-3</c:v>
                </c:pt>
                <c:pt idx="65">
                  <c:v>2.8866695922941492E-3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pt)'!$BX$3:$BX$68</c:f>
              <c:numCache>
                <c:formatCode>_(* #,##0.00_);_(* \(#,##0.00\);_(* "-"??_);_(@_)</c:formatCode>
                <c:ptCount val="66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pt)'!$BY$3:$BY$68</c:f>
              <c:numCache>
                <c:formatCode>_(* #,##0.00_);_(* \(#,##0.00\);_(* "-"??_);_(@_)</c:formatCode>
                <c:ptCount val="66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 w="28575"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'Local Buckling'!$U$4:$U$70</c:f>
              <c:numCache>
                <c:formatCode>General</c:formatCode>
                <c:ptCount val="67"/>
                <c:pt idx="0">
                  <c:v>169.67873697102945</c:v>
                </c:pt>
                <c:pt idx="1">
                  <c:v>169.63101363570965</c:v>
                </c:pt>
                <c:pt idx="2">
                  <c:v>169.58280900786718</c:v>
                </c:pt>
                <c:pt idx="3">
                  <c:v>169.53411576980909</c:v>
                </c:pt>
                <c:pt idx="4">
                  <c:v>169.48492645474013</c:v>
                </c:pt>
                <c:pt idx="5">
                  <c:v>169.43523344294547</c:v>
                </c:pt>
                <c:pt idx="6">
                  <c:v>169.38502895785615</c:v>
                </c:pt>
                <c:pt idx="7">
                  <c:v>169.33430506199184</c:v>
                </c:pt>
                <c:pt idx="8">
                  <c:v>169.28305365277743</c:v>
                </c:pt>
                <c:pt idx="9">
                  <c:v>169.23126645822822</c:v>
                </c:pt>
                <c:pt idx="10">
                  <c:v>169.17893503249894</c:v>
                </c:pt>
                <c:pt idx="11">
                  <c:v>169.12605075129221</c:v>
                </c:pt>
                <c:pt idx="12">
                  <c:v>169.07260480711997</c:v>
                </c:pt>
                <c:pt idx="13">
                  <c:v>169.01858820441385</c:v>
                </c:pt>
                <c:pt idx="14">
                  <c:v>168.96399175447758</c:v>
                </c:pt>
                <c:pt idx="15">
                  <c:v>168.90880607027623</c:v>
                </c:pt>
                <c:pt idx="16">
                  <c:v>168.85302156105558</c:v>
                </c:pt>
                <c:pt idx="17">
                  <c:v>168.79662842678573</c:v>
                </c:pt>
                <c:pt idx="18">
                  <c:v>168.73961665242155</c:v>
                </c:pt>
                <c:pt idx="19">
                  <c:v>168.68197600197317</c:v>
                </c:pt>
                <c:pt idx="20">
                  <c:v>168.62369601237955</c:v>
                </c:pt>
                <c:pt idx="21">
                  <c:v>168.5647659871766</c:v>
                </c:pt>
                <c:pt idx="22">
                  <c:v>168.50517498995245</c:v>
                </c:pt>
                <c:pt idx="23">
                  <c:v>168.44491183758129</c:v>
                </c:pt>
                <c:pt idx="24">
                  <c:v>168.38396509322686</c:v>
                </c:pt>
                <c:pt idx="25">
                  <c:v>168.32232305910662</c:v>
                </c:pt>
                <c:pt idx="26">
                  <c:v>168.25997376900662</c:v>
                </c:pt>
                <c:pt idx="27">
                  <c:v>168.19690498053751</c:v>
                </c:pt>
                <c:pt idx="28">
                  <c:v>168.13310416712071</c:v>
                </c:pt>
                <c:pt idx="29">
                  <c:v>168.06855850969399</c:v>
                </c:pt>
                <c:pt idx="30">
                  <c:v>168.0032548881249</c:v>
                </c:pt>
                <c:pt idx="31">
                  <c:v>167.93717987231977</c:v>
                </c:pt>
                <c:pt idx="32">
                  <c:v>167.87031971301576</c:v>
                </c:pt>
                <c:pt idx="33">
                  <c:v>167.80266033224305</c:v>
                </c:pt>
                <c:pt idx="34">
                  <c:v>167.73418731344239</c:v>
                </c:pt>
                <c:pt idx="35">
                  <c:v>167.66488589122437</c:v>
                </c:pt>
                <c:pt idx="36">
                  <c:v>167.59474094075472</c:v>
                </c:pt>
                <c:pt idx="37">
                  <c:v>167.52373696674937</c:v>
                </c:pt>
                <c:pt idx="38">
                  <c:v>167.45185809206302</c:v>
                </c:pt>
                <c:pt idx="39">
                  <c:v>167.37908804585297</c:v>
                </c:pt>
                <c:pt idx="40">
                  <c:v>167.30541015130029</c:v>
                </c:pt>
                <c:pt idx="41">
                  <c:v>167.23080731286822</c:v>
                </c:pt>
                <c:pt idx="42">
                  <c:v>167.15526200307804</c:v>
                </c:pt>
                <c:pt idx="43">
                  <c:v>167.07875624877997</c:v>
                </c:pt>
                <c:pt idx="44">
                  <c:v>167.00127161689784</c:v>
                </c:pt>
                <c:pt idx="45">
                  <c:v>166.92278919962251</c:v>
                </c:pt>
                <c:pt idx="46">
                  <c:v>166.84328959902973</c:v>
                </c:pt>
                <c:pt idx="47">
                  <c:v>166.76275291109602</c:v>
                </c:pt>
                <c:pt idx="48">
                  <c:v>166.68115870908505</c:v>
                </c:pt>
                <c:pt idx="49">
                  <c:v>166.59848602627491</c:v>
                </c:pt>
                <c:pt idx="50">
                  <c:v>166.51471333799626</c:v>
                </c:pt>
                <c:pt idx="51">
                  <c:v>166.42981854294834</c:v>
                </c:pt>
                <c:pt idx="52">
                  <c:v>166.34377894375953</c:v>
                </c:pt>
                <c:pt idx="53">
                  <c:v>166.25657122675585</c:v>
                </c:pt>
                <c:pt idx="54">
                  <c:v>166.16817144089981</c:v>
                </c:pt>
                <c:pt idx="55">
                  <c:v>166.07855497585993</c:v>
                </c:pt>
                <c:pt idx="56">
                  <c:v>165.98769653916807</c:v>
                </c:pt>
                <c:pt idx="57">
                  <c:v>165.89557013242074</c:v>
                </c:pt>
                <c:pt idx="58">
                  <c:v>165.80214902647697</c:v>
                </c:pt>
                <c:pt idx="59">
                  <c:v>165.70740573560289</c:v>
                </c:pt>
                <c:pt idx="60">
                  <c:v>165.6113119905111</c:v>
                </c:pt>
                <c:pt idx="61">
                  <c:v>165.51383871023847</c:v>
                </c:pt>
                <c:pt idx="62">
                  <c:v>165.41495597280428</c:v>
                </c:pt>
                <c:pt idx="63">
                  <c:v>165.31463298458627</c:v>
                </c:pt>
                <c:pt idx="64">
                  <c:v>165.21283804834837</c:v>
                </c:pt>
                <c:pt idx="65">
                  <c:v>165.10953852985119</c:v>
                </c:pt>
                <c:pt idx="66">
                  <c:v>165.00470082297082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899776"/>
        <c:axId val="89902080"/>
      </c:scatterChart>
      <c:valAx>
        <c:axId val="898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89902080"/>
        <c:crosses val="autoZero"/>
        <c:crossBetween val="midCat"/>
      </c:valAx>
      <c:valAx>
        <c:axId val="89902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89899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1</a:t>
            </a:r>
            <a:r>
              <a:rPr lang="en-US" baseline="0"/>
              <a:t>: Allowable Column Buckling vs Calculated Operation Stresses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Allowable Column Buckling</c:v>
          </c:tx>
          <c:invertIfNegative val="0"/>
          <c:val>
            <c:numRef>
              <c:f>'Column Buckling'!$S$22</c:f>
              <c:numCache>
                <c:formatCode>0.000</c:formatCode>
                <c:ptCount val="1"/>
                <c:pt idx="0">
                  <c:v>0.46174894416771645</c:v>
                </c:pt>
              </c:numCache>
            </c:numRef>
          </c:val>
        </c:ser>
        <c:ser>
          <c:idx val="1"/>
          <c:order val="1"/>
          <c:tx>
            <c:v>Calculated Axial Stress</c:v>
          </c:tx>
          <c:invertIfNegative val="0"/>
          <c:val>
            <c:numRef>
              <c:f>'Column Buckling'!$S$23</c:f>
              <c:numCache>
                <c:formatCode>0.0000</c:formatCode>
                <c:ptCount val="1"/>
                <c:pt idx="0">
                  <c:v>0.10062315716977011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28288"/>
        <c:axId val="102830080"/>
      </c:barChart>
      <c:catAx>
        <c:axId val="102828288"/>
        <c:scaling>
          <c:orientation val="minMax"/>
        </c:scaling>
        <c:delete val="0"/>
        <c:axPos val="b"/>
        <c:majorTickMark val="none"/>
        <c:minorTickMark val="none"/>
        <c:tickLblPos val="nextTo"/>
        <c:crossAx val="102830080"/>
        <c:crosses val="autoZero"/>
        <c:auto val="1"/>
        <c:lblAlgn val="ctr"/>
        <c:lblOffset val="100"/>
        <c:noMultiLvlLbl val="0"/>
      </c:catAx>
      <c:valAx>
        <c:axId val="10283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1028282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2</a:t>
            </a:r>
            <a:r>
              <a:rPr lang="en-US" baseline="0"/>
              <a:t>: Allowable Column Buckling vs Calculated Operation Stresses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Allowable Column Buckling</c:v>
          </c:tx>
          <c:invertIfNegative val="0"/>
          <c:val>
            <c:numRef>
              <c:f>'Column Buckling'!$V$22</c:f>
              <c:numCache>
                <c:formatCode>0.000</c:formatCode>
                <c:ptCount val="1"/>
                <c:pt idx="0">
                  <c:v>0.11511487851165395</c:v>
                </c:pt>
              </c:numCache>
            </c:numRef>
          </c:val>
        </c:ser>
        <c:ser>
          <c:idx val="1"/>
          <c:order val="1"/>
          <c:tx>
            <c:v>Calculated Axial Stress</c:v>
          </c:tx>
          <c:invertIfNegative val="0"/>
          <c:val>
            <c:numRef>
              <c:f>'Column Buckling'!$V$23</c:f>
              <c:numCache>
                <c:formatCode>0.0000</c:formatCode>
                <c:ptCount val="1"/>
                <c:pt idx="0">
                  <c:v>0.10003579700000188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64000"/>
        <c:axId val="102865536"/>
      </c:barChart>
      <c:catAx>
        <c:axId val="1028640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02865536"/>
        <c:crosses val="autoZero"/>
        <c:auto val="1"/>
        <c:lblAlgn val="ctr"/>
        <c:lblOffset val="100"/>
        <c:noMultiLvlLbl val="0"/>
      </c:catAx>
      <c:valAx>
        <c:axId val="10286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1028640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3</a:t>
            </a:r>
            <a:r>
              <a:rPr lang="en-US" baseline="0"/>
              <a:t>: Allowable Column Buckling vs Calculated Operation Stresses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Allowable Column Buckling</c:v>
          </c:tx>
          <c:invertIfNegative val="0"/>
          <c:val>
            <c:numRef>
              <c:f>'Column Buckling'!$Y$22</c:f>
              <c:numCache>
                <c:formatCode>0.000</c:formatCode>
                <c:ptCount val="1"/>
                <c:pt idx="0">
                  <c:v>0.11687569239938231</c:v>
                </c:pt>
              </c:numCache>
            </c:numRef>
          </c:val>
        </c:ser>
        <c:ser>
          <c:idx val="1"/>
          <c:order val="1"/>
          <c:tx>
            <c:v>Calculated Axial Stress</c:v>
          </c:tx>
          <c:invertIfNegative val="0"/>
          <c:val>
            <c:numRef>
              <c:f>'Column Buckling'!$Y$23</c:f>
              <c:numCache>
                <c:formatCode>0.0000</c:formatCode>
                <c:ptCount val="1"/>
                <c:pt idx="0">
                  <c:v>9.9260252997995818E-2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95616"/>
        <c:axId val="102897152"/>
      </c:barChart>
      <c:catAx>
        <c:axId val="102895616"/>
        <c:scaling>
          <c:orientation val="minMax"/>
        </c:scaling>
        <c:delete val="0"/>
        <c:axPos val="b"/>
        <c:majorTickMark val="none"/>
        <c:minorTickMark val="none"/>
        <c:tickLblPos val="nextTo"/>
        <c:crossAx val="102897152"/>
        <c:crosses val="autoZero"/>
        <c:auto val="1"/>
        <c:lblAlgn val="ctr"/>
        <c:lblOffset val="100"/>
        <c:noMultiLvlLbl val="0"/>
      </c:catAx>
      <c:valAx>
        <c:axId val="102897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1028956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1:</a:t>
            </a:r>
            <a:r>
              <a:rPr lang="en-US" baseline="0"/>
              <a:t> </a:t>
            </a:r>
            <a:r>
              <a:rPr lang="en-US"/>
              <a:t>Yielding Test at</a:t>
            </a:r>
            <a:r>
              <a:rPr lang="en-US" baseline="0"/>
              <a:t> Base of Tower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2°</c:v>
          </c:tx>
          <c:invertIfNegative val="0"/>
          <c:val>
            <c:numRef>
              <c:f>'Yielding Stress (1)'!$K$4</c:f>
              <c:numCache>
                <c:formatCode>_(* #,##0.00_);_(* \(#,##0.00\);_(* "-"??_);_(@_)</c:formatCode>
                <c:ptCount val="1"/>
                <c:pt idx="0">
                  <c:v>4.0321474902919174</c:v>
                </c:pt>
              </c:numCache>
            </c:numRef>
          </c:val>
        </c:ser>
        <c:ser>
          <c:idx val="1"/>
          <c:order val="1"/>
          <c:tx>
            <c:v>10°</c:v>
          </c:tx>
          <c:invertIfNegative val="0"/>
          <c:val>
            <c:numRef>
              <c:f>'Yielding Stress (1)'!$K$5</c:f>
              <c:numCache>
                <c:formatCode>_(* #,##0.00_);_(* \(#,##0.00\);_(* "-"??_);_(@_)</c:formatCode>
                <c:ptCount val="1"/>
                <c:pt idx="0">
                  <c:v>1.0494132914606824</c:v>
                </c:pt>
              </c:numCache>
            </c:numRef>
          </c:val>
        </c:ser>
        <c:ser>
          <c:idx val="2"/>
          <c:order val="2"/>
          <c:tx>
            <c:v>20°</c:v>
          </c:tx>
          <c:invertIfNegative val="0"/>
          <c:val>
            <c:numRef>
              <c:f>'Yielding Stress (1)'!$K$6</c:f>
              <c:numCache>
                <c:formatCode>_(* #,##0.00_);_(* \(#,##0.00\);_(* "-"??_);_(@_)</c:formatCode>
                <c:ptCount val="1"/>
                <c:pt idx="0">
                  <c:v>0.60705928359020489</c:v>
                </c:pt>
              </c:numCache>
            </c:numRef>
          </c:val>
        </c:ser>
        <c:ser>
          <c:idx val="3"/>
          <c:order val="3"/>
          <c:tx>
            <c:v>30°</c:v>
          </c:tx>
          <c:invertIfNegative val="0"/>
          <c:val>
            <c:numRef>
              <c:f>'Yielding Stress (1)'!$K$7</c:f>
              <c:numCache>
                <c:formatCode>_(* #,##0.00_);_(* \(#,##0.00\);_(* "-"??_);_(@_)</c:formatCode>
                <c:ptCount val="1"/>
                <c:pt idx="0">
                  <c:v>0.45387839740449321</c:v>
                </c:pt>
              </c:numCache>
            </c:numRef>
          </c:val>
        </c:ser>
        <c:ser>
          <c:idx val="4"/>
          <c:order val="4"/>
          <c:tx>
            <c:v>40°</c:v>
          </c:tx>
          <c:invertIfNegative val="0"/>
          <c:val>
            <c:numRef>
              <c:f>'Yielding Stress (1)'!$K$8</c:f>
              <c:numCache>
                <c:formatCode>_(* #,##0.00_);_(* \(#,##0.00\);_(* "-"??_);_(@_)</c:formatCode>
                <c:ptCount val="1"/>
                <c:pt idx="0">
                  <c:v>0.36775940919259414</c:v>
                </c:pt>
              </c:numCache>
            </c:numRef>
          </c:val>
        </c:ser>
        <c:ser>
          <c:idx val="5"/>
          <c:order val="5"/>
          <c:tx>
            <c:v>50°</c:v>
          </c:tx>
          <c:invertIfNegative val="0"/>
          <c:val>
            <c:numRef>
              <c:f>'Yielding Stress (1)'!$K$9</c:f>
              <c:numCache>
                <c:formatCode>_(* #,##0.00_);_(* \(#,##0.00\);_(* "-"??_);_(@_)</c:formatCode>
                <c:ptCount val="1"/>
                <c:pt idx="0">
                  <c:v>0.30866361146013094</c:v>
                </c:pt>
              </c:numCache>
            </c:numRef>
          </c:val>
        </c:ser>
        <c:ser>
          <c:idx val="6"/>
          <c:order val="6"/>
          <c:tx>
            <c:v>60°</c:v>
          </c:tx>
          <c:invertIfNegative val="0"/>
          <c:val>
            <c:numRef>
              <c:f>'Yielding Stress (1)'!$K$10</c:f>
              <c:numCache>
                <c:formatCode>_(* #,##0.00_);_(* \(#,##0.00\);_(* "-"??_);_(@_)</c:formatCode>
                <c:ptCount val="1"/>
                <c:pt idx="0">
                  <c:v>0.2643290149374895</c:v>
                </c:pt>
              </c:numCache>
            </c:numRef>
          </c:val>
        </c:ser>
        <c:ser>
          <c:idx val="7"/>
          <c:order val="7"/>
          <c:tx>
            <c:v>70°</c:v>
          </c:tx>
          <c:invertIfNegative val="0"/>
          <c:val>
            <c:numRef>
              <c:f>'Yielding Stress (1)'!$K$11</c:f>
              <c:numCache>
                <c:formatCode>_(* #,##0.00_);_(* \(#,##0.00\);_(* "-"??_);_(@_)</c:formatCode>
                <c:ptCount val="1"/>
                <c:pt idx="0">
                  <c:v>0.23013762295627976</c:v>
                </c:pt>
              </c:numCache>
            </c:numRef>
          </c:val>
        </c:ser>
        <c:ser>
          <c:idx val="8"/>
          <c:order val="8"/>
          <c:tx>
            <c:v>80°</c:v>
          </c:tx>
          <c:invertIfNegative val="0"/>
          <c:val>
            <c:numRef>
              <c:f>'Yielding Stress (1)'!$K$12</c:f>
              <c:numCache>
                <c:formatCode>_(* #,##0.00_);_(* \(#,##0.00\);_(* "-"??_);_(@_)</c:formatCode>
                <c:ptCount val="1"/>
                <c:pt idx="0">
                  <c:v>0.20427619854617612</c:v>
                </c:pt>
              </c:numCache>
            </c:numRef>
          </c:val>
        </c:ser>
        <c:ser>
          <c:idx val="9"/>
          <c:order val="9"/>
          <c:tx>
            <c:v>90°</c:v>
          </c:tx>
          <c:invertIfNegative val="0"/>
          <c:val>
            <c:numRef>
              <c:f>'Yielding Stress (1)'!$K$13</c:f>
              <c:numCache>
                <c:formatCode>_(* #,##0.00_);_(* \(#,##0.00\);_(* "-"??_);_(@_)</c:formatCode>
                <c:ptCount val="1"/>
                <c:pt idx="0">
                  <c:v>0.19211765907688416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206336"/>
        <c:axId val="174281856"/>
      </c:barChart>
      <c:catAx>
        <c:axId val="174206336"/>
        <c:scaling>
          <c:orientation val="minMax"/>
        </c:scaling>
        <c:delete val="1"/>
        <c:axPos val="b"/>
        <c:majorTickMark val="none"/>
        <c:minorTickMark val="none"/>
        <c:tickLblPos val="nextTo"/>
        <c:crossAx val="174281856"/>
        <c:crosses val="autoZero"/>
        <c:auto val="1"/>
        <c:lblAlgn val="ctr"/>
        <c:lblOffset val="100"/>
        <c:noMultiLvlLbl val="0"/>
      </c:catAx>
      <c:valAx>
        <c:axId val="17428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7420633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2:</a:t>
            </a:r>
            <a:r>
              <a:rPr lang="en-US" baseline="0"/>
              <a:t> </a:t>
            </a:r>
            <a:r>
              <a:rPr lang="en-US"/>
              <a:t>Yielding Test at</a:t>
            </a:r>
            <a:r>
              <a:rPr lang="en-US" baseline="0"/>
              <a:t> Base of Tower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2°</c:v>
          </c:tx>
          <c:invertIfNegative val="0"/>
          <c:val>
            <c:numRef>
              <c:f>'Yielding Stress (1)'!$R$4</c:f>
              <c:numCache>
                <c:formatCode>_(* #,##0.00_);_(* \(#,##0.00\);_(* "-"??_);_(@_)</c:formatCode>
                <c:ptCount val="1"/>
                <c:pt idx="0">
                  <c:v>8.063808429733534</c:v>
                </c:pt>
              </c:numCache>
            </c:numRef>
          </c:val>
        </c:ser>
        <c:ser>
          <c:idx val="1"/>
          <c:order val="1"/>
          <c:tx>
            <c:v>10°</c:v>
          </c:tx>
          <c:invertIfNegative val="0"/>
          <c:val>
            <c:numRef>
              <c:f>'Yielding Stress (1)'!$R$5</c:f>
              <c:numCache>
                <c:formatCode>_(* #,##0.00_);_(* \(#,##0.00\);_(* "-"??_);_(@_)</c:formatCode>
                <c:ptCount val="1"/>
                <c:pt idx="0">
                  <c:v>2.0829788462283001</c:v>
                </c:pt>
              </c:numCache>
            </c:numRef>
          </c:val>
        </c:ser>
        <c:ser>
          <c:idx val="2"/>
          <c:order val="2"/>
          <c:tx>
            <c:v>20°</c:v>
          </c:tx>
          <c:invertIfNegative val="0"/>
          <c:val>
            <c:numRef>
              <c:f>'Yielding Stress (1)'!$R$6</c:f>
              <c:numCache>
                <c:formatCode>_(* #,##0.00_);_(* \(#,##0.00\);_(* "-"??_);_(@_)</c:formatCode>
                <c:ptCount val="1"/>
                <c:pt idx="0">
                  <c:v>1.1645517711563369</c:v>
                </c:pt>
              </c:numCache>
            </c:numRef>
          </c:val>
        </c:ser>
        <c:ser>
          <c:idx val="3"/>
          <c:order val="3"/>
          <c:tx>
            <c:v>30°</c:v>
          </c:tx>
          <c:invertIfNegative val="0"/>
          <c:val>
            <c:numRef>
              <c:f>'Yielding Stress (1)'!$R$7</c:f>
              <c:numCache>
                <c:formatCode>_(* #,##0.00_);_(* \(#,##0.00\);_(* "-"??_);_(@_)</c:formatCode>
                <c:ptCount val="1"/>
                <c:pt idx="0">
                  <c:v>0.85336086437968128</c:v>
                </c:pt>
              </c:numCache>
            </c:numRef>
          </c:val>
        </c:ser>
        <c:ser>
          <c:idx val="4"/>
          <c:order val="4"/>
          <c:tx>
            <c:v>40°</c:v>
          </c:tx>
          <c:invertIfNegative val="0"/>
          <c:val>
            <c:numRef>
              <c:f>'Yielding Stress (1)'!$R$8</c:f>
              <c:numCache>
                <c:formatCode>_(* #,##0.00_);_(* \(#,##0.00\);_(* "-"??_);_(@_)</c:formatCode>
                <c:ptCount val="1"/>
                <c:pt idx="0">
                  <c:v>0.68490846361437385</c:v>
                </c:pt>
              </c:numCache>
            </c:numRef>
          </c:val>
        </c:ser>
        <c:ser>
          <c:idx val="5"/>
          <c:order val="5"/>
          <c:tx>
            <c:v>50°</c:v>
          </c:tx>
          <c:invertIfNegative val="0"/>
          <c:val>
            <c:numRef>
              <c:f>'Yielding Stress (1)'!$R$9</c:f>
              <c:numCache>
                <c:formatCode>_(* #,##0.00_);_(* \(#,##0.00\);_(* "-"??_);_(@_)</c:formatCode>
                <c:ptCount val="1"/>
                <c:pt idx="0">
                  <c:v>0.57516059681945775</c:v>
                </c:pt>
              </c:numCache>
            </c:numRef>
          </c:val>
        </c:ser>
        <c:ser>
          <c:idx val="6"/>
          <c:order val="6"/>
          <c:tx>
            <c:v>60°</c:v>
          </c:tx>
          <c:invertIfNegative val="0"/>
          <c:val>
            <c:numRef>
              <c:f>'Yielding Stress (1)'!$R$10</c:f>
              <c:numCache>
                <c:formatCode>_(* #,##0.00_);_(* \(#,##0.00\);_(* "-"??_);_(@_)</c:formatCode>
                <c:ptCount val="1"/>
                <c:pt idx="0">
                  <c:v>0.49807061194361268</c:v>
                </c:pt>
              </c:numCache>
            </c:numRef>
          </c:val>
        </c:ser>
        <c:ser>
          <c:idx val="7"/>
          <c:order val="7"/>
          <c:tx>
            <c:v>70°</c:v>
          </c:tx>
          <c:invertIfNegative val="0"/>
          <c:val>
            <c:numRef>
              <c:f>'Yielding Stress (1)'!$R$11</c:f>
              <c:numCache>
                <c:formatCode>_(* #,##0.00_);_(* \(#,##0.00\);_(* "-"??_);_(@_)</c:formatCode>
                <c:ptCount val="1"/>
                <c:pt idx="0">
                  <c:v>0.44671717088456453</c:v>
                </c:pt>
              </c:numCache>
            </c:numRef>
          </c:val>
        </c:ser>
        <c:ser>
          <c:idx val="8"/>
          <c:order val="8"/>
          <c:tx>
            <c:v>80°</c:v>
          </c:tx>
          <c:invertIfNegative val="0"/>
          <c:val>
            <c:numRef>
              <c:f>'Yielding Stress (1)'!$R$12</c:f>
              <c:numCache>
                <c:formatCode>_(* #,##0.00_);_(* \(#,##0.00\);_(* "-"??_);_(@_)</c:formatCode>
                <c:ptCount val="1"/>
                <c:pt idx="0">
                  <c:v>0.40718517511552205</c:v>
                </c:pt>
              </c:numCache>
            </c:numRef>
          </c:val>
        </c:ser>
        <c:ser>
          <c:idx val="9"/>
          <c:order val="9"/>
          <c:tx>
            <c:v>90°</c:v>
          </c:tx>
          <c:invertIfNegative val="0"/>
          <c:val>
            <c:numRef>
              <c:f>'Yielding Stress (1)'!$R$13</c:f>
              <c:numCache>
                <c:formatCode>_(* #,##0.00_);_(* \(#,##0.00\);_(* "-"??_);_(@_)</c:formatCode>
                <c:ptCount val="1"/>
                <c:pt idx="0">
                  <c:v>0.39103185654540262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376064"/>
        <c:axId val="174377600"/>
      </c:barChart>
      <c:catAx>
        <c:axId val="174376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174377600"/>
        <c:crosses val="autoZero"/>
        <c:auto val="1"/>
        <c:lblAlgn val="ctr"/>
        <c:lblOffset val="100"/>
        <c:noMultiLvlLbl val="0"/>
      </c:catAx>
      <c:valAx>
        <c:axId val="17437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7437606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/>
              <a:t>Alternative</a:t>
            </a:r>
            <a:r>
              <a:rPr lang="en-US" u="sng" baseline="0"/>
              <a:t> 3:</a:t>
            </a:r>
            <a:r>
              <a:rPr lang="en-US" baseline="0"/>
              <a:t> </a:t>
            </a:r>
            <a:r>
              <a:rPr lang="en-US"/>
              <a:t>Yielding Test at</a:t>
            </a:r>
            <a:r>
              <a:rPr lang="en-US" baseline="0"/>
              <a:t> Base of Tower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2°</c:v>
          </c:tx>
          <c:invertIfNegative val="0"/>
          <c:val>
            <c:numRef>
              <c:f>'Yielding Stress (1)'!$Y$4</c:f>
              <c:numCache>
                <c:formatCode>_(* #,##0.00_);_(* \(#,##0.00\);_(* "-"??_);_(@_)</c:formatCode>
                <c:ptCount val="1"/>
                <c:pt idx="0">
                  <c:v>7.9135259267691707</c:v>
                </c:pt>
              </c:numCache>
            </c:numRef>
          </c:val>
        </c:ser>
        <c:ser>
          <c:idx val="1"/>
          <c:order val="1"/>
          <c:tx>
            <c:v>10°</c:v>
          </c:tx>
          <c:invertIfNegative val="0"/>
          <c:val>
            <c:numRef>
              <c:f>'Yielding Stress (1)'!$Y$5</c:f>
              <c:numCache>
                <c:formatCode>_(* #,##0.00_);_(* \(#,##0.00\);_(* "-"??_);_(@_)</c:formatCode>
                <c:ptCount val="1"/>
                <c:pt idx="0">
                  <c:v>2.031909346579984</c:v>
                </c:pt>
              </c:numCache>
            </c:numRef>
          </c:val>
        </c:ser>
        <c:ser>
          <c:idx val="2"/>
          <c:order val="2"/>
          <c:tx>
            <c:v>20°</c:v>
          </c:tx>
          <c:invertIfNegative val="0"/>
          <c:val>
            <c:numRef>
              <c:f>'Yielding Stress (1)'!$Y$6</c:f>
              <c:numCache>
                <c:formatCode>_(* #,##0.00_);_(* \(#,##0.00\);_(* "-"??_);_(@_)</c:formatCode>
                <c:ptCount val="1"/>
                <c:pt idx="0">
                  <c:v>1.1381932873069593</c:v>
                </c:pt>
              </c:numCache>
            </c:numRef>
          </c:val>
        </c:ser>
        <c:ser>
          <c:idx val="3"/>
          <c:order val="3"/>
          <c:tx>
            <c:v>30°</c:v>
          </c:tx>
          <c:invertIfNegative val="0"/>
          <c:val>
            <c:numRef>
              <c:f>'Yielding Stress (1)'!$Y$7</c:f>
              <c:numCache>
                <c:formatCode>_(* #,##0.00_);_(* \(#,##0.00\);_(* "-"??_);_(@_)</c:formatCode>
                <c:ptCount val="1"/>
                <c:pt idx="0">
                  <c:v>0.83460909887416967</c:v>
                </c:pt>
              </c:numCache>
            </c:numRef>
          </c:val>
        </c:ser>
        <c:ser>
          <c:idx val="4"/>
          <c:order val="4"/>
          <c:tx>
            <c:v>40°</c:v>
          </c:tx>
          <c:invertIfNegative val="0"/>
          <c:val>
            <c:numRef>
              <c:f>'Yielding Stress (1)'!$Y$8</c:f>
              <c:numCache>
                <c:formatCode>_(* #,##0.00_);_(* \(#,##0.00\);_(* "-"??_);_(@_)</c:formatCode>
                <c:ptCount val="1"/>
                <c:pt idx="0">
                  <c:v>0.66959419155856859</c:v>
                </c:pt>
              </c:numCache>
            </c:numRef>
          </c:val>
        </c:ser>
        <c:ser>
          <c:idx val="5"/>
          <c:order val="5"/>
          <c:tx>
            <c:v>50°</c:v>
          </c:tx>
          <c:invertIfNegative val="0"/>
          <c:val>
            <c:numRef>
              <c:f>'Yielding Stress (1)'!$Y$9</c:f>
              <c:numCache>
                <c:formatCode>_(* #,##0.00_);_(* \(#,##0.00\);_(* "-"??_);_(@_)</c:formatCode>
                <c:ptCount val="1"/>
                <c:pt idx="0">
                  <c:v>0.56148680980226184</c:v>
                </c:pt>
              </c:numCache>
            </c:numRef>
          </c:val>
        </c:ser>
        <c:ser>
          <c:idx val="6"/>
          <c:order val="6"/>
          <c:tx>
            <c:v>60°</c:v>
          </c:tx>
          <c:invertIfNegative val="0"/>
          <c:val>
            <c:numRef>
              <c:f>'Yielding Stress (1)'!$Y$10</c:f>
              <c:numCache>
                <c:formatCode>_(* #,##0.00_);_(* \(#,##0.00\);_(* "-"??_);_(@_)</c:formatCode>
                <c:ptCount val="1"/>
                <c:pt idx="0">
                  <c:v>0.48500672313142756</c:v>
                </c:pt>
              </c:numCache>
            </c:numRef>
          </c:val>
        </c:ser>
        <c:ser>
          <c:idx val="7"/>
          <c:order val="7"/>
          <c:tx>
            <c:v>70°</c:v>
          </c:tx>
          <c:invertIfNegative val="0"/>
          <c:val>
            <c:numRef>
              <c:f>'Yielding Stress (1)'!$Y$11</c:f>
              <c:numCache>
                <c:formatCode>_(* #,##0.00_);_(* \(#,##0.00\);_(* "-"??_);_(@_)</c:formatCode>
                <c:ptCount val="1"/>
                <c:pt idx="0">
                  <c:v>0.43035665238008053</c:v>
                </c:pt>
              </c:numCache>
            </c:numRef>
          </c:val>
        </c:ser>
        <c:ser>
          <c:idx val="8"/>
          <c:order val="8"/>
          <c:tx>
            <c:v>80°</c:v>
          </c:tx>
          <c:invertIfNegative val="0"/>
          <c:val>
            <c:numRef>
              <c:f>'Yielding Stress (1)'!$Y$12</c:f>
              <c:numCache>
                <c:formatCode>_(* #,##0.00_);_(* \(#,##0.00\);_(* "-"??_);_(@_)</c:formatCode>
                <c:ptCount val="1"/>
                <c:pt idx="0">
                  <c:v>0.39340152548707186</c:v>
                </c:pt>
              </c:numCache>
            </c:numRef>
          </c:val>
        </c:ser>
        <c:ser>
          <c:idx val="9"/>
          <c:order val="9"/>
          <c:tx>
            <c:v>90°</c:v>
          </c:tx>
          <c:invertIfNegative val="0"/>
          <c:val>
            <c:numRef>
              <c:f>'Yielding Stress (1)'!$Y$13</c:f>
              <c:numCache>
                <c:formatCode>_(* #,##0.00_);_(* \(#,##0.00\);_(* "-"??_);_(@_)</c:formatCode>
                <c:ptCount val="1"/>
                <c:pt idx="0">
                  <c:v>0.37840300164537471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725184"/>
        <c:axId val="175821184"/>
      </c:barChart>
      <c:catAx>
        <c:axId val="175725184"/>
        <c:scaling>
          <c:orientation val="minMax"/>
        </c:scaling>
        <c:delete val="1"/>
        <c:axPos val="b"/>
        <c:majorTickMark val="none"/>
        <c:minorTickMark val="none"/>
        <c:tickLblPos val="nextTo"/>
        <c:crossAx val="175821184"/>
        <c:crosses val="autoZero"/>
        <c:auto val="1"/>
        <c:lblAlgn val="ctr"/>
        <c:lblOffset val="100"/>
        <c:noMultiLvlLbl val="0"/>
      </c:catAx>
      <c:valAx>
        <c:axId val="17582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1757251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Combined Stresses (Alternative 2)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theta = 2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(3pt)'!$V$3:$V$24</c:f>
              <c:numCache>
                <c:formatCode>_(* #,##0.00_);_(* \(#,##0.00\);_(* "-"??_);_(@_)</c:formatCode>
                <c:ptCount val="22"/>
                <c:pt idx="0">
                  <c:v>3.5684221951960651</c:v>
                </c:pt>
                <c:pt idx="1">
                  <c:v>3.2972499896028</c:v>
                </c:pt>
                <c:pt idx="2">
                  <c:v>3.0704993785986234</c:v>
                </c:pt>
                <c:pt idx="3">
                  <c:v>2.8882404364313974</c:v>
                </c:pt>
                <c:pt idx="4">
                  <c:v>2.7505487092576431</c:v>
                </c:pt>
                <c:pt idx="5">
                  <c:v>2.657505737484954</c:v>
                </c:pt>
                <c:pt idx="6">
                  <c:v>2.6091996373234538</c:v>
                </c:pt>
                <c:pt idx="7">
                  <c:v>2.6057257493508019</c:v>
                </c:pt>
                <c:pt idx="8">
                  <c:v>2.6471873630728031</c:v>
                </c:pt>
                <c:pt idx="9">
                  <c:v>2.3458063017151214</c:v>
                </c:pt>
                <c:pt idx="10">
                  <c:v>2.2383745004542317</c:v>
                </c:pt>
                <c:pt idx="11">
                  <c:v>2.1755281232304648</c:v>
                </c:pt>
                <c:pt idx="12">
                  <c:v>2.1573598042180286</c:v>
                </c:pt>
                <c:pt idx="13">
                  <c:v>2.1839705803170624</c:v>
                </c:pt>
                <c:pt idx="14">
                  <c:v>1.6102525561451846</c:v>
                </c:pt>
                <c:pt idx="15">
                  <c:v>1.4883820181682845</c:v>
                </c:pt>
                <c:pt idx="16">
                  <c:v>1.4109733445640682</c:v>
                </c:pt>
                <c:pt idx="17">
                  <c:v>1.378120438797753</c:v>
                </c:pt>
                <c:pt idx="18">
                  <c:v>0.55905120359231153</c:v>
                </c:pt>
                <c:pt idx="19">
                  <c:v>0.36128569978617842</c:v>
                </c:pt>
                <c:pt idx="20">
                  <c:v>0.20652610386203013</c:v>
                </c:pt>
                <c:pt idx="21">
                  <c:v>9.4745760764192694E-2</c:v>
                </c:pt>
              </c:numCache>
            </c:numRef>
          </c:val>
          <c:smooth val="0"/>
        </c:ser>
        <c:ser>
          <c:idx val="1"/>
          <c:order val="1"/>
          <c:tx>
            <c:v>theta = 10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(3pt)'!$AB$3:$AB$24</c:f>
              <c:numCache>
                <c:formatCode>_(* #,##0.00_);_(* \(#,##0.00\);_(* "-"??_);_(@_)</c:formatCode>
                <c:ptCount val="22"/>
                <c:pt idx="0">
                  <c:v>1.8618158461964986</c:v>
                </c:pt>
                <c:pt idx="1">
                  <c:v>1.6499140548796158</c:v>
                </c:pt>
                <c:pt idx="2">
                  <c:v>1.4808579597257492</c:v>
                </c:pt>
                <c:pt idx="3">
                  <c:v>1.3546590723320902</c:v>
                </c:pt>
                <c:pt idx="4">
                  <c:v>1.2713297655223854</c:v>
                </c:pt>
                <c:pt idx="5">
                  <c:v>1.2308833531269789</c:v>
                </c:pt>
                <c:pt idx="6">
                  <c:v>1.2333341786073355</c:v>
                </c:pt>
                <c:pt idx="7">
                  <c:v>1.2786977136710622</c:v>
                </c:pt>
                <c:pt idx="8">
                  <c:v>1.3669906681940491</c:v>
                </c:pt>
                <c:pt idx="9">
                  <c:v>1.4139564719747191</c:v>
                </c:pt>
                <c:pt idx="10">
                  <c:v>1.3377190616042187</c:v>
                </c:pt>
                <c:pt idx="11">
                  <c:v>1.3043143152507861</c:v>
                </c:pt>
                <c:pt idx="12">
                  <c:v>1.3137540649502388</c:v>
                </c:pt>
                <c:pt idx="13">
                  <c:v>1.3660511336175813</c:v>
                </c:pt>
                <c:pt idx="14">
                  <c:v>1.156550440568427</c:v>
                </c:pt>
                <c:pt idx="15">
                  <c:v>1.0481358017004729</c:v>
                </c:pt>
                <c:pt idx="16">
                  <c:v>0.982747399710861</c:v>
                </c:pt>
                <c:pt idx="17">
                  <c:v>0.96041545353683588</c:v>
                </c:pt>
                <c:pt idx="18">
                  <c:v>0.55115765441988718</c:v>
                </c:pt>
                <c:pt idx="19">
                  <c:v>0.35623382831582695</c:v>
                </c:pt>
                <c:pt idx="20">
                  <c:v>0.20368442615995741</c:v>
                </c:pt>
                <c:pt idx="21">
                  <c:v>9.3482792896604827E-2</c:v>
                </c:pt>
              </c:numCache>
            </c:numRef>
          </c:val>
          <c:smooth val="0"/>
        </c:ser>
        <c:ser>
          <c:idx val="2"/>
          <c:order val="2"/>
          <c:tx>
            <c:v>theta = 20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(3pt)'!$AH$3:$AH$24</c:f>
              <c:numCache>
                <c:formatCode>_(* #,##0.00_);_(* \(#,##0.00\);_(* "-"??_);_(@_)</c:formatCode>
                <c:ptCount val="22"/>
                <c:pt idx="0">
                  <c:v>2.1457534797504971</c:v>
                </c:pt>
                <c:pt idx="1">
                  <c:v>1.9047917965139542</c:v>
                </c:pt>
                <c:pt idx="2">
                  <c:v>1.7045751259696766</c:v>
                </c:pt>
                <c:pt idx="3">
                  <c:v>1.5451058590935363</c:v>
                </c:pt>
                <c:pt idx="4">
                  <c:v>1.4263865300145124</c:v>
                </c:pt>
                <c:pt idx="5">
                  <c:v>1.3484198268694918</c:v>
                </c:pt>
                <c:pt idx="6">
                  <c:v>1.3112086036587234</c:v>
                </c:pt>
                <c:pt idx="7">
                  <c:v>1.3147558932109433</c:v>
                </c:pt>
                <c:pt idx="8">
                  <c:v>1.3590649213809392</c:v>
                </c:pt>
                <c:pt idx="9">
                  <c:v>1.4071499569865453</c:v>
                </c:pt>
                <c:pt idx="10">
                  <c:v>1.3074607631177915</c:v>
                </c:pt>
                <c:pt idx="11">
                  <c:v>1.2484760051469379</c:v>
                </c:pt>
                <c:pt idx="12">
                  <c:v>1.2301949308825406</c:v>
                </c:pt>
                <c:pt idx="13">
                  <c:v>1.2526166246819508</c:v>
                </c:pt>
                <c:pt idx="14">
                  <c:v>1.0907865212881558</c:v>
                </c:pt>
                <c:pt idx="15">
                  <c:v>0.97355919181865402</c:v>
                </c:pt>
                <c:pt idx="16">
                  <c:v>0.89727926172911443</c:v>
                </c:pt>
                <c:pt idx="17">
                  <c:v>0.86196703164782207</c:v>
                </c:pt>
                <c:pt idx="18">
                  <c:v>0.52673766488403773</c:v>
                </c:pt>
                <c:pt idx="19">
                  <c:v>0.34060503501288331</c:v>
                </c:pt>
                <c:pt idx="20">
                  <c:v>0.1948932299270516</c:v>
                </c:pt>
                <c:pt idx="21">
                  <c:v>8.9575594570868902E-2</c:v>
                </c:pt>
              </c:numCache>
            </c:numRef>
          </c:val>
          <c:smooth val="0"/>
        </c:ser>
        <c:ser>
          <c:idx val="3"/>
          <c:order val="3"/>
          <c:tx>
            <c:v>theta = 30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(3pt)'!$AN$3:$AN$24</c:f>
              <c:numCache>
                <c:formatCode>_(* #,##0.00_);_(* \(#,##0.00\);_(* "-"??_);_(@_)</c:formatCode>
                <c:ptCount val="22"/>
                <c:pt idx="0">
                  <c:v>2.0698376990049381</c:v>
                </c:pt>
                <c:pt idx="1">
                  <c:v>1.8377652441663326</c:v>
                </c:pt>
                <c:pt idx="2">
                  <c:v>1.643198637715904</c:v>
                </c:pt>
                <c:pt idx="3">
                  <c:v>1.48613722052199</c:v>
                </c:pt>
                <c:pt idx="4">
                  <c:v>1.3665802364687398</c:v>
                </c:pt>
                <c:pt idx="5">
                  <c:v>1.2845268202610278</c:v>
                </c:pt>
                <c:pt idx="6">
                  <c:v>1.2399759836068893</c:v>
                </c:pt>
                <c:pt idx="7">
                  <c:v>1.2329265995396939</c:v>
                </c:pt>
                <c:pt idx="8">
                  <c:v>1.2633773846036263</c:v>
                </c:pt>
                <c:pt idx="9">
                  <c:v>1.310150866458947</c:v>
                </c:pt>
                <c:pt idx="10">
                  <c:v>1.2112189059304315</c:v>
                </c:pt>
                <c:pt idx="11">
                  <c:v>1.1497430055465412</c:v>
                </c:pt>
                <c:pt idx="12">
                  <c:v>1.1257182047132297</c:v>
                </c:pt>
                <c:pt idx="13">
                  <c:v>1.1391389933554257</c:v>
                </c:pt>
                <c:pt idx="14">
                  <c:v>1.0045266131735668</c:v>
                </c:pt>
                <c:pt idx="15">
                  <c:v>0.89309127803314903</c:v>
                </c:pt>
                <c:pt idx="16">
                  <c:v>0.81937148367320622</c:v>
                </c:pt>
                <c:pt idx="17">
                  <c:v>0.7833842138527114</c:v>
                </c:pt>
                <c:pt idx="18">
                  <c:v>0.48686295811630809</c:v>
                </c:pt>
                <c:pt idx="19">
                  <c:v>0.31508522268153633</c:v>
                </c:pt>
                <c:pt idx="20">
                  <c:v>0.18053833549066894</c:v>
                </c:pt>
                <c:pt idx="21">
                  <c:v>8.3195641488032171E-2</c:v>
                </c:pt>
              </c:numCache>
            </c:numRef>
          </c:val>
          <c:smooth val="0"/>
        </c:ser>
        <c:ser>
          <c:idx val="4"/>
          <c:order val="4"/>
          <c:tx>
            <c:v>theta = 40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(3pt)'!$AT$3:$AT$24</c:f>
              <c:numCache>
                <c:formatCode>_(* #,##0.00_);_(* \(#,##0.00\);_(* "-"??_);_(@_)</c:formatCode>
                <c:ptCount val="22"/>
                <c:pt idx="0">
                  <c:v>1.8587875529819442</c:v>
                </c:pt>
                <c:pt idx="1">
                  <c:v>1.6502559632970968</c:v>
                </c:pt>
                <c:pt idx="2">
                  <c:v>1.4748748085020611</c:v>
                </c:pt>
                <c:pt idx="3">
                  <c:v>1.3326418181239694</c:v>
                </c:pt>
                <c:pt idx="4">
                  <c:v>1.2235544978436481</c:v>
                </c:pt>
                <c:pt idx="5">
                  <c:v>1.1476101051234984</c:v>
                </c:pt>
                <c:pt idx="6">
                  <c:v>1.1048056218271358</c:v>
                </c:pt>
                <c:pt idx="7">
                  <c:v>1.0951377234097872</c:v>
                </c:pt>
                <c:pt idx="8">
                  <c:v>1.1186027441920925</c:v>
                </c:pt>
                <c:pt idx="9">
                  <c:v>1.1623745563399062</c:v>
                </c:pt>
                <c:pt idx="10">
                  <c:v>1.0724395246636929</c:v>
                </c:pt>
                <c:pt idx="11">
                  <c:v>1.0156002733175715</c:v>
                </c:pt>
                <c:pt idx="12">
                  <c:v>0.99184961845063468</c:v>
                </c:pt>
                <c:pt idx="13">
                  <c:v>1.0011796227952672</c:v>
                </c:pt>
                <c:pt idx="14">
                  <c:v>0.89251607531872024</c:v>
                </c:pt>
                <c:pt idx="15">
                  <c:v>0.79306637982620087</c:v>
                </c:pt>
                <c:pt idx="16">
                  <c:v>0.72698067114621467</c:v>
                </c:pt>
                <c:pt idx="17">
                  <c:v>0.69427418076896241</c:v>
                </c:pt>
                <c:pt idx="18">
                  <c:v>0.4327451069042606</c:v>
                </c:pt>
                <c:pt idx="19">
                  <c:v>0.28044979790582597</c:v>
                </c:pt>
                <c:pt idx="20">
                  <c:v>0.16105590905433187</c:v>
                </c:pt>
                <c:pt idx="21">
                  <c:v>7.4536785294104554E-2</c:v>
                </c:pt>
              </c:numCache>
            </c:numRef>
          </c:val>
          <c:smooth val="0"/>
        </c:ser>
        <c:ser>
          <c:idx val="5"/>
          <c:order val="5"/>
          <c:tx>
            <c:v>theta = 50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(3pt)'!$AZ$3:$AZ$24</c:f>
              <c:numCache>
                <c:formatCode>_(* #,##0.00_);_(* \(#,##0.00\);_(* "-"??_);_(@_)</c:formatCode>
                <c:ptCount val="22"/>
                <c:pt idx="0">
                  <c:v>1.5608522828439215</c:v>
                </c:pt>
                <c:pt idx="1">
                  <c:v>1.3854663811150632</c:v>
                </c:pt>
                <c:pt idx="2">
                  <c:v>1.23787725723792</c:v>
                </c:pt>
                <c:pt idx="3">
                  <c:v>1.1180816284430926</c:v>
                </c:pt>
                <c:pt idx="4">
                  <c:v>1.0260759084159978</c:v>
                </c:pt>
                <c:pt idx="5">
                  <c:v>0.96185617527475253</c:v>
                </c:pt>
                <c:pt idx="6">
                  <c:v>0.92541813566922104</c:v>
                </c:pt>
                <c:pt idx="7">
                  <c:v>0.9167570844651397</c:v>
                </c:pt>
                <c:pt idx="8">
                  <c:v>0.93586785939346218</c:v>
                </c:pt>
                <c:pt idx="9">
                  <c:v>0.97517091667496691</c:v>
                </c:pt>
                <c:pt idx="10">
                  <c:v>0.89919958197714234</c:v>
                </c:pt>
                <c:pt idx="11">
                  <c:v>0.85096731339449461</c:v>
                </c:pt>
                <c:pt idx="12">
                  <c:v>0.83046553035442783</c:v>
                </c:pt>
                <c:pt idx="13">
                  <c:v>0.83768477074866454</c:v>
                </c:pt>
                <c:pt idx="14">
                  <c:v>0.75667686100343268</c:v>
                </c:pt>
                <c:pt idx="15">
                  <c:v>0.67349322911269827</c:v>
                </c:pt>
                <c:pt idx="16">
                  <c:v>0.6183223516779297</c:v>
                </c:pt>
                <c:pt idx="17">
                  <c:v>0.59117835935755325</c:v>
                </c:pt>
                <c:pt idx="18">
                  <c:v>0.3660284547720194</c:v>
                </c:pt>
                <c:pt idx="19">
                  <c:v>0.23775114054119159</c:v>
                </c:pt>
                <c:pt idx="20">
                  <c:v>0.13703791428672502</c:v>
                </c:pt>
                <c:pt idx="21">
                  <c:v>6.386212095294598E-2</c:v>
                </c:pt>
              </c:numCache>
            </c:numRef>
          </c:val>
          <c:smooth val="0"/>
        </c:ser>
        <c:ser>
          <c:idx val="6"/>
          <c:order val="6"/>
          <c:tx>
            <c:v>theta = 60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(3pt)'!$BF$3:$BF$24</c:f>
              <c:numCache>
                <c:formatCode>_(* #,##0.00_);_(* \(#,##0.00\);_(* "-"??_);_(@_)</c:formatCode>
                <c:ptCount val="22"/>
                <c:pt idx="0">
                  <c:v>1.1988722843036954</c:v>
                </c:pt>
                <c:pt idx="1">
                  <c:v>1.0638022650429069</c:v>
                </c:pt>
                <c:pt idx="2">
                  <c:v>0.95033506812616264</c:v>
                </c:pt>
                <c:pt idx="3">
                  <c:v>0.85846673541397833</c:v>
                </c:pt>
                <c:pt idx="4">
                  <c:v>0.78819295204929229</c:v>
                </c:pt>
                <c:pt idx="5">
                  <c:v>0.73950900933151431</c:v>
                </c:pt>
                <c:pt idx="6">
                  <c:v>0.71240976313092841</c:v>
                </c:pt>
                <c:pt idx="7">
                  <c:v>0.70688958723056028</c:v>
                </c:pt>
                <c:pt idx="8">
                  <c:v>0.72294232088723087</c:v>
                </c:pt>
                <c:pt idx="9">
                  <c:v>0.75648876413617694</c:v>
                </c:pt>
                <c:pt idx="10">
                  <c:v>0.69803507121465846</c:v>
                </c:pt>
                <c:pt idx="11">
                  <c:v>0.66112444925544833</c:v>
                </c:pt>
                <c:pt idx="12">
                  <c:v>0.64574738584037872</c:v>
                </c:pt>
                <c:pt idx="13">
                  <c:v>0.65189340153894293</c:v>
                </c:pt>
                <c:pt idx="14">
                  <c:v>0.60064815172863717</c:v>
                </c:pt>
                <c:pt idx="15">
                  <c:v>0.53700626408794427</c:v>
                </c:pt>
                <c:pt idx="16">
                  <c:v>0.49518479306123192</c:v>
                </c:pt>
                <c:pt idx="17">
                  <c:v>0.47519713486911719</c:v>
                </c:pt>
                <c:pt idx="18">
                  <c:v>0.28874015343436754</c:v>
                </c:pt>
                <c:pt idx="19">
                  <c:v>0.18828662768509444</c:v>
                </c:pt>
                <c:pt idx="20">
                  <c:v>0.10921412580517038</c:v>
                </c:pt>
                <c:pt idx="21">
                  <c:v>5.1495992738921685E-2</c:v>
                </c:pt>
              </c:numCache>
            </c:numRef>
          </c:val>
          <c:smooth val="0"/>
        </c:ser>
        <c:ser>
          <c:idx val="7"/>
          <c:order val="7"/>
          <c:tx>
            <c:v>theta = 70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(3pt)'!$BL$3:$BL$24</c:f>
              <c:numCache>
                <c:formatCode>_(* #,##0.00_);_(* \(#,##0.00\);_(* "-"??_);_(@_)</c:formatCode>
                <c:ptCount val="22"/>
                <c:pt idx="0">
                  <c:v>0.78969677769866498</c:v>
                </c:pt>
                <c:pt idx="1">
                  <c:v>0.70028211362861992</c:v>
                </c:pt>
                <c:pt idx="2">
                  <c:v>0.62562221395607842</c:v>
                </c:pt>
                <c:pt idx="3">
                  <c:v>0.56571267834097383</c:v>
                </c:pt>
                <c:pt idx="4">
                  <c:v>0.52054871491087029</c:v>
                </c:pt>
                <c:pt idx="5">
                  <c:v>0.49012509979327473</c:v>
                </c:pt>
                <c:pt idx="6">
                  <c:v>0.4744361318079941</c:v>
                </c:pt>
                <c:pt idx="7">
                  <c:v>0.47347558165638565</c:v>
                </c:pt>
                <c:pt idx="8">
                  <c:v>0.48723663484134566</c:v>
                </c:pt>
                <c:pt idx="9">
                  <c:v>0.51393195199520803</c:v>
                </c:pt>
                <c:pt idx="10">
                  <c:v>0.4755981072173539</c:v>
                </c:pt>
                <c:pt idx="11">
                  <c:v>0.45195793999146711</c:v>
                </c:pt>
                <c:pt idx="12">
                  <c:v>0.443001327770699</c:v>
                </c:pt>
                <c:pt idx="13">
                  <c:v>0.44871712502976752</c:v>
                </c:pt>
                <c:pt idx="14">
                  <c:v>0.42896363013909627</c:v>
                </c:pt>
                <c:pt idx="15">
                  <c:v>0.387328775233512</c:v>
                </c:pt>
                <c:pt idx="16">
                  <c:v>0.36066733816682167</c:v>
                </c:pt>
                <c:pt idx="17">
                  <c:v>0.34899223428428766</c:v>
                </c:pt>
                <c:pt idx="18">
                  <c:v>0.20322856881768211</c:v>
                </c:pt>
                <c:pt idx="19">
                  <c:v>0.13355921353041572</c:v>
                </c:pt>
                <c:pt idx="20">
                  <c:v>7.8429955343163604E-2</c:v>
                </c:pt>
                <c:pt idx="21">
                  <c:v>3.7814139200251999E-2</c:v>
                </c:pt>
              </c:numCache>
            </c:numRef>
          </c:val>
          <c:smooth val="0"/>
        </c:ser>
        <c:ser>
          <c:idx val="8"/>
          <c:order val="8"/>
          <c:tx>
            <c:v>theta = 80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(3pt)'!$BR$3:$BR$24</c:f>
              <c:numCache>
                <c:formatCode>_(* #,##0.00_);_(* \(#,##0.00\);_(* "-"??_);_(@_)</c:formatCode>
                <c:ptCount val="22"/>
                <c:pt idx="0">
                  <c:v>0.34855581436655525</c:v>
                </c:pt>
                <c:pt idx="1">
                  <c:v>0.30845912923537022</c:v>
                </c:pt>
                <c:pt idx="2">
                  <c:v>0.2758221646043808</c:v>
                </c:pt>
                <c:pt idx="3">
                  <c:v>0.25064026511557774</c:v>
                </c:pt>
                <c:pt idx="4">
                  <c:v>0.23290836380082666</c:v>
                </c:pt>
                <c:pt idx="5">
                  <c:v>0.2226209396869876</c:v>
                </c:pt>
                <c:pt idx="6">
                  <c:v>0.21977197034176649</c:v>
                </c:pt>
                <c:pt idx="7">
                  <c:v>0.22435487866814316</c:v>
                </c:pt>
                <c:pt idx="8">
                  <c:v>0.23636247314784289</c:v>
                </c:pt>
                <c:pt idx="9">
                  <c:v>0.25532913490800996</c:v>
                </c:pt>
                <c:pt idx="10">
                  <c:v>0.23890544354747151</c:v>
                </c:pt>
                <c:pt idx="11">
                  <c:v>0.22987961567700299</c:v>
                </c:pt>
                <c:pt idx="12">
                  <c:v>0.22824117688735168</c:v>
                </c:pt>
                <c:pt idx="13">
                  <c:v>0.23397859751507338</c:v>
                </c:pt>
                <c:pt idx="14">
                  <c:v>0.2467407856930087</c:v>
                </c:pt>
                <c:pt idx="15">
                  <c:v>0.22880600052893679</c:v>
                </c:pt>
                <c:pt idx="16">
                  <c:v>0.21855020013270304</c:v>
                </c:pt>
                <c:pt idx="17">
                  <c:v>0.21598602252781088</c:v>
                </c:pt>
                <c:pt idx="18">
                  <c:v>0.11209192714959133</c:v>
                </c:pt>
                <c:pt idx="19">
                  <c:v>7.5231762862837628E-2</c:v>
                </c:pt>
                <c:pt idx="20">
                  <c:v>4.5620764342650895E-2</c:v>
                </c:pt>
                <c:pt idx="21">
                  <c:v>2.3232276533357472E-2</c:v>
                </c:pt>
              </c:numCache>
            </c:numRef>
          </c:val>
          <c:smooth val="0"/>
        </c:ser>
        <c:ser>
          <c:idx val="9"/>
          <c:order val="9"/>
          <c:tx>
            <c:v>theta = 90</c:v>
          </c:tx>
          <c:marker>
            <c:symbol val="none"/>
          </c:marker>
          <c:cat>
            <c:numRef>
              <c:f>'Alternative 2-Tilt Up (3pt)'!$A$3:$A$24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'Alternative 2-Tilt Up (3pt)'!$BX$3:$BX$24</c:f>
              <c:numCache>
                <c:formatCode>_(* #,##0.00_);_(* \(#,##0.00\);_(* "-"??_);_(@_)</c:formatCode>
                <c:ptCount val="22"/>
                <c:pt idx="0">
                  <c:v>4.4692180357998899E-2</c:v>
                </c:pt>
                <c:pt idx="1">
                  <c:v>4.4054649827672571E-2</c:v>
                </c:pt>
                <c:pt idx="2">
                  <c:v>4.335601131369856E-2</c:v>
                </c:pt>
                <c:pt idx="3">
                  <c:v>4.2591521166151926E-2</c:v>
                </c:pt>
                <c:pt idx="4">
                  <c:v>4.1756017173692331E-2</c:v>
                </c:pt>
                <c:pt idx="5">
                  <c:v>4.0843875501457572E-2</c:v>
                </c:pt>
                <c:pt idx="6">
                  <c:v>3.9848962493749883E-2</c:v>
                </c:pt>
                <c:pt idx="7">
                  <c:v>3.8764580639336382E-2</c:v>
                </c:pt>
                <c:pt idx="8">
                  <c:v>3.7583407888258938E-2</c:v>
                </c:pt>
                <c:pt idx="9">
                  <c:v>3.6297429381131181E-2</c:v>
                </c:pt>
                <c:pt idx="10">
                  <c:v>3.4889619753602302E-2</c:v>
                </c:pt>
                <c:pt idx="11">
                  <c:v>3.3358578487113336E-2</c:v>
                </c:pt>
                <c:pt idx="12">
                  <c:v>3.1693709351157291E-2</c:v>
                </c:pt>
                <c:pt idx="13">
                  <c:v>2.9883349686573434E-2</c:v>
                </c:pt>
                <c:pt idx="14">
                  <c:v>7.1354820093268947E-2</c:v>
                </c:pt>
                <c:pt idx="15">
                  <c:v>7.4082039491732837E-2</c:v>
                </c:pt>
                <c:pt idx="16">
                  <c:v>7.6967626653505677E-2</c:v>
                </c:pt>
                <c:pt idx="17">
                  <c:v>8.0024123588182977E-2</c:v>
                </c:pt>
                <c:pt idx="18">
                  <c:v>1.8099369169814274E-2</c:v>
                </c:pt>
                <c:pt idx="19">
                  <c:v>1.5076525755780315E-2</c:v>
                </c:pt>
                <c:pt idx="20">
                  <c:v>1.1783443469931161E-2</c:v>
                </c:pt>
                <c:pt idx="21">
                  <c:v>8.1934672565931455E-3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22944"/>
        <c:axId val="142606336"/>
      </c:lineChart>
      <c:catAx>
        <c:axId val="14272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606336"/>
        <c:crosses val="autoZero"/>
        <c:auto val="1"/>
        <c:lblAlgn val="ctr"/>
        <c:lblOffset val="100"/>
        <c:noMultiLvlLbl val="0"/>
      </c:catAx>
      <c:valAx>
        <c:axId val="142606336"/>
        <c:scaling>
          <c:orientation val="minMax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Stresses (MPa)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722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Stress Calculated at Theta = 2°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Calculated Stress</c:v>
          </c:tx>
          <c:marker>
            <c:symbol val="none"/>
          </c:marker>
          <c:cat>
            <c:numRef>
              <c:f>'Alternative 2-Tilt Up (3pt)'!$A$3:$A$25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cat>
          <c:val>
            <c:numRef>
              <c:f>'Alternative 2-Tilt Up (3pt)'!$V$3:$V$25</c:f>
              <c:numCache>
                <c:formatCode>_(* #,##0.00_);_(* \(#,##0.00\);_(* "-"??_);_(@_)</c:formatCode>
                <c:ptCount val="23"/>
                <c:pt idx="0">
                  <c:v>3.5684221951960651</c:v>
                </c:pt>
                <c:pt idx="1">
                  <c:v>3.2972499896028</c:v>
                </c:pt>
                <c:pt idx="2">
                  <c:v>3.0704993785986234</c:v>
                </c:pt>
                <c:pt idx="3">
                  <c:v>2.8882404364313974</c:v>
                </c:pt>
                <c:pt idx="4">
                  <c:v>2.7505487092576431</c:v>
                </c:pt>
                <c:pt idx="5">
                  <c:v>2.657505737484954</c:v>
                </c:pt>
                <c:pt idx="6">
                  <c:v>2.6091996373234538</c:v>
                </c:pt>
                <c:pt idx="7">
                  <c:v>2.6057257493508019</c:v>
                </c:pt>
                <c:pt idx="8">
                  <c:v>2.6471873630728031</c:v>
                </c:pt>
                <c:pt idx="9">
                  <c:v>2.3458063017151214</c:v>
                </c:pt>
                <c:pt idx="10">
                  <c:v>2.2383745004542317</c:v>
                </c:pt>
                <c:pt idx="11">
                  <c:v>2.1755281232304648</c:v>
                </c:pt>
                <c:pt idx="12">
                  <c:v>2.1573598042180286</c:v>
                </c:pt>
                <c:pt idx="13">
                  <c:v>2.1839705803170624</c:v>
                </c:pt>
                <c:pt idx="14">
                  <c:v>1.6102525561451846</c:v>
                </c:pt>
                <c:pt idx="15">
                  <c:v>1.4883820181682845</c:v>
                </c:pt>
                <c:pt idx="16">
                  <c:v>1.4109733445640682</c:v>
                </c:pt>
                <c:pt idx="17">
                  <c:v>1.378120438797753</c:v>
                </c:pt>
                <c:pt idx="18">
                  <c:v>0.55905120359231153</c:v>
                </c:pt>
                <c:pt idx="19">
                  <c:v>0.36128569978617842</c:v>
                </c:pt>
                <c:pt idx="20">
                  <c:v>0.20652610386203013</c:v>
                </c:pt>
                <c:pt idx="21">
                  <c:v>9.4745760764192694E-2</c:v>
                </c:pt>
                <c:pt idx="22">
                  <c:v>2.5914861933094179E-2</c:v>
                </c:pt>
              </c:numCache>
            </c:numRef>
          </c:val>
          <c:smooth val="0"/>
        </c:ser>
        <c:ser>
          <c:idx val="1"/>
          <c:order val="1"/>
          <c:tx>
            <c:v>Allowable Stress</c:v>
          </c:tx>
          <c:marker>
            <c:symbol val="none"/>
          </c:marker>
          <c:cat>
            <c:numRef>
              <c:f>'Alternative 2-Tilt Up (3pt)'!$A$3:$A$25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cat>
          <c:val>
            <c:numRef>
              <c:f>'Alternative 2-Tilt Up (3pt)'!$BZ$3:$BZ$25</c:f>
              <c:numCache>
                <c:formatCode>_(* #,##0.00_);_(* \(#,##0.00\);_(* "-"??_);_(@_)</c:formatCode>
                <c:ptCount val="23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Allowable Column Buckling</c:v>
          </c:tx>
          <c:marker>
            <c:symbol val="none"/>
          </c:marker>
          <c:cat>
            <c:numRef>
              <c:f>'Alternative 2-Tilt Up (3pt)'!$A$3:$A$25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cat>
          <c:val>
            <c:numRef>
              <c:f>'Local Buckling'!#REF!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v>Alllowable Local Buckling</c:v>
          </c:tx>
          <c:marker>
            <c:symbol val="none"/>
          </c:marker>
          <c:cat>
            <c:numRef>
              <c:f>'Alternative 2-Tilt Up (3pt)'!$A$3:$A$25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</c:numCache>
            </c:numRef>
          </c:cat>
          <c:val>
            <c:numRef>
              <c:f>'Local Buckling'!$AH$4:$AH$26</c:f>
              <c:numCache>
                <c:formatCode>General</c:formatCode>
                <c:ptCount val="23"/>
                <c:pt idx="0">
                  <c:v>171.85750321098621</c:v>
                </c:pt>
                <c:pt idx="1">
                  <c:v>172.36954887411781</c:v>
                </c:pt>
                <c:pt idx="2">
                  <c:v>172.89711107249585</c:v>
                </c:pt>
                <c:pt idx="3">
                  <c:v>173.44090595390088</c:v>
                </c:pt>
                <c:pt idx="4">
                  <c:v>174.00169442534983</c:v>
                </c:pt>
                <c:pt idx="5">
                  <c:v>174.5802857054162</c:v>
                </c:pt>
                <c:pt idx="6">
                  <c:v>175.17754122032341</c:v>
                </c:pt>
                <c:pt idx="7">
                  <c:v>175.79437888326038</c:v>
                </c:pt>
                <c:pt idx="8">
                  <c:v>176.43177780162856</c:v>
                </c:pt>
                <c:pt idx="9">
                  <c:v>177.09078346299228</c:v>
                </c:pt>
                <c:pt idx="10">
                  <c:v>177.77251345750648</c:v>
                </c:pt>
                <c:pt idx="11">
                  <c:v>178.47816380270541</c:v>
                </c:pt>
                <c:pt idx="12">
                  <c:v>179.20901594594713</c:v>
                </c:pt>
                <c:pt idx="13">
                  <c:v>179.96644453076129</c:v>
                </c:pt>
                <c:pt idx="14">
                  <c:v>180.75192602612412</c:v>
                </c:pt>
                <c:pt idx="15">
                  <c:v>181.56704833263271</c:v>
                </c:pt>
                <c:pt idx="16">
                  <c:v>182.41352149708393</c:v>
                </c:pt>
                <c:pt idx="17">
                  <c:v>183.29318968759208</c:v>
                </c:pt>
                <c:pt idx="18">
                  <c:v>184.20804460572054</c:v>
                </c:pt>
                <c:pt idx="19">
                  <c:v>185.16024054091548</c:v>
                </c:pt>
                <c:pt idx="20">
                  <c:v>186.15211130674354</c:v>
                </c:pt>
                <c:pt idx="21">
                  <c:v>187.18618933920257</c:v>
                </c:pt>
                <c:pt idx="22">
                  <c:v>188.26522728611636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28352"/>
        <c:axId val="142630272"/>
      </c:lineChart>
      <c:catAx>
        <c:axId val="14262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630272"/>
        <c:crosses val="autoZero"/>
        <c:auto val="1"/>
        <c:lblAlgn val="ctr"/>
        <c:lblOffset val="100"/>
        <c:noMultiLvlLbl val="0"/>
      </c:catAx>
      <c:valAx>
        <c:axId val="142630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62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Combined Stresses (Alternative 3)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theta = 2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(3pt)'!$V$3:$V$37</c:f>
              <c:numCache>
                <c:formatCode>_(* #,##0.00_);_(* \(#,##0.00\);_(* "-"??_);_(@_)</c:formatCode>
                <c:ptCount val="35"/>
                <c:pt idx="0">
                  <c:v>7.9403441240248389</c:v>
                </c:pt>
                <c:pt idx="1">
                  <c:v>7.2685804974953774</c:v>
                </c:pt>
                <c:pt idx="2">
                  <c:v>6.6636515087345769</c:v>
                </c:pt>
                <c:pt idx="3">
                  <c:v>6.1255759244664478</c:v>
                </c:pt>
                <c:pt idx="4">
                  <c:v>5.6543734468043167</c:v>
                </c:pt>
                <c:pt idx="5">
                  <c:v>5.2500647699162455</c:v>
                </c:pt>
                <c:pt idx="6">
                  <c:v>4.9126716407426203</c:v>
                </c:pt>
                <c:pt idx="7">
                  <c:v>4.642216924100822</c:v>
                </c:pt>
                <c:pt idx="8">
                  <c:v>4.4387246725433256</c:v>
                </c:pt>
                <c:pt idx="9">
                  <c:v>4.3022202013705151</c:v>
                </c:pt>
                <c:pt idx="10">
                  <c:v>4.2327301692379677</c:v>
                </c:pt>
                <c:pt idx="11">
                  <c:v>4.23028266484057</c:v>
                </c:pt>
                <c:pt idx="12">
                  <c:v>4.2949073002033131</c:v>
                </c:pt>
                <c:pt idx="13">
                  <c:v>4.4266353111610766</c:v>
                </c:pt>
                <c:pt idx="14">
                  <c:v>4.6254996656682144</c:v>
                </c:pt>
                <c:pt idx="15">
                  <c:v>4.4944175389325753</c:v>
                </c:pt>
                <c:pt idx="16">
                  <c:v>4.2849355464703018</c:v>
                </c:pt>
                <c:pt idx="17">
                  <c:v>4.1423856255944873</c:v>
                </c:pt>
                <c:pt idx="18">
                  <c:v>4.0667942127753332</c:v>
                </c:pt>
                <c:pt idx="19">
                  <c:v>4.0581892917199696</c:v>
                </c:pt>
                <c:pt idx="20">
                  <c:v>4.116600503730437</c:v>
                </c:pt>
                <c:pt idx="21">
                  <c:v>4.2420592673752529</c:v>
                </c:pt>
                <c:pt idx="22">
                  <c:v>3.4778549471808096</c:v>
                </c:pt>
                <c:pt idx="23">
                  <c:v>3.1954338664549358</c:v>
                </c:pt>
                <c:pt idx="24">
                  <c:v>2.9798747866249271</c:v>
                </c:pt>
                <c:pt idx="25">
                  <c:v>2.8312034508359796</c:v>
                </c:pt>
                <c:pt idx="26">
                  <c:v>2.7494472629474034</c:v>
                </c:pt>
                <c:pt idx="27">
                  <c:v>2.7346354177722181</c:v>
                </c:pt>
                <c:pt idx="28">
                  <c:v>1.6423039281472462</c:v>
                </c:pt>
                <c:pt idx="29">
                  <c:v>1.2089999209616431</c:v>
                </c:pt>
                <c:pt idx="30">
                  <c:v>0.84193859618173217</c:v>
                </c:pt>
                <c:pt idx="31">
                  <c:v>0.54111274851069024</c:v>
                </c:pt>
                <c:pt idx="32">
                  <c:v>0.30651463056821487</c:v>
                </c:pt>
                <c:pt idx="33">
                  <c:v>0.13813590458983929</c:v>
                </c:pt>
                <c:pt idx="34">
                  <c:v>3.5967589105866032E-2</c:v>
                </c:pt>
              </c:numCache>
            </c:numRef>
          </c:val>
          <c:smooth val="0"/>
        </c:ser>
        <c:ser>
          <c:idx val="1"/>
          <c:order val="1"/>
          <c:tx>
            <c:v>theta = 10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(3pt)'!$AB$3:$AB$37</c:f>
              <c:numCache>
                <c:formatCode>_(* #,##0.00_);_(* \(#,##0.00\);_(* "-"??_);_(@_)</c:formatCode>
                <c:ptCount val="35"/>
                <c:pt idx="0">
                  <c:v>3.4018578519478213</c:v>
                </c:pt>
                <c:pt idx="1">
                  <c:v>2.9055318808568065</c:v>
                </c:pt>
                <c:pt idx="2">
                  <c:v>2.4746784444051153</c:v>
                </c:pt>
                <c:pt idx="3">
                  <c:v>2.1093006352138857</c:v>
                </c:pt>
                <c:pt idx="4">
                  <c:v>1.8094016936890451</c:v>
                </c:pt>
                <c:pt idx="5">
                  <c:v>1.5749850167135988</c:v>
                </c:pt>
                <c:pt idx="6">
                  <c:v>1.4060541669481106</c:v>
                </c:pt>
                <c:pt idx="7">
                  <c:v>1.3026128827887646</c:v>
                </c:pt>
                <c:pt idx="8">
                  <c:v>1.264665089037067</c:v>
                </c:pt>
                <c:pt idx="9">
                  <c:v>1.2922149083401422</c:v>
                </c:pt>
                <c:pt idx="10">
                  <c:v>1.3852666734664834</c:v>
                </c:pt>
                <c:pt idx="11">
                  <c:v>1.5438249404878515</c:v>
                </c:pt>
                <c:pt idx="12">
                  <c:v>1.7678945029451978</c:v>
                </c:pt>
                <c:pt idx="13">
                  <c:v>2.0574804070838377</c:v>
                </c:pt>
                <c:pt idx="14">
                  <c:v>2.4125879682518838</c:v>
                </c:pt>
                <c:pt idx="15">
                  <c:v>2.7469434141014002</c:v>
                </c:pt>
                <c:pt idx="16">
                  <c:v>2.6457048914455958</c:v>
                </c:pt>
                <c:pt idx="17">
                  <c:v>2.6099373788240192</c:v>
                </c:pt>
                <c:pt idx="18">
                  <c:v>2.6396442596663983</c:v>
                </c:pt>
                <c:pt idx="19">
                  <c:v>2.7348291006469427</c:v>
                </c:pt>
                <c:pt idx="20">
                  <c:v>2.8954956640388039</c:v>
                </c:pt>
                <c:pt idx="21">
                  <c:v>3.1216479210674692</c:v>
                </c:pt>
                <c:pt idx="22">
                  <c:v>2.7709338057717527</c:v>
                </c:pt>
                <c:pt idx="23">
                  <c:v>2.5433047334882541</c:v>
                </c:pt>
                <c:pt idx="24">
                  <c:v>2.3812261166175133</c:v>
                </c:pt>
                <c:pt idx="25">
                  <c:v>2.2847062079871305</c:v>
                </c:pt>
                <c:pt idx="26">
                  <c:v>2.2537537928222493</c:v>
                </c:pt>
                <c:pt idx="27">
                  <c:v>2.2883782304982243</c:v>
                </c:pt>
                <c:pt idx="28">
                  <c:v>1.618581181701054</c:v>
                </c:pt>
                <c:pt idx="29">
                  <c:v>1.1915709643889303</c:v>
                </c:pt>
                <c:pt idx="30">
                  <c:v>0.82983515411734832</c:v>
                </c:pt>
                <c:pt idx="31">
                  <c:v>0.5333665455894846</c:v>
                </c:pt>
                <c:pt idx="32">
                  <c:v>0.30215739142503667</c:v>
                </c:pt>
                <c:pt idx="33">
                  <c:v>0.13619935385953785</c:v>
                </c:pt>
                <c:pt idx="34">
                  <c:v>3.5483451423290679E-2</c:v>
                </c:pt>
              </c:numCache>
            </c:numRef>
          </c:val>
          <c:smooth val="0"/>
        </c:ser>
        <c:ser>
          <c:idx val="2"/>
          <c:order val="2"/>
          <c:tx>
            <c:v>theta = 20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(3pt)'!$AH$3:$AH$37</c:f>
              <c:numCache>
                <c:formatCode>_(* #,##0.00_);_(* \(#,##0.00\);_(* "-"??_);_(@_)</c:formatCode>
                <c:ptCount val="35"/>
                <c:pt idx="0">
                  <c:v>4.9280327383628872</c:v>
                </c:pt>
                <c:pt idx="1">
                  <c:v>4.3678679263760118</c:v>
                </c:pt>
                <c:pt idx="2">
                  <c:v>3.870118795013497</c:v>
                </c:pt>
                <c:pt idx="3">
                  <c:v>3.4347859957893174</c:v>
                </c:pt>
                <c:pt idx="4">
                  <c:v>3.0618702053395692</c:v>
                </c:pt>
                <c:pt idx="5">
                  <c:v>2.7513721266433775</c:v>
                </c:pt>
                <c:pt idx="6">
                  <c:v>2.5032924903155895</c:v>
                </c:pt>
                <c:pt idx="7">
                  <c:v>2.3176320559762331</c:v>
                </c:pt>
                <c:pt idx="8">
                  <c:v>2.1943916137021238</c:v>
                </c:pt>
                <c:pt idx="9">
                  <c:v>2.1335719855662991</c:v>
                </c:pt>
                <c:pt idx="10">
                  <c:v>2.1351740272717037</c:v>
                </c:pt>
                <c:pt idx="11">
                  <c:v>2.1991986298857578</c:v>
                </c:pt>
                <c:pt idx="12">
                  <c:v>2.3256467216832473</c:v>
                </c:pt>
                <c:pt idx="13">
                  <c:v>2.5145192701054198</c:v>
                </c:pt>
                <c:pt idx="14">
                  <c:v>2.7658172838439712</c:v>
                </c:pt>
                <c:pt idx="15">
                  <c:v>3.0416728363565331</c:v>
                </c:pt>
                <c:pt idx="16">
                  <c:v>2.8865612915559105</c:v>
                </c:pt>
                <c:pt idx="17">
                  <c:v>2.7938484908484229</c:v>
                </c:pt>
                <c:pt idx="18">
                  <c:v>2.7635342273503336</c:v>
                </c:pt>
                <c:pt idx="19">
                  <c:v>2.7956182649922767</c:v>
                </c:pt>
                <c:pt idx="20">
                  <c:v>2.8901003356104678</c:v>
                </c:pt>
                <c:pt idx="21">
                  <c:v>3.0469801357419906</c:v>
                </c:pt>
                <c:pt idx="22">
                  <c:v>2.735965761213567</c:v>
                </c:pt>
                <c:pt idx="23">
                  <c:v>2.4893275420677958</c:v>
                </c:pt>
                <c:pt idx="24">
                  <c:v>2.3051907982398658</c:v>
                </c:pt>
                <c:pt idx="25">
                  <c:v>2.1835610585903318</c:v>
                </c:pt>
                <c:pt idx="26">
                  <c:v>2.1244442086516573</c:v>
                </c:pt>
                <c:pt idx="27">
                  <c:v>2.1278465185997999</c:v>
                </c:pt>
                <c:pt idx="28">
                  <c:v>1.5451909731493141</c:v>
                </c:pt>
                <c:pt idx="29">
                  <c:v>1.1376516274937742</c:v>
                </c:pt>
                <c:pt idx="30">
                  <c:v>0.79239117016237903</c:v>
                </c:pt>
                <c:pt idx="31">
                  <c:v>0.50940239585830427</c:v>
                </c:pt>
                <c:pt idx="32">
                  <c:v>0.28867755720124771</c:v>
                </c:pt>
                <c:pt idx="33">
                  <c:v>0.1302083164267428</c:v>
                </c:pt>
                <c:pt idx="34">
                  <c:v>3.3985692065091909E-2</c:v>
                </c:pt>
              </c:numCache>
            </c:numRef>
          </c:val>
          <c:smooth val="0"/>
        </c:ser>
        <c:ser>
          <c:idx val="3"/>
          <c:order val="3"/>
          <c:tx>
            <c:v>theta = 30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(3pt)'!$AN$3:$AN$37</c:f>
              <c:numCache>
                <c:formatCode>_(* #,##0.00_);_(* \(#,##0.00\);_(* "-"??_);_(@_)</c:formatCode>
                <c:ptCount val="35"/>
                <c:pt idx="0">
                  <c:v>4.9668642471232021</c:v>
                </c:pt>
                <c:pt idx="1">
                  <c:v>4.4285494982303337</c:v>
                </c:pt>
                <c:pt idx="2">
                  <c:v>3.947738620882733</c:v>
                </c:pt>
                <c:pt idx="3">
                  <c:v>3.5244314502406988</c:v>
                </c:pt>
                <c:pt idx="4">
                  <c:v>3.1586278055658998</c:v>
                </c:pt>
                <c:pt idx="5">
                  <c:v>2.8503274889436616</c:v>
                </c:pt>
                <c:pt idx="6">
                  <c:v>2.5995302838977037</c:v>
                </c:pt>
                <c:pt idx="7">
                  <c:v>2.4062359538874363</c:v>
                </c:pt>
                <c:pt idx="8">
                  <c:v>2.2704442406768353</c:v>
                </c:pt>
                <c:pt idx="9">
                  <c:v>2.1921548625628247</c:v>
                </c:pt>
                <c:pt idx="10">
                  <c:v>2.1713675124500758</c:v>
                </c:pt>
                <c:pt idx="11">
                  <c:v>2.2080818557573423</c:v>
                </c:pt>
                <c:pt idx="12">
                  <c:v>2.302297528139309</c:v>
                </c:pt>
                <c:pt idx="13">
                  <c:v>2.454014133005888</c:v>
                </c:pt>
                <c:pt idx="14">
                  <c:v>2.6632312388191912</c:v>
                </c:pt>
                <c:pt idx="15">
                  <c:v>2.9082687743981839</c:v>
                </c:pt>
                <c:pt idx="16">
                  <c:v>2.7503270035353586</c:v>
                </c:pt>
                <c:pt idx="17">
                  <c:v>2.6498670136390206</c:v>
                </c:pt>
                <c:pt idx="18">
                  <c:v>2.6068873971548618</c:v>
                </c:pt>
                <c:pt idx="19">
                  <c:v>2.6213866463021671</c:v>
                </c:pt>
                <c:pt idx="20">
                  <c:v>2.6933631450607409</c:v>
                </c:pt>
                <c:pt idx="21">
                  <c:v>2.8228151604287968</c:v>
                </c:pt>
                <c:pt idx="22">
                  <c:v>2.5472558966067815</c:v>
                </c:pt>
                <c:pt idx="23">
                  <c:v>2.3125498577304677</c:v>
                </c:pt>
                <c:pt idx="24">
                  <c:v>2.1354361182847592</c:v>
                </c:pt>
                <c:pt idx="25">
                  <c:v>2.0159192961827022</c:v>
                </c:pt>
                <c:pt idx="26">
                  <c:v>1.954004307243187</c:v>
                </c:pt>
                <c:pt idx="27">
                  <c:v>1.9496963885538703</c:v>
                </c:pt>
                <c:pt idx="28">
                  <c:v>1.4253541877433638</c:v>
                </c:pt>
                <c:pt idx="29">
                  <c:v>1.0496082749506273</c:v>
                </c:pt>
                <c:pt idx="30">
                  <c:v>0.73124995311852692</c:v>
                </c:pt>
                <c:pt idx="31">
                  <c:v>0.4702720169502389</c:v>
                </c:pt>
                <c:pt idx="32">
                  <c:v>0.26666671906546097</c:v>
                </c:pt>
                <c:pt idx="33">
                  <c:v>0.12042572169972644</c:v>
                </c:pt>
                <c:pt idx="34">
                  <c:v>3.1540043383337817E-2</c:v>
                </c:pt>
              </c:numCache>
            </c:numRef>
          </c:val>
          <c:smooth val="0"/>
        </c:ser>
        <c:ser>
          <c:idx val="4"/>
          <c:order val="4"/>
          <c:tx>
            <c:v>theta = 40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(3pt)'!$AT$3:$AT$37</c:f>
              <c:numCache>
                <c:formatCode>_(* #,##0.00_);_(* \(#,##0.00\);_(* "-"??_);_(@_)</c:formatCode>
                <c:ptCount val="35"/>
                <c:pt idx="0">
                  <c:v>4.5232299735672123</c:v>
                </c:pt>
                <c:pt idx="1">
                  <c:v>4.0401843485283466</c:v>
                </c:pt>
                <c:pt idx="2">
                  <c:v>3.6079933024748723</c:v>
                </c:pt>
                <c:pt idx="3">
                  <c:v>3.2266562392952292</c:v>
                </c:pt>
                <c:pt idx="4">
                  <c:v>2.8961725253083039</c:v>
                </c:pt>
                <c:pt idx="5">
                  <c:v>2.6165414866657732</c:v>
                </c:pt>
                <c:pt idx="6">
                  <c:v>2.3877624065521252</c:v>
                </c:pt>
                <c:pt idx="7">
                  <c:v>2.2098345221645879</c:v>
                </c:pt>
                <c:pt idx="8">
                  <c:v>2.0827570214533959</c:v>
                </c:pt>
                <c:pt idx="9">
                  <c:v>2.0065290396010473</c:v>
                </c:pt>
                <c:pt idx="10">
                  <c:v>1.9811496552169365</c:v>
                </c:pt>
                <c:pt idx="11">
                  <c:v>2.0066178862212634</c:v>
                </c:pt>
                <c:pt idx="12">
                  <c:v>2.0829326853897943</c:v>
                </c:pt>
                <c:pt idx="13">
                  <c:v>2.2100929355276349</c:v>
                </c:pt>
                <c:pt idx="14">
                  <c:v>2.3880974442372978</c:v>
                </c:pt>
                <c:pt idx="15">
                  <c:v>2.603818030565122</c:v>
                </c:pt>
                <c:pt idx="16">
                  <c:v>2.4593412001923669</c:v>
                </c:pt>
                <c:pt idx="17">
                  <c:v>2.3656941353918741</c:v>
                </c:pt>
                <c:pt idx="18">
                  <c:v>2.3228747943064745</c:v>
                </c:pt>
                <c:pt idx="19">
                  <c:v>2.3308809973224309</c:v>
                </c:pt>
                <c:pt idx="20">
                  <c:v>2.3897104163598022</c:v>
                </c:pt>
                <c:pt idx="21">
                  <c:v>2.4993605632050024</c:v>
                </c:pt>
                <c:pt idx="22">
                  <c:v>2.2652160729103277</c:v>
                </c:pt>
                <c:pt idx="23">
                  <c:v>2.0554434363654925</c:v>
                </c:pt>
                <c:pt idx="24">
                  <c:v>1.8966151977816501</c:v>
                </c:pt>
                <c:pt idx="25">
                  <c:v>1.7887354938269324</c:v>
                </c:pt>
                <c:pt idx="26">
                  <c:v>1.7318087280297594</c:v>
                </c:pt>
                <c:pt idx="27">
                  <c:v>1.7258395917070515</c:v>
                </c:pt>
                <c:pt idx="28">
                  <c:v>1.2627120055674232</c:v>
                </c:pt>
                <c:pt idx="29">
                  <c:v>0.9301160594744261</c:v>
                </c:pt>
                <c:pt idx="30">
                  <c:v>0.64826924792672058</c:v>
                </c:pt>
                <c:pt idx="31">
                  <c:v>0.41716436562748288</c:v>
                </c:pt>
                <c:pt idx="32">
                  <c:v>0.23679366519641068</c:v>
                </c:pt>
                <c:pt idx="33">
                  <c:v>0.10714880886903744</c:v>
                </c:pt>
                <c:pt idx="34">
                  <c:v>2.8220815175665569E-2</c:v>
                </c:pt>
              </c:numCache>
            </c:numRef>
          </c:val>
          <c:smooth val="0"/>
        </c:ser>
        <c:ser>
          <c:idx val="5"/>
          <c:order val="5"/>
          <c:tx>
            <c:v>theta = 50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(3pt)'!$AZ$3:$AZ$37</c:f>
              <c:numCache>
                <c:formatCode>_(* #,##0.00_);_(* \(#,##0.00\);_(* "-"??_);_(@_)</c:formatCode>
                <c:ptCount val="35"/>
                <c:pt idx="0">
                  <c:v>3.7998525227360211</c:v>
                </c:pt>
                <c:pt idx="1">
                  <c:v>3.3941084963707704</c:v>
                </c:pt>
                <c:pt idx="2">
                  <c:v>3.0310283320544729</c:v>
                </c:pt>
                <c:pt idx="3">
                  <c:v>2.7106111627369374</c:v>
                </c:pt>
                <c:pt idx="4">
                  <c:v>2.4328560701840849</c:v>
                </c:pt>
                <c:pt idx="5">
                  <c:v>2.1977620815510543</c:v>
                </c:pt>
                <c:pt idx="6">
                  <c:v>2.0053281656934181</c:v>
                </c:pt>
                <c:pt idx="7">
                  <c:v>1.8555532291938721</c:v>
                </c:pt>
                <c:pt idx="8">
                  <c:v>1.7484361120793805</c:v>
                </c:pt>
                <c:pt idx="9">
                  <c:v>1.6839755832015495</c:v>
                </c:pt>
                <c:pt idx="10">
                  <c:v>1.6621703352500581</c:v>
                </c:pt>
                <c:pt idx="11">
                  <c:v>1.6830189793660757</c:v>
                </c:pt>
                <c:pt idx="12">
                  <c:v>1.7465200393192561</c:v>
                </c:pt>
                <c:pt idx="13">
                  <c:v>1.8526719452080178</c:v>
                </c:pt>
                <c:pt idx="14">
                  <c:v>2.0014730266388323</c:v>
                </c:pt>
                <c:pt idx="15">
                  <c:v>2.1851676702010243</c:v>
                </c:pt>
                <c:pt idx="16">
                  <c:v>2.0634894923330207</c:v>
                </c:pt>
                <c:pt idx="17">
                  <c:v>1.9844486525302796</c:v>
                </c:pt>
                <c:pt idx="18">
                  <c:v>1.948042710446541</c:v>
                </c:pt>
                <c:pt idx="19">
                  <c:v>1.9542690644013438</c:v>
                </c:pt>
                <c:pt idx="20">
                  <c:v>2.003124938976327</c:v>
                </c:pt>
                <c:pt idx="21">
                  <c:v>2.0946073715099978</c:v>
                </c:pt>
                <c:pt idx="22">
                  <c:v>1.9087010558162441</c:v>
                </c:pt>
                <c:pt idx="23">
                  <c:v>1.7327990546012435</c:v>
                </c:pt>
                <c:pt idx="24">
                  <c:v>1.5996516083376113</c:v>
                </c:pt>
                <c:pt idx="25">
                  <c:v>1.5092625513602245</c:v>
                </c:pt>
                <c:pt idx="26">
                  <c:v>1.4616359653604494</c:v>
                </c:pt>
                <c:pt idx="27">
                  <c:v>1.456776198784792</c:v>
                </c:pt>
                <c:pt idx="28">
                  <c:v>1.0622062270259942</c:v>
                </c:pt>
                <c:pt idx="29">
                  <c:v>0.7828056915664372</c:v>
                </c:pt>
                <c:pt idx="30">
                  <c:v>0.54597038132395037</c:v>
                </c:pt>
                <c:pt idx="31">
                  <c:v>0.35169309100171003</c:v>
                </c:pt>
                <c:pt idx="32">
                  <c:v>0.19996607321941345</c:v>
                </c:pt>
                <c:pt idx="33">
                  <c:v>9.0780990212594212E-2</c:v>
                </c:pt>
                <c:pt idx="34">
                  <c:v>2.4128860511554766E-2</c:v>
                </c:pt>
              </c:numCache>
            </c:numRef>
          </c:val>
          <c:smooth val="0"/>
        </c:ser>
        <c:ser>
          <c:idx val="6"/>
          <c:order val="6"/>
          <c:tx>
            <c:v>theta = 60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(3pt)'!$BF$3:$BF$37</c:f>
              <c:numCache>
                <c:formatCode>_(* #,##0.00_);_(* \(#,##0.00\);_(* "-"??_);_(@_)</c:formatCode>
                <c:ptCount val="35"/>
                <c:pt idx="0">
                  <c:v>2.8810786939794855</c:v>
                </c:pt>
                <c:pt idx="1">
                  <c:v>2.5691208245924591</c:v>
                </c:pt>
                <c:pt idx="2">
                  <c:v>2.2903415771728839</c:v>
                </c:pt>
                <c:pt idx="3">
                  <c:v>2.0447399039103606</c:v>
                </c:pt>
                <c:pt idx="4">
                  <c:v>1.8323146967276156</c:v>
                </c:pt>
                <c:pt idx="5">
                  <c:v>1.6530647833003689</c:v>
                </c:pt>
                <c:pt idx="6">
                  <c:v>1.5069889227755866</c:v>
                </c:pt>
                <c:pt idx="7">
                  <c:v>1.3940858011621824</c:v>
                </c:pt>
                <c:pt idx="8">
                  <c:v>1.314354026365615</c:v>
                </c:pt>
                <c:pt idx="9">
                  <c:v>1.2677921228350717</c:v>
                </c:pt>
                <c:pt idx="10">
                  <c:v>1.2543985257888999</c:v>
                </c:pt>
                <c:pt idx="11">
                  <c:v>1.2741715749803675</c:v>
                </c:pt>
                <c:pt idx="12">
                  <c:v>1.3271095079621393</c:v>
                </c:pt>
                <c:pt idx="13">
                  <c:v>1.4132104528034888</c:v>
                </c:pt>
                <c:pt idx="14">
                  <c:v>1.532472420209644</c:v>
                </c:pt>
                <c:pt idx="15">
                  <c:v>1.6807241748512225</c:v>
                </c:pt>
                <c:pt idx="16">
                  <c:v>1.5883262359285681</c:v>
                </c:pt>
                <c:pt idx="17">
                  <c:v>1.529079253760365</c:v>
                </c:pt>
                <c:pt idx="18">
                  <c:v>1.5029805221431927</c:v>
                </c:pt>
                <c:pt idx="19">
                  <c:v>1.5100271578092983</c:v>
                </c:pt>
                <c:pt idx="20">
                  <c:v>1.5502160868926971</c:v>
                </c:pt>
                <c:pt idx="21">
                  <c:v>1.6235440301978246</c:v>
                </c:pt>
                <c:pt idx="22">
                  <c:v>1.4919329633239791</c:v>
                </c:pt>
                <c:pt idx="23">
                  <c:v>1.3567200237562249</c:v>
                </c:pt>
                <c:pt idx="24">
                  <c:v>1.2547769821099541</c:v>
                </c:pt>
                <c:pt idx="25">
                  <c:v>1.186107471014493</c:v>
                </c:pt>
                <c:pt idx="26">
                  <c:v>1.1507153574434457</c:v>
                </c:pt>
                <c:pt idx="27">
                  <c:v>1.1486047610928765</c:v>
                </c:pt>
                <c:pt idx="28">
                  <c:v>0.82992911873923758</c:v>
                </c:pt>
                <c:pt idx="29">
                  <c:v>0.61215312221290163</c:v>
                </c:pt>
                <c:pt idx="30">
                  <c:v>0.42746165260621743</c:v>
                </c:pt>
                <c:pt idx="31">
                  <c:v>0.27584750462236085</c:v>
                </c:pt>
                <c:pt idx="32">
                  <c:v>0.15730293088102959</c:v>
                </c:pt>
                <c:pt idx="33">
                  <c:v>7.1819593617756944E-2</c:v>
                </c:pt>
                <c:pt idx="34">
                  <c:v>1.9388511362845442E-2</c:v>
                </c:pt>
              </c:numCache>
            </c:numRef>
          </c:val>
          <c:smooth val="0"/>
        </c:ser>
        <c:ser>
          <c:idx val="7"/>
          <c:order val="7"/>
          <c:tx>
            <c:v>theta = 70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(3pt)'!$BL$3:$BL$37</c:f>
              <c:numCache>
                <c:formatCode>_(* #,##0.00_);_(* \(#,##0.00\);_(* "-"??_);_(@_)</c:formatCode>
                <c:ptCount val="35"/>
                <c:pt idx="0">
                  <c:v>1.8212895035029379</c:v>
                </c:pt>
                <c:pt idx="1">
                  <c:v>1.615395200139409</c:v>
                </c:pt>
                <c:pt idx="2">
                  <c:v>1.4321871239879573</c:v>
                </c:pt>
                <c:pt idx="3">
                  <c:v>1.2716641088863969</c:v>
                </c:pt>
                <c:pt idx="4">
                  <c:v>1.1338249224586365</c:v>
                </c:pt>
                <c:pt idx="5">
                  <c:v>1.0186682617722898</c:v>
                </c:pt>
                <c:pt idx="6">
                  <c:v>0.9261927486687318</c:v>
                </c:pt>
                <c:pt idx="7">
                  <c:v>0.85639692473737017</c:v>
                </c:pt>
                <c:pt idx="8">
                  <c:v>0.80927924590332345</c:v>
                </c:pt>
                <c:pt idx="9">
                  <c:v>0.78483807659459393</c:v>
                </c:pt>
                <c:pt idx="10">
                  <c:v>0.78307168345154821</c:v>
                </c:pt>
                <c:pt idx="11">
                  <c:v>0.803978228537651</c:v>
                </c:pt>
                <c:pt idx="12">
                  <c:v>0.84755576200651517</c:v>
                </c:pt>
                <c:pt idx="13">
                  <c:v>0.9138022141754405</c:v>
                </c:pt>
                <c:pt idx="14">
                  <c:v>1.0027153869507435</c:v>
                </c:pt>
                <c:pt idx="15">
                  <c:v>1.1124708975550426</c:v>
                </c:pt>
                <c:pt idx="16">
                  <c:v>1.0540288134757787</c:v>
                </c:pt>
                <c:pt idx="17">
                  <c:v>1.018244544181752</c:v>
                </c:pt>
                <c:pt idx="18">
                  <c:v>1.005115209400973</c:v>
                </c:pt>
                <c:pt idx="19">
                  <c:v>1.0146377414979073</c:v>
                </c:pt>
                <c:pt idx="20">
                  <c:v>1.046808871199568</c:v>
                </c:pt>
                <c:pt idx="21">
                  <c:v>1.1016251120613847</c:v>
                </c:pt>
                <c:pt idx="22">
                  <c:v>1.029013398691863</c:v>
                </c:pt>
                <c:pt idx="23">
                  <c:v>0.93960924960560077</c:v>
                </c:pt>
                <c:pt idx="24">
                  <c:v>0.87298298543540698</c:v>
                </c:pt>
                <c:pt idx="25">
                  <c:v>0.82913810674496735</c:v>
                </c:pt>
                <c:pt idx="26">
                  <c:v>0.80807833992256972</c:v>
                </c:pt>
                <c:pt idx="27">
                  <c:v>0.80980765489113915</c:v>
                </c:pt>
                <c:pt idx="28">
                  <c:v>0.57293830310455818</c:v>
                </c:pt>
                <c:pt idx="29">
                  <c:v>0.42334354337925972</c:v>
                </c:pt>
                <c:pt idx="30">
                  <c:v>0.29634388952729934</c:v>
                </c:pt>
                <c:pt idx="31">
                  <c:v>0.19193213625185337</c:v>
                </c:pt>
                <c:pt idx="32">
                  <c:v>0.11010053617261906</c:v>
                </c:pt>
                <c:pt idx="33">
                  <c:v>5.084075152513004E-2</c:v>
                </c:pt>
                <c:pt idx="34">
                  <c:v>1.4143800839688723E-2</c:v>
                </c:pt>
              </c:numCache>
            </c:numRef>
          </c:val>
          <c:smooth val="0"/>
        </c:ser>
        <c:ser>
          <c:idx val="8"/>
          <c:order val="8"/>
          <c:tx>
            <c:v>theta = 80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(3pt)'!$BR$3:$BR$37</c:f>
              <c:numCache>
                <c:formatCode>_(* #,##0.00_);_(* \(#,##0.00\);_(* "-"??_);_(@_)</c:formatCode>
                <c:ptCount val="35"/>
                <c:pt idx="0">
                  <c:v>0.66533988542339995</c:v>
                </c:pt>
                <c:pt idx="1">
                  <c:v>0.57391479111987798</c:v>
                </c:pt>
                <c:pt idx="2">
                  <c:v>0.49399478109875994</c:v>
                </c:pt>
                <c:pt idx="3">
                  <c:v>0.42557862094647908</c:v>
                </c:pt>
                <c:pt idx="4">
                  <c:v>0.36866500660602147</c:v>
                </c:pt>
                <c:pt idx="5">
                  <c:v>0.3232525598256516</c:v>
                </c:pt>
                <c:pt idx="6">
                  <c:v>0.28933982326504182</c:v>
                </c:pt>
                <c:pt idx="7">
                  <c:v>0.26692525522944077</c:v>
                </c:pt>
                <c:pt idx="8">
                  <c:v>0.2560072239996144</c:v>
                </c:pt>
                <c:pt idx="9">
                  <c:v>0.25658400172220414</c:v>
                </c:pt>
                <c:pt idx="10">
                  <c:v>0.2686537578216418</c:v>
                </c:pt>
                <c:pt idx="11">
                  <c:v>0.29221455189086171</c:v>
                </c:pt>
                <c:pt idx="12">
                  <c:v>0.32726432601377137</c:v>
                </c:pt>
                <c:pt idx="13">
                  <c:v>0.37380089646762882</c:v>
                </c:pt>
                <c:pt idx="14">
                  <c:v>0.43182194474814073</c:v>
                </c:pt>
                <c:pt idx="15">
                  <c:v>0.50085647615653195</c:v>
                </c:pt>
                <c:pt idx="16">
                  <c:v>0.479576008392468</c:v>
                </c:pt>
                <c:pt idx="17">
                  <c:v>0.46977178157904131</c:v>
                </c:pt>
                <c:pt idx="18">
                  <c:v>0.47144081506201674</c:v>
                </c:pt>
                <c:pt idx="19">
                  <c:v>0.48457993488424422</c:v>
                </c:pt>
                <c:pt idx="20">
                  <c:v>0.50918575908499619</c:v>
                </c:pt>
                <c:pt idx="21">
                  <c:v>0.54525468170289326</c:v>
                </c:pt>
                <c:pt idx="22">
                  <c:v>0.53469565606113212</c:v>
                </c:pt>
                <c:pt idx="23">
                  <c:v>0.49460706617677164</c:v>
                </c:pt>
                <c:pt idx="24">
                  <c:v>0.46611543842719932</c:v>
                </c:pt>
                <c:pt idx="25">
                  <c:v>0.44922419721619739</c:v>
                </c:pt>
                <c:pt idx="26">
                  <c:v>0.44393698785900471</c:v>
                </c:pt>
                <c:pt idx="27">
                  <c:v>0.45025769390704401</c:v>
                </c:pt>
                <c:pt idx="28">
                  <c:v>0.29904231601138881</c:v>
                </c:pt>
                <c:pt idx="29">
                  <c:v>0.22211383857611486</c:v>
                </c:pt>
                <c:pt idx="30">
                  <c:v>0.15660103896955985</c:v>
                </c:pt>
                <c:pt idx="31">
                  <c:v>0.10249671189490006</c:v>
                </c:pt>
                <c:pt idx="32">
                  <c:v>5.9793109971832854E-2</c:v>
                </c:pt>
                <c:pt idx="33">
                  <c:v>2.8481895435891729E-2</c:v>
                </c:pt>
                <c:pt idx="34">
                  <c:v>8.5540868173791442E-3</c:v>
                </c:pt>
              </c:numCache>
            </c:numRef>
          </c:val>
          <c:smooth val="0"/>
        </c:ser>
        <c:ser>
          <c:idx val="9"/>
          <c:order val="9"/>
          <c:tx>
            <c:v>theta = 90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(3pt)'!$BX$3:$BX$37</c:f>
              <c:numCache>
                <c:formatCode>_(* #,##0.00_);_(* \(#,##0.00\);_(* "-"??_);_(@_)</c:formatCode>
                <c:ptCount val="35"/>
                <c:pt idx="0">
                  <c:v>4.3706933361151591E-2</c:v>
                </c:pt>
                <c:pt idx="1">
                  <c:v>4.3306325615525651E-2</c:v>
                </c:pt>
                <c:pt idx="2">
                  <c:v>4.2880454750300306E-2</c:v>
                </c:pt>
                <c:pt idx="3">
                  <c:v>4.2428062726077118E-2</c:v>
                </c:pt>
                <c:pt idx="4">
                  <c:v>4.1947820672833529E-2</c:v>
                </c:pt>
                <c:pt idx="5">
                  <c:v>4.1438324266345368E-2</c:v>
                </c:pt>
                <c:pt idx="6">
                  <c:v>4.0898088756821938E-2</c:v>
                </c:pt>
                <c:pt idx="7">
                  <c:v>4.0325543619937829E-2</c:v>
                </c:pt>
                <c:pt idx="8">
                  <c:v>3.9719026797563034E-2</c:v>
                </c:pt>
                <c:pt idx="9">
                  <c:v>3.9076778492300727E-2</c:v>
                </c:pt>
                <c:pt idx="10">
                  <c:v>3.8396934476400323E-2</c:v>
                </c:pt>
                <c:pt idx="11">
                  <c:v>3.7677518871681942E-2</c:v>
                </c:pt>
                <c:pt idx="12">
                  <c:v>3.6916436352739147E-2</c:v>
                </c:pt>
                <c:pt idx="13">
                  <c:v>3.6111463720825146E-2</c:v>
                </c:pt>
                <c:pt idx="14">
                  <c:v>3.5260240790412636E-2</c:v>
                </c:pt>
                <c:pt idx="15">
                  <c:v>3.4360260524379599E-2</c:v>
                </c:pt>
                <c:pt idx="16">
                  <c:v>3.3400617599330745E-2</c:v>
                </c:pt>
                <c:pt idx="17">
                  <c:v>3.2386719061238689E-2</c:v>
                </c:pt>
                <c:pt idx="18">
                  <c:v>3.1315549507636313E-2</c:v>
                </c:pt>
                <c:pt idx="19">
                  <c:v>3.0183898177173339E-2</c:v>
                </c:pt>
                <c:pt idx="20">
                  <c:v>2.8988344101230964E-2</c:v>
                </c:pt>
                <c:pt idx="21">
                  <c:v>2.7725239946592452E-2</c:v>
                </c:pt>
                <c:pt idx="22">
                  <c:v>7.1099412359635239E-2</c:v>
                </c:pt>
                <c:pt idx="23">
                  <c:v>7.2875054482736262E-2</c:v>
                </c:pt>
                <c:pt idx="24">
                  <c:v>7.4717387545006383E-2</c:v>
                </c:pt>
                <c:pt idx="25">
                  <c:v>7.6629809586780728E-2</c:v>
                </c:pt>
                <c:pt idx="26">
                  <c:v>7.8615937859120966E-2</c:v>
                </c:pt>
                <c:pt idx="27">
                  <c:v>8.0679626015163916E-2</c:v>
                </c:pt>
                <c:pt idx="28">
                  <c:v>1.6563348429498234E-2</c:v>
                </c:pt>
                <c:pt idx="29">
                  <c:v>1.4578270556766738E-2</c:v>
                </c:pt>
                <c:pt idx="30">
                  <c:v>1.2479116733901388E-2</c:v>
                </c:pt>
                <c:pt idx="31">
                  <c:v>1.0258681664078661E-2</c:v>
                </c:pt>
                <c:pt idx="32">
                  <c:v>7.9092179669958216E-3</c:v>
                </c:pt>
                <c:pt idx="33">
                  <c:v>5.4223878781863785E-3</c:v>
                </c:pt>
                <c:pt idx="34">
                  <c:v>2.7892099279528074E-3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17824"/>
        <c:axId val="143919744"/>
      </c:lineChart>
      <c:catAx>
        <c:axId val="14391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919744"/>
        <c:crosses val="autoZero"/>
        <c:auto val="1"/>
        <c:lblAlgn val="ctr"/>
        <c:lblOffset val="100"/>
        <c:noMultiLvlLbl val="0"/>
      </c:catAx>
      <c:valAx>
        <c:axId val="143919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917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Stress Calculated at Theta = 2°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Calculated Stress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(3pt)'!$V$3:$V$37</c:f>
              <c:numCache>
                <c:formatCode>_(* #,##0.00_);_(* \(#,##0.00\);_(* "-"??_);_(@_)</c:formatCode>
                <c:ptCount val="35"/>
                <c:pt idx="0">
                  <c:v>7.9403441240248389</c:v>
                </c:pt>
                <c:pt idx="1">
                  <c:v>7.2685804974953774</c:v>
                </c:pt>
                <c:pt idx="2">
                  <c:v>6.6636515087345769</c:v>
                </c:pt>
                <c:pt idx="3">
                  <c:v>6.1255759244664478</c:v>
                </c:pt>
                <c:pt idx="4">
                  <c:v>5.6543734468043167</c:v>
                </c:pt>
                <c:pt idx="5">
                  <c:v>5.2500647699162455</c:v>
                </c:pt>
                <c:pt idx="6">
                  <c:v>4.9126716407426203</c:v>
                </c:pt>
                <c:pt idx="7">
                  <c:v>4.642216924100822</c:v>
                </c:pt>
                <c:pt idx="8">
                  <c:v>4.4387246725433256</c:v>
                </c:pt>
                <c:pt idx="9">
                  <c:v>4.3022202013705151</c:v>
                </c:pt>
                <c:pt idx="10">
                  <c:v>4.2327301692379677</c:v>
                </c:pt>
                <c:pt idx="11">
                  <c:v>4.23028266484057</c:v>
                </c:pt>
                <c:pt idx="12">
                  <c:v>4.2949073002033131</c:v>
                </c:pt>
                <c:pt idx="13">
                  <c:v>4.4266353111610766</c:v>
                </c:pt>
                <c:pt idx="14">
                  <c:v>4.6254996656682144</c:v>
                </c:pt>
                <c:pt idx="15">
                  <c:v>4.4944175389325753</c:v>
                </c:pt>
                <c:pt idx="16">
                  <c:v>4.2849355464703018</c:v>
                </c:pt>
                <c:pt idx="17">
                  <c:v>4.1423856255944873</c:v>
                </c:pt>
                <c:pt idx="18">
                  <c:v>4.0667942127753332</c:v>
                </c:pt>
                <c:pt idx="19">
                  <c:v>4.0581892917199696</c:v>
                </c:pt>
                <c:pt idx="20">
                  <c:v>4.116600503730437</c:v>
                </c:pt>
                <c:pt idx="21">
                  <c:v>4.2420592673752529</c:v>
                </c:pt>
                <c:pt idx="22">
                  <c:v>3.4778549471808096</c:v>
                </c:pt>
                <c:pt idx="23">
                  <c:v>3.1954338664549358</c:v>
                </c:pt>
                <c:pt idx="24">
                  <c:v>2.9798747866249271</c:v>
                </c:pt>
                <c:pt idx="25">
                  <c:v>2.8312034508359796</c:v>
                </c:pt>
                <c:pt idx="26">
                  <c:v>2.7494472629474034</c:v>
                </c:pt>
                <c:pt idx="27">
                  <c:v>2.7346354177722181</c:v>
                </c:pt>
                <c:pt idx="28">
                  <c:v>1.6423039281472462</c:v>
                </c:pt>
                <c:pt idx="29">
                  <c:v>1.2089999209616431</c:v>
                </c:pt>
                <c:pt idx="30">
                  <c:v>0.84193859618173217</c:v>
                </c:pt>
                <c:pt idx="31">
                  <c:v>0.54111274851069024</c:v>
                </c:pt>
                <c:pt idx="32">
                  <c:v>0.30651463056821487</c:v>
                </c:pt>
                <c:pt idx="33">
                  <c:v>0.13813590458983929</c:v>
                </c:pt>
                <c:pt idx="34">
                  <c:v>3.5967589105866032E-2</c:v>
                </c:pt>
              </c:numCache>
            </c:numRef>
          </c:val>
          <c:smooth val="0"/>
        </c:ser>
        <c:ser>
          <c:idx val="1"/>
          <c:order val="1"/>
          <c:tx>
            <c:v>Allowable Stress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'Alternative 3-Tilt Up (3pt)'!$BZ$3:$BZ$37</c:f>
              <c:numCache>
                <c:formatCode>_(* #,##0.00_);_(* \(#,##0.00\);_(* "-"??_);_(@_)</c:formatCode>
                <c:ptCount val="35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</c:numCache>
            </c:numRef>
          </c:val>
          <c:smooth val="0"/>
        </c:ser>
        <c:ser>
          <c:idx val="2"/>
          <c:order val="2"/>
          <c:tx>
            <c:v>Allowable Column Buckling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'Local Buckling'!#REF!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v>Allowable Local Buckling</c:v>
          </c:tx>
          <c:marker>
            <c:symbol val="none"/>
          </c:marker>
          <c:cat>
            <c:numRef>
              <c:f>'Alternative 3-Tilt Up (3pt)'!$A$3:$A$37</c:f>
              <c:numCache>
                <c:formatCode>General</c:formatCode>
                <c:ptCount val="3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</c:numCache>
            </c:numRef>
          </c:cat>
          <c:val>
            <c:numRef>
              <c:f>'Local Buckling'!$AN$4:$AN$38</c:f>
              <c:numCache>
                <c:formatCode>General</c:formatCode>
                <c:ptCount val="35"/>
                <c:pt idx="0">
                  <c:v>159.81236797857463</c:v>
                </c:pt>
                <c:pt idx="1">
                  <c:v>160.02850316495721</c:v>
                </c:pt>
                <c:pt idx="2">
                  <c:v>160.24887629617083</c:v>
                </c:pt>
                <c:pt idx="3">
                  <c:v>160.4736132517649</c:v>
                </c:pt>
                <c:pt idx="4">
                  <c:v>160.70284494647086</c:v>
                </c:pt>
                <c:pt idx="5">
                  <c:v>160.93670758450423</c:v>
                </c:pt>
                <c:pt idx="6">
                  <c:v>161.17534292943623</c:v>
                </c:pt>
                <c:pt idx="7">
                  <c:v>161.41889859075857</c:v>
                </c:pt>
                <c:pt idx="8">
                  <c:v>161.66752832835846</c:v>
                </c:pt>
                <c:pt idx="9">
                  <c:v>161.92139237622362</c:v>
                </c:pt>
                <c:pt idx="10">
                  <c:v>162.18065778680932</c:v>
                </c:pt>
                <c:pt idx="11">
                  <c:v>162.44549879762263</c:v>
                </c:pt>
                <c:pt idx="12">
                  <c:v>162.71609722171453</c:v>
                </c:pt>
                <c:pt idx="13">
                  <c:v>162.99264286391835</c:v>
                </c:pt>
                <c:pt idx="14">
                  <c:v>163.27533396483778</c:v>
                </c:pt>
                <c:pt idx="15">
                  <c:v>163.56437767476663</c:v>
                </c:pt>
                <c:pt idx="16">
                  <c:v>163.85999055992119</c:v>
                </c:pt>
                <c:pt idx="17">
                  <c:v>164.16239914358499</c:v>
                </c:pt>
                <c:pt idx="18">
                  <c:v>164.47184048500844</c:v>
                </c:pt>
                <c:pt idx="19">
                  <c:v>164.78856279917125</c:v>
                </c:pt>
                <c:pt idx="20">
                  <c:v>165.11282612081416</c:v>
                </c:pt>
                <c:pt idx="21">
                  <c:v>165.44490301647252</c:v>
                </c:pt>
                <c:pt idx="22">
                  <c:v>165.7850793486104</c:v>
                </c:pt>
                <c:pt idx="23">
                  <c:v>166.13365509635659</c:v>
                </c:pt>
                <c:pt idx="24">
                  <c:v>166.49094523779641</c:v>
                </c:pt>
                <c:pt idx="25">
                  <c:v>166.85728069927274</c:v>
                </c:pt>
                <c:pt idx="26">
                  <c:v>167.23300937770998</c:v>
                </c:pt>
                <c:pt idx="27">
                  <c:v>167.61849724260009</c:v>
                </c:pt>
                <c:pt idx="28">
                  <c:v>168.01412952498737</c:v>
                </c:pt>
                <c:pt idx="29">
                  <c:v>168.4203120015716</c:v>
                </c:pt>
                <c:pt idx="30">
                  <c:v>168.83747238292838</c:v>
                </c:pt>
                <c:pt idx="31">
                  <c:v>169.2660618158292</c:v>
                </c:pt>
                <c:pt idx="32">
                  <c:v>169.70655651075506</c:v>
                </c:pt>
                <c:pt idx="33">
                  <c:v>170.15945950694643</c:v>
                </c:pt>
                <c:pt idx="34">
                  <c:v>170.62530258874327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59552"/>
        <c:axId val="143961472"/>
      </c:lineChart>
      <c:catAx>
        <c:axId val="14395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Height (m)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3961472"/>
        <c:crosses val="autoZero"/>
        <c:auto val="1"/>
        <c:lblAlgn val="ctr"/>
        <c:lblOffset val="100"/>
        <c:noMultiLvlLbl val="0"/>
      </c:catAx>
      <c:valAx>
        <c:axId val="143961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959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pt)'!$U$3:$U$68</c:f>
              <c:numCache>
                <c:formatCode>_(* #,##0.00_);_(* \(#,##0.00\);_(* "-"??_);_(@_)</c:formatCode>
                <c:ptCount val="66"/>
                <c:pt idx="0">
                  <c:v>-9.9441478656666309</c:v>
                </c:pt>
                <c:pt idx="1">
                  <c:v>-10.164161165326842</c:v>
                </c:pt>
                <c:pt idx="2">
                  <c:v>-10.293411504704293</c:v>
                </c:pt>
                <c:pt idx="3">
                  <c:v>-10.330102134791995</c:v>
                </c:pt>
                <c:pt idx="4">
                  <c:v>-10.272388578597809</c:v>
                </c:pt>
                <c:pt idx="5">
                  <c:v>-10.118377035988667</c:v>
                </c:pt>
                <c:pt idx="6">
                  <c:v>-9.8661227241322784</c:v>
                </c:pt>
                <c:pt idx="7">
                  <c:v>-9.5136281504835569</c:v>
                </c:pt>
                <c:pt idx="8">
                  <c:v>-9.0588413150935025</c:v>
                </c:pt>
                <c:pt idx="9">
                  <c:v>-8.4996538388447522</c:v>
                </c:pt>
                <c:pt idx="10">
                  <c:v>-7.8338990140266418</c:v>
                </c:pt>
                <c:pt idx="11">
                  <c:v>-7.0593497734655681</c:v>
                </c:pt>
                <c:pt idx="12">
                  <c:v>-6.1737165742125066</c:v>
                </c:pt>
                <c:pt idx="13">
                  <c:v>-5.1746451915646627</c:v>
                </c:pt>
                <c:pt idx="14">
                  <c:v>-4.0597144189570784</c:v>
                </c:pt>
                <c:pt idx="15">
                  <c:v>-2.8264336690048513</c:v>
                </c:pt>
                <c:pt idx="16">
                  <c:v>-1.4722404707044749</c:v>
                </c:pt>
                <c:pt idx="17">
                  <c:v>5.5021424888735638E-3</c:v>
                </c:pt>
                <c:pt idx="18">
                  <c:v>1.6095083592981452</c:v>
                </c:pt>
                <c:pt idx="19">
                  <c:v>3.3425724378978248</c:v>
                </c:pt>
                <c:pt idx="20">
                  <c:v>5.2075716800964607</c:v>
                </c:pt>
                <c:pt idx="21">
                  <c:v>7.2074695390773602</c:v>
                </c:pt>
                <c:pt idx="22">
                  <c:v>9.3453188677473822</c:v>
                </c:pt>
                <c:pt idx="23">
                  <c:v>11.624265315172165</c:v>
                </c:pt>
                <c:pt idx="24">
                  <c:v>14.047550879034638</c:v>
                </c:pt>
                <c:pt idx="25">
                  <c:v>16.618517622542825</c:v>
                </c:pt>
                <c:pt idx="26">
                  <c:v>19.340611564737866</c:v>
                </c:pt>
                <c:pt idx="27">
                  <c:v>21.311312038933956</c:v>
                </c:pt>
                <c:pt idx="28">
                  <c:v>19.037072977368229</c:v>
                </c:pt>
                <c:pt idx="29">
                  <c:v>18.496617085034718</c:v>
                </c:pt>
                <c:pt idx="30">
                  <c:v>18.062148633993036</c:v>
                </c:pt>
                <c:pt idx="31">
                  <c:v>17.736240751175199</c:v>
                </c:pt>
                <c:pt idx="32">
                  <c:v>17.521550522912374</c:v>
                </c:pt>
                <c:pt idx="33">
                  <c:v>17.420822447310247</c:v>
                </c:pt>
                <c:pt idx="34">
                  <c:v>17.436892058388164</c:v>
                </c:pt>
                <c:pt idx="35">
                  <c:v>17.572689732035464</c:v>
                </c:pt>
                <c:pt idx="36">
                  <c:v>17.831244684516573</c:v>
                </c:pt>
                <c:pt idx="37">
                  <c:v>18.215689174986803</c:v>
                </c:pt>
                <c:pt idx="38">
                  <c:v>18.729262924267179</c:v>
                </c:pt>
                <c:pt idx="39">
                  <c:v>19.375317762974177</c:v>
                </c:pt>
                <c:pt idx="40">
                  <c:v>20.157322523014717</c:v>
                </c:pt>
                <c:pt idx="41">
                  <c:v>21.07886818744355</c:v>
                </c:pt>
                <c:pt idx="42">
                  <c:v>22.143673314745538</c:v>
                </c:pt>
                <c:pt idx="43">
                  <c:v>23.355589754757208</c:v>
                </c:pt>
                <c:pt idx="44">
                  <c:v>24.718608674686998</c:v>
                </c:pt>
                <c:pt idx="45">
                  <c:v>26.236866915041386</c:v>
                </c:pt>
                <c:pt idx="46">
                  <c:v>27.914653696723359</c:v>
                </c:pt>
                <c:pt idx="47">
                  <c:v>28.681858019746297</c:v>
                </c:pt>
                <c:pt idx="48">
                  <c:v>24.232727009322673</c:v>
                </c:pt>
                <c:pt idx="49">
                  <c:v>21.957417966112061</c:v>
                </c:pt>
                <c:pt idx="50">
                  <c:v>19.77514552181038</c:v>
                </c:pt>
                <c:pt idx="51">
                  <c:v>17.68860484045241</c:v>
                </c:pt>
                <c:pt idx="52">
                  <c:v>15.700596210077249</c:v>
                </c:pt>
                <c:pt idx="53">
                  <c:v>13.814030218778433</c:v>
                </c:pt>
                <c:pt idx="54">
                  <c:v>12.031933239625808</c:v>
                </c:pt>
                <c:pt idx="55">
                  <c:v>10.357453246178242</c:v>
                </c:pt>
                <c:pt idx="56">
                  <c:v>8.7938659820695424</c:v>
                </c:pt>
                <c:pt idx="57">
                  <c:v>7.3445815100756695</c:v>
                </c:pt>
                <c:pt idx="58">
                  <c:v>6.0131511681766181</c:v>
                </c:pt>
                <c:pt idx="59">
                  <c:v>4.8032749624300646</c:v>
                </c:pt>
                <c:pt idx="60">
                  <c:v>3.7188094289965572</c:v>
                </c:pt>
                <c:pt idx="61">
                  <c:v>2.7637760004218013</c:v>
                </c:pt>
                <c:pt idx="62">
                  <c:v>1.942369914315992</c:v>
                </c:pt>
                <c:pt idx="63">
                  <c:v>1.2589697059030531</c:v>
                </c:pt>
                <c:pt idx="64">
                  <c:v>0.7181473295767048</c:v>
                </c:pt>
                <c:pt idx="65">
                  <c:v>0.32467895863262902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pt)'!$AA$3:$AA$68</c:f>
              <c:numCache>
                <c:formatCode>_(* #,##0.00_);_(* \(#,##0.00\);_(* "-"??_);_(@_)</c:formatCode>
                <c:ptCount val="66"/>
                <c:pt idx="0">
                  <c:v>-36.214876396362136</c:v>
                </c:pt>
                <c:pt idx="1">
                  <c:v>-35.938208734774932</c:v>
                </c:pt>
                <c:pt idx="2">
                  <c:v>-35.565672018870224</c:v>
                </c:pt>
                <c:pt idx="3">
                  <c:v>-35.095368580092256</c:v>
                </c:pt>
                <c:pt idx="4">
                  <c:v>-34.525350334517157</c:v>
                </c:pt>
                <c:pt idx="5">
                  <c:v>-33.853617097452947</c:v>
                </c:pt>
                <c:pt idx="6">
                  <c:v>-33.078114829972854</c:v>
                </c:pt>
                <c:pt idx="7">
                  <c:v>-32.196733814152687</c:v>
                </c:pt>
                <c:pt idx="8">
                  <c:v>-31.207306753607945</c:v>
                </c:pt>
                <c:pt idx="9">
                  <c:v>-30.107606795737293</c:v>
                </c:pt>
                <c:pt idx="10">
                  <c:v>-28.895345471882685</c:v>
                </c:pt>
                <c:pt idx="11">
                  <c:v>-27.568170551402808</c:v>
                </c:pt>
                <c:pt idx="12">
                  <c:v>-26.123663805433686</c:v>
                </c:pt>
                <c:pt idx="13">
                  <c:v>-24.559338675870183</c:v>
                </c:pt>
                <c:pt idx="14">
                  <c:v>-22.872637844849145</c:v>
                </c:pt>
                <c:pt idx="15">
                  <c:v>-21.060930699742997</c:v>
                </c:pt>
                <c:pt idx="16">
                  <c:v>-19.12151068838606</c:v>
                </c:pt>
                <c:pt idx="17">
                  <c:v>-17.051592558947366</c:v>
                </c:pt>
                <c:pt idx="18">
                  <c:v>-14.84830947853775</c:v>
                </c:pt>
                <c:pt idx="19">
                  <c:v>-12.508710024289206</c:v>
                </c:pt>
                <c:pt idx="20">
                  <c:v>-10.029755040273054</c:v>
                </c:pt>
                <c:pt idx="21">
                  <c:v>-7.4083143532249656</c:v>
                </c:pt>
                <c:pt idx="22">
                  <c:v>-4.6411633396220484</c:v>
                </c:pt>
                <c:pt idx="23">
                  <c:v>-1.7249793362026353</c:v>
                </c:pt>
                <c:pt idx="24">
                  <c:v>1.3436621144648531</c:v>
                </c:pt>
                <c:pt idx="25">
                  <c:v>4.5682911922753258</c:v>
                </c:pt>
                <c:pt idx="26">
                  <c:v>7.9525479112095763</c:v>
                </c:pt>
                <c:pt idx="27">
                  <c:v>10.506186462317084</c:v>
                </c:pt>
                <c:pt idx="28">
                  <c:v>9.8474827336870892</c:v>
                </c:pt>
                <c:pt idx="29">
                  <c:v>9.6501999125818081</c:v>
                </c:pt>
                <c:pt idx="30">
                  <c:v>9.5627176508921536</c:v>
                </c:pt>
                <c:pt idx="31">
                  <c:v>9.5877018167552155</c:v>
                </c:pt>
                <c:pt idx="32">
                  <c:v>9.7279052826112657</c:v>
                </c:pt>
                <c:pt idx="33">
                  <c:v>9.9861715038004633</c:v>
                </c:pt>
                <c:pt idx="34">
                  <c:v>10.365438275256471</c:v>
                </c:pt>
                <c:pt idx="35">
                  <c:v>10.868741676724063</c:v>
                </c:pt>
                <c:pt idx="36">
                  <c:v>11.499220217631429</c:v>
                </c:pt>
                <c:pt idx="37">
                  <c:v>12.26011919350576</c:v>
                </c:pt>
                <c:pt idx="38">
                  <c:v>13.154795266635743</c:v>
                </c:pt>
                <c:pt idx="39">
                  <c:v>14.186721284565138</c:v>
                </c:pt>
                <c:pt idx="40">
                  <c:v>15.359491350949305</c:v>
                </c:pt>
                <c:pt idx="41">
                  <c:v>16.676826164330951</c:v>
                </c:pt>
                <c:pt idx="42">
                  <c:v>18.142578641496527</c:v>
                </c:pt>
                <c:pt idx="43">
                  <c:v>19.760739843269931</c:v>
                </c:pt>
                <c:pt idx="44">
                  <c:v>21.535445221891756</c:v>
                </c:pt>
                <c:pt idx="45">
                  <c:v>23.470981210531253</c:v>
                </c:pt>
                <c:pt idx="46">
                  <c:v>25.57179217699143</c:v>
                </c:pt>
                <c:pt idx="47">
                  <c:v>26.663653099598164</c:v>
                </c:pt>
                <c:pt idx="48">
                  <c:v>23.87975559257875</c:v>
                </c:pt>
                <c:pt idx="49">
                  <c:v>21.637622466112049</c:v>
                </c:pt>
                <c:pt idx="50">
                  <c:v>19.487167620297004</c:v>
                </c:pt>
                <c:pt idx="51">
                  <c:v>17.43104686874679</c:v>
                </c:pt>
                <c:pt idx="52">
                  <c:v>15.472019614284537</c:v>
                </c:pt>
                <c:pt idx="53">
                  <c:v>13.612953949429206</c:v>
                </c:pt>
                <c:pt idx="54">
                  <c:v>11.856832061244381</c:v>
                </c:pt>
                <c:pt idx="55">
                  <c:v>10.206755961952046</c:v>
                </c:pt>
                <c:pt idx="56">
                  <c:v>8.6659535684510161</c:v>
                </c:pt>
                <c:pt idx="57">
                  <c:v>7.2377851557771757</c:v>
                </c:pt>
                <c:pt idx="58">
                  <c:v>5.9257502116173519</c:v>
                </c:pt>
                <c:pt idx="59">
                  <c:v>4.7334947212586576</c:v>
                </c:pt>
                <c:pt idx="60">
                  <c:v>3.6648189148410952</c:v>
                </c:pt>
                <c:pt idx="61">
                  <c:v>2.7236855115065186</c:v>
                </c:pt>
                <c:pt idx="62">
                  <c:v>1.914228498027253</c:v>
                </c:pt>
                <c:pt idx="63">
                  <c:v>1.2407624827818728</c:v>
                </c:pt>
                <c:pt idx="64">
                  <c:v>0.70779266955625453</c:v>
                </c:pt>
                <c:pt idx="65">
                  <c:v>0.3200254996215085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pt)'!$AG$3:$AG$68</c:f>
              <c:numCache>
                <c:formatCode>_(* #,##0.00_);_(* \(#,##0.00\);_(* "-"??_);_(@_)</c:formatCode>
                <c:ptCount val="66"/>
                <c:pt idx="0">
                  <c:v>-23.199596353366921</c:v>
                </c:pt>
                <c:pt idx="1">
                  <c:v>-23.181062685265378</c:v>
                </c:pt>
                <c:pt idx="2">
                  <c:v>-23.074275800130689</c:v>
                </c:pt>
                <c:pt idx="3">
                  <c:v>-22.877488806793643</c:v>
                </c:pt>
                <c:pt idx="4">
                  <c:v>-22.588908403656472</c:v>
                </c:pt>
                <c:pt idx="5">
                  <c:v>-22.206693327125667</c:v>
                </c:pt>
                <c:pt idx="6">
                  <c:v>-21.728952737380208</c:v>
                </c:pt>
                <c:pt idx="7">
                  <c:v>-21.153744538502139</c:v>
                </c:pt>
                <c:pt idx="8">
                  <c:v>-20.479073629835462</c:v>
                </c:pt>
                <c:pt idx="9">
                  <c:v>-19.702890085265</c:v>
                </c:pt>
                <c:pt idx="10">
                  <c:v>-18.823087256925703</c:v>
                </c:pt>
                <c:pt idx="11">
                  <c:v>-17.837499799656882</c:v>
                </c:pt>
                <c:pt idx="12">
                  <c:v>-16.74390161231069</c:v>
                </c:pt>
                <c:pt idx="13">
                  <c:v>-15.540003691802113</c:v>
                </c:pt>
                <c:pt idx="14">
                  <c:v>-14.223451895556027</c:v>
                </c:pt>
                <c:pt idx="15">
                  <c:v>-12.791824607756087</c:v>
                </c:pt>
                <c:pt idx="16">
                  <c:v>-11.242630304535366</c:v>
                </c:pt>
                <c:pt idx="17">
                  <c:v>-9.5733050129668662</c:v>
                </c:pt>
                <c:pt idx="18">
                  <c:v>-7.7812096584092201</c:v>
                </c:pt>
                <c:pt idx="19">
                  <c:v>-5.8636272944430958</c:v>
                </c:pt>
                <c:pt idx="20">
                  <c:v>-3.8177602092899678</c:v>
                </c:pt>
                <c:pt idx="21">
                  <c:v>-1.6407269022400217</c:v>
                </c:pt>
                <c:pt idx="22">
                  <c:v>0.67044107677571541</c:v>
                </c:pt>
                <c:pt idx="23">
                  <c:v>3.1188024317506691</c:v>
                </c:pt>
                <c:pt idx="24">
                  <c:v>5.7075095770333588</c:v>
                </c:pt>
                <c:pt idx="25">
                  <c:v>8.4398122538288405</c:v>
                </c:pt>
                <c:pt idx="26">
                  <c:v>11.319061315486728</c:v>
                </c:pt>
                <c:pt idx="27">
                  <c:v>13.448161334905002</c:v>
                </c:pt>
                <c:pt idx="28">
                  <c:v>12.836722898267961</c:v>
                </c:pt>
                <c:pt idx="29">
                  <c:v>12.480414776436431</c:v>
                </c:pt>
                <c:pt idx="30">
                  <c:v>12.226174487740213</c:v>
                </c:pt>
                <c:pt idx="31">
                  <c:v>12.076480169645784</c:v>
                </c:pt>
                <c:pt idx="32">
                  <c:v>12.033890839522629</c:v>
                </c:pt>
                <c:pt idx="33">
                  <c:v>12.101049721474038</c:v>
                </c:pt>
                <c:pt idx="34">
                  <c:v>12.280687738742179</c:v>
                </c:pt>
                <c:pt idx="35">
                  <c:v>12.575627181382298</c:v>
                </c:pt>
                <c:pt idx="36">
                  <c:v>12.988785559554497</c:v>
                </c:pt>
                <c:pt idx="37">
                  <c:v>13.523179653485883</c:v>
                </c:pt>
                <c:pt idx="38">
                  <c:v>14.181929771914847</c:v>
                </c:pt>
                <c:pt idx="39">
                  <c:v>14.96826423164643</c:v>
                </c:pt>
                <c:pt idx="40">
                  <c:v>15.885524071730151</c:v>
                </c:pt>
                <c:pt idx="41">
                  <c:v>16.937168016723358</c:v>
                </c:pt>
                <c:pt idx="42">
                  <c:v>18.126777704531076</c:v>
                </c:pt>
                <c:pt idx="43">
                  <c:v>19.45806319542443</c:v>
                </c:pt>
                <c:pt idx="44">
                  <c:v>20.93486878004089</c:v>
                </c:pt>
                <c:pt idx="45">
                  <c:v>22.561179105469829</c:v>
                </c:pt>
                <c:pt idx="46">
                  <c:v>24.341125639934436</c:v>
                </c:pt>
                <c:pt idx="47">
                  <c:v>25.210984245409382</c:v>
                </c:pt>
                <c:pt idx="48">
                  <c:v>22.78778059944732</c:v>
                </c:pt>
                <c:pt idx="49">
                  <c:v>20.648282614921428</c:v>
                </c:pt>
                <c:pt idx="50">
                  <c:v>18.596260730645906</c:v>
                </c:pt>
                <c:pt idx="51">
                  <c:v>16.634249023248064</c:v>
                </c:pt>
                <c:pt idx="52">
                  <c:v>14.764880410427031</c:v>
                </c:pt>
                <c:pt idx="53">
                  <c:v>12.990891517669159</c:v>
                </c:pt>
                <c:pt idx="54">
                  <c:v>11.315127835377611</c:v>
                </c:pt>
                <c:pt idx="55">
                  <c:v>9.7405491868374181</c:v>
                </c:pt>
                <c:pt idx="56">
                  <c:v>8.2702355290952951</c:v>
                </c:pt>
                <c:pt idx="57">
                  <c:v>6.9073931106440547</c:v>
                </c:pt>
                <c:pt idx="58">
                  <c:v>5.6553610117810189</c:v>
                </c:pt>
                <c:pt idx="59">
                  <c:v>4.5176180956758634</c:v>
                </c:pt>
                <c:pt idx="60">
                  <c:v>3.4977904005553482</c:v>
                </c:pt>
                <c:pt idx="61">
                  <c:v>2.5996590060128413</c:v>
                </c:pt>
                <c:pt idx="62">
                  <c:v>1.8271684093036999</c:v>
                </c:pt>
                <c:pt idx="63">
                  <c:v>1.1844354506213137</c:v>
                </c:pt>
                <c:pt idx="64">
                  <c:v>0.67575882979377688</c:v>
                </c:pt>
                <c:pt idx="65">
                  <c:v>0.30562926063258156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pt)'!$AM$3:$AM$68</c:f>
              <c:numCache>
                <c:formatCode>_(* #,##0.00_);_(* \(#,##0.00\);_(* "-"??_);_(@_)</c:formatCode>
                <c:ptCount val="66"/>
                <c:pt idx="0">
                  <c:v>-18.50630326277421</c:v>
                </c:pt>
                <c:pt idx="1">
                  <c:v>-18.551635328142318</c:v>
                </c:pt>
                <c:pt idx="2">
                  <c:v>-18.516453298048763</c:v>
                </c:pt>
                <c:pt idx="3">
                  <c:v>-18.399163483108797</c:v>
                </c:pt>
                <c:pt idx="4">
                  <c:v>-18.198129853495971</c:v>
                </c:pt>
                <c:pt idx="5">
                  <c:v>-17.911672623423346</c:v>
                </c:pt>
                <c:pt idx="6">
                  <c:v>-17.538066778454212</c:v>
                </c:pt>
                <c:pt idx="7">
                  <c:v>-17.075540542929744</c:v>
                </c:pt>
                <c:pt idx="8">
                  <c:v>-16.522273784653532</c:v>
                </c:pt>
                <c:pt idx="9">
                  <c:v>-15.876396353816016</c:v>
                </c:pt>
                <c:pt idx="10">
                  <c:v>-15.135986352973474</c:v>
                </c:pt>
                <c:pt idx="11">
                  <c:v>-14.299068334720998</c:v>
                </c:pt>
                <c:pt idx="12">
                  <c:v>-13.363611423507619</c:v>
                </c:pt>
                <c:pt idx="13">
                  <c:v>-12.327527357843495</c:v>
                </c:pt>
                <c:pt idx="14">
                  <c:v>-11.188668448933861</c:v>
                </c:pt>
                <c:pt idx="15">
                  <c:v>-9.9448254515480379</c:v>
                </c:pt>
                <c:pt idx="16">
                  <c:v>-8.5937253426895541</c:v>
                </c:pt>
                <c:pt idx="17">
                  <c:v>-7.1330290033752695</c:v>
                </c:pt>
                <c:pt idx="18">
                  <c:v>-5.5603287985572409</c:v>
                </c:pt>
                <c:pt idx="19">
                  <c:v>-3.8731460499269335</c:v>
                </c:pt>
                <c:pt idx="20">
                  <c:v>-2.0689283960297513</c:v>
                </c:pt>
                <c:pt idx="21">
                  <c:v>-0.14504703378324871</c:v>
                </c:pt>
                <c:pt idx="22">
                  <c:v>1.9012061648640157</c:v>
                </c:pt>
                <c:pt idx="23">
                  <c:v>4.072621667775878</c:v>
                </c:pt>
                <c:pt idx="24">
                  <c:v>6.3720754360260514</c:v>
                </c:pt>
                <c:pt idx="25">
                  <c:v>8.8025322233347989</c:v>
                </c:pt>
                <c:pt idx="26">
                  <c:v>11.367049029497549</c:v>
                </c:pt>
                <c:pt idx="27">
                  <c:v>13.250979507420475</c:v>
                </c:pt>
                <c:pt idx="28">
                  <c:v>12.699631553421971</c:v>
                </c:pt>
                <c:pt idx="29">
                  <c:v>12.328464997043588</c:v>
                </c:pt>
                <c:pt idx="30">
                  <c:v>12.050675571467471</c:v>
                </c:pt>
                <c:pt idx="31">
                  <c:v>11.868530407056669</c:v>
                </c:pt>
                <c:pt idx="32">
                  <c:v>11.784370628109956</c:v>
                </c:pt>
                <c:pt idx="33">
                  <c:v>11.800614396499419</c:v>
                </c:pt>
                <c:pt idx="34">
                  <c:v>11.91976010679112</c:v>
                </c:pt>
                <c:pt idx="35">
                  <c:v>12.144389741717902</c:v>
                </c:pt>
                <c:pt idx="36">
                  <c:v>12.47717239747262</c:v>
                </c:pt>
                <c:pt idx="37">
                  <c:v>12.920867988934145</c:v>
                </c:pt>
                <c:pt idx="38">
                  <c:v>13.478331145632549</c:v>
                </c:pt>
                <c:pt idx="39">
                  <c:v>14.152515310008106</c:v>
                </c:pt>
                <c:pt idx="40">
                  <c:v>14.94647705032577</c:v>
                </c:pt>
                <c:pt idx="41">
                  <c:v>15.863380601477447</c:v>
                </c:pt>
                <c:pt idx="42">
                  <c:v>16.906502647845166</c:v>
                </c:pt>
                <c:pt idx="43">
                  <c:v>18.079237363414471</c:v>
                </c:pt>
                <c:pt idx="44">
                  <c:v>19.385101725426637</c:v>
                </c:pt>
                <c:pt idx="45">
                  <c:v>20.82774111904768</c:v>
                </c:pt>
                <c:pt idx="46">
                  <c:v>22.410935251820213</c:v>
                </c:pt>
                <c:pt idx="47">
                  <c:v>23.168735088408365</c:v>
                </c:pt>
                <c:pt idx="48">
                  <c:v>21.004725672872208</c:v>
                </c:pt>
                <c:pt idx="49">
                  <c:v>19.032817694187461</c:v>
                </c:pt>
                <c:pt idx="50">
                  <c:v>17.141524194824054</c:v>
                </c:pt>
                <c:pt idx="51">
                  <c:v>15.333180470545459</c:v>
                </c:pt>
                <c:pt idx="52">
                  <c:v>13.610212905087208</c:v>
                </c:pt>
                <c:pt idx="53">
                  <c:v>11.975143455155097</c:v>
                </c:pt>
                <c:pt idx="54">
                  <c:v>10.430594403061134</c:v>
                </c:pt>
                <c:pt idx="55">
                  <c:v>8.9792933958169474</c:v>
                </c:pt>
                <c:pt idx="56">
                  <c:v>7.6240787910325762</c:v>
                </c:pt>
                <c:pt idx="57">
                  <c:v>6.367905331636889</c:v>
                </c:pt>
                <c:pt idx="58">
                  <c:v>5.2138501732605178</c:v>
                </c:pt>
                <c:pt idx="59">
                  <c:v>4.1651192901180663</c:v>
                </c:pt>
                <c:pt idx="60">
                  <c:v>3.2250542874126187</c:v>
                </c:pt>
                <c:pt idx="61">
                  <c:v>2.39713965068198</c:v>
                </c:pt>
                <c:pt idx="62">
                  <c:v>1.6850104651355451</c:v>
                </c:pt>
                <c:pt idx="63">
                  <c:v>1.0924606409187332</c:v>
                </c:pt>
                <c:pt idx="64">
                  <c:v>0.62345168341691048</c:v>
                </c:pt>
                <c:pt idx="65">
                  <c:v>0.28212205120487477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pt)'!$AS$3:$AS$68</c:f>
              <c:numCache>
                <c:formatCode>_(* #,##0.00_);_(* \(#,##0.00\);_(* "-"??_);_(@_)</c:formatCode>
                <c:ptCount val="66"/>
                <c:pt idx="0">
                  <c:v>-15.492567427421541</c:v>
                </c:pt>
                <c:pt idx="1">
                  <c:v>-15.551967371316156</c:v>
                </c:pt>
                <c:pt idx="2">
                  <c:v>-15.540403107775495</c:v>
                </c:pt>
                <c:pt idx="3">
                  <c:v>-15.456469989029461</c:v>
                </c:pt>
                <c:pt idx="4">
                  <c:v>-15.298726049205577</c:v>
                </c:pt>
                <c:pt idx="5">
                  <c:v>-15.065690756708095</c:v>
                </c:pt>
                <c:pt idx="6">
                  <c:v>-14.755843716207087</c:v>
                </c:pt>
                <c:pt idx="7">
                  <c:v>-14.367623317847011</c:v>
                </c:pt>
                <c:pt idx="8">
                  <c:v>-13.899425331153706</c:v>
                </c:pt>
                <c:pt idx="9">
                  <c:v>-13.349601440980289</c:v>
                </c:pt>
                <c:pt idx="10">
                  <c:v>-12.716457722685144</c:v>
                </c:pt>
                <c:pt idx="11">
                  <c:v>-11.99825305357901</c:v>
                </c:pt>
                <c:pt idx="12">
                  <c:v>-11.1931974575115</c:v>
                </c:pt>
                <c:pt idx="13">
                  <c:v>-10.299450379290889</c:v>
                </c:pt>
                <c:pt idx="14">
                  <c:v>-9.3151188854427289</c:v>
                </c:pt>
                <c:pt idx="15">
                  <c:v>-8.2382557876122551</c:v>
                </c:pt>
                <c:pt idx="16">
                  <c:v>-7.0668576847026197</c:v>
                </c:pt>
                <c:pt idx="17">
                  <c:v>-5.79886291961349</c:v>
                </c:pt>
                <c:pt idx="18">
                  <c:v>-4.4321494462021835</c:v>
                </c:pt>
                <c:pt idx="19">
                  <c:v>-2.9645326018313223</c:v>
                </c:pt>
                <c:pt idx="20">
                  <c:v>-1.3937627805913229</c:v>
                </c:pt>
                <c:pt idx="21">
                  <c:v>0.28247699800829007</c:v>
                </c:pt>
                <c:pt idx="22">
                  <c:v>2.0665736303988322</c:v>
                </c:pt>
                <c:pt idx="23">
                  <c:v>3.960986586219549</c:v>
                </c:pt>
                <c:pt idx="24">
                  <c:v>5.9682506877063748</c:v>
                </c:pt>
                <c:pt idx="25">
                  <c:v>8.0909790178008798</c:v>
                </c:pt>
                <c:pt idx="26">
                  <c:v>10.331865963988427</c:v>
                </c:pt>
                <c:pt idx="27">
                  <c:v>11.974031109611419</c:v>
                </c:pt>
                <c:pt idx="28">
                  <c:v>11.498074054036701</c:v>
                </c:pt>
                <c:pt idx="29">
                  <c:v>11.156449600795096</c:v>
                </c:pt>
                <c:pt idx="30">
                  <c:v>10.897206494034666</c:v>
                </c:pt>
                <c:pt idx="31">
                  <c:v>10.722344884452882</c:v>
                </c:pt>
                <c:pt idx="32">
                  <c:v>10.633930203426322</c:v>
                </c:pt>
                <c:pt idx="33">
                  <c:v>10.634095848268958</c:v>
                </c:pt>
                <c:pt idx="34">
                  <c:v>10.725046001138088</c:v>
                </c:pt>
                <c:pt idx="35">
                  <c:v>10.909058589413524</c:v>
                </c:pt>
                <c:pt idx="36">
                  <c:v>11.188488395903375</c:v>
                </c:pt>
                <c:pt idx="37">
                  <c:v>11.565770327798278</c:v>
                </c:pt>
                <c:pt idx="38">
                  <c:v>12.04342285390849</c:v>
                </c:pt>
                <c:pt idx="39">
                  <c:v>12.624051620378172</c:v>
                </c:pt>
                <c:pt idx="40">
                  <c:v>13.310353255783152</c:v>
                </c:pt>
                <c:pt idx="41">
                  <c:v>14.105119377287046</c:v>
                </c:pt>
                <c:pt idx="42">
                  <c:v>15.011240810360102</c:v>
                </c:pt>
                <c:pt idx="43">
                  <c:v>16.031712035462185</c:v>
                </c:pt>
                <c:pt idx="44">
                  <c:v>17.169635876060948</c:v>
                </c:pt>
                <c:pt idx="45">
                  <c:v>18.42822844340575</c:v>
                </c:pt>
                <c:pt idx="46">
                  <c:v>19.810824354614216</c:v>
                </c:pt>
                <c:pt idx="47">
                  <c:v>20.467402002741718</c:v>
                </c:pt>
                <c:pt idx="48">
                  <c:v>18.584768034528064</c:v>
                </c:pt>
                <c:pt idx="49">
                  <c:v>16.840312788061969</c:v>
                </c:pt>
                <c:pt idx="50">
                  <c:v>15.167159446340188</c:v>
                </c:pt>
                <c:pt idx="51">
                  <c:v>13.567373520240393</c:v>
                </c:pt>
                <c:pt idx="52">
                  <c:v>12.043101086124873</c:v>
                </c:pt>
                <c:pt idx="53">
                  <c:v>10.596572752773197</c:v>
                </c:pt>
                <c:pt idx="54">
                  <c:v>9.2301078650403685</c:v>
                </c:pt>
                <c:pt idx="55">
                  <c:v>7.9461189608867802</c:v>
                </c:pt>
                <c:pt idx="56">
                  <c:v>6.7471164997778059</c:v>
                </c:pt>
                <c:pt idx="57">
                  <c:v>5.6357138819268222</c:v>
                </c:pt>
                <c:pt idx="58">
                  <c:v>4.6146327794690283</c:v>
                </c:pt>
                <c:pt idx="59">
                  <c:v>3.6867088024191355</c:v>
                </c:pt>
                <c:pt idx="60">
                  <c:v>2.8548975241996168</c:v>
                </c:pt>
                <c:pt idx="61">
                  <c:v>2.1222808936459256</c:v>
                </c:pt>
                <c:pt idx="62">
                  <c:v>1.4920740627209477</c:v>
                </c:pt>
                <c:pt idx="63">
                  <c:v>0.96763266172544404</c:v>
                </c:pt>
                <c:pt idx="64">
                  <c:v>0.55246055659962279</c:v>
                </c:pt>
                <c:pt idx="65">
                  <c:v>0.25021812600162718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pt)'!$AY$3:$AY$68</c:f>
              <c:numCache>
                <c:formatCode>_(* #,##0.00_);_(* \(#,##0.00\);_(* "-"??_);_(@_)</c:formatCode>
                <c:ptCount val="66"/>
                <c:pt idx="0">
                  <c:v>-12.973671950526223</c:v>
                </c:pt>
                <c:pt idx="1">
                  <c:v>-13.024454865916605</c:v>
                </c:pt>
                <c:pt idx="2">
                  <c:v>-13.015705713339131</c:v>
                </c:pt>
                <c:pt idx="3">
                  <c:v>-12.946246143704293</c:v>
                </c:pt>
                <c:pt idx="4">
                  <c:v>-12.814866502077859</c:v>
                </c:pt>
                <c:pt idx="5">
                  <c:v>-12.620324781057105</c:v>
                </c:pt>
                <c:pt idx="6">
                  <c:v>-12.361345531875084</c:v>
                </c:pt>
                <c:pt idx="7">
                  <c:v>-12.036618731226797</c:v>
                </c:pt>
                <c:pt idx="8">
                  <c:v>-11.644798601702886</c:v>
                </c:pt>
                <c:pt idx="9">
                  <c:v>-11.184502383599808</c:v>
                </c:pt>
                <c:pt idx="10">
                  <c:v>-10.654309055751057</c:v>
                </c:pt>
                <c:pt idx="11">
                  <c:v>-10.052758002894738</c:v>
                </c:pt>
                <c:pt idx="12">
                  <c:v>-9.378347626951193</c:v>
                </c:pt>
                <c:pt idx="13">
                  <c:v>-8.6295338994375683</c:v>
                </c:pt>
                <c:pt idx="14">
                  <c:v>-7.8047288520876155</c:v>
                </c:pt>
                <c:pt idx="15">
                  <c:v>-6.9022990025767914</c:v>
                </c:pt>
                <c:pt idx="16">
                  <c:v>-5.9205637120745411</c:v>
                </c:pt>
                <c:pt idx="17">
                  <c:v>-4.8577934711540305</c:v>
                </c:pt>
                <c:pt idx="18">
                  <c:v>-3.7122081103870412</c:v>
                </c:pt>
                <c:pt idx="19">
                  <c:v>-2.4819749317347948</c:v>
                </c:pt>
                <c:pt idx="20">
                  <c:v>-1.1652067566138626</c:v>
                </c:pt>
                <c:pt idx="21">
                  <c:v>0.2400401137299005</c:v>
                </c:pt>
                <c:pt idx="22">
                  <c:v>1.7357680301702292</c:v>
                </c:pt>
                <c:pt idx="23">
                  <c:v>3.3240402248852807</c:v>
                </c:pt>
                <c:pt idx="24">
                  <c:v>5.0069831429911984</c:v>
                </c:pt>
                <c:pt idx="25">
                  <c:v>6.7867888821605282</c:v>
                </c:pt>
                <c:pt idx="26">
                  <c:v>8.6657177461053099</c:v>
                </c:pt>
                <c:pt idx="27">
                  <c:v>10.042366865078701</c:v>
                </c:pt>
                <c:pt idx="28">
                  <c:v>9.6556194503928836</c:v>
                </c:pt>
                <c:pt idx="29">
                  <c:v>9.3681887089299316</c:v>
                </c:pt>
                <c:pt idx="30">
                  <c:v>9.1498694827148146</c:v>
                </c:pt>
                <c:pt idx="31">
                  <c:v>9.0023397260105895</c:v>
                </c:pt>
                <c:pt idx="32">
                  <c:v>8.9273321581397127</c:v>
                </c:pt>
                <c:pt idx="33">
                  <c:v>8.9266365162153303</c:v>
                </c:pt>
                <c:pt idx="34">
                  <c:v>9.002101919994459</c:v>
                </c:pt>
                <c:pt idx="35">
                  <c:v>9.155639355418403</c:v>
                </c:pt>
                <c:pt idx="36">
                  <c:v>9.3892242838481952</c:v>
                </c:pt>
                <c:pt idx="37">
                  <c:v>9.7048993844803437</c:v>
                </c:pt>
                <c:pt idx="38">
                  <c:v>10.104777437941566</c:v>
                </c:pt>
                <c:pt idx="39">
                  <c:v>10.591044359615031</c:v>
                </c:pt>
                <c:pt idx="40">
                  <c:v>11.165962391848218</c:v>
                </c:pt>
                <c:pt idx="41">
                  <c:v>11.831873464836711</c:v>
                </c:pt>
                <c:pt idx="42">
                  <c:v>12.591202736674742</c:v>
                </c:pt>
                <c:pt idx="43">
                  <c:v>13.446462323815568</c:v>
                </c:pt>
                <c:pt idx="44">
                  <c:v>14.400255233998346</c:v>
                </c:pt>
                <c:pt idx="45">
                  <c:v>15.455279514578601</c:v>
                </c:pt>
                <c:pt idx="46">
                  <c:v>16.614332630152919</c:v>
                </c:pt>
                <c:pt idx="47">
                  <c:v>17.164317434656965</c:v>
                </c:pt>
                <c:pt idx="48">
                  <c:v>15.601436872698333</c:v>
                </c:pt>
                <c:pt idx="49">
                  <c:v>14.137386048656554</c:v>
                </c:pt>
                <c:pt idx="50">
                  <c:v>12.733156559000223</c:v>
                </c:pt>
                <c:pt idx="51">
                  <c:v>11.390481322976457</c:v>
                </c:pt>
                <c:pt idx="52">
                  <c:v>10.11116085316235</c:v>
                </c:pt>
                <c:pt idx="53">
                  <c:v>8.897066583724893</c:v>
                </c:pt>
                <c:pt idx="54">
                  <c:v>7.7501443972975856</c:v>
                </c:pt>
                <c:pt idx="55">
                  <c:v>6.6724183644407766</c:v>
                </c:pt>
                <c:pt idx="56">
                  <c:v>5.6659947107864337</c:v>
                </c:pt>
                <c:pt idx="57">
                  <c:v>4.7330660282065455</c:v>
                </c:pt>
                <c:pt idx="58">
                  <c:v>3.8759157476982735</c:v>
                </c:pt>
                <c:pt idx="59">
                  <c:v>3.0969228931604178</c:v>
                </c:pt>
                <c:pt idx="60">
                  <c:v>2.39856713685821</c:v>
                </c:pt>
                <c:pt idx="61">
                  <c:v>1.7834341791519772</c:v>
                </c:pt>
                <c:pt idx="62">
                  <c:v>1.2542214770167455</c:v>
                </c:pt>
                <c:pt idx="63">
                  <c:v>0.81374434802323015</c:v>
                </c:pt>
                <c:pt idx="64">
                  <c:v>0.46494247880701406</c:v>
                </c:pt>
                <c:pt idx="65">
                  <c:v>0.21088686964597453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pt)'!$BE$3:$BE$68</c:f>
              <c:numCache>
                <c:formatCode>_(* #,##0.00_);_(* \(#,##0.00\);_(* "-"??_);_(@_)</c:formatCode>
                <c:ptCount val="66"/>
                <c:pt idx="0">
                  <c:v>-10.605537159443186</c:v>
                </c:pt>
                <c:pt idx="1">
                  <c:v>-10.634356210987896</c:v>
                </c:pt>
                <c:pt idx="2">
                  <c:v>-10.616729412696072</c:v>
                </c:pt>
                <c:pt idx="3">
                  <c:v>-10.55173745529833</c:v>
                </c:pt>
                <c:pt idx="4">
                  <c:v>-10.438436605848555</c:v>
                </c:pt>
                <c:pt idx="5">
                  <c:v>-10.275857891183053</c:v>
                </c:pt>
                <c:pt idx="6">
                  <c:v>-10.063006248400001</c:v>
                </c:pt>
                <c:pt idx="7">
                  <c:v>-9.7988596407945092</c:v>
                </c:pt>
                <c:pt idx="8">
                  <c:v>-9.4823681375992628</c:v>
                </c:pt>
                <c:pt idx="9">
                  <c:v>-9.112452955790177</c:v>
                </c:pt>
                <c:pt idx="10">
                  <c:v>-8.6880054621199392</c:v>
                </c:pt>
                <c:pt idx="11">
                  <c:v>-8.2078861334400948</c:v>
                </c:pt>
                <c:pt idx="12">
                  <c:v>-7.6709234732633425</c:v>
                </c:pt>
                <c:pt idx="13">
                  <c:v>-7.0759128824020845</c:v>
                </c:pt>
                <c:pt idx="14">
                  <c:v>-6.421615481396123</c:v>
                </c:pt>
                <c:pt idx="15">
                  <c:v>-5.7067568823110655</c:v>
                </c:pt>
                <c:pt idx="16">
                  <c:v>-4.9300259073496617</c:v>
                </c:pt>
                <c:pt idx="17">
                  <c:v>-4.0900732515692093</c:v>
                </c:pt>
                <c:pt idx="18">
                  <c:v>-3.1855100868398756</c:v>
                </c:pt>
                <c:pt idx="19">
                  <c:v>-2.2149066040095753</c:v>
                </c:pt>
                <c:pt idx="20">
                  <c:v>-1.1767904900604482</c:v>
                </c:pt>
                <c:pt idx="21">
                  <c:v>-6.9645336849851205E-2</c:v>
                </c:pt>
                <c:pt idx="22">
                  <c:v>1.1080910221775493</c:v>
                </c:pt>
                <c:pt idx="23">
                  <c:v>2.3580282511388635</c:v>
                </c:pt>
                <c:pt idx="24">
                  <c:v>3.6818253307911939</c:v>
                </c:pt>
                <c:pt idx="25">
                  <c:v>5.0811924618575839</c:v>
                </c:pt>
                <c:pt idx="26">
                  <c:v>6.5578930571883216</c:v>
                </c:pt>
                <c:pt idx="27">
                  <c:v>7.6419728901297121</c:v>
                </c:pt>
                <c:pt idx="28">
                  <c:v>7.3558098975933222</c:v>
                </c:pt>
                <c:pt idx="29">
                  <c:v>7.1393651668578721</c:v>
                </c:pt>
                <c:pt idx="30">
                  <c:v>6.9767913914208188</c:v>
                </c:pt>
                <c:pt idx="31">
                  <c:v>6.8693964777829368</c:v>
                </c:pt>
                <c:pt idx="32">
                  <c:v>6.8185310199971161</c:v>
                </c:pt>
                <c:pt idx="33">
                  <c:v>6.8255900556211753</c:v>
                </c:pt>
                <c:pt idx="34">
                  <c:v>6.8920149090689442</c:v>
                </c:pt>
                <c:pt idx="35">
                  <c:v>7.0192951274769015</c:v>
                </c:pt>
                <c:pt idx="36">
                  <c:v>7.2089705145493896</c:v>
                </c:pt>
                <c:pt idx="37">
                  <c:v>7.4626332682169894</c:v>
                </c:pt>
                <c:pt idx="38">
                  <c:v>7.7819302283432092</c:v>
                </c:pt>
                <c:pt idx="39">
                  <c:v>8.1685652411462915</c:v>
                </c:pt>
                <c:pt idx="40">
                  <c:v>8.62430164746862</c:v>
                </c:pt>
                <c:pt idx="41">
                  <c:v>9.1509649025286937</c:v>
                </c:pt>
                <c:pt idx="42">
                  <c:v>9.7504453353332448</c:v>
                </c:pt>
                <c:pt idx="43">
                  <c:v>10.424701056513733</c:v>
                </c:pt>
                <c:pt idx="44">
                  <c:v>11.175761023985515</c:v>
                </c:pt>
                <c:pt idx="45">
                  <c:v>12.005728276514452</c:v>
                </c:pt>
                <c:pt idx="46">
                  <c:v>12.916783346018766</c:v>
                </c:pt>
                <c:pt idx="47">
                  <c:v>13.351688550060524</c:v>
                </c:pt>
                <c:pt idx="48">
                  <c:v>12.145379195096792</c:v>
                </c:pt>
                <c:pt idx="49">
                  <c:v>11.006164537201123</c:v>
                </c:pt>
                <c:pt idx="50">
                  <c:v>9.9134714788711005</c:v>
                </c:pt>
                <c:pt idx="51">
                  <c:v>8.8686476466069042</c:v>
                </c:pt>
                <c:pt idx="52">
                  <c:v>7.8730932325692846</c:v>
                </c:pt>
                <c:pt idx="53">
                  <c:v>6.9282635829651058</c:v>
                </c:pt>
                <c:pt idx="54">
                  <c:v>6.0356719409024917</c:v>
                </c:pt>
                <c:pt idx="55">
                  <c:v>5.1968923545783472</c:v>
                </c:pt>
                <c:pt idx="56">
                  <c:v>4.4135627625429397</c:v>
                </c:pt>
                <c:pt idx="57">
                  <c:v>3.6873882687494981</c:v>
                </c:pt>
                <c:pt idx="58">
                  <c:v>3.0201446211497527</c:v>
                </c:pt>
                <c:pt idx="59">
                  <c:v>2.4136819087486674</c:v>
                </c:pt>
                <c:pt idx="60">
                  <c:v>1.869928493293449</c:v>
                </c:pt>
                <c:pt idx="61">
                  <c:v>1.3908951931553215</c:v>
                </c:pt>
                <c:pt idx="62">
                  <c:v>0.97867973848034406</c:v>
                </c:pt>
                <c:pt idx="63">
                  <c:v>0.63547151835268856</c:v>
                </c:pt>
                <c:pt idx="64">
                  <c:v>0.36355664254652814</c:v>
                </c:pt>
                <c:pt idx="65">
                  <c:v>0.16532334245970709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pt)'!$BK$3:$BK$68</c:f>
              <c:numCache>
                <c:formatCode>_(* #,##0.00_);_(* \(#,##0.00\);_(* "-"??_);_(@_)</c:formatCode>
                <c:ptCount val="66"/>
                <c:pt idx="0">
                  <c:v>-8.2816379092147887</c:v>
                </c:pt>
                <c:pt idx="1">
                  <c:v>-8.2796649497193702</c:v>
                </c:pt>
                <c:pt idx="2">
                  <c:v>-8.245639393725444</c:v>
                </c:pt>
                <c:pt idx="3">
                  <c:v>-8.1789268435675684</c:v>
                </c:pt>
                <c:pt idx="4">
                  <c:v>-8.0788760474645667</c:v>
                </c:pt>
                <c:pt idx="5">
                  <c:v>-7.9448183360440909</c:v>
                </c:pt>
                <c:pt idx="6">
                  <c:v>-7.7760670361086159</c:v>
                </c:pt>
                <c:pt idx="7">
                  <c:v>-7.5719168605625553</c:v>
                </c:pt>
                <c:pt idx="8">
                  <c:v>-7.3316432733622285</c:v>
                </c:pt>
                <c:pt idx="9">
                  <c:v>-7.0545018282874272</c:v>
                </c:pt>
                <c:pt idx="10">
                  <c:v>-6.7397274802664757</c:v>
                </c:pt>
                <c:pt idx="11">
                  <c:v>-6.3865338679169321</c:v>
                </c:pt>
                <c:pt idx="12">
                  <c:v>-5.9941125658879217</c:v>
                </c:pt>
                <c:pt idx="13">
                  <c:v>-5.5616323055110772</c:v>
                </c:pt>
                <c:pt idx="14">
                  <c:v>-5.0882381621815105</c:v>
                </c:pt>
                <c:pt idx="15">
                  <c:v>-4.5730507077999913</c:v>
                </c:pt>
                <c:pt idx="16">
                  <c:v>-4.015165126511099</c:v>
                </c:pt>
                <c:pt idx="17">
                  <c:v>-3.4136502918694211</c:v>
                </c:pt>
                <c:pt idx="18">
                  <c:v>-2.7675478034563992</c:v>
                </c:pt>
                <c:pt idx="19">
                  <c:v>-2.0758709808539146</c:v>
                </c:pt>
                <c:pt idx="20">
                  <c:v>-1.3376038127559242</c:v>
                </c:pt>
                <c:pt idx="21">
                  <c:v>-0.55169985886667305</c:v>
                </c:pt>
                <c:pt idx="22">
                  <c:v>0.28291889790768404</c:v>
                </c:pt>
                <c:pt idx="23">
                  <c:v>1.1673632516194568</c:v>
                </c:pt>
                <c:pt idx="24">
                  <c:v>2.1027780285984092</c:v>
                </c:pt>
                <c:pt idx="25">
                  <c:v>3.0903434009102626</c:v>
                </c:pt>
                <c:pt idx="26">
                  <c:v>4.1312762611203073</c:v>
                </c:pt>
                <c:pt idx="27">
                  <c:v>4.8997984250292994</c:v>
                </c:pt>
                <c:pt idx="28">
                  <c:v>4.7226515677353342</c:v>
                </c:pt>
                <c:pt idx="29">
                  <c:v>4.5891920520202429</c:v>
                </c:pt>
                <c:pt idx="30">
                  <c:v>4.492812897987605</c:v>
                </c:pt>
                <c:pt idx="31">
                  <c:v>4.4344143280432533</c:v>
                </c:pt>
                <c:pt idx="32">
                  <c:v>4.414925946181758</c:v>
                </c:pt>
                <c:pt idx="33">
                  <c:v>4.435307946626418</c:v>
                </c:pt>
                <c:pt idx="34">
                  <c:v>4.4965523826282192</c:v>
                </c:pt>
                <c:pt idx="35">
                  <c:v>4.5996844989465053</c:v>
                </c:pt>
                <c:pt idx="36">
                  <c:v>4.7457641317717192</c:v>
                </c:pt>
                <c:pt idx="37">
                  <c:v>4.9358871801065316</c:v>
                </c:pt>
                <c:pt idx="38">
                  <c:v>5.1711871528975095</c:v>
                </c:pt>
                <c:pt idx="39">
                  <c:v>5.4528367965063556</c:v>
                </c:pt>
                <c:pt idx="40">
                  <c:v>5.7820498074305897</c:v>
                </c:pt>
                <c:pt idx="41">
                  <c:v>6.1600826355292311</c:v>
                </c:pt>
                <c:pt idx="42">
                  <c:v>6.5882363833827533</c:v>
                </c:pt>
                <c:pt idx="43">
                  <c:v>7.0678588078202873</c:v>
                </c:pt>
                <c:pt idx="44">
                  <c:v>7.600346430083583</c:v>
                </c:pt>
                <c:pt idx="45">
                  <c:v>8.1871467615698492</c:v>
                </c:pt>
                <c:pt idx="46">
                  <c:v>8.8297606526070513</c:v>
                </c:pt>
                <c:pt idx="47">
                  <c:v>9.1418995700707288</c:v>
                </c:pt>
                <c:pt idx="48">
                  <c:v>8.3216055654078005</c:v>
                </c:pt>
                <c:pt idx="49">
                  <c:v>7.5417888348467157</c:v>
                </c:pt>
                <c:pt idx="50">
                  <c:v>6.7937789102830388</c:v>
                </c:pt>
                <c:pt idx="51">
                  <c:v>6.0784971312788167</c:v>
                </c:pt>
                <c:pt idx="52">
                  <c:v>5.3969007764805275</c:v>
                </c:pt>
                <c:pt idx="53">
                  <c:v>4.7499848334095258</c:v>
                </c:pt>
                <c:pt idx="54">
                  <c:v>4.1387838738777321</c:v>
                </c:pt>
                <c:pt idx="55">
                  <c:v>3.564374042456973</c:v>
                </c:pt>
                <c:pt idx="56">
                  <c:v>3.0278751660335539</c:v>
                </c:pt>
                <c:pt idx="57">
                  <c:v>2.5304529931382995</c:v>
                </c:pt>
                <c:pt idx="58">
                  <c:v>2.0733215724625587</c:v>
                </c:pt>
                <c:pt idx="59">
                  <c:v>1.6577457807586153</c:v>
                </c:pt>
                <c:pt idx="60">
                  <c:v>1.2850440111859878</c:v>
                </c:pt>
                <c:pt idx="61">
                  <c:v>0.95659103411115576</c:v>
                </c:pt>
                <c:pt idx="62">
                  <c:v>0.67382104340632476</c:v>
                </c:pt>
                <c:pt idx="63">
                  <c:v>0.43823090243295426</c:v>
                </c:pt>
                <c:pt idx="64">
                  <c:v>0.25138360514923147</c:v>
                </c:pt>
                <c:pt idx="65">
                  <c:v>0.11491196916012238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pt)'!$BQ$3:$BQ$68</c:f>
              <c:numCache>
                <c:formatCode>_(* #,##0.00_);_(* \(#,##0.00\);_(* "-"??_);_(@_)</c:formatCode>
                <c:ptCount val="66"/>
                <c:pt idx="0">
                  <c:v>-5.9872476999045441</c:v>
                </c:pt>
                <c:pt idx="1">
                  <c:v>-5.9484316275910816</c:v>
                </c:pt>
                <c:pt idx="2">
                  <c:v>-5.8928500970056215</c:v>
                </c:pt>
                <c:pt idx="3">
                  <c:v>-5.8201713157962542</c:v>
                </c:pt>
                <c:pt idx="4">
                  <c:v>-5.7300546771670229</c:v>
                </c:pt>
                <c:pt idx="5">
                  <c:v>-5.6221504651862766</c:v>
                </c:pt>
                <c:pt idx="6">
                  <c:v>-5.4960995481920456</c:v>
                </c:pt>
                <c:pt idx="7">
                  <c:v>-5.3515330597295945</c:v>
                </c:pt>
                <c:pt idx="8">
                  <c:v>-5.188072066425601</c:v>
                </c:pt>
                <c:pt idx="9">
                  <c:v>-5.0053272221706866</c:v>
                </c:pt>
                <c:pt idx="10">
                  <c:v>-4.8028984079471631</c:v>
                </c:pt>
                <c:pt idx="11">
                  <c:v>-4.5803743566020874</c:v>
                </c:pt>
                <c:pt idx="12">
                  <c:v>-4.3373322618261625</c:v>
                </c:pt>
                <c:pt idx="13">
                  <c:v>-4.0733373705574314</c:v>
                </c:pt>
                <c:pt idx="14">
                  <c:v>-3.7879425579843002</c:v>
                </c:pt>
                <c:pt idx="15">
                  <c:v>-3.4806878842747695</c:v>
                </c:pt>
                <c:pt idx="16">
                  <c:v>-3.1511001321088137</c:v>
                </c:pt>
                <c:pt idx="17">
                  <c:v>-2.7986923240366735</c:v>
                </c:pt>
                <c:pt idx="18">
                  <c:v>-2.4229632186289862</c:v>
                </c:pt>
                <c:pt idx="19">
                  <c:v>-2.023396784323344</c:v>
                </c:pt>
                <c:pt idx="20">
                  <c:v>-1.5994616498069059</c:v>
                </c:pt>
                <c:pt idx="21">
                  <c:v>-1.1506105297050777</c:v>
                </c:pt>
                <c:pt idx="22">
                  <c:v>-0.67627962427213506</c:v>
                </c:pt>
                <c:pt idx="23">
                  <c:v>-0.17588799170022151</c:v>
                </c:pt>
                <c:pt idx="24">
                  <c:v>0.35116310842153137</c:v>
                </c:pt>
                <c:pt idx="25">
                  <c:v>0.90549090205671923</c:v>
                </c:pt>
                <c:pt idx="26">
                  <c:v>1.4877318197362113</c:v>
                </c:pt>
                <c:pt idx="27">
                  <c:v>1.9249891477559908</c:v>
                </c:pt>
                <c:pt idx="28">
                  <c:v>1.8620318339649404</c:v>
                </c:pt>
                <c:pt idx="29">
                  <c:v>1.8197748103388924</c:v>
                </c:pt>
                <c:pt idx="30">
                  <c:v>1.7967474307469009</c:v>
                </c:pt>
                <c:pt idx="31">
                  <c:v>1.7934164925779188</c:v>
                </c:pt>
                <c:pt idx="32">
                  <c:v>1.8102640286499003</c:v>
                </c:pt>
                <c:pt idx="33">
                  <c:v>1.8477879339735912</c:v>
                </c:pt>
                <c:pt idx="34">
                  <c:v>1.9065026237157989</c:v>
                </c:pt>
                <c:pt idx="35">
                  <c:v>1.9869397241892601</c:v>
                </c:pt>
                <c:pt idx="36">
                  <c:v>2.0896487988195194</c:v>
                </c:pt>
                <c:pt idx="37">
                  <c:v>2.2151981111720018</c:v>
                </c:pt>
                <c:pt idx="38">
                  <c:v>2.3641754272654505</c:v>
                </c:pt>
                <c:pt idx="39">
                  <c:v>2.5371888595520824</c:v>
                </c:pt>
                <c:pt idx="40">
                  <c:v>2.7348677551110683</c:v>
                </c:pt>
                <c:pt idx="41">
                  <c:v>2.9578636307813637</c:v>
                </c:pt>
                <c:pt idx="42">
                  <c:v>3.2068511581537438</c:v>
                </c:pt>
                <c:pt idx="43">
                  <c:v>3.4825292015513245</c:v>
                </c:pt>
                <c:pt idx="44">
                  <c:v>3.7856219123542987</c:v>
                </c:pt>
                <c:pt idx="45">
                  <c:v>4.1168798832697773</c:v>
                </c:pt>
                <c:pt idx="46">
                  <c:v>4.4770813664129561</c:v>
                </c:pt>
                <c:pt idx="47">
                  <c:v>4.6612081867457276</c:v>
                </c:pt>
                <c:pt idx="48">
                  <c:v>4.2462994104466381</c:v>
                </c:pt>
                <c:pt idx="49">
                  <c:v>3.8495222442506734</c:v>
                </c:pt>
                <c:pt idx="50">
                  <c:v>3.4688691332919759</c:v>
                </c:pt>
                <c:pt idx="51">
                  <c:v>3.1048070885161496</c:v>
                </c:pt>
                <c:pt idx="52">
                  <c:v>2.7578213396604974</c:v>
                </c:pt>
                <c:pt idx="53">
                  <c:v>2.4284162326011725</c:v>
                </c:pt>
                <c:pt idx="54">
                  <c:v>2.1171161802681744</c:v>
                </c:pt>
                <c:pt idx="55">
                  <c:v>1.8244666708963395</c:v>
                </c:pt>
                <c:pt idx="56">
                  <c:v>1.5510353376864594</c:v>
                </c:pt>
                <c:pt idx="57">
                  <c:v>1.2974130942849014</c:v>
                </c:pt>
                <c:pt idx="58">
                  <c:v>1.0642153408554704</c:v>
                </c:pt>
                <c:pt idx="59">
                  <c:v>0.85208324591710272</c:v>
                </c:pt>
                <c:pt idx="60">
                  <c:v>0.6616851095588332</c:v>
                </c:pt>
                <c:pt idx="61">
                  <c:v>0.49371781412352878</c:v>
                </c:pt>
                <c:pt idx="62">
                  <c:v>0.34890836897856875</c:v>
                </c:pt>
                <c:pt idx="63">
                  <c:v>0.22801555657018086</c:v>
                </c:pt>
                <c:pt idx="64">
                  <c:v>0.13183168759414501</c:v>
                </c:pt>
                <c:pt idx="65">
                  <c:v>6.1184473815542595E-2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pt)'!$BW$3:$BW$68</c:f>
              <c:numCache>
                <c:formatCode>_(* #,##0.00_);_(* \(#,##0.00\);_(* "-"??_);_(@_)</c:formatCode>
                <c:ptCount val="66"/>
                <c:pt idx="0">
                  <c:v>-3.7515781332721718</c:v>
                </c:pt>
                <c:pt idx="1">
                  <c:v>-3.6718612848153325</c:v>
                </c:pt>
                <c:pt idx="2">
                  <c:v>-3.5911069861155216</c:v>
                </c:pt>
                <c:pt idx="3">
                  <c:v>-3.5092947765903739</c:v>
                </c:pt>
                <c:pt idx="4">
                  <c:v>-3.4264036527493733</c:v>
                </c:pt>
                <c:pt idx="5">
                  <c:v>-3.3424120500389023</c:v>
                </c:pt>
                <c:pt idx="6">
                  <c:v>-3.2572978239532193</c:v>
                </c:pt>
                <c:pt idx="7">
                  <c:v>-3.1710382303764719</c:v>
                </c:pt>
                <c:pt idx="8">
                  <c:v>-3.0836099051189634</c:v>
                </c:pt>
                <c:pt idx="9">
                  <c:v>-2.994988842608854</c:v>
                </c:pt>
                <c:pt idx="10">
                  <c:v>-2.9051503736983424</c:v>
                </c:pt>
                <c:pt idx="11">
                  <c:v>-2.8140691425410669</c:v>
                </c:pt>
                <c:pt idx="12">
                  <c:v>-2.7217190824950421</c:v>
                </c:pt>
                <c:pt idx="13">
                  <c:v>-2.6280733910028737</c:v>
                </c:pt>
                <c:pt idx="14">
                  <c:v>-2.5331045033982154</c:v>
                </c:pt>
                <c:pt idx="15">
                  <c:v>-2.4367840655845159</c:v>
                </c:pt>
                <c:pt idx="16">
                  <c:v>-2.3390829055289992</c:v>
                </c:pt>
                <c:pt idx="17">
                  <c:v>-2.239971003511454</c:v>
                </c:pt>
                <c:pt idx="18">
                  <c:v>-2.1394174610639141</c:v>
                </c:pt>
                <c:pt idx="19">
                  <c:v>-2.037390468533478</c:v>
                </c:pt>
                <c:pt idx="20">
                  <c:v>-1.9338572711965349</c:v>
                </c:pt>
                <c:pt idx="21">
                  <c:v>-1.8287841338483091</c:v>
                </c:pt>
                <c:pt idx="22">
                  <c:v>-1.7221363037870761</c:v>
                </c:pt>
                <c:pt idx="23">
                  <c:v>-1.6138779721074501</c:v>
                </c:pt>
                <c:pt idx="24">
                  <c:v>-1.5039722332119254</c:v>
                </c:pt>
                <c:pt idx="25">
                  <c:v>-1.3923810424442138</c:v>
                </c:pt>
                <c:pt idx="26">
                  <c:v>-1.2790651717418977</c:v>
                </c:pt>
                <c:pt idx="27">
                  <c:v>-1.179809396480338</c:v>
                </c:pt>
                <c:pt idx="28">
                  <c:v>-1.1268476755376811</c:v>
                </c:pt>
                <c:pt idx="29">
                  <c:v>-1.0730543073603234</c:v>
                </c:pt>
                <c:pt idx="30">
                  <c:v>-1.0184093694468919</c:v>
                </c:pt>
                <c:pt idx="31">
                  <c:v>-0.96289229439388091</c:v>
                </c:pt>
                <c:pt idx="32">
                  <c:v>-0.90648184351163874</c:v>
                </c:pt>
                <c:pt idx="33">
                  <c:v>-0.84915607913263436</c:v>
                </c:pt>
                <c:pt idx="34">
                  <c:v>-0.79089233553572258</c:v>
                </c:pt>
                <c:pt idx="35">
                  <c:v>-0.73166718840500711</c:v>
                </c:pt>
                <c:pt idx="36">
                  <c:v>-0.67145642273637529</c:v>
                </c:pt>
                <c:pt idx="37">
                  <c:v>-0.6102349990988396</c:v>
                </c:pt>
                <c:pt idx="38">
                  <c:v>-0.54797701815142064</c:v>
                </c:pt>
                <c:pt idx="39">
                  <c:v>-0.48465568330940034</c:v>
                </c:pt>
                <c:pt idx="40">
                  <c:v>-0.42024326144632695</c:v>
                </c:pt>
                <c:pt idx="41">
                  <c:v>-0.3547110415101169</c:v>
                </c:pt>
                <c:pt idx="42">
                  <c:v>-0.28802929092290536</c:v>
                </c:pt>
                <c:pt idx="43">
                  <c:v>-0.22016720962491942</c:v>
                </c:pt>
                <c:pt idx="44">
                  <c:v>-0.15109288161247914</c:v>
                </c:pt>
                <c:pt idx="45">
                  <c:v>-8.0773223809248063E-2</c:v>
                </c:pt>
                <c:pt idx="46">
                  <c:v>-9.1739320979387484E-3</c:v>
                </c:pt>
                <c:pt idx="47">
                  <c:v>4.4972633724471384E-2</c:v>
                </c:pt>
                <c:pt idx="48">
                  <c:v>4.3286845527384481E-2</c:v>
                </c:pt>
                <c:pt idx="49">
                  <c:v>4.1552417391216477E-2</c:v>
                </c:pt>
                <c:pt idx="50">
                  <c:v>3.9767848986260325E-2</c:v>
                </c:pt>
                <c:pt idx="51">
                  <c:v>3.7931585508480477E-2</c:v>
                </c:pt>
                <c:pt idx="52">
                  <c:v>3.6042015358339778E-2</c:v>
                </c:pt>
                <c:pt idx="53">
                  <c:v>3.4097467705209834E-2</c:v>
                </c:pt>
                <c:pt idx="54">
                  <c:v>3.2096209930933789E-2</c:v>
                </c:pt>
                <c:pt idx="55">
                  <c:v>3.0036444945702633E-2</c:v>
                </c:pt>
                <c:pt idx="56">
                  <c:v>2.7916308368970827E-2</c:v>
                </c:pt>
                <c:pt idx="57">
                  <c:v>2.5733865567669965E-2</c:v>
                </c:pt>
                <c:pt idx="58">
                  <c:v>2.348710854347914E-2</c:v>
                </c:pt>
                <c:pt idx="59">
                  <c:v>2.1173952660374019E-2</c:v>
                </c:pt>
                <c:pt idx="60">
                  <c:v>1.8792233203102044E-2</c:v>
                </c:pt>
                <c:pt idx="61">
                  <c:v>1.6339701756613676E-2</c:v>
                </c:pt>
                <c:pt idx="62">
                  <c:v>1.3814022395816937E-2</c:v>
                </c:pt>
                <c:pt idx="63">
                  <c:v>1.1212767674311177E-2</c:v>
                </c:pt>
                <c:pt idx="64">
                  <c:v>8.5334143999909063E-3</c:v>
                </c:pt>
                <c:pt idx="65">
                  <c:v>5.773339184588307E-3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pt)'!$BX$3:$BX$68</c:f>
              <c:numCache>
                <c:formatCode>_(* #,##0.00_);_(* \(#,##0.00\);_(* "-"??_);_(@_)</c:formatCode>
                <c:ptCount val="66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pt)'!$BY$3:$BY$68</c:f>
              <c:numCache>
                <c:formatCode>_(* #,##0.00_);_(* \(#,##0.00\);_(* "-"??_);_(@_)</c:formatCode>
                <c:ptCount val="66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 w="28575"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'Local Buckling'!$U$4:$U$70</c:f>
              <c:numCache>
                <c:formatCode>General</c:formatCode>
                <c:ptCount val="67"/>
                <c:pt idx="0">
                  <c:v>169.67873697102945</c:v>
                </c:pt>
                <c:pt idx="1">
                  <c:v>169.63101363570965</c:v>
                </c:pt>
                <c:pt idx="2">
                  <c:v>169.58280900786718</c:v>
                </c:pt>
                <c:pt idx="3">
                  <c:v>169.53411576980909</c:v>
                </c:pt>
                <c:pt idx="4">
                  <c:v>169.48492645474013</c:v>
                </c:pt>
                <c:pt idx="5">
                  <c:v>169.43523344294547</c:v>
                </c:pt>
                <c:pt idx="6">
                  <c:v>169.38502895785615</c:v>
                </c:pt>
                <c:pt idx="7">
                  <c:v>169.33430506199184</c:v>
                </c:pt>
                <c:pt idx="8">
                  <c:v>169.28305365277743</c:v>
                </c:pt>
                <c:pt idx="9">
                  <c:v>169.23126645822822</c:v>
                </c:pt>
                <c:pt idx="10">
                  <c:v>169.17893503249894</c:v>
                </c:pt>
                <c:pt idx="11">
                  <c:v>169.12605075129221</c:v>
                </c:pt>
                <c:pt idx="12">
                  <c:v>169.07260480711997</c:v>
                </c:pt>
                <c:pt idx="13">
                  <c:v>169.01858820441385</c:v>
                </c:pt>
                <c:pt idx="14">
                  <c:v>168.96399175447758</c:v>
                </c:pt>
                <c:pt idx="15">
                  <c:v>168.90880607027623</c:v>
                </c:pt>
                <c:pt idx="16">
                  <c:v>168.85302156105558</c:v>
                </c:pt>
                <c:pt idx="17">
                  <c:v>168.79662842678573</c:v>
                </c:pt>
                <c:pt idx="18">
                  <c:v>168.73961665242155</c:v>
                </c:pt>
                <c:pt idx="19">
                  <c:v>168.68197600197317</c:v>
                </c:pt>
                <c:pt idx="20">
                  <c:v>168.62369601237955</c:v>
                </c:pt>
                <c:pt idx="21">
                  <c:v>168.5647659871766</c:v>
                </c:pt>
                <c:pt idx="22">
                  <c:v>168.50517498995245</c:v>
                </c:pt>
                <c:pt idx="23">
                  <c:v>168.44491183758129</c:v>
                </c:pt>
                <c:pt idx="24">
                  <c:v>168.38396509322686</c:v>
                </c:pt>
                <c:pt idx="25">
                  <c:v>168.32232305910662</c:v>
                </c:pt>
                <c:pt idx="26">
                  <c:v>168.25997376900662</c:v>
                </c:pt>
                <c:pt idx="27">
                  <c:v>168.19690498053751</c:v>
                </c:pt>
                <c:pt idx="28">
                  <c:v>168.13310416712071</c:v>
                </c:pt>
                <c:pt idx="29">
                  <c:v>168.06855850969399</c:v>
                </c:pt>
                <c:pt idx="30">
                  <c:v>168.0032548881249</c:v>
                </c:pt>
                <c:pt idx="31">
                  <c:v>167.93717987231977</c:v>
                </c:pt>
                <c:pt idx="32">
                  <c:v>167.87031971301576</c:v>
                </c:pt>
                <c:pt idx="33">
                  <c:v>167.80266033224305</c:v>
                </c:pt>
                <c:pt idx="34">
                  <c:v>167.73418731344239</c:v>
                </c:pt>
                <c:pt idx="35">
                  <c:v>167.66488589122437</c:v>
                </c:pt>
                <c:pt idx="36">
                  <c:v>167.59474094075472</c:v>
                </c:pt>
                <c:pt idx="37">
                  <c:v>167.52373696674937</c:v>
                </c:pt>
                <c:pt idx="38">
                  <c:v>167.45185809206302</c:v>
                </c:pt>
                <c:pt idx="39">
                  <c:v>167.37908804585297</c:v>
                </c:pt>
                <c:pt idx="40">
                  <c:v>167.30541015130029</c:v>
                </c:pt>
                <c:pt idx="41">
                  <c:v>167.23080731286822</c:v>
                </c:pt>
                <c:pt idx="42">
                  <c:v>167.15526200307804</c:v>
                </c:pt>
                <c:pt idx="43">
                  <c:v>167.07875624877997</c:v>
                </c:pt>
                <c:pt idx="44">
                  <c:v>167.00127161689784</c:v>
                </c:pt>
                <c:pt idx="45">
                  <c:v>166.92278919962251</c:v>
                </c:pt>
                <c:pt idx="46">
                  <c:v>166.84328959902973</c:v>
                </c:pt>
                <c:pt idx="47">
                  <c:v>166.76275291109602</c:v>
                </c:pt>
                <c:pt idx="48">
                  <c:v>166.68115870908505</c:v>
                </c:pt>
                <c:pt idx="49">
                  <c:v>166.59848602627491</c:v>
                </c:pt>
                <c:pt idx="50">
                  <c:v>166.51471333799626</c:v>
                </c:pt>
                <c:pt idx="51">
                  <c:v>166.42981854294834</c:v>
                </c:pt>
                <c:pt idx="52">
                  <c:v>166.34377894375953</c:v>
                </c:pt>
                <c:pt idx="53">
                  <c:v>166.25657122675585</c:v>
                </c:pt>
                <c:pt idx="54">
                  <c:v>166.16817144089981</c:v>
                </c:pt>
                <c:pt idx="55">
                  <c:v>166.07855497585993</c:v>
                </c:pt>
                <c:pt idx="56">
                  <c:v>165.98769653916807</c:v>
                </c:pt>
                <c:pt idx="57">
                  <c:v>165.89557013242074</c:v>
                </c:pt>
                <c:pt idx="58">
                  <c:v>165.80214902647697</c:v>
                </c:pt>
                <c:pt idx="59">
                  <c:v>165.70740573560289</c:v>
                </c:pt>
                <c:pt idx="60">
                  <c:v>165.6113119905111</c:v>
                </c:pt>
                <c:pt idx="61">
                  <c:v>165.51383871023847</c:v>
                </c:pt>
                <c:pt idx="62">
                  <c:v>165.41495597280428</c:v>
                </c:pt>
                <c:pt idx="63">
                  <c:v>165.31463298458627</c:v>
                </c:pt>
                <c:pt idx="64">
                  <c:v>165.21283804834837</c:v>
                </c:pt>
                <c:pt idx="65">
                  <c:v>165.10953852985119</c:v>
                </c:pt>
                <c:pt idx="66">
                  <c:v>165.00470082297082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806592"/>
        <c:axId val="95808896"/>
      </c:scatterChart>
      <c:valAx>
        <c:axId val="958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95808896"/>
        <c:crosses val="autoZero"/>
        <c:crossBetween val="midCat"/>
      </c:valAx>
      <c:valAx>
        <c:axId val="95808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5806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3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pt)'!$V$3:$V$68</c:f>
              <c:numCache>
                <c:formatCode>_(* #,##0.00_);_(* \(#,##0.00\);_(* "-"??_);_(@_)</c:formatCode>
                <c:ptCount val="66"/>
                <c:pt idx="0">
                  <c:v>-19.261335789143779</c:v>
                </c:pt>
                <c:pt idx="1">
                  <c:v>-19.763123157832798</c:v>
                </c:pt>
                <c:pt idx="2">
                  <c:v>-20.177843468911806</c:v>
                </c:pt>
                <c:pt idx="3">
                  <c:v>-20.503773139959076</c:v>
                </c:pt>
                <c:pt idx="4">
                  <c:v>-20.739142804190092</c:v>
                </c:pt>
                <c:pt idx="5">
                  <c:v>-20.882135780262963</c:v>
                </c:pt>
                <c:pt idx="6">
                  <c:v>-20.930886480304338</c:v>
                </c:pt>
                <c:pt idx="7">
                  <c:v>-20.883478753226871</c:v>
                </c:pt>
                <c:pt idx="8">
                  <c:v>-20.737944160247846</c:v>
                </c:pt>
                <c:pt idx="9">
                  <c:v>-20.492260179350893</c:v>
                </c:pt>
                <c:pt idx="10">
                  <c:v>-20.14434833524987</c:v>
                </c:pt>
                <c:pt idx="11">
                  <c:v>-19.692072251225326</c:v>
                </c:pt>
                <c:pt idx="12">
                  <c:v>-19.13323561899746</c:v>
                </c:pt>
                <c:pt idx="13">
                  <c:v>-18.465580082584971</c:v>
                </c:pt>
                <c:pt idx="14">
                  <c:v>-17.686783031867392</c:v>
                </c:pt>
                <c:pt idx="15">
                  <c:v>-16.794455301323861</c:v>
                </c:pt>
                <c:pt idx="16">
                  <c:v>-15.786138769159601</c:v>
                </c:pt>
                <c:pt idx="17">
                  <c:v>-14.659303851753114</c:v>
                </c:pt>
                <c:pt idx="18">
                  <c:v>-13.411346888060493</c:v>
                </c:pt>
                <c:pt idx="19">
                  <c:v>-12.0395874082965</c:v>
                </c:pt>
                <c:pt idx="20">
                  <c:v>-10.541265280874892</c:v>
                </c:pt>
                <c:pt idx="21">
                  <c:v>-8.9135377312298534</c:v>
                </c:pt>
                <c:pt idx="22">
                  <c:v>-7.1534762257558242</c:v>
                </c:pt>
                <c:pt idx="23">
                  <c:v>-5.2580632136916057</c:v>
                </c:pt>
                <c:pt idx="24">
                  <c:v>-3.2241887193356438</c:v>
                </c:pt>
                <c:pt idx="25">
                  <c:v>-1.0486467765093492</c:v>
                </c:pt>
                <c:pt idx="26">
                  <c:v>1.2718683033180604</c:v>
                </c:pt>
                <c:pt idx="27">
                  <c:v>3.1588645708162844</c:v>
                </c:pt>
                <c:pt idx="28">
                  <c:v>2.3698717303088959</c:v>
                </c:pt>
                <c:pt idx="29">
                  <c:v>2.7457574926150645</c:v>
                </c:pt>
                <c:pt idx="30">
                  <c:v>3.242353317208726</c:v>
                </c:pt>
                <c:pt idx="31">
                  <c:v>3.8625897478606008</c:v>
                </c:pt>
                <c:pt idx="32">
                  <c:v>4.6094929466654859</c:v>
                </c:pt>
                <c:pt idx="33">
                  <c:v>5.4861886256356858</c:v>
                </c:pt>
                <c:pt idx="34">
                  <c:v>6.4959061738900017</c:v>
                </c:pt>
                <c:pt idx="35">
                  <c:v>7.6419829918860591</c:v>
                </c:pt>
                <c:pt idx="36">
                  <c:v>8.9278690449160223</c:v>
                </c:pt>
                <c:pt idx="37">
                  <c:v>10.357131648917001</c:v>
                </c:pt>
                <c:pt idx="38">
                  <c:v>11.933460502543243</c:v>
                </c:pt>
                <c:pt idx="39">
                  <c:v>13.660672980411958</c:v>
                </c:pt>
                <c:pt idx="40">
                  <c:v>14.894783083545633</c:v>
                </c:pt>
                <c:pt idx="41">
                  <c:v>13.076369054494831</c:v>
                </c:pt>
                <c:pt idx="42">
                  <c:v>12.597959753249611</c:v>
                </c:pt>
                <c:pt idx="43">
                  <c:v>12.238984054059314</c:v>
                </c:pt>
                <c:pt idx="44">
                  <c:v>12.002682315751727</c:v>
                </c:pt>
                <c:pt idx="45">
                  <c:v>11.892413175679106</c:v>
                </c:pt>
                <c:pt idx="46">
                  <c:v>11.911658996009214</c:v>
                </c:pt>
                <c:pt idx="47">
                  <c:v>12.064031613755938</c:v>
                </c:pt>
                <c:pt idx="48">
                  <c:v>12.353278414498579</c:v>
                </c:pt>
                <c:pt idx="49">
                  <c:v>12.783288751250151</c:v>
                </c:pt>
                <c:pt idx="50">
                  <c:v>13.358100731576934</c:v>
                </c:pt>
                <c:pt idx="51">
                  <c:v>14.081908397855798</c:v>
                </c:pt>
                <c:pt idx="52">
                  <c:v>14.959069327496792</c:v>
                </c:pt>
                <c:pt idx="53">
                  <c:v>15.263234503572106</c:v>
                </c:pt>
                <c:pt idx="54">
                  <c:v>12.031933239625808</c:v>
                </c:pt>
                <c:pt idx="55">
                  <c:v>10.357453246178242</c:v>
                </c:pt>
                <c:pt idx="56">
                  <c:v>8.7938659820695424</c:v>
                </c:pt>
                <c:pt idx="57">
                  <c:v>7.3445815100756695</c:v>
                </c:pt>
                <c:pt idx="58">
                  <c:v>6.0131511681766181</c:v>
                </c:pt>
                <c:pt idx="59">
                  <c:v>4.8032749624300646</c:v>
                </c:pt>
                <c:pt idx="60">
                  <c:v>3.7188094289965572</c:v>
                </c:pt>
                <c:pt idx="61">
                  <c:v>2.7637760004218013</c:v>
                </c:pt>
                <c:pt idx="62">
                  <c:v>1.942369914315992</c:v>
                </c:pt>
                <c:pt idx="63">
                  <c:v>1.2589697059030531</c:v>
                </c:pt>
                <c:pt idx="64">
                  <c:v>0.7181473295767048</c:v>
                </c:pt>
                <c:pt idx="65">
                  <c:v>0.32467895863262902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pt)'!$AB$3:$AB$68</c:f>
              <c:numCache>
                <c:formatCode>_(* #,##0.00_);_(* \(#,##0.00\);_(* "-"??_);_(@_)</c:formatCode>
                <c:ptCount val="66"/>
                <c:pt idx="0">
                  <c:v>-46.357463985679139</c:v>
                </c:pt>
                <c:pt idx="1">
                  <c:v>-46.389121600561424</c:v>
                </c:pt>
                <c:pt idx="2">
                  <c:v>-46.328952700872328</c:v>
                </c:pt>
                <c:pt idx="3">
                  <c:v>-46.175139640573072</c:v>
                </c:pt>
                <c:pt idx="4">
                  <c:v>-45.925816484253993</c:v>
                </c:pt>
                <c:pt idx="5">
                  <c:v>-45.579067392807595</c:v>
                </c:pt>
                <c:pt idx="6">
                  <c:v>-45.132924943905238</c:v>
                </c:pt>
                <c:pt idx="7">
                  <c:v>-44.585368384184775</c:v>
                </c:pt>
                <c:pt idx="8">
                  <c:v>-43.934321809887386</c:v>
                </c:pt>
                <c:pt idx="9">
                  <c:v>-43.177652272503202</c:v>
                </c:pt>
                <c:pt idx="10">
                  <c:v>-42.313167805794308</c:v>
                </c:pt>
                <c:pt idx="11">
                  <c:v>-41.338615370361744</c:v>
                </c:pt>
                <c:pt idx="12">
                  <c:v>-40.251678711707925</c:v>
                </c:pt>
                <c:pt idx="13">
                  <c:v>-39.049976127516942</c:v>
                </c:pt>
                <c:pt idx="14">
                  <c:v>-37.731058139632097</c:v>
                </c:pt>
                <c:pt idx="15">
                  <c:v>-36.292405065950383</c:v>
                </c:pt>
                <c:pt idx="16">
                  <c:v>-34.731424487178487</c:v>
                </c:pt>
                <c:pt idx="17">
                  <c:v>-33.045448603099672</c:v>
                </c:pt>
                <c:pt idx="18">
                  <c:v>-31.231731472688583</c:v>
                </c:pt>
                <c:pt idx="19">
                  <c:v>-29.28744613207644</c:v>
                </c:pt>
                <c:pt idx="20">
                  <c:v>-27.209681584012053</c:v>
                </c:pt>
                <c:pt idx="21">
                  <c:v>-24.995439652084343</c:v>
                </c:pt>
                <c:pt idx="22">
                  <c:v>-22.641631692564896</c:v>
                </c:pt>
                <c:pt idx="23">
                  <c:v>-20.14507515629527</c:v>
                </c:pt>
                <c:pt idx="24">
                  <c:v>-17.502489992579523</c:v>
                </c:pt>
                <c:pt idx="25">
                  <c:v>-14.710494886545796</c:v>
                </c:pt>
                <c:pt idx="26">
                  <c:v>-11.76560332090998</c:v>
                </c:pt>
                <c:pt idx="27">
                  <c:v>-9.3025882629521544</c:v>
                </c:pt>
                <c:pt idx="28">
                  <c:v>-8.8498234458501912</c:v>
                </c:pt>
                <c:pt idx="29">
                  <c:v>-8.0466754847408968</c:v>
                </c:pt>
                <c:pt idx="30">
                  <c:v>-7.1176610348615439</c:v>
                </c:pt>
                <c:pt idx="31">
                  <c:v>-6.059724150420096</c:v>
                </c:pt>
                <c:pt idx="32">
                  <c:v>-4.8697091512862647</c:v>
                </c:pt>
                <c:pt idx="33">
                  <c:v>-3.5443565208413292</c:v>
                </c:pt>
                <c:pt idx="34">
                  <c:v>-2.0802985996781471</c:v>
                </c:pt>
                <c:pt idx="35">
                  <c:v>-0.47405506319889484</c:v>
                </c:pt>
                <c:pt idx="36">
                  <c:v>1.2779718296481162</c:v>
                </c:pt>
                <c:pt idx="37">
                  <c:v>3.179502230119978</c:v>
                </c:pt>
                <c:pt idx="38">
                  <c:v>5.2343839504810354</c:v>
                </c:pt>
                <c:pt idx="39">
                  <c:v>7.4465979874259345</c:v>
                </c:pt>
                <c:pt idx="40">
                  <c:v>9.1094521190756481</c:v>
                </c:pt>
                <c:pt idx="41">
                  <c:v>8.5050755430798368</c:v>
                </c:pt>
                <c:pt idx="42">
                  <c:v>8.2855569533889213</c:v>
                </c:pt>
                <c:pt idx="43">
                  <c:v>8.1882307796437317</c:v>
                </c:pt>
                <c:pt idx="44">
                  <c:v>8.2164125872966096</c:v>
                </c:pt>
                <c:pt idx="45">
                  <c:v>8.3735389916482461</c:v>
                </c:pt>
                <c:pt idx="46">
                  <c:v>8.6631732331588918</c:v>
                </c:pt>
                <c:pt idx="47">
                  <c:v>9.0890110637726185</c:v>
                </c:pt>
                <c:pt idx="48">
                  <c:v>9.6548869646857458</c:v>
                </c:pt>
                <c:pt idx="49">
                  <c:v>10.364780717539146</c:v>
                </c:pt>
                <c:pt idx="50">
                  <c:v>11.222824352695877</c:v>
                </c:pt>
                <c:pt idx="51">
                  <c:v>12.233309500093391</c:v>
                </c:pt>
                <c:pt idx="52">
                  <c:v>13.400695170148058</c:v>
                </c:pt>
                <c:pt idx="53">
                  <c:v>13.927813593486903</c:v>
                </c:pt>
                <c:pt idx="54">
                  <c:v>11.856832061244381</c:v>
                </c:pt>
                <c:pt idx="55">
                  <c:v>10.206755961952046</c:v>
                </c:pt>
                <c:pt idx="56">
                  <c:v>8.6659535684510161</c:v>
                </c:pt>
                <c:pt idx="57">
                  <c:v>7.2377851557771757</c:v>
                </c:pt>
                <c:pt idx="58">
                  <c:v>5.9257502116173519</c:v>
                </c:pt>
                <c:pt idx="59">
                  <c:v>4.7334947212586576</c:v>
                </c:pt>
                <c:pt idx="60">
                  <c:v>3.6648189148410952</c:v>
                </c:pt>
                <c:pt idx="61">
                  <c:v>2.7236855115065186</c:v>
                </c:pt>
                <c:pt idx="62">
                  <c:v>1.914228498027253</c:v>
                </c:pt>
                <c:pt idx="63">
                  <c:v>1.2407624827818728</c:v>
                </c:pt>
                <c:pt idx="64">
                  <c:v>0.70779266955625453</c:v>
                </c:pt>
                <c:pt idx="65">
                  <c:v>0.3200254996215085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pt)'!$AH$3:$AH$68</c:f>
              <c:numCache>
                <c:formatCode>_(* #,##0.00_);_(* \(#,##0.00\);_(* "-"??_);_(@_)</c:formatCode>
                <c:ptCount val="66"/>
                <c:pt idx="0">
                  <c:v>-32.379569916585126</c:v>
                </c:pt>
                <c:pt idx="1">
                  <c:v>-32.640283674791988</c:v>
                </c:pt>
                <c:pt idx="2">
                  <c:v>-32.816405320112388</c:v>
                </c:pt>
                <c:pt idx="3">
                  <c:v>-32.906260432602274</c:v>
                </c:pt>
                <c:pt idx="4">
                  <c:v>-32.908130107296586</c:v>
                </c:pt>
                <c:pt idx="5">
                  <c:v>-32.820249467011088</c:v>
                </c:pt>
                <c:pt idx="6">
                  <c:v>-32.640806115079506</c:v>
                </c:pt>
                <c:pt idx="7">
                  <c:v>-32.367938525176157</c:v>
                </c:pt>
                <c:pt idx="8">
                  <c:v>-31.999734365219794</c:v>
                </c:pt>
                <c:pt idx="9">
                  <c:v>-31.534228752187797</c:v>
                </c:pt>
                <c:pt idx="10">
                  <c:v>-30.969402434496011</c:v>
                </c:pt>
                <c:pt idx="11">
                  <c:v>-30.303179898411425</c:v>
                </c:pt>
                <c:pt idx="12">
                  <c:v>-29.533427394768232</c:v>
                </c:pt>
                <c:pt idx="13">
                  <c:v>-28.657950882045913</c:v>
                </c:pt>
                <c:pt idx="14">
                  <c:v>-27.674493881644285</c:v>
                </c:pt>
                <c:pt idx="15">
                  <c:v>-26.580735240951128</c:v>
                </c:pt>
                <c:pt idx="16">
                  <c:v>-25.374286799544507</c:v>
                </c:pt>
                <c:pt idx="17">
                  <c:v>-24.052690953600354</c:v>
                </c:pt>
                <c:pt idx="18">
                  <c:v>-22.613418113287075</c:v>
                </c:pt>
                <c:pt idx="19">
                  <c:v>-21.053864047621751</c:v>
                </c:pt>
                <c:pt idx="20">
                  <c:v>-19.37134711093287</c:v>
                </c:pt>
                <c:pt idx="21">
                  <c:v>-17.563105344724878</c:v>
                </c:pt>
                <c:pt idx="22">
                  <c:v>-15.626293448364642</c:v>
                </c:pt>
                <c:pt idx="23">
                  <c:v>-13.55797961161006</c:v>
                </c:pt>
                <c:pt idx="24">
                  <c:v>-11.355142201573667</c:v>
                </c:pt>
                <c:pt idx="25">
                  <c:v>-9.0146662962557933</c:v>
                </c:pt>
                <c:pt idx="26">
                  <c:v>-6.5333400562937518</c:v>
                </c:pt>
                <c:pt idx="27">
                  <c:v>-4.4862049701065976</c:v>
                </c:pt>
                <c:pt idx="28">
                  <c:v>-4.1504056128726701</c:v>
                </c:pt>
                <c:pt idx="29">
                  <c:v>-3.600893540213205</c:v>
                </c:pt>
                <c:pt idx="30">
                  <c:v>-2.9347679534612379</c:v>
                </c:pt>
                <c:pt idx="31">
                  <c:v>-2.1491975430683605</c:v>
                </c:pt>
                <c:pt idx="32">
                  <c:v>-1.2412585932846505</c:v>
                </c:pt>
                <c:pt idx="33">
                  <c:v>-0.2079311812452036</c:v>
                </c:pt>
                <c:pt idx="34">
                  <c:v>0.95390481311086639</c:v>
                </c:pt>
                <c:pt idx="35">
                  <c:v>2.2474738973648827</c:v>
                </c:pt>
                <c:pt idx="36">
                  <c:v>3.6761093690095343</c:v>
                </c:pt>
                <c:pt idx="37">
                  <c:v>5.2432579425339112</c:v>
                </c:pt>
                <c:pt idx="38">
                  <c:v>6.9524846146972541</c:v>
                </c:pt>
                <c:pt idx="39">
                  <c:v>8.8074777824199053</c:v>
                </c:pt>
                <c:pt idx="40">
                  <c:v>10.168067778505417</c:v>
                </c:pt>
                <c:pt idx="41">
                  <c:v>9.6037165889688811</c:v>
                </c:pt>
                <c:pt idx="42">
                  <c:v>9.2673798309382214</c:v>
                </c:pt>
                <c:pt idx="43">
                  <c:v>9.0453602672403228</c:v>
                </c:pt>
                <c:pt idx="44">
                  <c:v>8.9407598174743832</c:v>
                </c:pt>
                <c:pt idx="45">
                  <c:v>8.9567936545933406</c:v>
                </c:pt>
                <c:pt idx="46">
                  <c:v>9.096795421327684</c:v>
                </c:pt>
                <c:pt idx="47">
                  <c:v>9.3642227376134137</c:v>
                </c:pt>
                <c:pt idx="48">
                  <c:v>9.76266301814176</c:v>
                </c:pt>
                <c:pt idx="49">
                  <c:v>10.295839620596999</c:v>
                </c:pt>
                <c:pt idx="50">
                  <c:v>10.967618346722439</c:v>
                </c:pt>
                <c:pt idx="51">
                  <c:v>11.78201432006512</c:v>
                </c:pt>
                <c:pt idx="52">
                  <c:v>12.743199266110256</c:v>
                </c:pt>
                <c:pt idx="53">
                  <c:v>13.129086418844773</c:v>
                </c:pt>
                <c:pt idx="54">
                  <c:v>11.315127835377611</c:v>
                </c:pt>
                <c:pt idx="55">
                  <c:v>9.7405491868374181</c:v>
                </c:pt>
                <c:pt idx="56">
                  <c:v>8.2702355290952951</c:v>
                </c:pt>
                <c:pt idx="57">
                  <c:v>6.9073931106440547</c:v>
                </c:pt>
                <c:pt idx="58">
                  <c:v>5.6553610117810189</c:v>
                </c:pt>
                <c:pt idx="59">
                  <c:v>4.5176180956758634</c:v>
                </c:pt>
                <c:pt idx="60">
                  <c:v>3.4977904005553482</c:v>
                </c:pt>
                <c:pt idx="61">
                  <c:v>2.5996590060128413</c:v>
                </c:pt>
                <c:pt idx="62">
                  <c:v>1.8271684093036999</c:v>
                </c:pt>
                <c:pt idx="63">
                  <c:v>1.1844354506213137</c:v>
                </c:pt>
                <c:pt idx="64">
                  <c:v>0.67575882979377688</c:v>
                </c:pt>
                <c:pt idx="65">
                  <c:v>0.30562926063258156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pt)'!$AN$3:$AN$68</c:f>
              <c:numCache>
                <c:formatCode>_(* #,##0.00_);_(* \(#,##0.00\);_(* "-"??_);_(@_)</c:formatCode>
                <c:ptCount val="66"/>
                <c:pt idx="0">
                  <c:v>-26.839859782548309</c:v>
                </c:pt>
                <c:pt idx="1">
                  <c:v>-27.138750264157952</c:v>
                </c:pt>
                <c:pt idx="2">
                  <c:v>-27.360450896640192</c:v>
                </c:pt>
                <c:pt idx="3">
                  <c:v>-27.50343379353459</c:v>
                </c:pt>
                <c:pt idx="4">
                  <c:v>-27.56613047619296</c:v>
                </c:pt>
                <c:pt idx="5">
                  <c:v>-27.546930516707757</c:v>
                </c:pt>
                <c:pt idx="6">
                  <c:v>-27.44418012603078</c:v>
                </c:pt>
                <c:pt idx="7">
                  <c:v>-27.256180684681159</c:v>
                </c:pt>
                <c:pt idx="8">
                  <c:v>-26.981187213301055</c:v>
                </c:pt>
                <c:pt idx="9">
                  <c:v>-26.617406780166259</c:v>
                </c:pt>
                <c:pt idx="10">
                  <c:v>-26.162996842598414</c:v>
                </c:pt>
                <c:pt idx="11">
                  <c:v>-25.616063519056219</c:v>
                </c:pt>
                <c:pt idx="12">
                  <c:v>-24.974659788501519</c:v>
                </c:pt>
                <c:pt idx="13">
                  <c:v>-24.236783613444118</c:v>
                </c:pt>
                <c:pt idx="14">
                  <c:v>-23.400375982863864</c:v>
                </c:pt>
                <c:pt idx="15">
                  <c:v>-22.463318870992065</c:v>
                </c:pt>
                <c:pt idx="16">
                  <c:v>-21.423433107700429</c:v>
                </c:pt>
                <c:pt idx="17">
                  <c:v>-20.278476155999911</c:v>
                </c:pt>
                <c:pt idx="18">
                  <c:v>-19.026139791887609</c:v>
                </c:pt>
                <c:pt idx="19">
                  <c:v>-17.664047681499145</c:v>
                </c:pt>
                <c:pt idx="20">
                  <c:v>-16.18975285022406</c:v>
                </c:pt>
                <c:pt idx="21">
                  <c:v>-14.600735038121645</c:v>
                </c:pt>
                <c:pt idx="22">
                  <c:v>-12.894397935632947</c:v>
                </c:pt>
                <c:pt idx="23">
                  <c:v>-11.068066293219841</c:v>
                </c:pt>
                <c:pt idx="24">
                  <c:v>-9.1189828981712449</c:v>
                </c:pt>
                <c:pt idx="25">
                  <c:v>-7.0443054113994368</c:v>
                </c:pt>
                <c:pt idx="26">
                  <c:v>-4.8411030566031581</c:v>
                </c:pt>
                <c:pt idx="27">
                  <c:v>-3.0315619344509011</c:v>
                </c:pt>
                <c:pt idx="28">
                  <c:v>-2.7415548315216753</c:v>
                </c:pt>
                <c:pt idx="29">
                  <c:v>-2.2903132923823919</c:v>
                </c:pt>
                <c:pt idx="30">
                  <c:v>-1.732488657557957</c:v>
                </c:pt>
                <c:pt idx="31">
                  <c:v>-1.0654931513621477</c:v>
                </c:pt>
                <c:pt idx="32">
                  <c:v>-0.28665453922481487</c:v>
                </c:pt>
                <c:pt idx="33">
                  <c:v>0.60678734638594323</c:v>
                </c:pt>
                <c:pt idx="34">
                  <c:v>1.6176842529463524</c:v>
                </c:pt>
                <c:pt idx="35">
                  <c:v>2.7489833378878386</c:v>
                </c:pt>
                <c:pt idx="36">
                  <c:v>4.0037311924429604</c:v>
                </c:pt>
                <c:pt idx="37">
                  <c:v>5.3850780708690582</c:v>
                </c:pt>
                <c:pt idx="38">
                  <c:v>6.8962823373838091</c:v>
                </c:pt>
                <c:pt idx="39">
                  <c:v>8.5407151440013038</c:v>
                </c:pt>
                <c:pt idx="40">
                  <c:v>9.7370548002184734</c:v>
                </c:pt>
                <c:pt idx="41">
                  <c:v>9.225896851225869</c:v>
                </c:pt>
                <c:pt idx="42">
                  <c:v>8.8835724741494211</c:v>
                </c:pt>
                <c:pt idx="43">
                  <c:v>8.6460215110869463</c:v>
                </c:pt>
                <c:pt idx="44">
                  <c:v>8.5160869226185003</c:v>
                </c:pt>
                <c:pt idx="45">
                  <c:v>8.4967154691098408</c:v>
                </c:pt>
                <c:pt idx="46">
                  <c:v>8.5909624917824701</c:v>
                </c:pt>
                <c:pt idx="47">
                  <c:v>8.8019969605056065</c:v>
                </c:pt>
                <c:pt idx="48">
                  <c:v>9.1331068058325471</c:v>
                </c:pt>
                <c:pt idx="49">
                  <c:v>9.5877045541321007</c:v>
                </c:pt>
                <c:pt idx="50">
                  <c:v>10.169333286108031</c:v>
                </c:pt>
                <c:pt idx="51">
                  <c:v>10.881672940567277</c:v>
                </c:pt>
                <c:pt idx="52">
                  <c:v>11.728546987002986</c:v>
                </c:pt>
                <c:pt idx="53">
                  <c:v>12.054258069758855</c:v>
                </c:pt>
                <c:pt idx="54">
                  <c:v>10.430594403061134</c:v>
                </c:pt>
                <c:pt idx="55">
                  <c:v>8.9792933958169474</c:v>
                </c:pt>
                <c:pt idx="56">
                  <c:v>7.6240787910325762</c:v>
                </c:pt>
                <c:pt idx="57">
                  <c:v>6.367905331636889</c:v>
                </c:pt>
                <c:pt idx="58">
                  <c:v>5.2138501732605178</c:v>
                </c:pt>
                <c:pt idx="59">
                  <c:v>4.1651192901180663</c:v>
                </c:pt>
                <c:pt idx="60">
                  <c:v>3.2250542874126187</c:v>
                </c:pt>
                <c:pt idx="61">
                  <c:v>2.39713965068198</c:v>
                </c:pt>
                <c:pt idx="62">
                  <c:v>1.6850104651355451</c:v>
                </c:pt>
                <c:pt idx="63">
                  <c:v>1.0924606409187332</c:v>
                </c:pt>
                <c:pt idx="64">
                  <c:v>0.62345168341691048</c:v>
                </c:pt>
                <c:pt idx="65">
                  <c:v>0.28212205120487477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pt)'!$AT$3:$AT$68</c:f>
              <c:numCache>
                <c:formatCode>_(* #,##0.00_);_(* \(#,##0.00\);_(* "-"??_);_(@_)</c:formatCode>
                <c:ptCount val="66"/>
                <c:pt idx="0">
                  <c:v>-22.824715131397202</c:v>
                </c:pt>
                <c:pt idx="1">
                  <c:v>-23.107231747004956</c:v>
                </c:pt>
                <c:pt idx="2">
                  <c:v>-23.321709271045624</c:v>
                </c:pt>
                <c:pt idx="3">
                  <c:v>-23.466800957841482</c:v>
                </c:pt>
                <c:pt idx="4">
                  <c:v>-23.541124281961185</c:v>
                </c:pt>
                <c:pt idx="5">
                  <c:v>-23.543259742028834</c:v>
                </c:pt>
                <c:pt idx="6">
                  <c:v>-23.471749616220258</c:v>
                </c:pt>
                <c:pt idx="7">
                  <c:v>-23.325096667154749</c:v>
                </c:pt>
                <c:pt idx="8">
                  <c:v>-23.101762793764376</c:v>
                </c:pt>
                <c:pt idx="9">
                  <c:v>-22.800167627591893</c:v>
                </c:pt>
                <c:pt idx="10">
                  <c:v>-22.418687070825399</c:v>
                </c:pt>
                <c:pt idx="11">
                  <c:v>-21.955651773229473</c:v>
                </c:pt>
                <c:pt idx="12">
                  <c:v>-21.40934554497159</c:v>
                </c:pt>
                <c:pt idx="13">
                  <c:v>-20.778003702174246</c:v>
                </c:pt>
                <c:pt idx="14">
                  <c:v>-20.059811341842551</c:v>
                </c:pt>
                <c:pt idx="15">
                  <c:v>-19.252901542624038</c:v>
                </c:pt>
                <c:pt idx="16">
                  <c:v>-18.355353487654348</c:v>
                </c:pt>
                <c:pt idx="17">
                  <c:v>-17.365190505523497</c:v>
                </c:pt>
                <c:pt idx="18">
                  <c:v>-16.280378025165454</c:v>
                </c:pt>
                <c:pt idx="19">
                  <c:v>-15.09882144022605</c:v>
                </c:pt>
                <c:pt idx="20">
                  <c:v>-13.818363878200088</c:v>
                </c:pt>
                <c:pt idx="21">
                  <c:v>-12.436783869346115</c:v>
                </c:pt>
                <c:pt idx="22">
                  <c:v>-10.951792910086489</c:v>
                </c:pt>
                <c:pt idx="23">
                  <c:v>-9.3610329152779297</c:v>
                </c:pt>
                <c:pt idx="24">
                  <c:v>-7.6620735533946158</c:v>
                </c:pt>
                <c:pt idx="25">
                  <c:v>-5.8524094582969131</c:v>
                </c:pt>
                <c:pt idx="26">
                  <c:v>-3.9294573108658355</c:v>
                </c:pt>
                <c:pt idx="27">
                  <c:v>-2.3527339363539062</c:v>
                </c:pt>
                <c:pt idx="28">
                  <c:v>-2.0971244808890264</c:v>
                </c:pt>
                <c:pt idx="29">
                  <c:v>-1.7151161544375579</c:v>
                </c:pt>
                <c:pt idx="30">
                  <c:v>-1.2391067513068106</c:v>
                </c:pt>
                <c:pt idx="31">
                  <c:v>-0.66681398894238186</c:v>
                </c:pt>
                <c:pt idx="32">
                  <c:v>4.1189039658096737E-3</c:v>
                </c:pt>
                <c:pt idx="33">
                  <c:v>0.77612625149009884</c:v>
                </c:pt>
                <c:pt idx="34">
                  <c:v>1.651723146968868</c:v>
                </c:pt>
                <c:pt idx="35">
                  <c:v>2.6335088309367363</c:v>
                </c:pt>
                <c:pt idx="36">
                  <c:v>3.7241702400125067</c:v>
                </c:pt>
                <c:pt idx="37">
                  <c:v>4.9264857369250521</c:v>
                </c:pt>
                <c:pt idx="38">
                  <c:v>6.2433290325561623</c:v>
                </c:pt>
                <c:pt idx="39">
                  <c:v>7.6776733116322973</c:v>
                </c:pt>
                <c:pt idx="40">
                  <c:v>8.7179651539132319</c:v>
                </c:pt>
                <c:pt idx="41">
                  <c:v>8.2745108867702228</c:v>
                </c:pt>
                <c:pt idx="42">
                  <c:v>7.9615773563270347</c:v>
                </c:pt>
                <c:pt idx="43">
                  <c:v>7.7411377031122095</c:v>
                </c:pt>
                <c:pt idx="44">
                  <c:v>7.6157016836192817</c:v>
                </c:pt>
                <c:pt idx="45">
                  <c:v>7.5878706891610923</c:v>
                </c:pt>
                <c:pt idx="46">
                  <c:v>7.6603419666670893</c:v>
                </c:pt>
                <c:pt idx="47">
                  <c:v>7.8359130749496186</c:v>
                </c:pt>
                <c:pt idx="48">
                  <c:v>8.1174865919089498</c:v>
                </c:pt>
                <c:pt idx="49">
                  <c:v>8.5080750893189823</c:v>
                </c:pt>
                <c:pt idx="50">
                  <c:v>9.0108063931090641</c:v>
                </c:pt>
                <c:pt idx="51">
                  <c:v>9.6289291484415092</c:v>
                </c:pt>
                <c:pt idx="52">
                  <c:v>10.365818710389856</c:v>
                </c:pt>
                <c:pt idx="53">
                  <c:v>10.644475763805337</c:v>
                </c:pt>
                <c:pt idx="54">
                  <c:v>9.2301078650403685</c:v>
                </c:pt>
                <c:pt idx="55">
                  <c:v>7.9461189608867802</c:v>
                </c:pt>
                <c:pt idx="56">
                  <c:v>6.7471164997778059</c:v>
                </c:pt>
                <c:pt idx="57">
                  <c:v>5.6357138819268222</c:v>
                </c:pt>
                <c:pt idx="58">
                  <c:v>4.6146327794690283</c:v>
                </c:pt>
                <c:pt idx="59">
                  <c:v>3.6867088024191355</c:v>
                </c:pt>
                <c:pt idx="60">
                  <c:v>2.8548975241996168</c:v>
                </c:pt>
                <c:pt idx="61">
                  <c:v>2.1222808936459256</c:v>
                </c:pt>
                <c:pt idx="62">
                  <c:v>1.4920740627209477</c:v>
                </c:pt>
                <c:pt idx="63">
                  <c:v>0.96763266172544404</c:v>
                </c:pt>
                <c:pt idx="64">
                  <c:v>0.55246055659962279</c:v>
                </c:pt>
                <c:pt idx="65">
                  <c:v>0.25021812600162718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pt)'!$AZ$3:$AZ$68</c:f>
              <c:numCache>
                <c:formatCode>_(* #,##0.00_);_(* \(#,##0.00\);_(* "-"??_);_(@_)</c:formatCode>
                <c:ptCount val="66"/>
                <c:pt idx="0">
                  <c:v>-19.123997207192783</c:v>
                </c:pt>
                <c:pt idx="1">
                  <c:v>-19.361948990864693</c:v>
                </c:pt>
                <c:pt idx="2">
                  <c:v>-19.542822522477845</c:v>
                </c:pt>
                <c:pt idx="3">
                  <c:v>-19.665488025686027</c:v>
                </c:pt>
                <c:pt idx="4">
                  <c:v>-19.728785708786301</c:v>
                </c:pt>
                <c:pt idx="5">
                  <c:v>-19.731524761238823</c:v>
                </c:pt>
                <c:pt idx="6">
                  <c:v>-19.672482309657561</c:v>
                </c:pt>
                <c:pt idx="7">
                  <c:v>-19.550402331347613</c:v>
                </c:pt>
                <c:pt idx="8">
                  <c:v>-19.363994523363051</c:v>
                </c:pt>
                <c:pt idx="9">
                  <c:v>-19.111933124944834</c:v>
                </c:pt>
                <c:pt idx="10">
                  <c:v>-18.792855691081641</c:v>
                </c:pt>
                <c:pt idx="11">
                  <c:v>-18.405361814810714</c:v>
                </c:pt>
                <c:pt idx="12">
                  <c:v>-17.948011795740928</c:v>
                </c:pt>
                <c:pt idx="13">
                  <c:v>-17.419325252138986</c:v>
                </c:pt>
                <c:pt idx="14">
                  <c:v>-16.817779673768154</c:v>
                </c:pt>
                <c:pt idx="15">
                  <c:v>-16.141808912507521</c:v>
                </c:pt>
                <c:pt idx="16">
                  <c:v>-15.38980160760808</c:v>
                </c:pt>
                <c:pt idx="17">
                  <c:v>-14.560099542259904</c:v>
                </c:pt>
                <c:pt idx="18">
                  <c:v>-13.650995927948665</c:v>
                </c:pt>
                <c:pt idx="19">
                  <c:v>-12.660733612873065</c:v>
                </c:pt>
                <c:pt idx="20">
                  <c:v>-11.587503210471873</c:v>
                </c:pt>
                <c:pt idx="21">
                  <c:v>-10.429441143873916</c:v>
                </c:pt>
                <c:pt idx="22">
                  <c:v>-9.1846276018305186</c:v>
                </c:pt>
                <c:pt idx="23">
                  <c:v>-7.8510844014203762</c:v>
                </c:pt>
                <c:pt idx="24">
                  <c:v>-6.4267727525283807</c:v>
                </c:pt>
                <c:pt idx="25">
                  <c:v>-4.9095909187908591</c:v>
                </c:pt>
                <c:pt idx="26">
                  <c:v>-3.2973717693696099</c:v>
                </c:pt>
                <c:pt idx="27">
                  <c:v>-1.975611607940833</c:v>
                </c:pt>
                <c:pt idx="28">
                  <c:v>-1.7534663174963032</c:v>
                </c:pt>
                <c:pt idx="29">
                  <c:v>-1.4338746566145246</c:v>
                </c:pt>
                <c:pt idx="30">
                  <c:v>-1.0354242934220976</c:v>
                </c:pt>
                <c:pt idx="31">
                  <c:v>-0.55620060745457955</c:v>
                </c:pt>
                <c:pt idx="32">
                  <c:v>5.7735110570428802E-3</c:v>
                </c:pt>
                <c:pt idx="33">
                  <c:v>0.65254023163563435</c:v>
                </c:pt>
                <c:pt idx="34">
                  <c:v>1.3862094819414421</c:v>
                </c:pt>
                <c:pt idx="35">
                  <c:v>2.2089617815808587</c:v>
                </c:pt>
                <c:pt idx="36">
                  <c:v>3.1230512193368325</c:v>
                </c:pt>
                <c:pt idx="37">
                  <c:v>4.130808582361202</c:v>
                </c:pt>
                <c:pt idx="38">
                  <c:v>5.2346446464561014</c:v>
                </c:pt>
                <c:pt idx="39">
                  <c:v>6.4370536372027232</c:v>
                </c:pt>
                <c:pt idx="40">
                  <c:v>7.3088849243186376</c:v>
                </c:pt>
                <c:pt idx="41">
                  <c:v>6.9461442054811879</c:v>
                </c:pt>
                <c:pt idx="42">
                  <c:v>6.6828599466146059</c:v>
                </c:pt>
                <c:pt idx="43">
                  <c:v>6.4971720889414772</c:v>
                </c:pt>
                <c:pt idx="44">
                  <c:v>6.3911861417889524</c:v>
                </c:pt>
                <c:pt idx="45">
                  <c:v>6.3670844902119033</c:v>
                </c:pt>
                <c:pt idx="46">
                  <c:v>6.4271299360195124</c:v>
                </c:pt>
                <c:pt idx="47">
                  <c:v>6.5736694363512242</c:v>
                </c:pt>
                <c:pt idx="48">
                  <c:v>6.8091380527805558</c:v>
                </c:pt>
                <c:pt idx="49">
                  <c:v>7.136063124909052</c:v>
                </c:pt>
                <c:pt idx="50">
                  <c:v>7.5570686834809644</c:v>
                </c:pt>
                <c:pt idx="51">
                  <c:v>8.0748801192105457</c:v>
                </c:pt>
                <c:pt idx="52">
                  <c:v>8.6923291247769257</c:v>
                </c:pt>
                <c:pt idx="53">
                  <c:v>8.9253615125704542</c:v>
                </c:pt>
                <c:pt idx="54">
                  <c:v>7.7501443972975856</c:v>
                </c:pt>
                <c:pt idx="55">
                  <c:v>6.6724183644407766</c:v>
                </c:pt>
                <c:pt idx="56">
                  <c:v>5.6659947107864337</c:v>
                </c:pt>
                <c:pt idx="57">
                  <c:v>4.7330660282065455</c:v>
                </c:pt>
                <c:pt idx="58">
                  <c:v>3.8759157476982735</c:v>
                </c:pt>
                <c:pt idx="59">
                  <c:v>3.0969228931604178</c:v>
                </c:pt>
                <c:pt idx="60">
                  <c:v>2.39856713685821</c:v>
                </c:pt>
                <c:pt idx="61">
                  <c:v>1.7834341791519772</c:v>
                </c:pt>
                <c:pt idx="62">
                  <c:v>1.2542214770167455</c:v>
                </c:pt>
                <c:pt idx="63">
                  <c:v>0.81374434802323015</c:v>
                </c:pt>
                <c:pt idx="64">
                  <c:v>0.46494247880701406</c:v>
                </c:pt>
                <c:pt idx="65">
                  <c:v>0.21088686964597453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pt)'!$BF$3:$BF$68</c:f>
              <c:numCache>
                <c:formatCode>_(* #,##0.00_);_(* \(#,##0.00\);_(* "-"??_);_(@_)</c:formatCode>
                <c:ptCount val="66"/>
                <c:pt idx="0">
                  <c:v>-15.41112969313494</c:v>
                </c:pt>
                <c:pt idx="1">
                  <c:v>-15.586202909839075</c:v>
                </c:pt>
                <c:pt idx="2">
                  <c:v>-15.716747685045156</c:v>
                </c:pt>
                <c:pt idx="3">
                  <c:v>-15.80188266412352</c:v>
                </c:pt>
                <c:pt idx="4">
                  <c:v>-15.840703077153625</c:v>
                </c:pt>
                <c:pt idx="5">
                  <c:v>-15.832279956095967</c:v>
                </c:pt>
                <c:pt idx="6">
                  <c:v>-15.775659320345484</c:v>
                </c:pt>
                <c:pt idx="7">
                  <c:v>-15.669861329167116</c:v>
                </c:pt>
                <c:pt idx="8">
                  <c:v>-15.513879399431021</c:v>
                </c:pt>
                <c:pt idx="9">
                  <c:v>-15.306679286979227</c:v>
                </c:pt>
                <c:pt idx="10">
                  <c:v>-15.047198129861918</c:v>
                </c:pt>
                <c:pt idx="11">
                  <c:v>-14.734343451584573</c:v>
                </c:pt>
                <c:pt idx="12">
                  <c:v>-14.366992122401825</c:v>
                </c:pt>
                <c:pt idx="13">
                  <c:v>-13.943989276583657</c:v>
                </c:pt>
                <c:pt idx="14">
                  <c:v>-13.464147183461158</c:v>
                </c:pt>
                <c:pt idx="15">
                  <c:v>-12.926244069933107</c:v>
                </c:pt>
                <c:pt idx="16">
                  <c:v>-12.329022891981479</c:v>
                </c:pt>
                <c:pt idx="17">
                  <c:v>-11.671190052600531</c:v>
                </c:pt>
                <c:pt idx="18">
                  <c:v>-10.951414063392834</c:v>
                </c:pt>
                <c:pt idx="19">
                  <c:v>-10.168324146922702</c:v>
                </c:pt>
                <c:pt idx="20">
                  <c:v>-9.3205087767454664</c:v>
                </c:pt>
                <c:pt idx="21">
                  <c:v>-8.4065141518454709</c:v>
                </c:pt>
                <c:pt idx="22">
                  <c:v>-7.4248426020191323</c:v>
                </c:pt>
                <c:pt idx="23">
                  <c:v>-6.3739509205285723</c:v>
                </c:pt>
                <c:pt idx="24">
                  <c:v>-5.2522486201259895</c:v>
                </c:pt>
                <c:pt idx="25">
                  <c:v>-4.0580961083084919</c:v>
                </c:pt>
                <c:pt idx="26">
                  <c:v>-2.7898027774050709</c:v>
                </c:pt>
                <c:pt idx="27">
                  <c:v>-1.7486080434731468</c:v>
                </c:pt>
                <c:pt idx="28">
                  <c:v>-1.5617686682447438</c:v>
                </c:pt>
                <c:pt idx="29">
                  <c:v>-1.3038970044017328</c:v>
                </c:pt>
                <c:pt idx="30">
                  <c:v>-0.98453815054413196</c:v>
                </c:pt>
                <c:pt idx="31">
                  <c:v>-0.60219927420583508</c:v>
                </c:pt>
                <c:pt idx="32">
                  <c:v>-0.15533881977567232</c:v>
                </c:pt>
                <c:pt idx="33">
                  <c:v>0.35763549571652925</c:v>
                </c:pt>
                <c:pt idx="34">
                  <c:v>0.9383687865677145</c:v>
                </c:pt>
                <c:pt idx="35">
                  <c:v>1.588561207964051</c:v>
                </c:pt>
                <c:pt idx="36">
                  <c:v>2.3099702773732833</c:v>
                </c:pt>
                <c:pt idx="37">
                  <c:v>3.1044133144262496</c:v>
                </c:pt>
                <c:pt idx="38">
                  <c:v>3.9737700064042505</c:v>
                </c:pt>
                <c:pt idx="39">
                  <c:v>4.9199851069413851</c:v>
                </c:pt>
                <c:pt idx="40">
                  <c:v>5.6077050991944226</c:v>
                </c:pt>
                <c:pt idx="41">
                  <c:v>5.3364187778236705</c:v>
                </c:pt>
                <c:pt idx="42">
                  <c:v>5.1368449741032807</c:v>
                </c:pt>
                <c:pt idx="43">
                  <c:v>4.9977206747634311</c:v>
                </c:pt>
                <c:pt idx="44">
                  <c:v>4.920686100424974</c:v>
                </c:pt>
                <c:pt idx="45">
                  <c:v>4.9074413595012656</c:v>
                </c:pt>
                <c:pt idx="46">
                  <c:v>4.9597492067871132</c:v>
                </c:pt>
                <c:pt idx="47">
                  <c:v>5.0794379559495475</c:v>
                </c:pt>
                <c:pt idx="48">
                  <c:v>5.2684045560316575</c:v>
                </c:pt>
                <c:pt idx="49">
                  <c:v>5.528617842847158</c:v>
                </c:pt>
                <c:pt idx="50">
                  <c:v>5.8621219769756285</c:v>
                </c:pt>
                <c:pt idx="51">
                  <c:v>6.2710400809731617</c:v>
                </c:pt>
                <c:pt idx="52">
                  <c:v>6.757578089397275</c:v>
                </c:pt>
                <c:pt idx="53">
                  <c:v>6.9434768259094186</c:v>
                </c:pt>
                <c:pt idx="54">
                  <c:v>6.0356719409024917</c:v>
                </c:pt>
                <c:pt idx="55">
                  <c:v>5.1968923545783472</c:v>
                </c:pt>
                <c:pt idx="56">
                  <c:v>4.4135627625429397</c:v>
                </c:pt>
                <c:pt idx="57">
                  <c:v>3.6873882687494981</c:v>
                </c:pt>
                <c:pt idx="58">
                  <c:v>3.0201446211497527</c:v>
                </c:pt>
                <c:pt idx="59">
                  <c:v>2.4136819087486674</c:v>
                </c:pt>
                <c:pt idx="60">
                  <c:v>1.869928493293449</c:v>
                </c:pt>
                <c:pt idx="61">
                  <c:v>1.3908951931553215</c:v>
                </c:pt>
                <c:pt idx="62">
                  <c:v>0.97867973848034406</c:v>
                </c:pt>
                <c:pt idx="63">
                  <c:v>0.63547151835268856</c:v>
                </c:pt>
                <c:pt idx="64">
                  <c:v>0.36355664254652814</c:v>
                </c:pt>
                <c:pt idx="65">
                  <c:v>0.16532334245970709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pt)'!$BL$3:$BL$68</c:f>
              <c:numCache>
                <c:formatCode>_(* #,##0.00_);_(* \(#,##0.00\);_(* "-"??_);_(@_)</c:formatCode>
                <c:ptCount val="66"/>
                <c:pt idx="0">
                  <c:v>-11.612636361633385</c:v>
                </c:pt>
                <c:pt idx="1">
                  <c:v>-11.712044441364482</c:v>
                </c:pt>
                <c:pt idx="2">
                  <c:v>-11.780729036296647</c:v>
                </c:pt>
                <c:pt idx="3">
                  <c:v>-11.818082058193415</c:v>
                </c:pt>
                <c:pt idx="4">
                  <c:v>-11.82347926369707</c:v>
                </c:pt>
                <c:pt idx="5">
                  <c:v>-11.79627971422242</c:v>
                </c:pt>
                <c:pt idx="6">
                  <c:v>-11.73582521403536</c:v>
                </c:pt>
                <c:pt idx="7">
                  <c:v>-11.641439725481575</c:v>
                </c:pt>
                <c:pt idx="8">
                  <c:v>-11.51242876027375</c:v>
                </c:pt>
                <c:pt idx="9">
                  <c:v>-11.348078745686061</c:v>
                </c:pt>
                <c:pt idx="10">
                  <c:v>-11.147656364440408</c:v>
                </c:pt>
                <c:pt idx="11">
                  <c:v>-10.910407867001956</c:v>
                </c:pt>
                <c:pt idx="12">
                  <c:v>-10.635558354928746</c:v>
                </c:pt>
                <c:pt idx="13">
                  <c:v>-10.322311033844116</c:v>
                </c:pt>
                <c:pt idx="14">
                  <c:v>-9.9698464345188675</c:v>
                </c:pt>
                <c:pt idx="15">
                  <c:v>-9.5773216004636588</c:v>
                </c:pt>
                <c:pt idx="16">
                  <c:v>-9.1438692403393684</c:v>
                </c:pt>
                <c:pt idx="17">
                  <c:v>-8.6685968433952176</c:v>
                </c:pt>
                <c:pt idx="18">
                  <c:v>-8.1505857560390886</c:v>
                </c:pt>
                <c:pt idx="19">
                  <c:v>-7.5888902175329491</c:v>
                </c:pt>
                <c:pt idx="20">
                  <c:v>-6.9825363526868598</c:v>
                </c:pt>
                <c:pt idx="21">
                  <c:v>-6.3305211192973738</c:v>
                </c:pt>
                <c:pt idx="22">
                  <c:v>-5.6318112079407321</c:v>
                </c:pt>
                <c:pt idx="23">
                  <c:v>-4.8853418915851057</c:v>
                </c:pt>
                <c:pt idx="24">
                  <c:v>-4.0900158223315204</c:v>
                </c:pt>
                <c:pt idx="25">
                  <c:v>-3.244701772426358</c:v>
                </c:pt>
                <c:pt idx="26">
                  <c:v>-2.3482333165110227</c:v>
                </c:pt>
                <c:pt idx="27">
                  <c:v>-1.6094354461110525</c:v>
                </c:pt>
                <c:pt idx="28">
                  <c:v>-1.4602800549174029</c:v>
                </c:pt>
                <c:pt idx="29">
                  <c:v>-1.2649579808564539</c:v>
                </c:pt>
                <c:pt idx="30">
                  <c:v>-1.0272762283684473</c:v>
                </c:pt>
                <c:pt idx="31">
                  <c:v>-0.74620639045945858</c:v>
                </c:pt>
                <c:pt idx="32">
                  <c:v>-0.4206864948549669</c:v>
                </c:pt>
                <c:pt idx="33">
                  <c:v>-4.9619623271826119E-2</c:v>
                </c:pt>
                <c:pt idx="34">
                  <c:v>0.36812753803344306</c:v>
                </c:pt>
                <c:pt idx="35">
                  <c:v>0.83372622046419942</c:v>
                </c:pt>
                <c:pt idx="36">
                  <c:v>1.3483871723266934</c:v>
                </c:pt>
                <c:pt idx="37">
                  <c:v>1.9133623397046684</c:v>
                </c:pt>
                <c:pt idx="38">
                  <c:v>2.5299466338685357</c:v>
                </c:pt>
                <c:pt idx="39">
                  <c:v>3.1994797904615413</c:v>
                </c:pt>
                <c:pt idx="40">
                  <c:v>3.6894859231877608</c:v>
                </c:pt>
                <c:pt idx="41">
                  <c:v>3.5176938848117962</c:v>
                </c:pt>
                <c:pt idx="42">
                  <c:v>3.3919663634906838</c:v>
                </c:pt>
                <c:pt idx="43">
                  <c:v>3.3077773282182368</c:v>
                </c:pt>
                <c:pt idx="44">
                  <c:v>3.266253838903745</c:v>
                </c:pt>
                <c:pt idx="45">
                  <c:v>3.2685641073502398</c:v>
                </c:pt>
                <c:pt idx="46">
                  <c:v>3.3159193928901862</c:v>
                </c:pt>
                <c:pt idx="47">
                  <c:v>3.4095760037836613</c:v>
                </c:pt>
                <c:pt idx="48">
                  <c:v>3.5508374113278074</c:v>
                </c:pt>
                <c:pt idx="49">
                  <c:v>3.7410564841531091</c:v>
                </c:pt>
                <c:pt idx="50">
                  <c:v>3.9816378507541379</c:v>
                </c:pt>
                <c:pt idx="51">
                  <c:v>4.2740403989241118</c:v>
                </c:pt>
                <c:pt idx="52">
                  <c:v>4.619779921439048</c:v>
                </c:pt>
                <c:pt idx="53">
                  <c:v>4.7566330806848631</c:v>
                </c:pt>
                <c:pt idx="54">
                  <c:v>4.1387838738777321</c:v>
                </c:pt>
                <c:pt idx="55">
                  <c:v>3.564374042456973</c:v>
                </c:pt>
                <c:pt idx="56">
                  <c:v>3.0278751660335539</c:v>
                </c:pt>
                <c:pt idx="57">
                  <c:v>2.5304529931382995</c:v>
                </c:pt>
                <c:pt idx="58">
                  <c:v>2.0733215724625587</c:v>
                </c:pt>
                <c:pt idx="59">
                  <c:v>1.6577457807586153</c:v>
                </c:pt>
                <c:pt idx="60">
                  <c:v>1.2850440111859878</c:v>
                </c:pt>
                <c:pt idx="61">
                  <c:v>0.95659103411115576</c:v>
                </c:pt>
                <c:pt idx="62">
                  <c:v>0.67382104340632476</c:v>
                </c:pt>
                <c:pt idx="63">
                  <c:v>0.43823090243295426</c:v>
                </c:pt>
                <c:pt idx="64">
                  <c:v>0.25138360514923147</c:v>
                </c:pt>
                <c:pt idx="65">
                  <c:v>0.11491196916012238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pt)'!$BR$3:$BR$68</c:f>
              <c:numCache>
                <c:formatCode>_(* #,##0.00_);_(* \(#,##0.00\);_(* "-"??_);_(@_)</c:formatCode>
                <c:ptCount val="66"/>
                <c:pt idx="0">
                  <c:v>-7.7548612401933781</c:v>
                </c:pt>
                <c:pt idx="1">
                  <c:v>-7.7698458898977592</c:v>
                </c:pt>
                <c:pt idx="2">
                  <c:v>-7.7687704098031176</c:v>
                </c:pt>
                <c:pt idx="3">
                  <c:v>-7.7513169693466786</c:v>
                </c:pt>
                <c:pt idx="4">
                  <c:v>-7.7171592944618208</c:v>
                </c:pt>
                <c:pt idx="5">
                  <c:v>-7.6659623852877923</c:v>
                </c:pt>
                <c:pt idx="6">
                  <c:v>-7.5973822224773899</c:v>
                </c:pt>
                <c:pt idx="7">
                  <c:v>-7.5110654615613992</c:v>
                </c:pt>
                <c:pt idx="8">
                  <c:v>-7.4066491147994205</c:v>
                </c:pt>
                <c:pt idx="9">
                  <c:v>-7.2837602199150817</c:v>
                </c:pt>
                <c:pt idx="10">
                  <c:v>-7.1420154950806456</c:v>
                </c:pt>
                <c:pt idx="11">
                  <c:v>-6.981020979480264</c:v>
                </c:pt>
                <c:pt idx="12">
                  <c:v>-6.8003716587437548</c:v>
                </c:pt>
                <c:pt idx="13">
                  <c:v>-6.5996510745026233</c:v>
                </c:pt>
                <c:pt idx="14">
                  <c:v>-6.3784309172775711</c:v>
                </c:pt>
                <c:pt idx="15">
                  <c:v>-6.1362706018611641</c:v>
                </c:pt>
                <c:pt idx="16">
                  <c:v>-5.8727168243113805</c:v>
                </c:pt>
                <c:pt idx="17">
                  <c:v>-5.5873030996199926</c:v>
                </c:pt>
                <c:pt idx="18">
                  <c:v>-5.2795492790651046</c:v>
                </c:pt>
                <c:pt idx="19">
                  <c:v>-4.9489610461986624</c:v>
                </c:pt>
                <c:pt idx="20">
                  <c:v>-4.5950293903572135</c:v>
                </c:pt>
                <c:pt idx="21">
                  <c:v>-4.2172300565178684</c:v>
                </c:pt>
                <c:pt idx="22">
                  <c:v>-3.81502297025001</c:v>
                </c:pt>
                <c:pt idx="23">
                  <c:v>-3.387851636437579</c:v>
                </c:pt>
                <c:pt idx="24">
                  <c:v>-2.9351425103653073</c:v>
                </c:pt>
                <c:pt idx="25">
                  <c:v>-2.4563043396755879</c:v>
                </c:pt>
                <c:pt idx="26">
                  <c:v>-1.9507274756096904</c:v>
                </c:pt>
                <c:pt idx="27">
                  <c:v>-1.5292428010188406</c:v>
                </c:pt>
                <c:pt idx="28">
                  <c:v>-1.4197738034512173</c:v>
                </c:pt>
                <c:pt idx="29">
                  <c:v>-1.287556786935504</c:v>
                </c:pt>
                <c:pt idx="30">
                  <c:v>-1.1333085702673327</c:v>
                </c:pt>
                <c:pt idx="31">
                  <c:v>-0.95649433272986872</c:v>
                </c:pt>
                <c:pt idx="32">
                  <c:v>-0.75656179802196855</c:v>
                </c:pt>
                <c:pt idx="33">
                  <c:v>-0.53294051617215932</c:v>
                </c:pt>
                <c:pt idx="34">
                  <c:v>-0.28504110970807389</c:v>
                </c:pt>
                <c:pt idx="35">
                  <c:v>-1.2254481988128006E-2</c:v>
                </c:pt>
                <c:pt idx="36">
                  <c:v>0.28604901453902454</c:v>
                </c:pt>
                <c:pt idx="37">
                  <c:v>0.61052045253388643</c:v>
                </c:pt>
                <c:pt idx="38">
                  <c:v>0.96183324897471034</c:v>
                </c:pt>
                <c:pt idx="39">
                  <c:v>1.3406841321023497</c:v>
                </c:pt>
                <c:pt idx="40">
                  <c:v>1.6236858396697942</c:v>
                </c:pt>
                <c:pt idx="41">
                  <c:v>1.5564421003825302</c:v>
                </c:pt>
                <c:pt idx="42">
                  <c:v>1.5115016394856418</c:v>
                </c:pt>
                <c:pt idx="43">
                  <c:v>1.4879820569190394</c:v>
                </c:pt>
                <c:pt idx="44">
                  <c:v>1.48646450915823</c:v>
                </c:pt>
                <c:pt idx="45">
                  <c:v>1.5075513731176966</c:v>
                </c:pt>
                <c:pt idx="46">
                  <c:v>1.5518672237624409</c:v>
                </c:pt>
                <c:pt idx="47">
                  <c:v>1.6200598662702157</c:v>
                </c:pt>
                <c:pt idx="48">
                  <c:v>1.7128014263290281</c:v>
                </c:pt>
                <c:pt idx="49">
                  <c:v>1.8307895024262215</c:v>
                </c:pt>
                <c:pt idx="50">
                  <c:v>1.9747483842806108</c:v>
                </c:pt>
                <c:pt idx="51">
                  <c:v>2.145430341889905</c:v>
                </c:pt>
                <c:pt idx="52">
                  <c:v>2.3436169900146271</c:v>
                </c:pt>
                <c:pt idx="53">
                  <c:v>2.4301254627866293</c:v>
                </c:pt>
                <c:pt idx="54">
                  <c:v>2.1171161802681744</c:v>
                </c:pt>
                <c:pt idx="55">
                  <c:v>1.8244666708963395</c:v>
                </c:pt>
                <c:pt idx="56">
                  <c:v>1.5510353376864594</c:v>
                </c:pt>
                <c:pt idx="57">
                  <c:v>1.2974130942849014</c:v>
                </c:pt>
                <c:pt idx="58">
                  <c:v>1.0642153408554704</c:v>
                </c:pt>
                <c:pt idx="59">
                  <c:v>0.85208324591710272</c:v>
                </c:pt>
                <c:pt idx="60">
                  <c:v>0.6616851095588332</c:v>
                </c:pt>
                <c:pt idx="61">
                  <c:v>0.49371781412352878</c:v>
                </c:pt>
                <c:pt idx="62">
                  <c:v>0.34890836897856875</c:v>
                </c:pt>
                <c:pt idx="63">
                  <c:v>0.22801555657018086</c:v>
                </c:pt>
                <c:pt idx="64">
                  <c:v>0.13183168759414501</c:v>
                </c:pt>
                <c:pt idx="65">
                  <c:v>6.1184473815542595E-2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pt)'!$BX$3:$BX$68</c:f>
              <c:numCache>
                <c:formatCode>_(* #,##0.00_);_(* \(#,##0.00\);_(* "-"??_);_(@_)</c:formatCode>
                <c:ptCount val="66"/>
                <c:pt idx="0">
                  <c:v>-3.9127462479101944</c:v>
                </c:pt>
                <c:pt idx="1">
                  <c:v>-3.8379350575171172</c:v>
                </c:pt>
                <c:pt idx="2">
                  <c:v>-3.7621507299510966</c:v>
                </c:pt>
                <c:pt idx="3">
                  <c:v>-3.6853740776890693</c:v>
                </c:pt>
                <c:pt idx="4">
                  <c:v>-3.6075854041228026</c:v>
                </c:pt>
                <c:pt idx="5">
                  <c:v>-3.5287644865347221</c:v>
                </c:pt>
                <c:pt idx="6">
                  <c:v>-3.4488905583853438</c:v>
                </c:pt>
                <c:pt idx="7">
                  <c:v>-3.3679422908795802</c:v>
                </c:pt>
                <c:pt idx="8">
                  <c:v>-3.2858977737774202</c:v>
                </c:pt>
                <c:pt idx="9">
                  <c:v>-3.2027344954125807</c:v>
                </c:pt>
                <c:pt idx="10">
                  <c:v>-3.11842932188071</c:v>
                </c:pt>
                <c:pt idx="11">
                  <c:v>-3.0329584753565744</c:v>
                </c:pt>
                <c:pt idx="12">
                  <c:v>-2.9462975114973911</c:v>
                </c:pt>
                <c:pt idx="13">
                  <c:v>-2.8584212958870112</c:v>
                </c:pt>
                <c:pt idx="14">
                  <c:v>-2.76930397947313</c:v>
                </c:pt>
                <c:pt idx="15">
                  <c:v>-2.6789189729468923</c:v>
                </c:pt>
                <c:pt idx="16">
                  <c:v>-2.5872389200113739</c:v>
                </c:pt>
                <c:pt idx="17">
                  <c:v>-2.4942356694822934</c:v>
                </c:pt>
                <c:pt idx="18">
                  <c:v>-2.3998802461609654</c:v>
                </c:pt>
                <c:pt idx="19">
                  <c:v>-2.3041428204159797</c:v>
                </c:pt>
                <c:pt idx="20">
                  <c:v>-2.206992676406303</c:v>
                </c:pt>
                <c:pt idx="21">
                  <c:v>-2.1083981788744381</c:v>
                </c:pt>
                <c:pt idx="22">
                  <c:v>-2.0083267384340031</c:v>
                </c:pt>
                <c:pt idx="23">
                  <c:v>-1.9067447752714368</c:v>
                </c:pt>
                <c:pt idx="24">
                  <c:v>-1.8036176811766382</c:v>
                </c:pt>
                <c:pt idx="25">
                  <c:v>-1.6989097798120649</c:v>
                </c:pt>
                <c:pt idx="26">
                  <c:v>-1.592584285124172</c:v>
                </c:pt>
                <c:pt idx="27">
                  <c:v>-1.4947665734192219</c:v>
                </c:pt>
                <c:pt idx="28">
                  <c:v>-1.4261456734822793</c:v>
                </c:pt>
                <c:pt idx="29">
                  <c:v>-1.3564436880611692</c:v>
                </c:pt>
                <c:pt idx="30">
                  <c:v>-1.2856346867751827</c:v>
                </c:pt>
                <c:pt idx="31">
                  <c:v>-1.2136918998417872</c:v>
                </c:pt>
                <c:pt idx="32">
                  <c:v>-1.1405876837574505</c:v>
                </c:pt>
                <c:pt idx="33">
                  <c:v>-1.0662934852790589</c:v>
                </c:pt>
                <c:pt idx="34">
                  <c:v>-0.99077980360691753</c:v>
                </c:pt>
                <c:pt idx="35">
                  <c:v>-0.91401615066365482</c:v>
                </c:pt>
                <c:pt idx="36">
                  <c:v>-0.8359710093562096</c:v>
                </c:pt>
                <c:pt idx="37">
                  <c:v>-0.75661178970037213</c:v>
                </c:pt>
                <c:pt idx="38">
                  <c:v>-0.67590478267904675</c:v>
                </c:pt>
                <c:pt idx="39">
                  <c:v>-0.59381511169645596</c:v>
                </c:pt>
                <c:pt idx="40">
                  <c:v>-0.52162335106045044</c:v>
                </c:pt>
                <c:pt idx="41">
                  <c:v>-0.48242375997536163</c:v>
                </c:pt>
                <c:pt idx="42">
                  <c:v>-0.44254254279931093</c:v>
                </c:pt>
                <c:pt idx="43">
                  <c:v>-0.40196148256328351</c:v>
                </c:pt>
                <c:pt idx="44">
                  <c:v>-0.36066170162196287</c:v>
                </c:pt>
                <c:pt idx="45">
                  <c:v>-0.31862363130291449</c:v>
                </c:pt>
                <c:pt idx="46">
                  <c:v>-0.27582697986464677</c:v>
                </c:pt>
                <c:pt idx="47">
                  <c:v>-0.23225069865259243</c:v>
                </c:pt>
                <c:pt idx="48">
                  <c:v>-0.18787294633365548</c:v>
                </c:pt>
                <c:pt idx="49">
                  <c:v>-0.14267105108086436</c:v>
                </c:pt>
                <c:pt idx="50">
                  <c:v>-9.6621470569761267E-2</c:v>
                </c:pt>
                <c:pt idx="51">
                  <c:v>-4.9699749637394861E-2</c:v>
                </c:pt>
                <c:pt idx="52">
                  <c:v>-1.8804754430636458E-3</c:v>
                </c:pt>
                <c:pt idx="53">
                  <c:v>3.4097467705209834E-2</c:v>
                </c:pt>
                <c:pt idx="54">
                  <c:v>3.2096209930933789E-2</c:v>
                </c:pt>
                <c:pt idx="55">
                  <c:v>3.0036444945702633E-2</c:v>
                </c:pt>
                <c:pt idx="56">
                  <c:v>2.7916308368970827E-2</c:v>
                </c:pt>
                <c:pt idx="57">
                  <c:v>2.5733865567669965E-2</c:v>
                </c:pt>
                <c:pt idx="58">
                  <c:v>2.348710854347914E-2</c:v>
                </c:pt>
                <c:pt idx="59">
                  <c:v>2.1173952660374019E-2</c:v>
                </c:pt>
                <c:pt idx="60">
                  <c:v>1.8792233203102044E-2</c:v>
                </c:pt>
                <c:pt idx="61">
                  <c:v>1.6339701756613676E-2</c:v>
                </c:pt>
                <c:pt idx="62">
                  <c:v>1.3814022395816937E-2</c:v>
                </c:pt>
                <c:pt idx="63">
                  <c:v>1.1212767674311177E-2</c:v>
                </c:pt>
                <c:pt idx="64">
                  <c:v>8.5334143999909063E-3</c:v>
                </c:pt>
                <c:pt idx="65">
                  <c:v>5.773339184588307E-3</c:v>
                </c:pt>
              </c:numCache>
            </c:numRef>
          </c:yVal>
          <c:smooth val="0"/>
        </c:ser>
        <c:ser>
          <c:idx val="10"/>
          <c:order val="10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pt)'!$BX$3:$BX$68</c:f>
              <c:numCache>
                <c:formatCode>_(* #,##0.00_);_(* \(#,##0.00\);_(* "-"??_);_(@_)</c:formatCode>
                <c:ptCount val="66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</c:numCache>
            </c:numRef>
          </c:yVal>
          <c:smooth val="0"/>
        </c:ser>
        <c:ser>
          <c:idx val="11"/>
          <c:order val="11"/>
          <c:tx>
            <c:v>Allowable Bending Stress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pt)'!$BY$3:$BY$68</c:f>
              <c:numCache>
                <c:formatCode>_(* #,##0.00_);_(* \(#,##0.00\);_(* "-"??_);_(@_)</c:formatCode>
                <c:ptCount val="66"/>
                <c:pt idx="0">
                  <c:v>-150</c:v>
                </c:pt>
                <c:pt idx="1">
                  <c:v>-150</c:v>
                </c:pt>
                <c:pt idx="2">
                  <c:v>-150</c:v>
                </c:pt>
                <c:pt idx="3">
                  <c:v>-150</c:v>
                </c:pt>
                <c:pt idx="4">
                  <c:v>-150</c:v>
                </c:pt>
                <c:pt idx="5">
                  <c:v>-150</c:v>
                </c:pt>
                <c:pt idx="6">
                  <c:v>-150</c:v>
                </c:pt>
                <c:pt idx="7">
                  <c:v>-150</c:v>
                </c:pt>
                <c:pt idx="8">
                  <c:v>-150</c:v>
                </c:pt>
                <c:pt idx="9">
                  <c:v>-150</c:v>
                </c:pt>
                <c:pt idx="10">
                  <c:v>-150</c:v>
                </c:pt>
                <c:pt idx="11">
                  <c:v>-150</c:v>
                </c:pt>
                <c:pt idx="12">
                  <c:v>-150</c:v>
                </c:pt>
                <c:pt idx="13">
                  <c:v>-150</c:v>
                </c:pt>
                <c:pt idx="14">
                  <c:v>-150</c:v>
                </c:pt>
                <c:pt idx="15">
                  <c:v>-150</c:v>
                </c:pt>
                <c:pt idx="16">
                  <c:v>-150</c:v>
                </c:pt>
                <c:pt idx="17">
                  <c:v>-150</c:v>
                </c:pt>
                <c:pt idx="18">
                  <c:v>-150</c:v>
                </c:pt>
                <c:pt idx="19">
                  <c:v>-150</c:v>
                </c:pt>
                <c:pt idx="20">
                  <c:v>-150</c:v>
                </c:pt>
                <c:pt idx="21">
                  <c:v>-150</c:v>
                </c:pt>
                <c:pt idx="22">
                  <c:v>-150</c:v>
                </c:pt>
                <c:pt idx="23">
                  <c:v>-150</c:v>
                </c:pt>
                <c:pt idx="24">
                  <c:v>-150</c:v>
                </c:pt>
                <c:pt idx="25">
                  <c:v>-150</c:v>
                </c:pt>
                <c:pt idx="26">
                  <c:v>-150</c:v>
                </c:pt>
                <c:pt idx="27">
                  <c:v>-150</c:v>
                </c:pt>
                <c:pt idx="28">
                  <c:v>-150</c:v>
                </c:pt>
                <c:pt idx="29">
                  <c:v>-150</c:v>
                </c:pt>
                <c:pt idx="30">
                  <c:v>-150</c:v>
                </c:pt>
                <c:pt idx="31">
                  <c:v>-150</c:v>
                </c:pt>
                <c:pt idx="32">
                  <c:v>-150</c:v>
                </c:pt>
                <c:pt idx="33">
                  <c:v>-150</c:v>
                </c:pt>
                <c:pt idx="34">
                  <c:v>-150</c:v>
                </c:pt>
                <c:pt idx="35">
                  <c:v>-150</c:v>
                </c:pt>
                <c:pt idx="36">
                  <c:v>-150</c:v>
                </c:pt>
                <c:pt idx="37">
                  <c:v>-150</c:v>
                </c:pt>
                <c:pt idx="38">
                  <c:v>-150</c:v>
                </c:pt>
                <c:pt idx="39">
                  <c:v>-150</c:v>
                </c:pt>
                <c:pt idx="40">
                  <c:v>-150</c:v>
                </c:pt>
                <c:pt idx="41">
                  <c:v>-150</c:v>
                </c:pt>
                <c:pt idx="42">
                  <c:v>-150</c:v>
                </c:pt>
                <c:pt idx="43">
                  <c:v>-150</c:v>
                </c:pt>
                <c:pt idx="44">
                  <c:v>-150</c:v>
                </c:pt>
                <c:pt idx="45">
                  <c:v>-150</c:v>
                </c:pt>
                <c:pt idx="46">
                  <c:v>-150</c:v>
                </c:pt>
                <c:pt idx="47">
                  <c:v>-150</c:v>
                </c:pt>
                <c:pt idx="48">
                  <c:v>-150</c:v>
                </c:pt>
                <c:pt idx="49">
                  <c:v>-150</c:v>
                </c:pt>
                <c:pt idx="50">
                  <c:v>-150</c:v>
                </c:pt>
                <c:pt idx="51">
                  <c:v>-150</c:v>
                </c:pt>
                <c:pt idx="52">
                  <c:v>-150</c:v>
                </c:pt>
                <c:pt idx="53">
                  <c:v>-150</c:v>
                </c:pt>
                <c:pt idx="54">
                  <c:v>-150</c:v>
                </c:pt>
                <c:pt idx="55">
                  <c:v>-150</c:v>
                </c:pt>
                <c:pt idx="56">
                  <c:v>-150</c:v>
                </c:pt>
                <c:pt idx="57">
                  <c:v>-150</c:v>
                </c:pt>
                <c:pt idx="58">
                  <c:v>-150</c:v>
                </c:pt>
                <c:pt idx="59">
                  <c:v>-150</c:v>
                </c:pt>
                <c:pt idx="60">
                  <c:v>-150</c:v>
                </c:pt>
                <c:pt idx="61">
                  <c:v>-150</c:v>
                </c:pt>
                <c:pt idx="62">
                  <c:v>-150</c:v>
                </c:pt>
                <c:pt idx="63">
                  <c:v>-150</c:v>
                </c:pt>
                <c:pt idx="64">
                  <c:v>-150</c:v>
                </c:pt>
                <c:pt idx="65">
                  <c:v>-150</c:v>
                </c:pt>
              </c:numCache>
            </c:numRef>
          </c:yVal>
          <c:smooth val="0"/>
        </c:ser>
        <c:ser>
          <c:idx val="12"/>
          <c:order val="12"/>
          <c:tx>
            <c:v>Allowable Local Buckling</c:v>
          </c:tx>
          <c:spPr>
            <a:ln w="28575">
              <a:noFill/>
            </a:ln>
          </c:spPr>
          <c:marker>
            <c:symbol val="x"/>
            <c:size val="7"/>
            <c:spPr>
              <a:solidFill>
                <a:schemeClr val="tx1"/>
              </a:solidFill>
            </c:spPr>
          </c:marke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'Local Buckling'!$U$4:$U$70</c:f>
              <c:numCache>
                <c:formatCode>General</c:formatCode>
                <c:ptCount val="67"/>
                <c:pt idx="0">
                  <c:v>169.67873697102945</c:v>
                </c:pt>
                <c:pt idx="1">
                  <c:v>169.63101363570965</c:v>
                </c:pt>
                <c:pt idx="2">
                  <c:v>169.58280900786718</c:v>
                </c:pt>
                <c:pt idx="3">
                  <c:v>169.53411576980909</c:v>
                </c:pt>
                <c:pt idx="4">
                  <c:v>169.48492645474013</c:v>
                </c:pt>
                <c:pt idx="5">
                  <c:v>169.43523344294547</c:v>
                </c:pt>
                <c:pt idx="6">
                  <c:v>169.38502895785615</c:v>
                </c:pt>
                <c:pt idx="7">
                  <c:v>169.33430506199184</c:v>
                </c:pt>
                <c:pt idx="8">
                  <c:v>169.28305365277743</c:v>
                </c:pt>
                <c:pt idx="9">
                  <c:v>169.23126645822822</c:v>
                </c:pt>
                <c:pt idx="10">
                  <c:v>169.17893503249894</c:v>
                </c:pt>
                <c:pt idx="11">
                  <c:v>169.12605075129221</c:v>
                </c:pt>
                <c:pt idx="12">
                  <c:v>169.07260480711997</c:v>
                </c:pt>
                <c:pt idx="13">
                  <c:v>169.01858820441385</c:v>
                </c:pt>
                <c:pt idx="14">
                  <c:v>168.96399175447758</c:v>
                </c:pt>
                <c:pt idx="15">
                  <c:v>168.90880607027623</c:v>
                </c:pt>
                <c:pt idx="16">
                  <c:v>168.85302156105558</c:v>
                </c:pt>
                <c:pt idx="17">
                  <c:v>168.79662842678573</c:v>
                </c:pt>
                <c:pt idx="18">
                  <c:v>168.73961665242155</c:v>
                </c:pt>
                <c:pt idx="19">
                  <c:v>168.68197600197317</c:v>
                </c:pt>
                <c:pt idx="20">
                  <c:v>168.62369601237955</c:v>
                </c:pt>
                <c:pt idx="21">
                  <c:v>168.5647659871766</c:v>
                </c:pt>
                <c:pt idx="22">
                  <c:v>168.50517498995245</c:v>
                </c:pt>
                <c:pt idx="23">
                  <c:v>168.44491183758129</c:v>
                </c:pt>
                <c:pt idx="24">
                  <c:v>168.38396509322686</c:v>
                </c:pt>
                <c:pt idx="25">
                  <c:v>168.32232305910662</c:v>
                </c:pt>
                <c:pt idx="26">
                  <c:v>168.25997376900662</c:v>
                </c:pt>
                <c:pt idx="27">
                  <c:v>168.19690498053751</c:v>
                </c:pt>
                <c:pt idx="28">
                  <c:v>168.13310416712071</c:v>
                </c:pt>
                <c:pt idx="29">
                  <c:v>168.06855850969399</c:v>
                </c:pt>
                <c:pt idx="30">
                  <c:v>168.0032548881249</c:v>
                </c:pt>
                <c:pt idx="31">
                  <c:v>167.93717987231977</c:v>
                </c:pt>
                <c:pt idx="32">
                  <c:v>167.87031971301576</c:v>
                </c:pt>
                <c:pt idx="33">
                  <c:v>167.80266033224305</c:v>
                </c:pt>
                <c:pt idx="34">
                  <c:v>167.73418731344239</c:v>
                </c:pt>
                <c:pt idx="35">
                  <c:v>167.66488589122437</c:v>
                </c:pt>
                <c:pt idx="36">
                  <c:v>167.59474094075472</c:v>
                </c:pt>
                <c:pt idx="37">
                  <c:v>167.52373696674937</c:v>
                </c:pt>
                <c:pt idx="38">
                  <c:v>167.45185809206302</c:v>
                </c:pt>
                <c:pt idx="39">
                  <c:v>167.37908804585297</c:v>
                </c:pt>
                <c:pt idx="40">
                  <c:v>167.30541015130029</c:v>
                </c:pt>
                <c:pt idx="41">
                  <c:v>167.23080731286822</c:v>
                </c:pt>
                <c:pt idx="42">
                  <c:v>167.15526200307804</c:v>
                </c:pt>
                <c:pt idx="43">
                  <c:v>167.07875624877997</c:v>
                </c:pt>
                <c:pt idx="44">
                  <c:v>167.00127161689784</c:v>
                </c:pt>
                <c:pt idx="45">
                  <c:v>166.92278919962251</c:v>
                </c:pt>
                <c:pt idx="46">
                  <c:v>166.84328959902973</c:v>
                </c:pt>
                <c:pt idx="47">
                  <c:v>166.76275291109602</c:v>
                </c:pt>
                <c:pt idx="48">
                  <c:v>166.68115870908505</c:v>
                </c:pt>
                <c:pt idx="49">
                  <c:v>166.59848602627491</c:v>
                </c:pt>
                <c:pt idx="50">
                  <c:v>166.51471333799626</c:v>
                </c:pt>
                <c:pt idx="51">
                  <c:v>166.42981854294834</c:v>
                </c:pt>
                <c:pt idx="52">
                  <c:v>166.34377894375953</c:v>
                </c:pt>
                <c:pt idx="53">
                  <c:v>166.25657122675585</c:v>
                </c:pt>
                <c:pt idx="54">
                  <c:v>166.16817144089981</c:v>
                </c:pt>
                <c:pt idx="55">
                  <c:v>166.07855497585993</c:v>
                </c:pt>
                <c:pt idx="56">
                  <c:v>165.98769653916807</c:v>
                </c:pt>
                <c:pt idx="57">
                  <c:v>165.89557013242074</c:v>
                </c:pt>
                <c:pt idx="58">
                  <c:v>165.80214902647697</c:v>
                </c:pt>
                <c:pt idx="59">
                  <c:v>165.70740573560289</c:v>
                </c:pt>
                <c:pt idx="60">
                  <c:v>165.6113119905111</c:v>
                </c:pt>
                <c:pt idx="61">
                  <c:v>165.51383871023847</c:v>
                </c:pt>
                <c:pt idx="62">
                  <c:v>165.41495597280428</c:v>
                </c:pt>
                <c:pt idx="63">
                  <c:v>165.31463298458627</c:v>
                </c:pt>
                <c:pt idx="64">
                  <c:v>165.21283804834837</c:v>
                </c:pt>
                <c:pt idx="65">
                  <c:v>165.10953852985119</c:v>
                </c:pt>
                <c:pt idx="66">
                  <c:v>165.00470082297082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944896"/>
        <c:axId val="96947200"/>
      </c:scatterChart>
      <c:valAx>
        <c:axId val="96944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96947200"/>
        <c:crosses val="autoZero"/>
        <c:crossBetween val="midCat"/>
      </c:valAx>
      <c:valAx>
        <c:axId val="96947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69448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pt)'!$T$3:$T$68</c:f>
              <c:numCache>
                <c:formatCode>_(* #,##0.00_);_(* \(#,##0.00\);_(* "-"??_);_(@_)</c:formatCode>
                <c:ptCount val="66"/>
                <c:pt idx="0">
                  <c:v>38.263879364162207</c:v>
                </c:pt>
                <c:pt idx="1">
                  <c:v>38.660091694743116</c:v>
                </c:pt>
                <c:pt idx="2">
                  <c:v>39.15514741486006</c:v>
                </c:pt>
                <c:pt idx="3">
                  <c:v>39.751003230095471</c:v>
                </c:pt>
                <c:pt idx="4">
                  <c:v>40.449667823518332</c:v>
                </c:pt>
                <c:pt idx="5">
                  <c:v>41.253203592893684</c:v>
                </c:pt>
                <c:pt idx="6">
                  <c:v>42.163728458030782</c:v>
                </c:pt>
                <c:pt idx="7">
                  <c:v>43.183417741595754</c:v>
                </c:pt>
                <c:pt idx="8">
                  <c:v>44.314506126896475</c:v>
                </c:pt>
                <c:pt idx="9">
                  <c:v>45.5592896963404</c:v>
                </c:pt>
                <c:pt idx="10">
                  <c:v>46.920128054469046</c:v>
                </c:pt>
                <c:pt idx="11">
                  <c:v>48.399446539693706</c:v>
                </c:pt>
                <c:pt idx="12">
                  <c:v>49.999738529083793</c:v>
                </c:pt>
                <c:pt idx="13">
                  <c:v>51.723567840809828</c:v>
                </c:pt>
                <c:pt idx="14">
                  <c:v>53.573571239100822</c:v>
                </c:pt>
                <c:pt idx="15">
                  <c:v>55.552461046857218</c:v>
                </c:pt>
                <c:pt idx="16">
                  <c:v>57.663027871355332</c:v>
                </c:pt>
                <c:pt idx="17">
                  <c:v>59.90814344879675</c:v>
                </c:pt>
                <c:pt idx="18">
                  <c:v>62.290763613791768</c:v>
                </c:pt>
                <c:pt idx="19">
                  <c:v>64.81393140022621</c:v>
                </c:pt>
                <c:pt idx="20">
                  <c:v>67.480780280343566</c:v>
                </c:pt>
                <c:pt idx="21">
                  <c:v>70.294537549284016</c:v>
                </c:pt>
                <c:pt idx="22">
                  <c:v>73.258527862758271</c:v>
                </c:pt>
                <c:pt idx="23">
                  <c:v>76.376176936001244</c:v>
                </c:pt>
                <c:pt idx="24">
                  <c:v>79.651015412649372</c:v>
                </c:pt>
                <c:pt idx="25">
                  <c:v>83.086682912718857</c:v>
                </c:pt>
                <c:pt idx="26">
                  <c:v>86.6869322694332</c:v>
                </c:pt>
                <c:pt idx="27">
                  <c:v>85.206840988390226</c:v>
                </c:pt>
                <c:pt idx="28">
                  <c:v>81.534449549087952</c:v>
                </c:pt>
                <c:pt idx="29">
                  <c:v>77.917281411836356</c:v>
                </c:pt>
                <c:pt idx="30">
                  <c:v>74.356666557026273</c:v>
                </c:pt>
                <c:pt idx="31">
                  <c:v>70.853978021920014</c:v>
                </c:pt>
                <c:pt idx="32">
                  <c:v>67.410633657352804</c:v>
                </c:pt>
                <c:pt idx="33">
                  <c:v>64.028097971150643</c:v>
                </c:pt>
                <c:pt idx="34">
                  <c:v>60.707884063300085</c:v>
                </c:pt>
                <c:pt idx="35">
                  <c:v>57.451555658242668</c:v>
                </c:pt>
                <c:pt idx="36">
                  <c:v>54.26072924002866</c:v>
                </c:pt>
                <c:pt idx="37">
                  <c:v>51.137076296455845</c:v>
                </c:pt>
                <c:pt idx="38">
                  <c:v>48.082325678738755</c:v>
                </c:pt>
                <c:pt idx="39">
                  <c:v>45.098266083707678</c:v>
                </c:pt>
                <c:pt idx="40">
                  <c:v>42.18674866602494</c:v>
                </c:pt>
                <c:pt idx="41">
                  <c:v>39.349689788434183</c:v>
                </c:pt>
                <c:pt idx="42">
                  <c:v>36.589073918627207</c:v>
                </c:pt>
                <c:pt idx="43">
                  <c:v>33.906956681929863</c:v>
                </c:pt>
                <c:pt idx="44">
                  <c:v>31.30546807967281</c:v>
                </c:pt>
                <c:pt idx="45">
                  <c:v>28.786815883835143</c:v>
                </c:pt>
                <c:pt idx="46">
                  <c:v>26.353289219327593</c:v>
                </c:pt>
                <c:pt idx="47">
                  <c:v>24.007262346128826</c:v>
                </c:pt>
                <c:pt idx="48">
                  <c:v>21.751198654404533</c:v>
                </c:pt>
                <c:pt idx="49">
                  <c:v>19.587654886734683</c:v>
                </c:pt>
                <c:pt idx="50">
                  <c:v>17.519285602654797</c:v>
                </c:pt>
                <c:pt idx="51">
                  <c:v>15.548847901892264</c:v>
                </c:pt>
                <c:pt idx="52">
                  <c:v>13.679206423956257</c:v>
                </c:pt>
                <c:pt idx="53">
                  <c:v>11.913338643131238</c:v>
                </c:pt>
                <c:pt idx="54">
                  <c:v>10.254340479439572</c:v>
                </c:pt>
                <c:pt idx="55">
                  <c:v>8.7054322477914567</c:v>
                </c:pt>
                <c:pt idx="56">
                  <c:v>7.2699649693441657</c:v>
                </c:pt>
                <c:pt idx="57">
                  <c:v>5.9514270710623824</c:v>
                </c:pt>
                <c:pt idx="58">
                  <c:v>4.7534515016253263</c:v>
                </c:pt>
                <c:pt idx="59">
                  <c:v>3.679823294182746</c:v>
                </c:pt>
                <c:pt idx="60">
                  <c:v>2.7344876090427479</c:v>
                </c:pt>
                <c:pt idx="61">
                  <c:v>1.9215582922035586</c:v>
                </c:pt>
                <c:pt idx="62">
                  <c:v>1.2453269887455656</c:v>
                </c:pt>
                <c:pt idx="63">
                  <c:v>0.71027285350940061</c:v>
                </c:pt>
                <c:pt idx="64">
                  <c:v>0.32107290523408893</c:v>
                </c:pt>
                <c:pt idx="65">
                  <c:v>8.2613074454304325E-2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pt)'!$Z$3:$Z$68</c:f>
              <c:numCache>
                <c:formatCode>_(* #,##0.00_);_(* \(#,##0.00\);_(* "-"??_);_(@_)</c:formatCode>
                <c:ptCount val="66"/>
                <c:pt idx="0">
                  <c:v>17.282721611295781</c:v>
                </c:pt>
                <c:pt idx="1">
                  <c:v>18.228750275254622</c:v>
                </c:pt>
                <c:pt idx="2">
                  <c:v>19.279423655040986</c:v>
                </c:pt>
                <c:pt idx="3">
                  <c:v>20.436813132364325</c:v>
                </c:pt>
                <c:pt idx="4">
                  <c:v>21.70304511950464</c:v>
                </c:pt>
                <c:pt idx="5">
                  <c:v>23.080302899006121</c:v>
                </c:pt>
                <c:pt idx="6">
                  <c:v>24.57082853766909</c:v>
                </c:pt>
                <c:pt idx="7">
                  <c:v>26.17692487836522</c:v>
                </c:pt>
                <c:pt idx="8">
                  <c:v>27.900957613391782</c:v>
                </c:pt>
                <c:pt idx="9">
                  <c:v>29.745357443287418</c:v>
                </c:pt>
                <c:pt idx="10">
                  <c:v>31.712622325246095</c:v>
                </c:pt>
                <c:pt idx="11">
                  <c:v>33.80531981549931</c:v>
                </c:pt>
                <c:pt idx="12">
                  <c:v>36.026089510279363</c:v>
                </c:pt>
                <c:pt idx="13">
                  <c:v>38.3776455902386</c:v>
                </c:pt>
                <c:pt idx="14">
                  <c:v>40.862779473477183</c:v>
                </c:pt>
                <c:pt idx="15">
                  <c:v>43.48436258262555</c:v>
                </c:pt>
                <c:pt idx="16">
                  <c:v>46.245349231744676</c:v>
                </c:pt>
                <c:pt idx="17">
                  <c:v>49.148779639139988</c:v>
                </c:pt>
                <c:pt idx="18">
                  <c:v>52.197783072543785</c:v>
                </c:pt>
                <c:pt idx="19">
                  <c:v>55.395581133500485</c:v>
                </c:pt>
                <c:pt idx="20">
                  <c:v>58.74549118819656</c:v>
                </c:pt>
                <c:pt idx="21">
                  <c:v>62.250929952409649</c:v>
                </c:pt>
                <c:pt idx="22">
                  <c:v>65.915417238715293</c:v>
                </c:pt>
                <c:pt idx="23">
                  <c:v>69.742579874584507</c:v>
                </c:pt>
                <c:pt idx="24">
                  <c:v>73.736155800533666</c:v>
                </c:pt>
                <c:pt idx="25">
                  <c:v>77.899998358055157</c:v>
                </c:pt>
                <c:pt idx="26">
                  <c:v>82.238080777661239</c:v>
                </c:pt>
                <c:pt idx="27">
                  <c:v>83.964507279403506</c:v>
                </c:pt>
                <c:pt idx="28">
                  <c:v>80.345688921669435</c:v>
                </c:pt>
                <c:pt idx="29">
                  <c:v>76.781287646062793</c:v>
                </c:pt>
                <c:pt idx="30">
                  <c:v>73.272614014653342</c:v>
                </c:pt>
                <c:pt idx="31">
                  <c:v>69.821021017731653</c:v>
                </c:pt>
                <c:pt idx="32">
                  <c:v>66.427905804862945</c:v>
                </c:pt>
                <c:pt idx="33">
                  <c:v>63.094711501391316</c:v>
                </c:pt>
                <c:pt idx="34">
                  <c:v>59.822929115356729</c:v>
                </c:pt>
                <c:pt idx="35">
                  <c:v>56.614099540118232</c:v>
                </c:pt>
                <c:pt idx="36">
                  <c:v>53.469815658335413</c:v>
                </c:pt>
                <c:pt idx="37">
                  <c:v>50.39172455334338</c:v>
                </c:pt>
                <c:pt idx="38">
                  <c:v>47.381529834371968</c:v>
                </c:pt>
                <c:pt idx="39">
                  <c:v>44.440994082505725</c:v>
                </c:pt>
                <c:pt idx="40">
                  <c:v>41.571941424763295</c:v>
                </c:pt>
                <c:pt idx="41">
                  <c:v>38.776260244194468</c:v>
                </c:pt>
                <c:pt idx="42">
                  <c:v>36.055906034454772</c:v>
                </c:pt>
                <c:pt idx="43">
                  <c:v>33.412904407924017</c:v>
                </c:pt>
                <c:pt idx="44">
                  <c:v>30.849354267091371</c:v>
                </c:pt>
                <c:pt idx="45">
                  <c:v>28.367431149639724</c:v>
                </c:pt>
                <c:pt idx="46">
                  <c:v>25.969390758430649</c:v>
                </c:pt>
                <c:pt idx="47">
                  <c:v>23.657572688424878</c:v>
                </c:pt>
                <c:pt idx="48">
                  <c:v>21.434404363476471</c:v>
                </c:pt>
                <c:pt idx="49">
                  <c:v>19.302405196919853</c:v>
                </c:pt>
                <c:pt idx="50">
                  <c:v>17.26419099093361</c:v>
                </c:pt>
                <c:pt idx="51">
                  <c:v>15.32247859082287</c:v>
                </c:pt>
                <c:pt idx="52">
                  <c:v>13.48009081162127</c:v>
                </c:pt>
                <c:pt idx="53">
                  <c:v>11.739961655784203</c:v>
                </c:pt>
                <c:pt idx="54">
                  <c:v>10.105141842238831</c:v>
                </c:pt>
                <c:pt idx="55">
                  <c:v>8.5788046686847252</c:v>
                </c:pt>
                <c:pt idx="56">
                  <c:v>7.1642522308164569</c:v>
                </c:pt>
                <c:pt idx="57">
                  <c:v>5.8649220240806015</c:v>
                </c:pt>
                <c:pt idx="58">
                  <c:v>4.6843939557019549</c:v>
                </c:pt>
                <c:pt idx="59">
                  <c:v>3.6263977970358883</c:v>
                </c:pt>
                <c:pt idx="60">
                  <c:v>2.6948211088468992</c:v>
                </c:pt>
                <c:pt idx="61">
                  <c:v>1.893717674901279</c:v>
                </c:pt>
                <c:pt idx="62">
                  <c:v>1.2273164823207727</c:v>
                </c:pt>
                <c:pt idx="63">
                  <c:v>0.70003129050373691</c:v>
                </c:pt>
                <c:pt idx="64">
                  <c:v>0.31647083411388888</c:v>
                </c:pt>
                <c:pt idx="65">
                  <c:v>8.1449709701524209E-2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pt)'!$AF$3:$AF$68</c:f>
              <c:numCache>
                <c:formatCode>_(* #,##0.00_);_(* \(#,##0.00\);_(* "-"??_);_(@_)</c:formatCode>
                <c:ptCount val="66"/>
                <c:pt idx="0">
                  <c:v>24.967991680997041</c:v>
                </c:pt>
                <c:pt idx="1">
                  <c:v>25.595386764580692</c:v>
                </c:pt>
                <c:pt idx="2">
                  <c:v>26.319017364875013</c:v>
                </c:pt>
                <c:pt idx="3">
                  <c:v>27.140788380993182</c:v>
                </c:pt>
                <c:pt idx="4">
                  <c:v>28.062655320452258</c:v>
                </c:pt>
                <c:pt idx="5">
                  <c:v>29.086625991087196</c:v>
                </c:pt>
                <c:pt idx="6">
                  <c:v>30.214762261298318</c:v>
                </c:pt>
                <c:pt idx="7">
                  <c:v>31.449181891872978</c:v>
                </c:pt>
                <c:pt idx="8">
                  <c:v>32.792060442800512</c:v>
                </c:pt>
                <c:pt idx="9">
                  <c:v>34.245633258686624</c:v>
                </c:pt>
                <c:pt idx="10">
                  <c:v>35.812197536573819</c:v>
                </c:pt>
                <c:pt idx="11">
                  <c:v>37.494114480185083</c:v>
                </c:pt>
                <c:pt idx="12">
                  <c:v>39.293811544835499</c:v>
                </c:pt>
                <c:pt idx="13">
                  <c:v>41.213784777494354</c:v>
                </c:pt>
                <c:pt idx="14">
                  <c:v>43.256601256736985</c:v>
                </c:pt>
                <c:pt idx="15">
                  <c:v>45.424901637596356</c:v>
                </c:pt>
                <c:pt idx="16">
                  <c:v>47.72140280661398</c:v>
                </c:pt>
                <c:pt idx="17">
                  <c:v>50.148900652698003</c:v>
                </c:pt>
                <c:pt idx="18">
                  <c:v>52.710272959724556</c:v>
                </c:pt>
                <c:pt idx="19">
                  <c:v>55.408482427169311</c:v>
                </c:pt>
                <c:pt idx="20">
                  <c:v>58.246579825429151</c:v>
                </c:pt>
                <c:pt idx="21">
                  <c:v>61.227707292893932</c:v>
                </c:pt>
                <c:pt idx="22">
                  <c:v>64.355101782252916</c:v>
                </c:pt>
                <c:pt idx="23">
                  <c:v>67.632098663977075</c:v>
                </c:pt>
                <c:pt idx="24">
                  <c:v>71.062135495404178</c:v>
                </c:pt>
                <c:pt idx="25">
                  <c:v>74.648755964373834</c:v>
                </c:pt>
                <c:pt idx="26">
                  <c:v>78.395614016917307</c:v>
                </c:pt>
                <c:pt idx="27">
                  <c:v>80.121144108946325</c:v>
                </c:pt>
                <c:pt idx="28">
                  <c:v>76.668062869297032</c:v>
                </c:pt>
                <c:pt idx="29">
                  <c:v>73.266904538158371</c:v>
                </c:pt>
                <c:pt idx="30">
                  <c:v>69.918919603837679</c:v>
                </c:pt>
                <c:pt idx="31">
                  <c:v>66.625399038029073</c:v>
                </c:pt>
                <c:pt idx="32">
                  <c:v>63.38767594752229</c:v>
                </c:pt>
                <c:pt idx="33">
                  <c:v>60.207127307445496</c:v>
                </c:pt>
                <c:pt idx="34">
                  <c:v>57.085175780776758</c:v>
                </c:pt>
                <c:pt idx="35">
                  <c:v>54.023291629175567</c:v>
                </c:pt>
                <c:pt idx="36">
                  <c:v>51.022994720526682</c:v>
                </c:pt>
                <c:pt idx="37">
                  <c:v>48.085856638955796</c:v>
                </c:pt>
                <c:pt idx="38">
                  <c:v>45.213502903471358</c:v>
                </c:pt>
                <c:pt idx="39">
                  <c:v>42.407615301813458</c:v>
                </c:pt>
                <c:pt idx="40">
                  <c:v>39.669934346550185</c:v>
                </c:pt>
                <c:pt idx="41">
                  <c:v>37.002261860957681</c:v>
                </c:pt>
                <c:pt idx="42">
                  <c:v>34.406463702756028</c:v>
                </c:pt>
                <c:pt idx="43">
                  <c:v>31.884472634352107</c:v>
                </c:pt>
                <c:pt idx="44">
                  <c:v>29.438291348866141</c:v>
                </c:pt>
                <c:pt idx="45">
                  <c:v>27.06999566189678</c:v>
                </c:pt>
                <c:pt idx="46">
                  <c:v>24.781737879712619</c:v>
                </c:pt>
                <c:pt idx="47">
                  <c:v>22.575750355353556</c:v>
                </c:pt>
                <c:pt idx="48">
                  <c:v>20.454349244987327</c:v>
                </c:pt>
                <c:pt idx="49">
                  <c:v>18.419938477802294</c:v>
                </c:pt>
                <c:pt idx="50">
                  <c:v>16.47501395373402</c:v>
                </c:pt>
                <c:pt idx="51">
                  <c:v>14.622167984427506</c:v>
                </c:pt>
                <c:pt idx="52">
                  <c:v>12.864093994038733</c:v>
                </c:pt>
                <c:pt idx="53">
                  <c:v>11.20359149778702</c:v>
                </c:pt>
                <c:pt idx="54">
                  <c:v>9.6435713775949541</c:v>
                </c:pt>
                <c:pt idx="55">
                  <c:v>8.1870614757064608</c:v>
                </c:pt>
                <c:pt idx="56">
                  <c:v>6.8372125288695802</c:v>
                </c:pt>
                <c:pt idx="57">
                  <c:v>5.5973044675227746</c:v>
                </c:pt>
                <c:pt idx="58">
                  <c:v>4.4707531064485559</c:v>
                </c:pt>
                <c:pt idx="59">
                  <c:v>3.4611172555740621</c:v>
                </c:pt>
                <c:pt idx="60">
                  <c:v>2.5721062820247171</c:v>
                </c:pt>
                <c:pt idx="61">
                  <c:v>1.807588157197336</c:v>
                </c:pt>
                <c:pt idx="62">
                  <c:v>1.1715980255376985</c:v>
                </c:pt>
                <c:pt idx="63">
                  <c:v>0.66834733491342235</c:v>
                </c:pt>
                <c:pt idx="64">
                  <c:v>0.30223357199723216</c:v>
                </c:pt>
                <c:pt idx="65">
                  <c:v>7.7850649954292458E-2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pt)'!$AL$3:$AL$68</c:f>
              <c:numCache>
                <c:formatCode>_(* #,##0.00_);_(* \(#,##0.00\);_(* "-"??_);_(@_)</c:formatCode>
                <c:ptCount val="66"/>
                <c:pt idx="0">
                  <c:v>25.15565868085174</c:v>
                </c:pt>
                <c:pt idx="1">
                  <c:v>25.663896499475896</c:v>
                </c:pt>
                <c:pt idx="2">
                  <c:v>26.259905798287175</c:v>
                </c:pt>
                <c:pt idx="3">
                  <c:v>26.945423924952205</c:v>
                </c:pt>
                <c:pt idx="4">
                  <c:v>27.722234384316081</c:v>
                </c:pt>
                <c:pt idx="5">
                  <c:v>28.59216838152242</c:v>
                </c:pt>
                <c:pt idx="6">
                  <c:v>29.557106427458354</c:v>
                </c:pt>
                <c:pt idx="7">
                  <c:v>30.61898000948009</c:v>
                </c:pt>
                <c:pt idx="8">
                  <c:v>31.779773330537729</c:v>
                </c:pt>
                <c:pt idx="9">
                  <c:v>33.041525119988528</c:v>
                </c:pt>
                <c:pt idx="10">
                  <c:v>34.406330519569842</c:v>
                </c:pt>
                <c:pt idx="11">
                  <c:v>35.87634304819715</c:v>
                </c:pt>
                <c:pt idx="12">
                  <c:v>37.453776649457012</c:v>
                </c:pt>
                <c:pt idx="13">
                  <c:v>39.140907825885115</c:v>
                </c:pt>
                <c:pt idx="14">
                  <c:v>40.940077864350691</c:v>
                </c:pt>
                <c:pt idx="15">
                  <c:v>42.853695157117599</c:v>
                </c:pt>
                <c:pt idx="16">
                  <c:v>44.884237623415594</c:v>
                </c:pt>
                <c:pt idx="17">
                  <c:v>47.034255236636618</c:v>
                </c:pt>
                <c:pt idx="18">
                  <c:v>49.306372662570453</c:v>
                </c:pt>
                <c:pt idx="19">
                  <c:v>51.703292014413819</c:v>
                </c:pt>
                <c:pt idx="20">
                  <c:v>54.227795730627776</c:v>
                </c:pt>
                <c:pt idx="21">
                  <c:v>56.882749582082255</c:v>
                </c:pt>
                <c:pt idx="22">
                  <c:v>59.671105815314888</c:v>
                </c:pt>
                <c:pt idx="23">
                  <c:v>62.595906439147043</c:v>
                </c:pt>
                <c:pt idx="24">
                  <c:v>65.660286662342955</c:v>
                </c:pt>
                <c:pt idx="25">
                  <c:v>68.867478490473445</c:v>
                </c:pt>
                <c:pt idx="26">
                  <c:v>72.220814490652515</c:v>
                </c:pt>
                <c:pt idx="27">
                  <c:v>73.845425636631248</c:v>
                </c:pt>
                <c:pt idx="28">
                  <c:v>70.662971825976456</c:v>
                </c:pt>
                <c:pt idx="29">
                  <c:v>67.528368258631019</c:v>
                </c:pt>
                <c:pt idx="30">
                  <c:v>64.442767330163207</c:v>
                </c:pt>
                <c:pt idx="31">
                  <c:v>61.407358743863988</c:v>
                </c:pt>
                <c:pt idx="32">
                  <c:v>58.423371032895403</c:v>
                </c:pt>
                <c:pt idx="33">
                  <c:v>55.492073157578311</c:v>
                </c:pt>
                <c:pt idx="34">
                  <c:v>52.614776182182013</c:v>
                </c:pt>
                <c:pt idx="35">
                  <c:v>49.792835035871391</c:v>
                </c:pt>
                <c:pt idx="36">
                  <c:v>47.02765036278101</c:v>
                </c:pt>
                <c:pt idx="37">
                  <c:v>44.320670466523531</c:v>
                </c:pt>
                <c:pt idx="38">
                  <c:v>41.673393354804617</c:v>
                </c:pt>
                <c:pt idx="39">
                  <c:v>39.087368890208801</c:v>
                </c:pt>
                <c:pt idx="40">
                  <c:v>36.564201053644609</c:v>
                </c:pt>
                <c:pt idx="41">
                  <c:v>34.105550327394262</c:v>
                </c:pt>
                <c:pt idx="42">
                  <c:v>31.713136205206805</c:v>
                </c:pt>
                <c:pt idx="43">
                  <c:v>29.38873983740762</c:v>
                </c:pt>
                <c:pt idx="44">
                  <c:v>27.134206819573148</c:v>
                </c:pt>
                <c:pt idx="45">
                  <c:v>24.951450133945297</c:v>
                </c:pt>
                <c:pt idx="46">
                  <c:v>22.842453253435067</c:v>
                </c:pt>
                <c:pt idx="47">
                  <c:v>20.809273418798252</c:v>
                </c:pt>
                <c:pt idx="48">
                  <c:v>18.854045100360352</c:v>
                </c:pt>
                <c:pt idx="49">
                  <c:v>16.978983656530332</c:v>
                </c:pt>
                <c:pt idx="50">
                  <c:v>15.186389202279372</c:v>
                </c:pt>
                <c:pt idx="51">
                  <c:v>13.478650701778735</c:v>
                </c:pt>
                <c:pt idx="52">
                  <c:v>11.858250300498264</c:v>
                </c:pt>
                <c:pt idx="53">
                  <c:v>10.327767913272345</c:v>
                </c:pt>
                <c:pt idx="54">
                  <c:v>8.8898860861536928</c:v>
                </c:pt>
                <c:pt idx="55">
                  <c:v>7.5473951513073168</c:v>
                </c:pt>
                <c:pt idx="56">
                  <c:v>6.3031986957598942</c:v>
                </c:pt>
                <c:pt idx="57">
                  <c:v>5.1603193665269709</c:v>
                </c:pt>
                <c:pt idx="58">
                  <c:v>4.1219050365064316</c:v>
                </c:pt>
                <c:pt idx="59">
                  <c:v>3.1912353575688721</c:v>
                </c:pt>
                <c:pt idx="60">
                  <c:v>2.3717287295116911</c:v>
                </c:pt>
                <c:pt idx="61">
                  <c:v>1.6669497159953492</c:v>
                </c:pt>
                <c:pt idx="62">
                  <c:v>1.0806169412700795</c:v>
                </c:pt>
                <c:pt idx="63">
                  <c:v>0.61661150445572055</c:v>
                </c:pt>
                <c:pt idx="64">
                  <c:v>0.27898595138529153</c:v>
                </c:pt>
                <c:pt idx="65">
                  <c:v>7.1973847597365762E-2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pt)'!$AR$3:$AR$68</c:f>
              <c:numCache>
                <c:formatCode>_(* #,##0.00_);_(* \(#,##0.00\);_(* "-"??_);_(@_)</c:formatCode>
                <c:ptCount val="66"/>
                <c:pt idx="0">
                  <c:v>22.904213896054365</c:v>
                </c:pt>
                <c:pt idx="1">
                  <c:v>23.332149179094458</c:v>
                </c:pt>
                <c:pt idx="2">
                  <c:v>23.837437681656784</c:v>
                </c:pt>
                <c:pt idx="3">
                  <c:v>24.421610520451583</c:v>
                </c:pt>
                <c:pt idx="4">
                  <c:v>25.086239490343146</c:v>
                </c:pt>
                <c:pt idx="5">
                  <c:v>25.832938424304274</c:v>
                </c:pt>
                <c:pt idx="6">
                  <c:v>26.663364608298465</c:v>
                </c:pt>
                <c:pt idx="7">
                  <c:v>27.579220253694352</c:v>
                </c:pt>
                <c:pt idx="8">
                  <c:v>28.582254029961387</c:v>
                </c:pt>
                <c:pt idx="9">
                  <c:v>29.674262660545065</c:v>
                </c:pt>
                <c:pt idx="10">
                  <c:v>30.857092584981409</c:v>
                </c:pt>
                <c:pt idx="11">
                  <c:v>32.132641690480803</c:v>
                </c:pt>
                <c:pt idx="12">
                  <c:v>33.502861116392197</c:v>
                </c:pt>
                <c:pt idx="13">
                  <c:v>34.969757135151532</c:v>
                </c:pt>
                <c:pt idx="14">
                  <c:v>36.535393113524044</c:v>
                </c:pt>
                <c:pt idx="15">
                  <c:v>38.201891558167276</c:v>
                </c:pt>
                <c:pt idx="16">
                  <c:v>39.971436249775365</c:v>
                </c:pt>
                <c:pt idx="17">
                  <c:v>41.846274470312068</c:v>
                </c:pt>
                <c:pt idx="18">
                  <c:v>43.828719328104491</c:v>
                </c:pt>
                <c:pt idx="19">
                  <c:v>45.921152185851106</c:v>
                </c:pt>
                <c:pt idx="20">
                  <c:v>48.126025196897871</c:v>
                </c:pt>
                <c:pt idx="21">
                  <c:v>50.445863955457241</c:v>
                </c:pt>
                <c:pt idx="22">
                  <c:v>52.883270266787022</c:v>
                </c:pt>
                <c:pt idx="23">
                  <c:v>55.44092504371249</c:v>
                </c:pt>
                <c:pt idx="24">
                  <c:v>58.121591336265375</c:v>
                </c:pt>
                <c:pt idx="25">
                  <c:v>60.928117501632883</c:v>
                </c:pt>
                <c:pt idx="26">
                  <c:v>63.863440522056294</c:v>
                </c:pt>
                <c:pt idx="27">
                  <c:v>65.32803639257277</c:v>
                </c:pt>
                <c:pt idx="28">
                  <c:v>62.512877444336304</c:v>
                </c:pt>
                <c:pt idx="29">
                  <c:v>59.740041328494677</c:v>
                </c:pt>
                <c:pt idx="30">
                  <c:v>57.010547309398824</c:v>
                </c:pt>
                <c:pt idx="31">
                  <c:v>54.325447649118814</c:v>
                </c:pt>
                <c:pt idx="32">
                  <c:v>51.685828953753727</c:v>
                </c:pt>
                <c:pt idx="33">
                  <c:v>49.092813586200961</c:v>
                </c:pt>
                <c:pt idx="34">
                  <c:v>46.547561149244416</c:v>
                </c:pt>
                <c:pt idx="35">
                  <c:v>44.051270043078958</c:v>
                </c:pt>
                <c:pt idx="36">
                  <c:v>41.605179101666721</c:v>
                </c:pt>
                <c:pt idx="37">
                  <c:v>39.210569312619803</c:v>
                </c:pt>
                <c:pt idx="38">
                  <c:v>36.868765625626125</c:v>
                </c:pt>
                <c:pt idx="39">
                  <c:v>34.581138854782608</c:v>
                </c:pt>
                <c:pt idx="40">
                  <c:v>32.349107680574619</c:v>
                </c:pt>
                <c:pt idx="41">
                  <c:v>30.174140757644746</c:v>
                </c:pt>
                <c:pt idx="42">
                  <c:v>28.057758934930671</c:v>
                </c:pt>
                <c:pt idx="43">
                  <c:v>26.001537595223986</c:v>
                </c:pt>
                <c:pt idx="44">
                  <c:v>24.007109121711917</c:v>
                </c:pt>
                <c:pt idx="45">
                  <c:v>22.076165499616305</c:v>
                </c:pt>
                <c:pt idx="46">
                  <c:v>20.210461061642068</c:v>
                </c:pt>
                <c:pt idx="47">
                  <c:v>18.411815386595745</c:v>
                </c:pt>
                <c:pt idx="48">
                  <c:v>16.682116361237082</c:v>
                </c:pt>
                <c:pt idx="49">
                  <c:v>15.023323416190001</c:v>
                </c:pt>
                <c:pt idx="50">
                  <c:v>13.43747094756702</c:v>
                </c:pt>
                <c:pt idx="51">
                  <c:v>11.926671936862173</c:v>
                </c:pt>
                <c:pt idx="52">
                  <c:v>10.493121782646631</c:v>
                </c:pt>
                <c:pt idx="53">
                  <c:v>9.1391023586675395</c:v>
                </c:pt>
                <c:pt idx="54">
                  <c:v>7.8669863141123333</c:v>
                </c:pt>
                <c:pt idx="55">
                  <c:v>6.6792416330673818</c:v>
                </c:pt>
                <c:pt idx="56">
                  <c:v>5.5784364715823989</c:v>
                </c:pt>
                <c:pt idx="57">
                  <c:v>4.5672442922618171</c:v>
                </c:pt>
                <c:pt idx="58">
                  <c:v>3.6484493179551305</c:v>
                </c:pt>
                <c:pt idx="59">
                  <c:v>2.8249523279243793</c:v>
                </c:pt>
                <c:pt idx="60">
                  <c:v>2.0997768218449959</c:v>
                </c:pt>
                <c:pt idx="61">
                  <c:v>1.4760755791647557</c:v>
                </c:pt>
                <c:pt idx="62">
                  <c:v>0.95713764372473709</c:v>
                </c:pt>
                <c:pt idx="63">
                  <c:v>0.54639576615949559</c:v>
                </c:pt>
                <c:pt idx="64">
                  <c:v>0.24743433946649701</c:v>
                </c:pt>
                <c:pt idx="65">
                  <c:v>6.3997866296553865E-2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pt)'!$AX$3:$AX$68</c:f>
              <c:numCache>
                <c:formatCode>_(* #,##0.00_);_(* \(#,##0.00\);_(* "-"??_);_(@_)</c:formatCode>
                <c:ptCount val="66"/>
                <c:pt idx="0">
                  <c:v>19.236463546879772</c:v>
                </c:pt>
                <c:pt idx="1">
                  <c:v>19.594514635749018</c:v>
                </c:pt>
                <c:pt idx="2">
                  <c:v>20.017457631654811</c:v>
                </c:pt>
                <c:pt idx="3">
                  <c:v>20.506576980341158</c:v>
                </c:pt>
                <c:pt idx="4">
                  <c:v>21.063191252195793</c:v>
                </c:pt>
                <c:pt idx="5">
                  <c:v>21.688654283112417</c:v>
                </c:pt>
                <c:pt idx="6">
                  <c:v>22.384356361431824</c:v>
                </c:pt>
                <c:pt idx="7">
                  <c:v>23.151725463147233</c:v>
                </c:pt>
                <c:pt idx="8">
                  <c:v>23.992228537679512</c:v>
                </c:pt>
                <c:pt idx="9">
                  <c:v>24.907372846654393</c:v>
                </c:pt>
                <c:pt idx="10">
                  <c:v>25.898707358247865</c:v>
                </c:pt>
                <c:pt idx="11">
                  <c:v>26.967824199809947</c:v>
                </c:pt>
                <c:pt idx="12">
                  <c:v>28.116360171628006</c:v>
                </c:pt>
                <c:pt idx="13">
                  <c:v>29.345998324853475</c:v>
                </c:pt>
                <c:pt idx="14">
                  <c:v>30.658469606787342</c:v>
                </c:pt>
                <c:pt idx="15">
                  <c:v>32.055554576903013</c:v>
                </c:pt>
                <c:pt idx="16">
                  <c:v>33.539085197180626</c:v>
                </c:pt>
                <c:pt idx="17">
                  <c:v>35.110946700534171</c:v>
                </c:pt>
                <c:pt idx="18">
                  <c:v>36.773079541334887</c:v>
                </c:pt>
                <c:pt idx="19">
                  <c:v>38.527481432270193</c:v>
                </c:pt>
                <c:pt idx="20">
                  <c:v>40.376209472029736</c:v>
                </c:pt>
                <c:pt idx="21">
                  <c:v>42.321382368579229</c:v>
                </c:pt>
                <c:pt idx="22">
                  <c:v>44.365182763069747</c:v>
                </c:pt>
                <c:pt idx="23">
                  <c:v>46.509859659737728</c:v>
                </c:pt>
                <c:pt idx="24">
                  <c:v>48.757730967477976</c:v>
                </c:pt>
                <c:pt idx="25">
                  <c:v>51.1111861591246</c:v>
                </c:pt>
                <c:pt idx="26">
                  <c:v>53.572689054848176</c:v>
                </c:pt>
                <c:pt idx="27">
                  <c:v>54.827772938944733</c:v>
                </c:pt>
                <c:pt idx="28">
                  <c:v>52.465416218015967</c:v>
                </c:pt>
                <c:pt idx="29">
                  <c:v>50.138568120437988</c:v>
                </c:pt>
                <c:pt idx="30">
                  <c:v>47.848083785990625</c:v>
                </c:pt>
                <c:pt idx="31">
                  <c:v>45.594846038787473</c:v>
                </c:pt>
                <c:pt idx="32">
                  <c:v>43.379766516811181</c:v>
                </c:pt>
                <c:pt idx="33">
                  <c:v>41.203786857208158</c:v>
                </c:pt>
                <c:pt idx="34">
                  <c:v>39.067879940580852</c:v>
                </c:pt>
                <c:pt idx="35">
                  <c:v>36.973051197732183</c:v>
                </c:pt>
                <c:pt idx="36">
                  <c:v>34.920339982549912</c:v>
                </c:pt>
                <c:pt idx="37">
                  <c:v>32.910821014970047</c:v>
                </c:pt>
                <c:pt idx="38">
                  <c:v>30.945605898228035</c:v>
                </c:pt>
                <c:pt idx="39">
                  <c:v>29.025844714898874</c:v>
                </c:pt>
                <c:pt idx="40">
                  <c:v>27.152727706540784</c:v>
                </c:pt>
                <c:pt idx="41">
                  <c:v>25.327487042096788</c:v>
                </c:pt>
                <c:pt idx="42">
                  <c:v>23.551398680574817</c:v>
                </c:pt>
                <c:pt idx="43">
                  <c:v>21.825784333922922</c:v>
                </c:pt>
                <c:pt idx="44">
                  <c:v>20.152013536444191</c:v>
                </c:pt>
                <c:pt idx="45">
                  <c:v>18.531505827559677</c:v>
                </c:pt>
                <c:pt idx="46">
                  <c:v>16.965733055228956</c:v>
                </c:pt>
                <c:pt idx="47">
                  <c:v>15.456221807882192</c:v>
                </c:pt>
                <c:pt idx="48">
                  <c:v>14.004555983306796</c:v>
                </c:pt>
                <c:pt idx="49">
                  <c:v>12.612379503572205</c:v>
                </c:pt>
                <c:pt idx="50">
                  <c:v>11.281399185771066</c:v>
                </c:pt>
                <c:pt idx="51">
                  <c:v>10.01338777911066</c:v>
                </c:pt>
                <c:pt idx="52">
                  <c:v>8.8101871797103897</c:v>
                </c:pt>
                <c:pt idx="53">
                  <c:v>7.6737118353554834</c:v>
                </c:pt>
                <c:pt idx="54">
                  <c:v>6.6059523534320919</c:v>
                </c:pt>
                <c:pt idx="55">
                  <c:v>5.6089793263315038</c:v>
                </c:pt>
                <c:pt idx="56">
                  <c:v>4.6849473897713478</c:v>
                </c:pt>
                <c:pt idx="57">
                  <c:v>3.8360995307483927</c:v>
                </c:pt>
                <c:pt idx="58">
                  <c:v>3.0647716632226825</c:v>
                </c:pt>
                <c:pt idx="59">
                  <c:v>2.373397491148173</c:v>
                </c:pt>
                <c:pt idx="60">
                  <c:v>1.7645136801247792</c:v>
                </c:pt>
                <c:pt idx="61">
                  <c:v>1.2407653607661802</c:v>
                </c:pt>
                <c:pt idx="62">
                  <c:v>0.8049119888740478</c:v>
                </c:pt>
                <c:pt idx="63">
                  <c:v>0.45983358970200022</c:v>
                </c:pt>
                <c:pt idx="64">
                  <c:v>0.20853741600311537</c:v>
                </c:pt>
                <c:pt idx="65">
                  <c:v>5.4165052207640708E-2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pt)'!$BD$3:$BD$68</c:f>
              <c:numCache>
                <c:formatCode>_(* #,##0.00_);_(* \(#,##0.00\);_(* "-"??_);_(@_)</c:formatCode>
                <c:ptCount val="66"/>
                <c:pt idx="0">
                  <c:v>14.57794864612568</c:v>
                </c:pt>
                <c:pt idx="1">
                  <c:v>14.868477264669359</c:v>
                </c:pt>
                <c:pt idx="2">
                  <c:v>15.209638392418002</c:v>
                </c:pt>
                <c:pt idx="3">
                  <c:v>15.602434212468559</c:v>
                </c:pt>
                <c:pt idx="4">
                  <c:v>16.047893533405809</c:v>
                </c:pt>
                <c:pt idx="5">
                  <c:v>16.547072679454637</c:v>
                </c:pt>
                <c:pt idx="6">
                  <c:v>17.1010564165855</c:v>
                </c:pt>
                <c:pt idx="7">
                  <c:v>17.710958916278067</c:v>
                </c:pt>
                <c:pt idx="8">
                  <c:v>18.377924758742331</c:v>
                </c:pt>
                <c:pt idx="9">
                  <c:v>19.103129977494458</c:v>
                </c:pt>
                <c:pt idx="10">
                  <c:v>19.887783147290072</c:v>
                </c:pt>
                <c:pt idx="11">
                  <c:v>20.7331265175293</c:v>
                </c:pt>
                <c:pt idx="12">
                  <c:v>21.640437193366438</c:v>
                </c:pt>
                <c:pt idx="13">
                  <c:v>22.611028366883193</c:v>
                </c:pt>
                <c:pt idx="14">
                  <c:v>23.646250600819013</c:v>
                </c:pt>
                <c:pt idx="15">
                  <c:v>24.747493167494749</c:v>
                </c:pt>
                <c:pt idx="16">
                  <c:v>25.91618544571806</c:v>
                </c:pt>
                <c:pt idx="17">
                  <c:v>27.153798378621488</c:v>
                </c:pt>
                <c:pt idx="18">
                  <c:v>28.461845995556473</c:v>
                </c:pt>
                <c:pt idx="19">
                  <c:v>29.841887001351438</c:v>
                </c:pt>
                <c:pt idx="20">
                  <c:v>31.295526436438429</c:v>
                </c:pt>
                <c:pt idx="21">
                  <c:v>32.82441741156287</c:v>
                </c:pt>
                <c:pt idx="22">
                  <c:v>34.430262921015114</c:v>
                </c:pt>
                <c:pt idx="23">
                  <c:v>36.114817738561975</c:v>
                </c:pt>
                <c:pt idx="24">
                  <c:v>37.879890400512636</c:v>
                </c:pt>
                <c:pt idx="25">
                  <c:v>39.727345280626892</c:v>
                </c:pt>
                <c:pt idx="26">
                  <c:v>41.6591047618668</c:v>
                </c:pt>
                <c:pt idx="27">
                  <c:v>42.663680467395906</c:v>
                </c:pt>
                <c:pt idx="28">
                  <c:v>40.825875172116483</c:v>
                </c:pt>
                <c:pt idx="29">
                  <c:v>39.015684539307863</c:v>
                </c:pt>
                <c:pt idx="30">
                  <c:v>37.233773577667129</c:v>
                </c:pt>
                <c:pt idx="31">
                  <c:v>35.480828824902318</c:v>
                </c:pt>
                <c:pt idx="32">
                  <c:v>33.757559226143883</c:v>
                </c:pt>
                <c:pt idx="33">
                  <c:v>32.064697055720188</c:v>
                </c:pt>
                <c:pt idx="34">
                  <c:v>30.40299888481524</c:v>
                </c:pt>
                <c:pt idx="35">
                  <c:v>28.773246597695351</c:v>
                </c:pt>
                <c:pt idx="36">
                  <c:v>27.176248459373149</c:v>
                </c:pt>
                <c:pt idx="37">
                  <c:v>25.612840237771874</c:v>
                </c:pt>
                <c:pt idx="38">
                  <c:v>24.083886383663884</c:v>
                </c:pt>
                <c:pt idx="39">
                  <c:v>22.590281271883502</c:v>
                </c:pt>
                <c:pt idx="40">
                  <c:v>21.132950507558981</c:v>
                </c:pt>
                <c:pt idx="41">
                  <c:v>19.712852301372163</c:v>
                </c:pt>
                <c:pt idx="42">
                  <c:v>18.330978918139525</c:v>
                </c:pt>
                <c:pt idx="43">
                  <c:v>16.988358203315943</c:v>
                </c:pt>
                <c:pt idx="44">
                  <c:v>15.686055192355829</c:v>
                </c:pt>
                <c:pt idx="45">
                  <c:v>14.425173808226505</c:v>
                </c:pt>
                <c:pt idx="46">
                  <c:v>13.206858652758992</c:v>
                </c:pt>
                <c:pt idx="47">
                  <c:v>12.032296897944303</c:v>
                </c:pt>
                <c:pt idx="48">
                  <c:v>10.90272028374198</c:v>
                </c:pt>
                <c:pt idx="49">
                  <c:v>9.8194072294653569</c:v>
                </c:pt>
                <c:pt idx="50">
                  <c:v>8.7836850663487276</c:v>
                </c:pt>
                <c:pt idx="51">
                  <c:v>7.7969323994889885</c:v>
                </c:pt>
                <c:pt idx="52">
                  <c:v>6.8605816079937636</c:v>
                </c:pt>
                <c:pt idx="53">
                  <c:v>5.9761214928636246</c:v>
                </c:pt>
                <c:pt idx="54">
                  <c:v>5.1451000828942606</c:v>
                </c:pt>
                <c:pt idx="55">
                  <c:v>4.3691276097109908</c:v>
                </c:pt>
                <c:pt idx="56">
                  <c:v>3.6498796639502786</c:v>
                </c:pt>
                <c:pt idx="57">
                  <c:v>2.9891005455881832</c:v>
                </c:pt>
                <c:pt idx="58">
                  <c:v>2.3886068224929877</c:v>
                </c:pt>
                <c:pt idx="59">
                  <c:v>1.8502911124579271</c:v>
                </c:pt>
                <c:pt idx="60">
                  <c:v>1.3761261052608731</c:v>
                </c:pt>
                <c:pt idx="61">
                  <c:v>0.96816884271294745</c:v>
                </c:pt>
                <c:pt idx="62">
                  <c:v>0.62856527621075087</c:v>
                </c:pt>
                <c:pt idx="63">
                  <c:v>0.35955512301232062</c:v>
                </c:pt>
                <c:pt idx="64">
                  <c:v>0.16347704433178825</c:v>
                </c:pt>
                <c:pt idx="65">
                  <c:v>4.2774170411073842E-2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pt)'!$BJ$3:$BJ$68</c:f>
              <c:numCache>
                <c:formatCode>_(* #,##0.00_);_(* \(#,##0.00\);_(* "-"??_);_(@_)</c:formatCode>
                <c:ptCount val="66"/>
                <c:pt idx="0">
                  <c:v>9.2034972397165689</c:v>
                </c:pt>
                <c:pt idx="1">
                  <c:v>9.4265970592931598</c:v>
                </c:pt>
                <c:pt idx="2">
                  <c:v>9.6846484517093963</c:v>
                </c:pt>
                <c:pt idx="3">
                  <c:v>9.9783431990910962</c:v>
                </c:pt>
                <c:pt idx="4">
                  <c:v>10.308391462284211</c:v>
                </c:pt>
                <c:pt idx="5">
                  <c:v>10.67552239530122</c:v>
                </c:pt>
                <c:pt idx="6">
                  <c:v>11.080484784585032</c:v>
                </c:pt>
                <c:pt idx="7">
                  <c:v>11.524047714267899</c:v>
                </c:pt>
                <c:pt idx="8">
                  <c:v>12.007001258666737</c:v>
                </c:pt>
                <c:pt idx="9">
                  <c:v>12.530157203325128</c:v>
                </c:pt>
                <c:pt idx="10">
                  <c:v>13.094349795984096</c:v>
                </c:pt>
                <c:pt idx="11">
                  <c:v>13.70043652894123</c:v>
                </c:pt>
                <c:pt idx="12">
                  <c:v>14.349298954339575</c:v>
                </c:pt>
                <c:pt idx="13">
                  <c:v>15.041843534014554</c:v>
                </c:pt>
                <c:pt idx="14">
                  <c:v>15.779002525620294</c:v>
                </c:pt>
                <c:pt idx="15">
                  <c:v>16.561734906855055</c:v>
                </c:pt>
                <c:pt idx="16">
                  <c:v>17.391027339710686</c:v>
                </c:pt>
                <c:pt idx="17">
                  <c:v>18.267895176783036</c:v>
                </c:pt>
                <c:pt idx="18">
                  <c:v>19.193383511799365</c:v>
                </c:pt>
                <c:pt idx="19">
                  <c:v>20.168568276646443</c:v>
                </c:pt>
                <c:pt idx="20">
                  <c:v>21.194557387318291</c:v>
                </c:pt>
                <c:pt idx="21">
                  <c:v>22.272491941347894</c:v>
                </c:pt>
                <c:pt idx="22">
                  <c:v>23.403547469441754</c:v>
                </c:pt>
                <c:pt idx="23">
                  <c:v>24.588935244201462</c:v>
                </c:pt>
                <c:pt idx="24">
                  <c:v>25.829903648993309</c:v>
                </c:pt>
                <c:pt idx="25">
                  <c:v>27.127739610216043</c:v>
                </c:pt>
                <c:pt idx="26">
                  <c:v>28.483770096418919</c:v>
                </c:pt>
                <c:pt idx="27">
                  <c:v>29.205358772346525</c:v>
                </c:pt>
                <c:pt idx="28">
                  <c:v>27.947915871425543</c:v>
                </c:pt>
                <c:pt idx="29">
                  <c:v>26.709353774266265</c:v>
                </c:pt>
                <c:pt idx="30">
                  <c:v>25.490127129008108</c:v>
                </c:pt>
                <c:pt idx="31">
                  <c:v>24.290705302567552</c:v>
                </c:pt>
                <c:pt idx="32">
                  <c:v>23.111572981206908</c:v>
                </c:pt>
                <c:pt idx="33">
                  <c:v>21.953230800752699</c:v>
                </c:pt>
                <c:pt idx="34">
                  <c:v>20.816196008185631</c:v>
                </c:pt>
                <c:pt idx="35">
                  <c:v>19.701003156439274</c:v>
                </c:pt>
                <c:pt idx="36">
                  <c:v>18.608204834368745</c:v>
                </c:pt>
                <c:pt idx="37">
                  <c:v>17.538372433983984</c:v>
                </c:pt>
                <c:pt idx="38">
                  <c:v>16.492096957186092</c:v>
                </c:pt>
                <c:pt idx="39">
                  <c:v>15.469989864400283</c:v>
                </c:pt>
                <c:pt idx="40">
                  <c:v>14.472683967666022</c:v>
                </c:pt>
                <c:pt idx="41">
                  <c:v>13.500834370925533</c:v>
                </c:pt>
                <c:pt idx="42">
                  <c:v>12.55511946044653</c:v>
                </c:pt>
                <c:pt idx="43">
                  <c:v>11.636241948525816</c:v>
                </c:pt>
                <c:pt idx="44">
                  <c:v>10.744929973847984</c:v>
                </c:pt>
                <c:pt idx="45">
                  <c:v>9.8819382621199612</c:v>
                </c:pt>
                <c:pt idx="46">
                  <c:v>9.0480493508689914</c:v>
                </c:pt>
                <c:pt idx="47">
                  <c:v>8.2440748825809322</c:v>
                </c:pt>
                <c:pt idx="48">
                  <c:v>7.4708569706693089</c:v>
                </c:pt>
                <c:pt idx="49">
                  <c:v>6.7292696431060222</c:v>
                </c:pt>
                <c:pt idx="50">
                  <c:v>6.020220368914317</c:v>
                </c:pt>
                <c:pt idx="51">
                  <c:v>5.3446516731264095</c:v>
                </c:pt>
                <c:pt idx="52">
                  <c:v>4.7035428462453348</c:v>
                </c:pt>
                <c:pt idx="53">
                  <c:v>4.0979117547264163</c:v>
                </c:pt>
                <c:pt idx="54">
                  <c:v>3.5288167595122166</c:v>
                </c:pt>
                <c:pt idx="55">
                  <c:v>2.9973587502201142</c:v>
                </c:pt>
                <c:pt idx="56">
                  <c:v>2.5046833031987199</c:v>
                </c:pt>
                <c:pt idx="57">
                  <c:v>2.0519829723431129</c:v>
                </c:pt>
                <c:pt idx="58">
                  <c:v>1.6404997222956983</c:v>
                </c:pt>
                <c:pt idx="59">
                  <c:v>1.2715275144655434</c:v>
                </c:pt>
                <c:pt idx="60">
                  <c:v>0.94641505718192198</c:v>
                </c:pt>
                <c:pt idx="61">
                  <c:v>0.66656873226560998</c:v>
                </c:pt>
                <c:pt idx="62">
                  <c:v>0.43345571136337857</c:v>
                </c:pt>
                <c:pt idx="63">
                  <c:v>0.24860727655747011</c:v>
                </c:pt>
                <c:pt idx="64">
                  <c:v>0.11362236104410084</c:v>
                </c:pt>
                <c:pt idx="65">
                  <c:v>3.0171327086177667E-2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pt)'!$BP$3:$BP$68</c:f>
              <c:numCache>
                <c:formatCode>_(* #,##0.00_);_(* \(#,##0.00\);_(* "-"??_);_(@_)</c:formatCode>
                <c:ptCount val="66"/>
                <c:pt idx="0">
                  <c:v>3.3401355314270784</c:v>
                </c:pt>
                <c:pt idx="1">
                  <c:v>3.4958836286960322</c:v>
                </c:pt>
                <c:pt idx="2">
                  <c:v>3.6699301625955032</c:v>
                </c:pt>
                <c:pt idx="3">
                  <c:v>3.8626372703649543</c:v>
                </c:pt>
                <c:pt idx="4">
                  <c:v>4.0743767098986714</c:v>
                </c:pt>
                <c:pt idx="5">
                  <c:v>4.3055301813908553</c:v>
                </c:pt>
                <c:pt idx="6">
                  <c:v>4.5564896619724369</c:v>
                </c:pt>
                <c:pt idx="7">
                  <c:v>4.8276577539559362</c:v>
                </c:pt>
                <c:pt idx="8">
                  <c:v>5.1194480473384258</c:v>
                </c:pt>
                <c:pt idx="9">
                  <c:v>5.4322854972483841</c:v>
                </c:pt>
                <c:pt idx="10">
                  <c:v>5.7666068170600351</c:v>
                </c:pt>
                <c:pt idx="11">
                  <c:v>6.1228608879393747</c:v>
                </c:pt>
                <c:pt idx="12">
                  <c:v>6.501509185628688</c:v>
                </c:pt>
                <c:pt idx="13">
                  <c:v>6.9030262253221197</c:v>
                </c:pt>
                <c:pt idx="14">
                  <c:v>7.3279000255334514</c:v>
                </c:pt>
                <c:pt idx="15">
                  <c:v>7.7766325919086325</c:v>
                </c:pt>
                <c:pt idx="16">
                  <c:v>8.2497404219910084</c:v>
                </c:pt>
                <c:pt idx="17">
                  <c:v>8.7477550320054203</c:v>
                </c:pt>
                <c:pt idx="18">
                  <c:v>9.2712235067900917</c:v>
                </c:pt>
                <c:pt idx="19">
                  <c:v>9.8207090740717753</c:v>
                </c:pt>
                <c:pt idx="20">
                  <c:v>10.396791704350639</c:v>
                </c:pt>
                <c:pt idx="21">
                  <c:v>11.000068737737323</c:v>
                </c:pt>
                <c:pt idx="22">
                  <c:v>11.631155539165638</c:v>
                </c:pt>
                <c:pt idx="23">
                  <c:v>12.290686183490903</c:v>
                </c:pt>
                <c:pt idx="24">
                  <c:v>12.97931417207641</c:v>
                </c:pt>
                <c:pt idx="25">
                  <c:v>13.697713182569604</c:v>
                </c:pt>
                <c:pt idx="26">
                  <c:v>14.446577853675381</c:v>
                </c:pt>
                <c:pt idx="27">
                  <c:v>14.861732148261288</c:v>
                </c:pt>
                <c:pt idx="28">
                  <c:v>14.222828592732803</c:v>
                </c:pt>
                <c:pt idx="29">
                  <c:v>13.593497458305146</c:v>
                </c:pt>
                <c:pt idx="30">
                  <c:v>12.97396919478423</c:v>
                </c:pt>
                <c:pt idx="31">
                  <c:v>12.364481712533621</c:v>
                </c:pt>
                <c:pt idx="32">
                  <c:v>11.765280686923711</c:v>
                </c:pt>
                <c:pt idx="33">
                  <c:v>11.176619877814066</c:v>
                </c:pt>
                <c:pt idx="34">
                  <c:v>10.598761464942099</c:v>
                </c:pt>
                <c:pt idx="35">
                  <c:v>10.031976400149809</c:v>
                </c:pt>
                <c:pt idx="36">
                  <c:v>9.4765447774432001</c:v>
                </c:pt>
                <c:pt idx="37">
                  <c:v>8.9327562219466312</c:v>
                </c:pt>
                <c:pt idx="38">
                  <c:v>8.4009102988873838</c:v>
                </c:pt>
                <c:pt idx="39">
                  <c:v>7.8813169438242827</c:v>
                </c:pt>
                <c:pt idx="40">
                  <c:v>7.3742969154190803</c:v>
                </c:pt>
                <c:pt idx="41">
                  <c:v>6.8801822721407753</c:v>
                </c:pt>
                <c:pt idx="42">
                  <c:v>6.3993168743919249</c:v>
                </c:pt>
                <c:pt idx="43">
                  <c:v>5.9320569136528354</c:v>
                </c:pt>
                <c:pt idx="44">
                  <c:v>5.478771470355027</c:v>
                </c:pt>
                <c:pt idx="45">
                  <c:v>5.0398431023203871</c:v>
                </c:pt>
                <c:pt idx="46">
                  <c:v>4.6156684657378397</c:v>
                </c:pt>
                <c:pt idx="47">
                  <c:v>4.2066589707960622</c:v>
                </c:pt>
                <c:pt idx="48">
                  <c:v>3.8132414742498719</c:v>
                </c:pt>
                <c:pt idx="49">
                  <c:v>3.4358590113706646</c:v>
                </c:pt>
                <c:pt idx="50">
                  <c:v>3.0749715699187754</c:v>
                </c:pt>
                <c:pt idx="51">
                  <c:v>2.731056908979534</c:v>
                </c:pt>
                <c:pt idx="52">
                  <c:v>2.4046114257265523</c:v>
                </c:pt>
                <c:pt idx="53">
                  <c:v>2.0961510734171727</c:v>
                </c:pt>
                <c:pt idx="54">
                  <c:v>1.8062123341880967</c:v>
                </c:pt>
                <c:pt idx="55">
                  <c:v>1.5353532505059706</c:v>
                </c:pt>
                <c:pt idx="56">
                  <c:v>1.2841545194407904</c:v>
                </c:pt>
                <c:pt idx="57">
                  <c:v>1.0532206542718603</c:v>
                </c:pt>
                <c:pt idx="58">
                  <c:v>0.84318121830985127</c:v>
                </c:pt>
                <c:pt idx="59">
                  <c:v>0.6546921362275101</c:v>
                </c:pt>
                <c:pt idx="60">
                  <c:v>0.48843708863952257</c:v>
                </c:pt>
                <c:pt idx="61">
                  <c:v>0.34512899616309128</c:v>
                </c:pt>
                <c:pt idx="62">
                  <c:v>0.22551159972961474</c:v>
                </c:pt>
                <c:pt idx="63">
                  <c:v>0.13036114450966008</c:v>
                </c:pt>
                <c:pt idx="64">
                  <c:v>6.0488175464062419E-2</c:v>
                </c:pt>
                <c:pt idx="65">
                  <c:v>1.6739453250032722E-2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(1 pt)'!$BV$3:$BV$68</c:f>
              <c:numCache>
                <c:formatCode>_(* #,##0.00_);_(* \(#,##0.00\);_(* "-"??_);_(@_)</c:formatCode>
                <c:ptCount val="66"/>
                <c:pt idx="0">
                  <c:v>-2.8037357351280154</c:v>
                </c:pt>
                <c:pt idx="1">
                  <c:v>-2.7141960995403407</c:v>
                </c:pt>
                <c:pt idx="2">
                  <c:v>-2.6234902371850373</c:v>
                </c:pt>
                <c:pt idx="3">
                  <c:v>-2.5315951383843096</c:v>
                </c:pt>
                <c:pt idx="4">
                  <c:v>-2.4384871828271675</c:v>
                </c:pt>
                <c:pt idx="5">
                  <c:v>-2.3441421191502654</c:v>
                </c:pt>
                <c:pt idx="6">
                  <c:v>-2.2485350436932179</c:v>
                </c:pt>
                <c:pt idx="7">
                  <c:v>-2.1516403783891693</c:v>
                </c:pt>
                <c:pt idx="8">
                  <c:v>-2.0534318477492488</c:v>
                </c:pt>
                <c:pt idx="9">
                  <c:v>-1.9538824548972737</c:v>
                </c:pt>
                <c:pt idx="10">
                  <c:v>-1.8529644566086529</c:v>
                </c:pt>
                <c:pt idx="11">
                  <c:v>-1.7506493373048411</c:v>
                </c:pt>
                <c:pt idx="12">
                  <c:v>-1.646907781952003</c:v>
                </c:pt>
                <c:pt idx="13">
                  <c:v>-1.5417096478095964</c:v>
                </c:pt>
                <c:pt idx="14">
                  <c:v>-1.4350239349715339</c:v>
                </c:pt>
                <c:pt idx="15">
                  <c:v>-1.326818755639239</c:v>
                </c:pt>
                <c:pt idx="16">
                  <c:v>-1.2170613020624517</c:v>
                </c:pt>
                <c:pt idx="17">
                  <c:v>-1.1057178130798708</c:v>
                </c:pt>
                <c:pt idx="18">
                  <c:v>-0.9927535391877409</c:v>
                </c:pt>
                <c:pt idx="19">
                  <c:v>-0.87813270606025395</c:v>
                </c:pt>
                <c:pt idx="20">
                  <c:v>-0.76181847644108469</c:v>
                </c:pt>
                <c:pt idx="21">
                  <c:v>-0.6437729103205504</c:v>
                </c:pt>
                <c:pt idx="22">
                  <c:v>-0.52395692330771104</c:v>
                </c:pt>
                <c:pt idx="23">
                  <c:v>-0.40233024310120041</c:v>
                </c:pt>
                <c:pt idx="24">
                  <c:v>-0.27885136395667831</c:v>
                </c:pt>
                <c:pt idx="25">
                  <c:v>-0.15347749904247135</c:v>
                </c:pt>
                <c:pt idx="26">
                  <c:v>-2.6164530568217263E-2</c:v>
                </c:pt>
                <c:pt idx="27">
                  <c:v>6.8624431887733983E-2</c:v>
                </c:pt>
                <c:pt idx="28">
                  <c:v>6.7643167772074617E-2</c:v>
                </c:pt>
                <c:pt idx="29">
                  <c:v>6.6634248641454688E-2</c:v>
                </c:pt>
                <c:pt idx="30">
                  <c:v>6.5596900345384943E-2</c:v>
                </c:pt>
                <c:pt idx="31">
                  <c:v>6.453032362336962E-2</c:v>
                </c:pt>
                <c:pt idx="32">
                  <c:v>6.343369315514899E-2</c:v>
                </c:pt>
                <c:pt idx="33">
                  <c:v>6.2306156569529786E-2</c:v>
                </c:pt>
                <c:pt idx="34">
                  <c:v>6.1146833409748753E-2</c:v>
                </c:pt>
                <c:pt idx="35">
                  <c:v>5.9954814053201286E-2</c:v>
                </c:pt>
                <c:pt idx="36">
                  <c:v>5.8729158583243193E-2</c:v>
                </c:pt>
                <c:pt idx="37">
                  <c:v>5.7468895610646956E-2</c:v>
                </c:pt>
                <c:pt idx="38">
                  <c:v>5.6173021042154617E-2</c:v>
                </c:pt>
                <c:pt idx="39">
                  <c:v>5.4840496793423572E-2</c:v>
                </c:pt>
                <c:pt idx="40">
                  <c:v>5.3470249443507298E-2</c:v>
                </c:pt>
                <c:pt idx="41">
                  <c:v>5.2061168827846158E-2</c:v>
                </c:pt>
                <c:pt idx="42">
                  <c:v>5.0612106566568858E-2</c:v>
                </c:pt>
                <c:pt idx="43">
                  <c:v>4.9121874524716509E-2</c:v>
                </c:pt>
                <c:pt idx="44">
                  <c:v>4.758924320080285E-2</c:v>
                </c:pt>
                <c:pt idx="45">
                  <c:v>4.6012940039910778E-2</c:v>
                </c:pt>
                <c:pt idx="46">
                  <c:v>4.4391647667298514E-2</c:v>
                </c:pt>
                <c:pt idx="47">
                  <c:v>4.2724002038247735E-2</c:v>
                </c:pt>
                <c:pt idx="48">
                  <c:v>4.100859049962733E-2</c:v>
                </c:pt>
                <c:pt idx="49">
                  <c:v>3.9243949758371047E-2</c:v>
                </c:pt>
                <c:pt idx="50">
                  <c:v>3.7428563751774349E-2</c:v>
                </c:pt>
                <c:pt idx="51">
                  <c:v>3.5560861414200388E-2</c:v>
                </c:pt>
                <c:pt idx="52">
                  <c:v>3.3639214334450399E-2</c:v>
                </c:pt>
                <c:pt idx="53">
                  <c:v>3.1661934297694788E-2</c:v>
                </c:pt>
                <c:pt idx="54">
                  <c:v>2.9627270705477295E-2</c:v>
                </c:pt>
                <c:pt idx="55">
                  <c:v>2.7533407866894035E-2</c:v>
                </c:pt>
                <c:pt idx="56">
                  <c:v>2.5378462153609796E-2</c:v>
                </c:pt>
                <c:pt idx="57">
                  <c:v>2.3160479010902933E-2</c:v>
                </c:pt>
                <c:pt idx="58">
                  <c:v>2.0877429816425864E-2</c:v>
                </c:pt>
                <c:pt idx="59">
                  <c:v>1.8527208577827234E-2</c:v>
                </c:pt>
                <c:pt idx="60">
                  <c:v>1.6107628459801727E-2</c:v>
                </c:pt>
                <c:pt idx="61">
                  <c:v>1.3616418130511371E-2</c:v>
                </c:pt>
                <c:pt idx="62">
                  <c:v>1.1051217916653531E-2</c:v>
                </c:pt>
                <c:pt idx="63">
                  <c:v>8.409575755733369E-3</c:v>
                </c:pt>
                <c:pt idx="64">
                  <c:v>5.6889429333272607E-3</c:v>
                </c:pt>
                <c:pt idx="65">
                  <c:v>2.8866695922941492E-3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75968"/>
        <c:axId val="97077888"/>
      </c:scatterChart>
      <c:valAx>
        <c:axId val="970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97077888"/>
        <c:crosses val="autoZero"/>
        <c:crossBetween val="midCat"/>
      </c:valAx>
      <c:valAx>
        <c:axId val="9707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7075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pt)'!$U$3:$U$68</c:f>
              <c:numCache>
                <c:formatCode>_(* #,##0.00_);_(* \(#,##0.00\);_(* "-"??_);_(@_)</c:formatCode>
                <c:ptCount val="66"/>
                <c:pt idx="0">
                  <c:v>-9.9441478656666309</c:v>
                </c:pt>
                <c:pt idx="1">
                  <c:v>-10.164161165326842</c:v>
                </c:pt>
                <c:pt idx="2">
                  <c:v>-10.293411504704293</c:v>
                </c:pt>
                <c:pt idx="3">
                  <c:v>-10.330102134791995</c:v>
                </c:pt>
                <c:pt idx="4">
                  <c:v>-10.272388578597809</c:v>
                </c:pt>
                <c:pt idx="5">
                  <c:v>-10.118377035988667</c:v>
                </c:pt>
                <c:pt idx="6">
                  <c:v>-9.8661227241322784</c:v>
                </c:pt>
                <c:pt idx="7">
                  <c:v>-9.5136281504835569</c:v>
                </c:pt>
                <c:pt idx="8">
                  <c:v>-9.0588413150935025</c:v>
                </c:pt>
                <c:pt idx="9">
                  <c:v>-8.4996538388447522</c:v>
                </c:pt>
                <c:pt idx="10">
                  <c:v>-7.8338990140266418</c:v>
                </c:pt>
                <c:pt idx="11">
                  <c:v>-7.0593497734655681</c:v>
                </c:pt>
                <c:pt idx="12">
                  <c:v>-6.1737165742125066</c:v>
                </c:pt>
                <c:pt idx="13">
                  <c:v>-5.1746451915646627</c:v>
                </c:pt>
                <c:pt idx="14">
                  <c:v>-4.0597144189570784</c:v>
                </c:pt>
                <c:pt idx="15">
                  <c:v>-2.8264336690048513</c:v>
                </c:pt>
                <c:pt idx="16">
                  <c:v>-1.4722404707044749</c:v>
                </c:pt>
                <c:pt idx="17">
                  <c:v>5.5021424888735638E-3</c:v>
                </c:pt>
                <c:pt idx="18">
                  <c:v>1.6095083592981452</c:v>
                </c:pt>
                <c:pt idx="19">
                  <c:v>3.3425724378978248</c:v>
                </c:pt>
                <c:pt idx="20">
                  <c:v>5.2075716800964607</c:v>
                </c:pt>
                <c:pt idx="21">
                  <c:v>7.2074695390773602</c:v>
                </c:pt>
                <c:pt idx="22">
                  <c:v>9.3453188677473822</c:v>
                </c:pt>
                <c:pt idx="23">
                  <c:v>11.624265315172165</c:v>
                </c:pt>
                <c:pt idx="24">
                  <c:v>14.047550879034638</c:v>
                </c:pt>
                <c:pt idx="25">
                  <c:v>16.618517622542825</c:v>
                </c:pt>
                <c:pt idx="26">
                  <c:v>19.340611564737866</c:v>
                </c:pt>
                <c:pt idx="27">
                  <c:v>21.311312038933956</c:v>
                </c:pt>
                <c:pt idx="28">
                  <c:v>19.037072977368229</c:v>
                </c:pt>
                <c:pt idx="29">
                  <c:v>18.496617085034718</c:v>
                </c:pt>
                <c:pt idx="30">
                  <c:v>18.062148633993036</c:v>
                </c:pt>
                <c:pt idx="31">
                  <c:v>17.736240751175199</c:v>
                </c:pt>
                <c:pt idx="32">
                  <c:v>17.521550522912374</c:v>
                </c:pt>
                <c:pt idx="33">
                  <c:v>17.420822447310247</c:v>
                </c:pt>
                <c:pt idx="34">
                  <c:v>17.436892058388164</c:v>
                </c:pt>
                <c:pt idx="35">
                  <c:v>17.572689732035464</c:v>
                </c:pt>
                <c:pt idx="36">
                  <c:v>17.831244684516573</c:v>
                </c:pt>
                <c:pt idx="37">
                  <c:v>18.215689174986803</c:v>
                </c:pt>
                <c:pt idx="38">
                  <c:v>18.729262924267179</c:v>
                </c:pt>
                <c:pt idx="39">
                  <c:v>19.375317762974177</c:v>
                </c:pt>
                <c:pt idx="40">
                  <c:v>20.157322523014717</c:v>
                </c:pt>
                <c:pt idx="41">
                  <c:v>21.07886818744355</c:v>
                </c:pt>
                <c:pt idx="42">
                  <c:v>22.143673314745538</c:v>
                </c:pt>
                <c:pt idx="43">
                  <c:v>23.355589754757208</c:v>
                </c:pt>
                <c:pt idx="44">
                  <c:v>24.718608674686998</c:v>
                </c:pt>
                <c:pt idx="45">
                  <c:v>26.236866915041386</c:v>
                </c:pt>
                <c:pt idx="46">
                  <c:v>27.914653696723359</c:v>
                </c:pt>
                <c:pt idx="47">
                  <c:v>28.681858019746297</c:v>
                </c:pt>
                <c:pt idx="48">
                  <c:v>24.232727009322673</c:v>
                </c:pt>
                <c:pt idx="49">
                  <c:v>21.957417966112061</c:v>
                </c:pt>
                <c:pt idx="50">
                  <c:v>19.77514552181038</c:v>
                </c:pt>
                <c:pt idx="51">
                  <c:v>17.68860484045241</c:v>
                </c:pt>
                <c:pt idx="52">
                  <c:v>15.700596210077249</c:v>
                </c:pt>
                <c:pt idx="53">
                  <c:v>13.814030218778433</c:v>
                </c:pt>
                <c:pt idx="54">
                  <c:v>12.031933239625808</c:v>
                </c:pt>
                <c:pt idx="55">
                  <c:v>10.357453246178242</c:v>
                </c:pt>
                <c:pt idx="56">
                  <c:v>8.7938659820695424</c:v>
                </c:pt>
                <c:pt idx="57">
                  <c:v>7.3445815100756695</c:v>
                </c:pt>
                <c:pt idx="58">
                  <c:v>6.0131511681766181</c:v>
                </c:pt>
                <c:pt idx="59">
                  <c:v>4.8032749624300646</c:v>
                </c:pt>
                <c:pt idx="60">
                  <c:v>3.7188094289965572</c:v>
                </c:pt>
                <c:pt idx="61">
                  <c:v>2.7637760004218013</c:v>
                </c:pt>
                <c:pt idx="62">
                  <c:v>1.942369914315992</c:v>
                </c:pt>
                <c:pt idx="63">
                  <c:v>1.2589697059030531</c:v>
                </c:pt>
                <c:pt idx="64">
                  <c:v>0.7181473295767048</c:v>
                </c:pt>
                <c:pt idx="65">
                  <c:v>0.32467895863262902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pt)'!$AA$3:$AA$68</c:f>
              <c:numCache>
                <c:formatCode>_(* #,##0.00_);_(* \(#,##0.00\);_(* "-"??_);_(@_)</c:formatCode>
                <c:ptCount val="66"/>
                <c:pt idx="0">
                  <c:v>-36.214876396362136</c:v>
                </c:pt>
                <c:pt idx="1">
                  <c:v>-35.938208734774932</c:v>
                </c:pt>
                <c:pt idx="2">
                  <c:v>-35.565672018870224</c:v>
                </c:pt>
                <c:pt idx="3">
                  <c:v>-35.095368580092256</c:v>
                </c:pt>
                <c:pt idx="4">
                  <c:v>-34.525350334517157</c:v>
                </c:pt>
                <c:pt idx="5">
                  <c:v>-33.853617097452947</c:v>
                </c:pt>
                <c:pt idx="6">
                  <c:v>-33.078114829972854</c:v>
                </c:pt>
                <c:pt idx="7">
                  <c:v>-32.196733814152687</c:v>
                </c:pt>
                <c:pt idx="8">
                  <c:v>-31.207306753607945</c:v>
                </c:pt>
                <c:pt idx="9">
                  <c:v>-30.107606795737293</c:v>
                </c:pt>
                <c:pt idx="10">
                  <c:v>-28.895345471882685</c:v>
                </c:pt>
                <c:pt idx="11">
                  <c:v>-27.568170551402808</c:v>
                </c:pt>
                <c:pt idx="12">
                  <c:v>-26.123663805433686</c:v>
                </c:pt>
                <c:pt idx="13">
                  <c:v>-24.559338675870183</c:v>
                </c:pt>
                <c:pt idx="14">
                  <c:v>-22.872637844849145</c:v>
                </c:pt>
                <c:pt idx="15">
                  <c:v>-21.060930699742997</c:v>
                </c:pt>
                <c:pt idx="16">
                  <c:v>-19.12151068838606</c:v>
                </c:pt>
                <c:pt idx="17">
                  <c:v>-17.051592558947366</c:v>
                </c:pt>
                <c:pt idx="18">
                  <c:v>-14.84830947853775</c:v>
                </c:pt>
                <c:pt idx="19">
                  <c:v>-12.508710024289206</c:v>
                </c:pt>
                <c:pt idx="20">
                  <c:v>-10.029755040273054</c:v>
                </c:pt>
                <c:pt idx="21">
                  <c:v>-7.4083143532249656</c:v>
                </c:pt>
                <c:pt idx="22">
                  <c:v>-4.6411633396220484</c:v>
                </c:pt>
                <c:pt idx="23">
                  <c:v>-1.7249793362026353</c:v>
                </c:pt>
                <c:pt idx="24">
                  <c:v>1.3436621144648531</c:v>
                </c:pt>
                <c:pt idx="25">
                  <c:v>4.5682911922753258</c:v>
                </c:pt>
                <c:pt idx="26">
                  <c:v>7.9525479112095763</c:v>
                </c:pt>
                <c:pt idx="27">
                  <c:v>10.506186462317084</c:v>
                </c:pt>
                <c:pt idx="28">
                  <c:v>9.8474827336870892</c:v>
                </c:pt>
                <c:pt idx="29">
                  <c:v>9.6501999125818081</c:v>
                </c:pt>
                <c:pt idx="30">
                  <c:v>9.5627176508921536</c:v>
                </c:pt>
                <c:pt idx="31">
                  <c:v>9.5877018167552155</c:v>
                </c:pt>
                <c:pt idx="32">
                  <c:v>9.7279052826112657</c:v>
                </c:pt>
                <c:pt idx="33">
                  <c:v>9.9861715038004633</c:v>
                </c:pt>
                <c:pt idx="34">
                  <c:v>10.365438275256471</c:v>
                </c:pt>
                <c:pt idx="35">
                  <c:v>10.868741676724063</c:v>
                </c:pt>
                <c:pt idx="36">
                  <c:v>11.499220217631429</c:v>
                </c:pt>
                <c:pt idx="37">
                  <c:v>12.26011919350576</c:v>
                </c:pt>
                <c:pt idx="38">
                  <c:v>13.154795266635743</c:v>
                </c:pt>
                <c:pt idx="39">
                  <c:v>14.186721284565138</c:v>
                </c:pt>
                <c:pt idx="40">
                  <c:v>15.359491350949305</c:v>
                </c:pt>
                <c:pt idx="41">
                  <c:v>16.676826164330951</c:v>
                </c:pt>
                <c:pt idx="42">
                  <c:v>18.142578641496527</c:v>
                </c:pt>
                <c:pt idx="43">
                  <c:v>19.760739843269931</c:v>
                </c:pt>
                <c:pt idx="44">
                  <c:v>21.535445221891756</c:v>
                </c:pt>
                <c:pt idx="45">
                  <c:v>23.470981210531253</c:v>
                </c:pt>
                <c:pt idx="46">
                  <c:v>25.57179217699143</c:v>
                </c:pt>
                <c:pt idx="47">
                  <c:v>26.663653099598164</c:v>
                </c:pt>
                <c:pt idx="48">
                  <c:v>23.87975559257875</c:v>
                </c:pt>
                <c:pt idx="49">
                  <c:v>21.637622466112049</c:v>
                </c:pt>
                <c:pt idx="50">
                  <c:v>19.487167620297004</c:v>
                </c:pt>
                <c:pt idx="51">
                  <c:v>17.43104686874679</c:v>
                </c:pt>
                <c:pt idx="52">
                  <c:v>15.472019614284537</c:v>
                </c:pt>
                <c:pt idx="53">
                  <c:v>13.612953949429206</c:v>
                </c:pt>
                <c:pt idx="54">
                  <c:v>11.856832061244381</c:v>
                </c:pt>
                <c:pt idx="55">
                  <c:v>10.206755961952046</c:v>
                </c:pt>
                <c:pt idx="56">
                  <c:v>8.6659535684510161</c:v>
                </c:pt>
                <c:pt idx="57">
                  <c:v>7.2377851557771757</c:v>
                </c:pt>
                <c:pt idx="58">
                  <c:v>5.9257502116173519</c:v>
                </c:pt>
                <c:pt idx="59">
                  <c:v>4.7334947212586576</c:v>
                </c:pt>
                <c:pt idx="60">
                  <c:v>3.6648189148410952</c:v>
                </c:pt>
                <c:pt idx="61">
                  <c:v>2.7236855115065186</c:v>
                </c:pt>
                <c:pt idx="62">
                  <c:v>1.914228498027253</c:v>
                </c:pt>
                <c:pt idx="63">
                  <c:v>1.2407624827818728</c:v>
                </c:pt>
                <c:pt idx="64">
                  <c:v>0.70779266955625453</c:v>
                </c:pt>
                <c:pt idx="65">
                  <c:v>0.3200254996215085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pt)'!$AG$3:$AG$68</c:f>
              <c:numCache>
                <c:formatCode>_(* #,##0.00_);_(* \(#,##0.00\);_(* "-"??_);_(@_)</c:formatCode>
                <c:ptCount val="66"/>
                <c:pt idx="0">
                  <c:v>-23.199596353366921</c:v>
                </c:pt>
                <c:pt idx="1">
                  <c:v>-23.181062685265378</c:v>
                </c:pt>
                <c:pt idx="2">
                  <c:v>-23.074275800130689</c:v>
                </c:pt>
                <c:pt idx="3">
                  <c:v>-22.877488806793643</c:v>
                </c:pt>
                <c:pt idx="4">
                  <c:v>-22.588908403656472</c:v>
                </c:pt>
                <c:pt idx="5">
                  <c:v>-22.206693327125667</c:v>
                </c:pt>
                <c:pt idx="6">
                  <c:v>-21.728952737380208</c:v>
                </c:pt>
                <c:pt idx="7">
                  <c:v>-21.153744538502139</c:v>
                </c:pt>
                <c:pt idx="8">
                  <c:v>-20.479073629835462</c:v>
                </c:pt>
                <c:pt idx="9">
                  <c:v>-19.702890085265</c:v>
                </c:pt>
                <c:pt idx="10">
                  <c:v>-18.823087256925703</c:v>
                </c:pt>
                <c:pt idx="11">
                  <c:v>-17.837499799656882</c:v>
                </c:pt>
                <c:pt idx="12">
                  <c:v>-16.74390161231069</c:v>
                </c:pt>
                <c:pt idx="13">
                  <c:v>-15.540003691802113</c:v>
                </c:pt>
                <c:pt idx="14">
                  <c:v>-14.223451895556027</c:v>
                </c:pt>
                <c:pt idx="15">
                  <c:v>-12.791824607756087</c:v>
                </c:pt>
                <c:pt idx="16">
                  <c:v>-11.242630304535366</c:v>
                </c:pt>
                <c:pt idx="17">
                  <c:v>-9.5733050129668662</c:v>
                </c:pt>
                <c:pt idx="18">
                  <c:v>-7.7812096584092201</c:v>
                </c:pt>
                <c:pt idx="19">
                  <c:v>-5.8636272944430958</c:v>
                </c:pt>
                <c:pt idx="20">
                  <c:v>-3.8177602092899678</c:v>
                </c:pt>
                <c:pt idx="21">
                  <c:v>-1.6407269022400217</c:v>
                </c:pt>
                <c:pt idx="22">
                  <c:v>0.67044107677571541</c:v>
                </c:pt>
                <c:pt idx="23">
                  <c:v>3.1188024317506691</c:v>
                </c:pt>
                <c:pt idx="24">
                  <c:v>5.7075095770333588</c:v>
                </c:pt>
                <c:pt idx="25">
                  <c:v>8.4398122538288405</c:v>
                </c:pt>
                <c:pt idx="26">
                  <c:v>11.319061315486728</c:v>
                </c:pt>
                <c:pt idx="27">
                  <c:v>13.448161334905002</c:v>
                </c:pt>
                <c:pt idx="28">
                  <c:v>12.836722898267961</c:v>
                </c:pt>
                <c:pt idx="29">
                  <c:v>12.480414776436431</c:v>
                </c:pt>
                <c:pt idx="30">
                  <c:v>12.226174487740213</c:v>
                </c:pt>
                <c:pt idx="31">
                  <c:v>12.076480169645784</c:v>
                </c:pt>
                <c:pt idx="32">
                  <c:v>12.033890839522629</c:v>
                </c:pt>
                <c:pt idx="33">
                  <c:v>12.101049721474038</c:v>
                </c:pt>
                <c:pt idx="34">
                  <c:v>12.280687738742179</c:v>
                </c:pt>
                <c:pt idx="35">
                  <c:v>12.575627181382298</c:v>
                </c:pt>
                <c:pt idx="36">
                  <c:v>12.988785559554497</c:v>
                </c:pt>
                <c:pt idx="37">
                  <c:v>13.523179653485883</c:v>
                </c:pt>
                <c:pt idx="38">
                  <c:v>14.181929771914847</c:v>
                </c:pt>
                <c:pt idx="39">
                  <c:v>14.96826423164643</c:v>
                </c:pt>
                <c:pt idx="40">
                  <c:v>15.885524071730151</c:v>
                </c:pt>
                <c:pt idx="41">
                  <c:v>16.937168016723358</c:v>
                </c:pt>
                <c:pt idx="42">
                  <c:v>18.126777704531076</c:v>
                </c:pt>
                <c:pt idx="43">
                  <c:v>19.45806319542443</c:v>
                </c:pt>
                <c:pt idx="44">
                  <c:v>20.93486878004089</c:v>
                </c:pt>
                <c:pt idx="45">
                  <c:v>22.561179105469829</c:v>
                </c:pt>
                <c:pt idx="46">
                  <c:v>24.341125639934436</c:v>
                </c:pt>
                <c:pt idx="47">
                  <c:v>25.210984245409382</c:v>
                </c:pt>
                <c:pt idx="48">
                  <c:v>22.78778059944732</c:v>
                </c:pt>
                <c:pt idx="49">
                  <c:v>20.648282614921428</c:v>
                </c:pt>
                <c:pt idx="50">
                  <c:v>18.596260730645906</c:v>
                </c:pt>
                <c:pt idx="51">
                  <c:v>16.634249023248064</c:v>
                </c:pt>
                <c:pt idx="52">
                  <c:v>14.764880410427031</c:v>
                </c:pt>
                <c:pt idx="53">
                  <c:v>12.990891517669159</c:v>
                </c:pt>
                <c:pt idx="54">
                  <c:v>11.315127835377611</c:v>
                </c:pt>
                <c:pt idx="55">
                  <c:v>9.7405491868374181</c:v>
                </c:pt>
                <c:pt idx="56">
                  <c:v>8.2702355290952951</c:v>
                </c:pt>
                <c:pt idx="57">
                  <c:v>6.9073931106440547</c:v>
                </c:pt>
                <c:pt idx="58">
                  <c:v>5.6553610117810189</c:v>
                </c:pt>
                <c:pt idx="59">
                  <c:v>4.5176180956758634</c:v>
                </c:pt>
                <c:pt idx="60">
                  <c:v>3.4977904005553482</c:v>
                </c:pt>
                <c:pt idx="61">
                  <c:v>2.5996590060128413</c:v>
                </c:pt>
                <c:pt idx="62">
                  <c:v>1.8271684093036999</c:v>
                </c:pt>
                <c:pt idx="63">
                  <c:v>1.1844354506213137</c:v>
                </c:pt>
                <c:pt idx="64">
                  <c:v>0.67575882979377688</c:v>
                </c:pt>
                <c:pt idx="65">
                  <c:v>0.30562926063258156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pt)'!$AM$3:$AM$68</c:f>
              <c:numCache>
                <c:formatCode>_(* #,##0.00_);_(* \(#,##0.00\);_(* "-"??_);_(@_)</c:formatCode>
                <c:ptCount val="66"/>
                <c:pt idx="0">
                  <c:v>-18.50630326277421</c:v>
                </c:pt>
                <c:pt idx="1">
                  <c:v>-18.551635328142318</c:v>
                </c:pt>
                <c:pt idx="2">
                  <c:v>-18.516453298048763</c:v>
                </c:pt>
                <c:pt idx="3">
                  <c:v>-18.399163483108797</c:v>
                </c:pt>
                <c:pt idx="4">
                  <c:v>-18.198129853495971</c:v>
                </c:pt>
                <c:pt idx="5">
                  <c:v>-17.911672623423346</c:v>
                </c:pt>
                <c:pt idx="6">
                  <c:v>-17.538066778454212</c:v>
                </c:pt>
                <c:pt idx="7">
                  <c:v>-17.075540542929744</c:v>
                </c:pt>
                <c:pt idx="8">
                  <c:v>-16.522273784653532</c:v>
                </c:pt>
                <c:pt idx="9">
                  <c:v>-15.876396353816016</c:v>
                </c:pt>
                <c:pt idx="10">
                  <c:v>-15.135986352973474</c:v>
                </c:pt>
                <c:pt idx="11">
                  <c:v>-14.299068334720998</c:v>
                </c:pt>
                <c:pt idx="12">
                  <c:v>-13.363611423507619</c:v>
                </c:pt>
                <c:pt idx="13">
                  <c:v>-12.327527357843495</c:v>
                </c:pt>
                <c:pt idx="14">
                  <c:v>-11.188668448933861</c:v>
                </c:pt>
                <c:pt idx="15">
                  <c:v>-9.9448254515480379</c:v>
                </c:pt>
                <c:pt idx="16">
                  <c:v>-8.5937253426895541</c:v>
                </c:pt>
                <c:pt idx="17">
                  <c:v>-7.1330290033752695</c:v>
                </c:pt>
                <c:pt idx="18">
                  <c:v>-5.5603287985572409</c:v>
                </c:pt>
                <c:pt idx="19">
                  <c:v>-3.8731460499269335</c:v>
                </c:pt>
                <c:pt idx="20">
                  <c:v>-2.0689283960297513</c:v>
                </c:pt>
                <c:pt idx="21">
                  <c:v>-0.14504703378324871</c:v>
                </c:pt>
                <c:pt idx="22">
                  <c:v>1.9012061648640157</c:v>
                </c:pt>
                <c:pt idx="23">
                  <c:v>4.072621667775878</c:v>
                </c:pt>
                <c:pt idx="24">
                  <c:v>6.3720754360260514</c:v>
                </c:pt>
                <c:pt idx="25">
                  <c:v>8.8025322233347989</c:v>
                </c:pt>
                <c:pt idx="26">
                  <c:v>11.367049029497549</c:v>
                </c:pt>
                <c:pt idx="27">
                  <c:v>13.250979507420475</c:v>
                </c:pt>
                <c:pt idx="28">
                  <c:v>12.699631553421971</c:v>
                </c:pt>
                <c:pt idx="29">
                  <c:v>12.328464997043588</c:v>
                </c:pt>
                <c:pt idx="30">
                  <c:v>12.050675571467471</c:v>
                </c:pt>
                <c:pt idx="31">
                  <c:v>11.868530407056669</c:v>
                </c:pt>
                <c:pt idx="32">
                  <c:v>11.784370628109956</c:v>
                </c:pt>
                <c:pt idx="33">
                  <c:v>11.800614396499419</c:v>
                </c:pt>
                <c:pt idx="34">
                  <c:v>11.91976010679112</c:v>
                </c:pt>
                <c:pt idx="35">
                  <c:v>12.144389741717902</c:v>
                </c:pt>
                <c:pt idx="36">
                  <c:v>12.47717239747262</c:v>
                </c:pt>
                <c:pt idx="37">
                  <c:v>12.920867988934145</c:v>
                </c:pt>
                <c:pt idx="38">
                  <c:v>13.478331145632549</c:v>
                </c:pt>
                <c:pt idx="39">
                  <c:v>14.152515310008106</c:v>
                </c:pt>
                <c:pt idx="40">
                  <c:v>14.94647705032577</c:v>
                </c:pt>
                <c:pt idx="41">
                  <c:v>15.863380601477447</c:v>
                </c:pt>
                <c:pt idx="42">
                  <c:v>16.906502647845166</c:v>
                </c:pt>
                <c:pt idx="43">
                  <c:v>18.079237363414471</c:v>
                </c:pt>
                <c:pt idx="44">
                  <c:v>19.385101725426637</c:v>
                </c:pt>
                <c:pt idx="45">
                  <c:v>20.82774111904768</c:v>
                </c:pt>
                <c:pt idx="46">
                  <c:v>22.410935251820213</c:v>
                </c:pt>
                <c:pt idx="47">
                  <c:v>23.168735088408365</c:v>
                </c:pt>
                <c:pt idx="48">
                  <c:v>21.004725672872208</c:v>
                </c:pt>
                <c:pt idx="49">
                  <c:v>19.032817694187461</c:v>
                </c:pt>
                <c:pt idx="50">
                  <c:v>17.141524194824054</c:v>
                </c:pt>
                <c:pt idx="51">
                  <c:v>15.333180470545459</c:v>
                </c:pt>
                <c:pt idx="52">
                  <c:v>13.610212905087208</c:v>
                </c:pt>
                <c:pt idx="53">
                  <c:v>11.975143455155097</c:v>
                </c:pt>
                <c:pt idx="54">
                  <c:v>10.430594403061134</c:v>
                </c:pt>
                <c:pt idx="55">
                  <c:v>8.9792933958169474</c:v>
                </c:pt>
                <c:pt idx="56">
                  <c:v>7.6240787910325762</c:v>
                </c:pt>
                <c:pt idx="57">
                  <c:v>6.367905331636889</c:v>
                </c:pt>
                <c:pt idx="58">
                  <c:v>5.2138501732605178</c:v>
                </c:pt>
                <c:pt idx="59">
                  <c:v>4.1651192901180663</c:v>
                </c:pt>
                <c:pt idx="60">
                  <c:v>3.2250542874126187</c:v>
                </c:pt>
                <c:pt idx="61">
                  <c:v>2.39713965068198</c:v>
                </c:pt>
                <c:pt idx="62">
                  <c:v>1.6850104651355451</c:v>
                </c:pt>
                <c:pt idx="63">
                  <c:v>1.0924606409187332</c:v>
                </c:pt>
                <c:pt idx="64">
                  <c:v>0.62345168341691048</c:v>
                </c:pt>
                <c:pt idx="65">
                  <c:v>0.28212205120487477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pt)'!$AS$3:$AS$68</c:f>
              <c:numCache>
                <c:formatCode>_(* #,##0.00_);_(* \(#,##0.00\);_(* "-"??_);_(@_)</c:formatCode>
                <c:ptCount val="66"/>
                <c:pt idx="0">
                  <c:v>-15.492567427421541</c:v>
                </c:pt>
                <c:pt idx="1">
                  <c:v>-15.551967371316156</c:v>
                </c:pt>
                <c:pt idx="2">
                  <c:v>-15.540403107775495</c:v>
                </c:pt>
                <c:pt idx="3">
                  <c:v>-15.456469989029461</c:v>
                </c:pt>
                <c:pt idx="4">
                  <c:v>-15.298726049205577</c:v>
                </c:pt>
                <c:pt idx="5">
                  <c:v>-15.065690756708095</c:v>
                </c:pt>
                <c:pt idx="6">
                  <c:v>-14.755843716207087</c:v>
                </c:pt>
                <c:pt idx="7">
                  <c:v>-14.367623317847011</c:v>
                </c:pt>
                <c:pt idx="8">
                  <c:v>-13.899425331153706</c:v>
                </c:pt>
                <c:pt idx="9">
                  <c:v>-13.349601440980289</c:v>
                </c:pt>
                <c:pt idx="10">
                  <c:v>-12.716457722685144</c:v>
                </c:pt>
                <c:pt idx="11">
                  <c:v>-11.99825305357901</c:v>
                </c:pt>
                <c:pt idx="12">
                  <c:v>-11.1931974575115</c:v>
                </c:pt>
                <c:pt idx="13">
                  <c:v>-10.299450379290889</c:v>
                </c:pt>
                <c:pt idx="14">
                  <c:v>-9.3151188854427289</c:v>
                </c:pt>
                <c:pt idx="15">
                  <c:v>-8.2382557876122551</c:v>
                </c:pt>
                <c:pt idx="16">
                  <c:v>-7.0668576847026197</c:v>
                </c:pt>
                <c:pt idx="17">
                  <c:v>-5.79886291961349</c:v>
                </c:pt>
                <c:pt idx="18">
                  <c:v>-4.4321494462021835</c:v>
                </c:pt>
                <c:pt idx="19">
                  <c:v>-2.9645326018313223</c:v>
                </c:pt>
                <c:pt idx="20">
                  <c:v>-1.3937627805913229</c:v>
                </c:pt>
                <c:pt idx="21">
                  <c:v>0.28247699800829007</c:v>
                </c:pt>
                <c:pt idx="22">
                  <c:v>2.0665736303988322</c:v>
                </c:pt>
                <c:pt idx="23">
                  <c:v>3.960986586219549</c:v>
                </c:pt>
                <c:pt idx="24">
                  <c:v>5.9682506877063748</c:v>
                </c:pt>
                <c:pt idx="25">
                  <c:v>8.0909790178008798</c:v>
                </c:pt>
                <c:pt idx="26">
                  <c:v>10.331865963988427</c:v>
                </c:pt>
                <c:pt idx="27">
                  <c:v>11.974031109611419</c:v>
                </c:pt>
                <c:pt idx="28">
                  <c:v>11.498074054036701</c:v>
                </c:pt>
                <c:pt idx="29">
                  <c:v>11.156449600795096</c:v>
                </c:pt>
                <c:pt idx="30">
                  <c:v>10.897206494034666</c:v>
                </c:pt>
                <c:pt idx="31">
                  <c:v>10.722344884452882</c:v>
                </c:pt>
                <c:pt idx="32">
                  <c:v>10.633930203426322</c:v>
                </c:pt>
                <c:pt idx="33">
                  <c:v>10.634095848268958</c:v>
                </c:pt>
                <c:pt idx="34">
                  <c:v>10.725046001138088</c:v>
                </c:pt>
                <c:pt idx="35">
                  <c:v>10.909058589413524</c:v>
                </c:pt>
                <c:pt idx="36">
                  <c:v>11.188488395903375</c:v>
                </c:pt>
                <c:pt idx="37">
                  <c:v>11.565770327798278</c:v>
                </c:pt>
                <c:pt idx="38">
                  <c:v>12.04342285390849</c:v>
                </c:pt>
                <c:pt idx="39">
                  <c:v>12.624051620378172</c:v>
                </c:pt>
                <c:pt idx="40">
                  <c:v>13.310353255783152</c:v>
                </c:pt>
                <c:pt idx="41">
                  <c:v>14.105119377287046</c:v>
                </c:pt>
                <c:pt idx="42">
                  <c:v>15.011240810360102</c:v>
                </c:pt>
                <c:pt idx="43">
                  <c:v>16.031712035462185</c:v>
                </c:pt>
                <c:pt idx="44">
                  <c:v>17.169635876060948</c:v>
                </c:pt>
                <c:pt idx="45">
                  <c:v>18.42822844340575</c:v>
                </c:pt>
                <c:pt idx="46">
                  <c:v>19.810824354614216</c:v>
                </c:pt>
                <c:pt idx="47">
                  <c:v>20.467402002741718</c:v>
                </c:pt>
                <c:pt idx="48">
                  <c:v>18.584768034528064</c:v>
                </c:pt>
                <c:pt idx="49">
                  <c:v>16.840312788061969</c:v>
                </c:pt>
                <c:pt idx="50">
                  <c:v>15.167159446340188</c:v>
                </c:pt>
                <c:pt idx="51">
                  <c:v>13.567373520240393</c:v>
                </c:pt>
                <c:pt idx="52">
                  <c:v>12.043101086124873</c:v>
                </c:pt>
                <c:pt idx="53">
                  <c:v>10.596572752773197</c:v>
                </c:pt>
                <c:pt idx="54">
                  <c:v>9.2301078650403685</c:v>
                </c:pt>
                <c:pt idx="55">
                  <c:v>7.9461189608867802</c:v>
                </c:pt>
                <c:pt idx="56">
                  <c:v>6.7471164997778059</c:v>
                </c:pt>
                <c:pt idx="57">
                  <c:v>5.6357138819268222</c:v>
                </c:pt>
                <c:pt idx="58">
                  <c:v>4.6146327794690283</c:v>
                </c:pt>
                <c:pt idx="59">
                  <c:v>3.6867088024191355</c:v>
                </c:pt>
                <c:pt idx="60">
                  <c:v>2.8548975241996168</c:v>
                </c:pt>
                <c:pt idx="61">
                  <c:v>2.1222808936459256</c:v>
                </c:pt>
                <c:pt idx="62">
                  <c:v>1.4920740627209477</c:v>
                </c:pt>
                <c:pt idx="63">
                  <c:v>0.96763266172544404</c:v>
                </c:pt>
                <c:pt idx="64">
                  <c:v>0.55246055659962279</c:v>
                </c:pt>
                <c:pt idx="65">
                  <c:v>0.25021812600162718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pt)'!$AY$3:$AY$68</c:f>
              <c:numCache>
                <c:formatCode>_(* #,##0.00_);_(* \(#,##0.00\);_(* "-"??_);_(@_)</c:formatCode>
                <c:ptCount val="66"/>
                <c:pt idx="0">
                  <c:v>-12.973671950526223</c:v>
                </c:pt>
                <c:pt idx="1">
                  <c:v>-13.024454865916605</c:v>
                </c:pt>
                <c:pt idx="2">
                  <c:v>-13.015705713339131</c:v>
                </c:pt>
                <c:pt idx="3">
                  <c:v>-12.946246143704293</c:v>
                </c:pt>
                <c:pt idx="4">
                  <c:v>-12.814866502077859</c:v>
                </c:pt>
                <c:pt idx="5">
                  <c:v>-12.620324781057105</c:v>
                </c:pt>
                <c:pt idx="6">
                  <c:v>-12.361345531875084</c:v>
                </c:pt>
                <c:pt idx="7">
                  <c:v>-12.036618731226797</c:v>
                </c:pt>
                <c:pt idx="8">
                  <c:v>-11.644798601702886</c:v>
                </c:pt>
                <c:pt idx="9">
                  <c:v>-11.184502383599808</c:v>
                </c:pt>
                <c:pt idx="10">
                  <c:v>-10.654309055751057</c:v>
                </c:pt>
                <c:pt idx="11">
                  <c:v>-10.052758002894738</c:v>
                </c:pt>
                <c:pt idx="12">
                  <c:v>-9.378347626951193</c:v>
                </c:pt>
                <c:pt idx="13">
                  <c:v>-8.6295338994375683</c:v>
                </c:pt>
                <c:pt idx="14">
                  <c:v>-7.8047288520876155</c:v>
                </c:pt>
                <c:pt idx="15">
                  <c:v>-6.9022990025767914</c:v>
                </c:pt>
                <c:pt idx="16">
                  <c:v>-5.9205637120745411</c:v>
                </c:pt>
                <c:pt idx="17">
                  <c:v>-4.8577934711540305</c:v>
                </c:pt>
                <c:pt idx="18">
                  <c:v>-3.7122081103870412</c:v>
                </c:pt>
                <c:pt idx="19">
                  <c:v>-2.4819749317347948</c:v>
                </c:pt>
                <c:pt idx="20">
                  <c:v>-1.1652067566138626</c:v>
                </c:pt>
                <c:pt idx="21">
                  <c:v>0.2400401137299005</c:v>
                </c:pt>
                <c:pt idx="22">
                  <c:v>1.7357680301702292</c:v>
                </c:pt>
                <c:pt idx="23">
                  <c:v>3.3240402248852807</c:v>
                </c:pt>
                <c:pt idx="24">
                  <c:v>5.0069831429911984</c:v>
                </c:pt>
                <c:pt idx="25">
                  <c:v>6.7867888821605282</c:v>
                </c:pt>
                <c:pt idx="26">
                  <c:v>8.6657177461053099</c:v>
                </c:pt>
                <c:pt idx="27">
                  <c:v>10.042366865078701</c:v>
                </c:pt>
                <c:pt idx="28">
                  <c:v>9.6556194503928836</c:v>
                </c:pt>
                <c:pt idx="29">
                  <c:v>9.3681887089299316</c:v>
                </c:pt>
                <c:pt idx="30">
                  <c:v>9.1498694827148146</c:v>
                </c:pt>
                <c:pt idx="31">
                  <c:v>9.0023397260105895</c:v>
                </c:pt>
                <c:pt idx="32">
                  <c:v>8.9273321581397127</c:v>
                </c:pt>
                <c:pt idx="33">
                  <c:v>8.9266365162153303</c:v>
                </c:pt>
                <c:pt idx="34">
                  <c:v>9.002101919994459</c:v>
                </c:pt>
                <c:pt idx="35">
                  <c:v>9.155639355418403</c:v>
                </c:pt>
                <c:pt idx="36">
                  <c:v>9.3892242838481952</c:v>
                </c:pt>
                <c:pt idx="37">
                  <c:v>9.7048993844803437</c:v>
                </c:pt>
                <c:pt idx="38">
                  <c:v>10.104777437941566</c:v>
                </c:pt>
                <c:pt idx="39">
                  <c:v>10.591044359615031</c:v>
                </c:pt>
                <c:pt idx="40">
                  <c:v>11.165962391848218</c:v>
                </c:pt>
                <c:pt idx="41">
                  <c:v>11.831873464836711</c:v>
                </c:pt>
                <c:pt idx="42">
                  <c:v>12.591202736674742</c:v>
                </c:pt>
                <c:pt idx="43">
                  <c:v>13.446462323815568</c:v>
                </c:pt>
                <c:pt idx="44">
                  <c:v>14.400255233998346</c:v>
                </c:pt>
                <c:pt idx="45">
                  <c:v>15.455279514578601</c:v>
                </c:pt>
                <c:pt idx="46">
                  <c:v>16.614332630152919</c:v>
                </c:pt>
                <c:pt idx="47">
                  <c:v>17.164317434656965</c:v>
                </c:pt>
                <c:pt idx="48">
                  <c:v>15.601436872698333</c:v>
                </c:pt>
                <c:pt idx="49">
                  <c:v>14.137386048656554</c:v>
                </c:pt>
                <c:pt idx="50">
                  <c:v>12.733156559000223</c:v>
                </c:pt>
                <c:pt idx="51">
                  <c:v>11.390481322976457</c:v>
                </c:pt>
                <c:pt idx="52">
                  <c:v>10.11116085316235</c:v>
                </c:pt>
                <c:pt idx="53">
                  <c:v>8.897066583724893</c:v>
                </c:pt>
                <c:pt idx="54">
                  <c:v>7.7501443972975856</c:v>
                </c:pt>
                <c:pt idx="55">
                  <c:v>6.6724183644407766</c:v>
                </c:pt>
                <c:pt idx="56">
                  <c:v>5.6659947107864337</c:v>
                </c:pt>
                <c:pt idx="57">
                  <c:v>4.7330660282065455</c:v>
                </c:pt>
                <c:pt idx="58">
                  <c:v>3.8759157476982735</c:v>
                </c:pt>
                <c:pt idx="59">
                  <c:v>3.0969228931604178</c:v>
                </c:pt>
                <c:pt idx="60">
                  <c:v>2.39856713685821</c:v>
                </c:pt>
                <c:pt idx="61">
                  <c:v>1.7834341791519772</c:v>
                </c:pt>
                <c:pt idx="62">
                  <c:v>1.2542214770167455</c:v>
                </c:pt>
                <c:pt idx="63">
                  <c:v>0.81374434802323015</c:v>
                </c:pt>
                <c:pt idx="64">
                  <c:v>0.46494247880701406</c:v>
                </c:pt>
                <c:pt idx="65">
                  <c:v>0.21088686964597453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pt)'!$BE$3:$BE$68</c:f>
              <c:numCache>
                <c:formatCode>_(* #,##0.00_);_(* \(#,##0.00\);_(* "-"??_);_(@_)</c:formatCode>
                <c:ptCount val="66"/>
                <c:pt idx="0">
                  <c:v>-10.605537159443186</c:v>
                </c:pt>
                <c:pt idx="1">
                  <c:v>-10.634356210987896</c:v>
                </c:pt>
                <c:pt idx="2">
                  <c:v>-10.616729412696072</c:v>
                </c:pt>
                <c:pt idx="3">
                  <c:v>-10.55173745529833</c:v>
                </c:pt>
                <c:pt idx="4">
                  <c:v>-10.438436605848555</c:v>
                </c:pt>
                <c:pt idx="5">
                  <c:v>-10.275857891183053</c:v>
                </c:pt>
                <c:pt idx="6">
                  <c:v>-10.063006248400001</c:v>
                </c:pt>
                <c:pt idx="7">
                  <c:v>-9.7988596407945092</c:v>
                </c:pt>
                <c:pt idx="8">
                  <c:v>-9.4823681375992628</c:v>
                </c:pt>
                <c:pt idx="9">
                  <c:v>-9.112452955790177</c:v>
                </c:pt>
                <c:pt idx="10">
                  <c:v>-8.6880054621199392</c:v>
                </c:pt>
                <c:pt idx="11">
                  <c:v>-8.2078861334400948</c:v>
                </c:pt>
                <c:pt idx="12">
                  <c:v>-7.6709234732633425</c:v>
                </c:pt>
                <c:pt idx="13">
                  <c:v>-7.0759128824020845</c:v>
                </c:pt>
                <c:pt idx="14">
                  <c:v>-6.421615481396123</c:v>
                </c:pt>
                <c:pt idx="15">
                  <c:v>-5.7067568823110655</c:v>
                </c:pt>
                <c:pt idx="16">
                  <c:v>-4.9300259073496617</c:v>
                </c:pt>
                <c:pt idx="17">
                  <c:v>-4.0900732515692093</c:v>
                </c:pt>
                <c:pt idx="18">
                  <c:v>-3.1855100868398756</c:v>
                </c:pt>
                <c:pt idx="19">
                  <c:v>-2.2149066040095753</c:v>
                </c:pt>
                <c:pt idx="20">
                  <c:v>-1.1767904900604482</c:v>
                </c:pt>
                <c:pt idx="21">
                  <c:v>-6.9645336849851205E-2</c:v>
                </c:pt>
                <c:pt idx="22">
                  <c:v>1.1080910221775493</c:v>
                </c:pt>
                <c:pt idx="23">
                  <c:v>2.3580282511388635</c:v>
                </c:pt>
                <c:pt idx="24">
                  <c:v>3.6818253307911939</c:v>
                </c:pt>
                <c:pt idx="25">
                  <c:v>5.0811924618575839</c:v>
                </c:pt>
                <c:pt idx="26">
                  <c:v>6.5578930571883216</c:v>
                </c:pt>
                <c:pt idx="27">
                  <c:v>7.6419728901297121</c:v>
                </c:pt>
                <c:pt idx="28">
                  <c:v>7.3558098975933222</c:v>
                </c:pt>
                <c:pt idx="29">
                  <c:v>7.1393651668578721</c:v>
                </c:pt>
                <c:pt idx="30">
                  <c:v>6.9767913914208188</c:v>
                </c:pt>
                <c:pt idx="31">
                  <c:v>6.8693964777829368</c:v>
                </c:pt>
                <c:pt idx="32">
                  <c:v>6.8185310199971161</c:v>
                </c:pt>
                <c:pt idx="33">
                  <c:v>6.8255900556211753</c:v>
                </c:pt>
                <c:pt idx="34">
                  <c:v>6.8920149090689442</c:v>
                </c:pt>
                <c:pt idx="35">
                  <c:v>7.0192951274769015</c:v>
                </c:pt>
                <c:pt idx="36">
                  <c:v>7.2089705145493896</c:v>
                </c:pt>
                <c:pt idx="37">
                  <c:v>7.4626332682169894</c:v>
                </c:pt>
                <c:pt idx="38">
                  <c:v>7.7819302283432092</c:v>
                </c:pt>
                <c:pt idx="39">
                  <c:v>8.1685652411462915</c:v>
                </c:pt>
                <c:pt idx="40">
                  <c:v>8.62430164746862</c:v>
                </c:pt>
                <c:pt idx="41">
                  <c:v>9.1509649025286937</c:v>
                </c:pt>
                <c:pt idx="42">
                  <c:v>9.7504453353332448</c:v>
                </c:pt>
                <c:pt idx="43">
                  <c:v>10.424701056513733</c:v>
                </c:pt>
                <c:pt idx="44">
                  <c:v>11.175761023985515</c:v>
                </c:pt>
                <c:pt idx="45">
                  <c:v>12.005728276514452</c:v>
                </c:pt>
                <c:pt idx="46">
                  <c:v>12.916783346018766</c:v>
                </c:pt>
                <c:pt idx="47">
                  <c:v>13.351688550060524</c:v>
                </c:pt>
                <c:pt idx="48">
                  <c:v>12.145379195096792</c:v>
                </c:pt>
                <c:pt idx="49">
                  <c:v>11.006164537201123</c:v>
                </c:pt>
                <c:pt idx="50">
                  <c:v>9.9134714788711005</c:v>
                </c:pt>
                <c:pt idx="51">
                  <c:v>8.8686476466069042</c:v>
                </c:pt>
                <c:pt idx="52">
                  <c:v>7.8730932325692846</c:v>
                </c:pt>
                <c:pt idx="53">
                  <c:v>6.9282635829651058</c:v>
                </c:pt>
                <c:pt idx="54">
                  <c:v>6.0356719409024917</c:v>
                </c:pt>
                <c:pt idx="55">
                  <c:v>5.1968923545783472</c:v>
                </c:pt>
                <c:pt idx="56">
                  <c:v>4.4135627625429397</c:v>
                </c:pt>
                <c:pt idx="57">
                  <c:v>3.6873882687494981</c:v>
                </c:pt>
                <c:pt idx="58">
                  <c:v>3.0201446211497527</c:v>
                </c:pt>
                <c:pt idx="59">
                  <c:v>2.4136819087486674</c:v>
                </c:pt>
                <c:pt idx="60">
                  <c:v>1.869928493293449</c:v>
                </c:pt>
                <c:pt idx="61">
                  <c:v>1.3908951931553215</c:v>
                </c:pt>
                <c:pt idx="62">
                  <c:v>0.97867973848034406</c:v>
                </c:pt>
                <c:pt idx="63">
                  <c:v>0.63547151835268856</c:v>
                </c:pt>
                <c:pt idx="64">
                  <c:v>0.36355664254652814</c:v>
                </c:pt>
                <c:pt idx="65">
                  <c:v>0.16532334245970709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pt)'!$BK$3:$BK$68</c:f>
              <c:numCache>
                <c:formatCode>_(* #,##0.00_);_(* \(#,##0.00\);_(* "-"??_);_(@_)</c:formatCode>
                <c:ptCount val="66"/>
                <c:pt idx="0">
                  <c:v>-8.2816379092147887</c:v>
                </c:pt>
                <c:pt idx="1">
                  <c:v>-8.2796649497193702</c:v>
                </c:pt>
                <c:pt idx="2">
                  <c:v>-8.245639393725444</c:v>
                </c:pt>
                <c:pt idx="3">
                  <c:v>-8.1789268435675684</c:v>
                </c:pt>
                <c:pt idx="4">
                  <c:v>-8.0788760474645667</c:v>
                </c:pt>
                <c:pt idx="5">
                  <c:v>-7.9448183360440909</c:v>
                </c:pt>
                <c:pt idx="6">
                  <c:v>-7.7760670361086159</c:v>
                </c:pt>
                <c:pt idx="7">
                  <c:v>-7.5719168605625553</c:v>
                </c:pt>
                <c:pt idx="8">
                  <c:v>-7.3316432733622285</c:v>
                </c:pt>
                <c:pt idx="9">
                  <c:v>-7.0545018282874272</c:v>
                </c:pt>
                <c:pt idx="10">
                  <c:v>-6.7397274802664757</c:v>
                </c:pt>
                <c:pt idx="11">
                  <c:v>-6.3865338679169321</c:v>
                </c:pt>
                <c:pt idx="12">
                  <c:v>-5.9941125658879217</c:v>
                </c:pt>
                <c:pt idx="13">
                  <c:v>-5.5616323055110772</c:v>
                </c:pt>
                <c:pt idx="14">
                  <c:v>-5.0882381621815105</c:v>
                </c:pt>
                <c:pt idx="15">
                  <c:v>-4.5730507077999913</c:v>
                </c:pt>
                <c:pt idx="16">
                  <c:v>-4.015165126511099</c:v>
                </c:pt>
                <c:pt idx="17">
                  <c:v>-3.4136502918694211</c:v>
                </c:pt>
                <c:pt idx="18">
                  <c:v>-2.7675478034563992</c:v>
                </c:pt>
                <c:pt idx="19">
                  <c:v>-2.0758709808539146</c:v>
                </c:pt>
                <c:pt idx="20">
                  <c:v>-1.3376038127559242</c:v>
                </c:pt>
                <c:pt idx="21">
                  <c:v>-0.55169985886667305</c:v>
                </c:pt>
                <c:pt idx="22">
                  <c:v>0.28291889790768404</c:v>
                </c:pt>
                <c:pt idx="23">
                  <c:v>1.1673632516194568</c:v>
                </c:pt>
                <c:pt idx="24">
                  <c:v>2.1027780285984092</c:v>
                </c:pt>
                <c:pt idx="25">
                  <c:v>3.0903434009102626</c:v>
                </c:pt>
                <c:pt idx="26">
                  <c:v>4.1312762611203073</c:v>
                </c:pt>
                <c:pt idx="27">
                  <c:v>4.8997984250292994</c:v>
                </c:pt>
                <c:pt idx="28">
                  <c:v>4.7226515677353342</c:v>
                </c:pt>
                <c:pt idx="29">
                  <c:v>4.5891920520202429</c:v>
                </c:pt>
                <c:pt idx="30">
                  <c:v>4.492812897987605</c:v>
                </c:pt>
                <c:pt idx="31">
                  <c:v>4.4344143280432533</c:v>
                </c:pt>
                <c:pt idx="32">
                  <c:v>4.414925946181758</c:v>
                </c:pt>
                <c:pt idx="33">
                  <c:v>4.435307946626418</c:v>
                </c:pt>
                <c:pt idx="34">
                  <c:v>4.4965523826282192</c:v>
                </c:pt>
                <c:pt idx="35">
                  <c:v>4.5996844989465053</c:v>
                </c:pt>
                <c:pt idx="36">
                  <c:v>4.7457641317717192</c:v>
                </c:pt>
                <c:pt idx="37">
                  <c:v>4.9358871801065316</c:v>
                </c:pt>
                <c:pt idx="38">
                  <c:v>5.1711871528975095</c:v>
                </c:pt>
                <c:pt idx="39">
                  <c:v>5.4528367965063556</c:v>
                </c:pt>
                <c:pt idx="40">
                  <c:v>5.7820498074305897</c:v>
                </c:pt>
                <c:pt idx="41">
                  <c:v>6.1600826355292311</c:v>
                </c:pt>
                <c:pt idx="42">
                  <c:v>6.5882363833827533</c:v>
                </c:pt>
                <c:pt idx="43">
                  <c:v>7.0678588078202873</c:v>
                </c:pt>
                <c:pt idx="44">
                  <c:v>7.600346430083583</c:v>
                </c:pt>
                <c:pt idx="45">
                  <c:v>8.1871467615698492</c:v>
                </c:pt>
                <c:pt idx="46">
                  <c:v>8.8297606526070513</c:v>
                </c:pt>
                <c:pt idx="47">
                  <c:v>9.1418995700707288</c:v>
                </c:pt>
                <c:pt idx="48">
                  <c:v>8.3216055654078005</c:v>
                </c:pt>
                <c:pt idx="49">
                  <c:v>7.5417888348467157</c:v>
                </c:pt>
                <c:pt idx="50">
                  <c:v>6.7937789102830388</c:v>
                </c:pt>
                <c:pt idx="51">
                  <c:v>6.0784971312788167</c:v>
                </c:pt>
                <c:pt idx="52">
                  <c:v>5.3969007764805275</c:v>
                </c:pt>
                <c:pt idx="53">
                  <c:v>4.7499848334095258</c:v>
                </c:pt>
                <c:pt idx="54">
                  <c:v>4.1387838738777321</c:v>
                </c:pt>
                <c:pt idx="55">
                  <c:v>3.564374042456973</c:v>
                </c:pt>
                <c:pt idx="56">
                  <c:v>3.0278751660335539</c:v>
                </c:pt>
                <c:pt idx="57">
                  <c:v>2.5304529931382995</c:v>
                </c:pt>
                <c:pt idx="58">
                  <c:v>2.0733215724625587</c:v>
                </c:pt>
                <c:pt idx="59">
                  <c:v>1.6577457807586153</c:v>
                </c:pt>
                <c:pt idx="60">
                  <c:v>1.2850440111859878</c:v>
                </c:pt>
                <c:pt idx="61">
                  <c:v>0.95659103411115576</c:v>
                </c:pt>
                <c:pt idx="62">
                  <c:v>0.67382104340632476</c:v>
                </c:pt>
                <c:pt idx="63">
                  <c:v>0.43823090243295426</c:v>
                </c:pt>
                <c:pt idx="64">
                  <c:v>0.25138360514923147</c:v>
                </c:pt>
                <c:pt idx="65">
                  <c:v>0.11491196916012238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pt)'!$BQ$3:$BQ$68</c:f>
              <c:numCache>
                <c:formatCode>_(* #,##0.00_);_(* \(#,##0.00\);_(* "-"??_);_(@_)</c:formatCode>
                <c:ptCount val="66"/>
                <c:pt idx="0">
                  <c:v>-5.9872476999045441</c:v>
                </c:pt>
                <c:pt idx="1">
                  <c:v>-5.9484316275910816</c:v>
                </c:pt>
                <c:pt idx="2">
                  <c:v>-5.8928500970056215</c:v>
                </c:pt>
                <c:pt idx="3">
                  <c:v>-5.8201713157962542</c:v>
                </c:pt>
                <c:pt idx="4">
                  <c:v>-5.7300546771670229</c:v>
                </c:pt>
                <c:pt idx="5">
                  <c:v>-5.6221504651862766</c:v>
                </c:pt>
                <c:pt idx="6">
                  <c:v>-5.4960995481920456</c:v>
                </c:pt>
                <c:pt idx="7">
                  <c:v>-5.3515330597295945</c:v>
                </c:pt>
                <c:pt idx="8">
                  <c:v>-5.188072066425601</c:v>
                </c:pt>
                <c:pt idx="9">
                  <c:v>-5.0053272221706866</c:v>
                </c:pt>
                <c:pt idx="10">
                  <c:v>-4.8028984079471631</c:v>
                </c:pt>
                <c:pt idx="11">
                  <c:v>-4.5803743566020874</c:v>
                </c:pt>
                <c:pt idx="12">
                  <c:v>-4.3373322618261625</c:v>
                </c:pt>
                <c:pt idx="13">
                  <c:v>-4.0733373705574314</c:v>
                </c:pt>
                <c:pt idx="14">
                  <c:v>-3.7879425579843002</c:v>
                </c:pt>
                <c:pt idx="15">
                  <c:v>-3.4806878842747695</c:v>
                </c:pt>
                <c:pt idx="16">
                  <c:v>-3.1511001321088137</c:v>
                </c:pt>
                <c:pt idx="17">
                  <c:v>-2.7986923240366735</c:v>
                </c:pt>
                <c:pt idx="18">
                  <c:v>-2.4229632186289862</c:v>
                </c:pt>
                <c:pt idx="19">
                  <c:v>-2.023396784323344</c:v>
                </c:pt>
                <c:pt idx="20">
                  <c:v>-1.5994616498069059</c:v>
                </c:pt>
                <c:pt idx="21">
                  <c:v>-1.1506105297050777</c:v>
                </c:pt>
                <c:pt idx="22">
                  <c:v>-0.67627962427213506</c:v>
                </c:pt>
                <c:pt idx="23">
                  <c:v>-0.17588799170022151</c:v>
                </c:pt>
                <c:pt idx="24">
                  <c:v>0.35116310842153137</c:v>
                </c:pt>
                <c:pt idx="25">
                  <c:v>0.90549090205671923</c:v>
                </c:pt>
                <c:pt idx="26">
                  <c:v>1.4877318197362113</c:v>
                </c:pt>
                <c:pt idx="27">
                  <c:v>1.9249891477559908</c:v>
                </c:pt>
                <c:pt idx="28">
                  <c:v>1.8620318339649404</c:v>
                </c:pt>
                <c:pt idx="29">
                  <c:v>1.8197748103388924</c:v>
                </c:pt>
                <c:pt idx="30">
                  <c:v>1.7967474307469009</c:v>
                </c:pt>
                <c:pt idx="31">
                  <c:v>1.7934164925779188</c:v>
                </c:pt>
                <c:pt idx="32">
                  <c:v>1.8102640286499003</c:v>
                </c:pt>
                <c:pt idx="33">
                  <c:v>1.8477879339735912</c:v>
                </c:pt>
                <c:pt idx="34">
                  <c:v>1.9065026237157989</c:v>
                </c:pt>
                <c:pt idx="35">
                  <c:v>1.9869397241892601</c:v>
                </c:pt>
                <c:pt idx="36">
                  <c:v>2.0896487988195194</c:v>
                </c:pt>
                <c:pt idx="37">
                  <c:v>2.2151981111720018</c:v>
                </c:pt>
                <c:pt idx="38">
                  <c:v>2.3641754272654505</c:v>
                </c:pt>
                <c:pt idx="39">
                  <c:v>2.5371888595520824</c:v>
                </c:pt>
                <c:pt idx="40">
                  <c:v>2.7348677551110683</c:v>
                </c:pt>
                <c:pt idx="41">
                  <c:v>2.9578636307813637</c:v>
                </c:pt>
                <c:pt idx="42">
                  <c:v>3.2068511581537438</c:v>
                </c:pt>
                <c:pt idx="43">
                  <c:v>3.4825292015513245</c:v>
                </c:pt>
                <c:pt idx="44">
                  <c:v>3.7856219123542987</c:v>
                </c:pt>
                <c:pt idx="45">
                  <c:v>4.1168798832697773</c:v>
                </c:pt>
                <c:pt idx="46">
                  <c:v>4.4770813664129561</c:v>
                </c:pt>
                <c:pt idx="47">
                  <c:v>4.6612081867457276</c:v>
                </c:pt>
                <c:pt idx="48">
                  <c:v>4.2462994104466381</c:v>
                </c:pt>
                <c:pt idx="49">
                  <c:v>3.8495222442506734</c:v>
                </c:pt>
                <c:pt idx="50">
                  <c:v>3.4688691332919759</c:v>
                </c:pt>
                <c:pt idx="51">
                  <c:v>3.1048070885161496</c:v>
                </c:pt>
                <c:pt idx="52">
                  <c:v>2.7578213396604974</c:v>
                </c:pt>
                <c:pt idx="53">
                  <c:v>2.4284162326011725</c:v>
                </c:pt>
                <c:pt idx="54">
                  <c:v>2.1171161802681744</c:v>
                </c:pt>
                <c:pt idx="55">
                  <c:v>1.8244666708963395</c:v>
                </c:pt>
                <c:pt idx="56">
                  <c:v>1.5510353376864594</c:v>
                </c:pt>
                <c:pt idx="57">
                  <c:v>1.2974130942849014</c:v>
                </c:pt>
                <c:pt idx="58">
                  <c:v>1.0642153408554704</c:v>
                </c:pt>
                <c:pt idx="59">
                  <c:v>0.85208324591710272</c:v>
                </c:pt>
                <c:pt idx="60">
                  <c:v>0.6616851095588332</c:v>
                </c:pt>
                <c:pt idx="61">
                  <c:v>0.49371781412352878</c:v>
                </c:pt>
                <c:pt idx="62">
                  <c:v>0.34890836897856875</c:v>
                </c:pt>
                <c:pt idx="63">
                  <c:v>0.22801555657018086</c:v>
                </c:pt>
                <c:pt idx="64">
                  <c:v>0.13183168759414501</c:v>
                </c:pt>
                <c:pt idx="65">
                  <c:v>6.1184473815542595E-2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(2 pt)'!$BW$3:$BW$68</c:f>
              <c:numCache>
                <c:formatCode>_(* #,##0.00_);_(* \(#,##0.00\);_(* "-"??_);_(@_)</c:formatCode>
                <c:ptCount val="66"/>
                <c:pt idx="0">
                  <c:v>-3.7515781332721718</c:v>
                </c:pt>
                <c:pt idx="1">
                  <c:v>-3.6718612848153325</c:v>
                </c:pt>
                <c:pt idx="2">
                  <c:v>-3.5911069861155216</c:v>
                </c:pt>
                <c:pt idx="3">
                  <c:v>-3.5092947765903739</c:v>
                </c:pt>
                <c:pt idx="4">
                  <c:v>-3.4264036527493733</c:v>
                </c:pt>
                <c:pt idx="5">
                  <c:v>-3.3424120500389023</c:v>
                </c:pt>
                <c:pt idx="6">
                  <c:v>-3.2572978239532193</c:v>
                </c:pt>
                <c:pt idx="7">
                  <c:v>-3.1710382303764719</c:v>
                </c:pt>
                <c:pt idx="8">
                  <c:v>-3.0836099051189634</c:v>
                </c:pt>
                <c:pt idx="9">
                  <c:v>-2.994988842608854</c:v>
                </c:pt>
                <c:pt idx="10">
                  <c:v>-2.9051503736983424</c:v>
                </c:pt>
                <c:pt idx="11">
                  <c:v>-2.8140691425410669</c:v>
                </c:pt>
                <c:pt idx="12">
                  <c:v>-2.7217190824950421</c:v>
                </c:pt>
                <c:pt idx="13">
                  <c:v>-2.6280733910028737</c:v>
                </c:pt>
                <c:pt idx="14">
                  <c:v>-2.5331045033982154</c:v>
                </c:pt>
                <c:pt idx="15">
                  <c:v>-2.4367840655845159</c:v>
                </c:pt>
                <c:pt idx="16">
                  <c:v>-2.3390829055289992</c:v>
                </c:pt>
                <c:pt idx="17">
                  <c:v>-2.239971003511454</c:v>
                </c:pt>
                <c:pt idx="18">
                  <c:v>-2.1394174610639141</c:v>
                </c:pt>
                <c:pt idx="19">
                  <c:v>-2.037390468533478</c:v>
                </c:pt>
                <c:pt idx="20">
                  <c:v>-1.9338572711965349</c:v>
                </c:pt>
                <c:pt idx="21">
                  <c:v>-1.8287841338483091</c:v>
                </c:pt>
                <c:pt idx="22">
                  <c:v>-1.7221363037870761</c:v>
                </c:pt>
                <c:pt idx="23">
                  <c:v>-1.6138779721074501</c:v>
                </c:pt>
                <c:pt idx="24">
                  <c:v>-1.5039722332119254</c:v>
                </c:pt>
                <c:pt idx="25">
                  <c:v>-1.3923810424442138</c:v>
                </c:pt>
                <c:pt idx="26">
                  <c:v>-1.2790651717418977</c:v>
                </c:pt>
                <c:pt idx="27">
                  <c:v>-1.179809396480338</c:v>
                </c:pt>
                <c:pt idx="28">
                  <c:v>-1.1268476755376811</c:v>
                </c:pt>
                <c:pt idx="29">
                  <c:v>-1.0730543073603234</c:v>
                </c:pt>
                <c:pt idx="30">
                  <c:v>-1.0184093694468919</c:v>
                </c:pt>
                <c:pt idx="31">
                  <c:v>-0.96289229439388091</c:v>
                </c:pt>
                <c:pt idx="32">
                  <c:v>-0.90648184351163874</c:v>
                </c:pt>
                <c:pt idx="33">
                  <c:v>-0.84915607913263436</c:v>
                </c:pt>
                <c:pt idx="34">
                  <c:v>-0.79089233553572258</c:v>
                </c:pt>
                <c:pt idx="35">
                  <c:v>-0.73166718840500711</c:v>
                </c:pt>
                <c:pt idx="36">
                  <c:v>-0.67145642273637529</c:v>
                </c:pt>
                <c:pt idx="37">
                  <c:v>-0.6102349990988396</c:v>
                </c:pt>
                <c:pt idx="38">
                  <c:v>-0.54797701815142064</c:v>
                </c:pt>
                <c:pt idx="39">
                  <c:v>-0.48465568330940034</c:v>
                </c:pt>
                <c:pt idx="40">
                  <c:v>-0.42024326144632695</c:v>
                </c:pt>
                <c:pt idx="41">
                  <c:v>-0.3547110415101169</c:v>
                </c:pt>
                <c:pt idx="42">
                  <c:v>-0.28802929092290536</c:v>
                </c:pt>
                <c:pt idx="43">
                  <c:v>-0.22016720962491942</c:v>
                </c:pt>
                <c:pt idx="44">
                  <c:v>-0.15109288161247914</c:v>
                </c:pt>
                <c:pt idx="45">
                  <c:v>-8.0773223809248063E-2</c:v>
                </c:pt>
                <c:pt idx="46">
                  <c:v>-9.1739320979387484E-3</c:v>
                </c:pt>
                <c:pt idx="47">
                  <c:v>4.4972633724471384E-2</c:v>
                </c:pt>
                <c:pt idx="48">
                  <c:v>4.3286845527384481E-2</c:v>
                </c:pt>
                <c:pt idx="49">
                  <c:v>4.1552417391216477E-2</c:v>
                </c:pt>
                <c:pt idx="50">
                  <c:v>3.9767848986260325E-2</c:v>
                </c:pt>
                <c:pt idx="51">
                  <c:v>3.7931585508480477E-2</c:v>
                </c:pt>
                <c:pt idx="52">
                  <c:v>3.6042015358339778E-2</c:v>
                </c:pt>
                <c:pt idx="53">
                  <c:v>3.4097467705209834E-2</c:v>
                </c:pt>
                <c:pt idx="54">
                  <c:v>3.2096209930933789E-2</c:v>
                </c:pt>
                <c:pt idx="55">
                  <c:v>3.0036444945702633E-2</c:v>
                </c:pt>
                <c:pt idx="56">
                  <c:v>2.7916308368970827E-2</c:v>
                </c:pt>
                <c:pt idx="57">
                  <c:v>2.5733865567669965E-2</c:v>
                </c:pt>
                <c:pt idx="58">
                  <c:v>2.348710854347914E-2</c:v>
                </c:pt>
                <c:pt idx="59">
                  <c:v>2.1173952660374019E-2</c:v>
                </c:pt>
                <c:pt idx="60">
                  <c:v>1.8792233203102044E-2</c:v>
                </c:pt>
                <c:pt idx="61">
                  <c:v>1.6339701756613676E-2</c:v>
                </c:pt>
                <c:pt idx="62">
                  <c:v>1.3814022395816937E-2</c:v>
                </c:pt>
                <c:pt idx="63">
                  <c:v>1.1212767674311177E-2</c:v>
                </c:pt>
                <c:pt idx="64">
                  <c:v>8.5334143999909063E-3</c:v>
                </c:pt>
                <c:pt idx="65">
                  <c:v>5.773339184588307E-3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91616"/>
        <c:axId val="98206080"/>
      </c:scatterChart>
      <c:valAx>
        <c:axId val="9819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98206080"/>
        <c:crosses val="autoZero"/>
        <c:crossBetween val="midCat"/>
      </c:valAx>
      <c:valAx>
        <c:axId val="9820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81916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3 Point Attachment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Stresses @ 2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pt)'!$V$3:$V$68</c:f>
              <c:numCache>
                <c:formatCode>_(* #,##0.00_);_(* \(#,##0.00\);_(* "-"??_);_(@_)</c:formatCode>
                <c:ptCount val="66"/>
                <c:pt idx="0">
                  <c:v>-19.261335789143779</c:v>
                </c:pt>
                <c:pt idx="1">
                  <c:v>-19.763123157832798</c:v>
                </c:pt>
                <c:pt idx="2">
                  <c:v>-20.177843468911806</c:v>
                </c:pt>
                <c:pt idx="3">
                  <c:v>-20.503773139959076</c:v>
                </c:pt>
                <c:pt idx="4">
                  <c:v>-20.739142804190092</c:v>
                </c:pt>
                <c:pt idx="5">
                  <c:v>-20.882135780262963</c:v>
                </c:pt>
                <c:pt idx="6">
                  <c:v>-20.930886480304338</c:v>
                </c:pt>
                <c:pt idx="7">
                  <c:v>-20.883478753226871</c:v>
                </c:pt>
                <c:pt idx="8">
                  <c:v>-20.737944160247846</c:v>
                </c:pt>
                <c:pt idx="9">
                  <c:v>-20.492260179350893</c:v>
                </c:pt>
                <c:pt idx="10">
                  <c:v>-20.14434833524987</c:v>
                </c:pt>
                <c:pt idx="11">
                  <c:v>-19.692072251225326</c:v>
                </c:pt>
                <c:pt idx="12">
                  <c:v>-19.13323561899746</c:v>
                </c:pt>
                <c:pt idx="13">
                  <c:v>-18.465580082584971</c:v>
                </c:pt>
                <c:pt idx="14">
                  <c:v>-17.686783031867392</c:v>
                </c:pt>
                <c:pt idx="15">
                  <c:v>-16.794455301323861</c:v>
                </c:pt>
                <c:pt idx="16">
                  <c:v>-15.786138769159601</c:v>
                </c:pt>
                <c:pt idx="17">
                  <c:v>-14.659303851753114</c:v>
                </c:pt>
                <c:pt idx="18">
                  <c:v>-13.411346888060493</c:v>
                </c:pt>
                <c:pt idx="19">
                  <c:v>-12.0395874082965</c:v>
                </c:pt>
                <c:pt idx="20">
                  <c:v>-10.541265280874892</c:v>
                </c:pt>
                <c:pt idx="21">
                  <c:v>-8.9135377312298534</c:v>
                </c:pt>
                <c:pt idx="22">
                  <c:v>-7.1534762257558242</c:v>
                </c:pt>
                <c:pt idx="23">
                  <c:v>-5.2580632136916057</c:v>
                </c:pt>
                <c:pt idx="24">
                  <c:v>-3.2241887193356438</c:v>
                </c:pt>
                <c:pt idx="25">
                  <c:v>-1.0486467765093492</c:v>
                </c:pt>
                <c:pt idx="26">
                  <c:v>1.2718683033180604</c:v>
                </c:pt>
                <c:pt idx="27">
                  <c:v>3.1588645708162844</c:v>
                </c:pt>
                <c:pt idx="28">
                  <c:v>2.3698717303088959</c:v>
                </c:pt>
                <c:pt idx="29">
                  <c:v>2.7457574926150645</c:v>
                </c:pt>
                <c:pt idx="30">
                  <c:v>3.242353317208726</c:v>
                </c:pt>
                <c:pt idx="31">
                  <c:v>3.8625897478606008</c:v>
                </c:pt>
                <c:pt idx="32">
                  <c:v>4.6094929466654859</c:v>
                </c:pt>
                <c:pt idx="33">
                  <c:v>5.4861886256356858</c:v>
                </c:pt>
                <c:pt idx="34">
                  <c:v>6.4959061738900017</c:v>
                </c:pt>
                <c:pt idx="35">
                  <c:v>7.6419829918860591</c:v>
                </c:pt>
                <c:pt idx="36">
                  <c:v>8.9278690449160223</c:v>
                </c:pt>
                <c:pt idx="37">
                  <c:v>10.357131648917001</c:v>
                </c:pt>
                <c:pt idx="38">
                  <c:v>11.933460502543243</c:v>
                </c:pt>
                <c:pt idx="39">
                  <c:v>13.660672980411958</c:v>
                </c:pt>
                <c:pt idx="40">
                  <c:v>14.894783083545633</c:v>
                </c:pt>
                <c:pt idx="41">
                  <c:v>13.076369054494831</c:v>
                </c:pt>
                <c:pt idx="42">
                  <c:v>12.597959753249611</c:v>
                </c:pt>
                <c:pt idx="43">
                  <c:v>12.238984054059314</c:v>
                </c:pt>
                <c:pt idx="44">
                  <c:v>12.002682315751727</c:v>
                </c:pt>
                <c:pt idx="45">
                  <c:v>11.892413175679106</c:v>
                </c:pt>
                <c:pt idx="46">
                  <c:v>11.911658996009214</c:v>
                </c:pt>
                <c:pt idx="47">
                  <c:v>12.064031613755938</c:v>
                </c:pt>
                <c:pt idx="48">
                  <c:v>12.353278414498579</c:v>
                </c:pt>
                <c:pt idx="49">
                  <c:v>12.783288751250151</c:v>
                </c:pt>
                <c:pt idx="50">
                  <c:v>13.358100731576934</c:v>
                </c:pt>
                <c:pt idx="51">
                  <c:v>14.081908397855798</c:v>
                </c:pt>
                <c:pt idx="52">
                  <c:v>14.959069327496792</c:v>
                </c:pt>
                <c:pt idx="53">
                  <c:v>15.263234503572106</c:v>
                </c:pt>
                <c:pt idx="54">
                  <c:v>12.031933239625808</c:v>
                </c:pt>
                <c:pt idx="55">
                  <c:v>10.357453246178242</c:v>
                </c:pt>
                <c:pt idx="56">
                  <c:v>8.7938659820695424</c:v>
                </c:pt>
                <c:pt idx="57">
                  <c:v>7.3445815100756695</c:v>
                </c:pt>
                <c:pt idx="58">
                  <c:v>6.0131511681766181</c:v>
                </c:pt>
                <c:pt idx="59">
                  <c:v>4.8032749624300646</c:v>
                </c:pt>
                <c:pt idx="60">
                  <c:v>3.7188094289965572</c:v>
                </c:pt>
                <c:pt idx="61">
                  <c:v>2.7637760004218013</c:v>
                </c:pt>
                <c:pt idx="62">
                  <c:v>1.942369914315992</c:v>
                </c:pt>
                <c:pt idx="63">
                  <c:v>1.2589697059030531</c:v>
                </c:pt>
                <c:pt idx="64">
                  <c:v>0.7181473295767048</c:v>
                </c:pt>
                <c:pt idx="65">
                  <c:v>0.32467895863262902</c:v>
                </c:pt>
              </c:numCache>
            </c:numRef>
          </c:yVal>
          <c:smooth val="0"/>
        </c:ser>
        <c:ser>
          <c:idx val="1"/>
          <c:order val="1"/>
          <c:tx>
            <c:v>Stresses @ 10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pt)'!$AB$3:$AB$68</c:f>
              <c:numCache>
                <c:formatCode>_(* #,##0.00_);_(* \(#,##0.00\);_(* "-"??_);_(@_)</c:formatCode>
                <c:ptCount val="66"/>
                <c:pt idx="0">
                  <c:v>-46.357463985679139</c:v>
                </c:pt>
                <c:pt idx="1">
                  <c:v>-46.389121600561424</c:v>
                </c:pt>
                <c:pt idx="2">
                  <c:v>-46.328952700872328</c:v>
                </c:pt>
                <c:pt idx="3">
                  <c:v>-46.175139640573072</c:v>
                </c:pt>
                <c:pt idx="4">
                  <c:v>-45.925816484253993</c:v>
                </c:pt>
                <c:pt idx="5">
                  <c:v>-45.579067392807595</c:v>
                </c:pt>
                <c:pt idx="6">
                  <c:v>-45.132924943905238</c:v>
                </c:pt>
                <c:pt idx="7">
                  <c:v>-44.585368384184775</c:v>
                </c:pt>
                <c:pt idx="8">
                  <c:v>-43.934321809887386</c:v>
                </c:pt>
                <c:pt idx="9">
                  <c:v>-43.177652272503202</c:v>
                </c:pt>
                <c:pt idx="10">
                  <c:v>-42.313167805794308</c:v>
                </c:pt>
                <c:pt idx="11">
                  <c:v>-41.338615370361744</c:v>
                </c:pt>
                <c:pt idx="12">
                  <c:v>-40.251678711707925</c:v>
                </c:pt>
                <c:pt idx="13">
                  <c:v>-39.049976127516942</c:v>
                </c:pt>
                <c:pt idx="14">
                  <c:v>-37.731058139632097</c:v>
                </c:pt>
                <c:pt idx="15">
                  <c:v>-36.292405065950383</c:v>
                </c:pt>
                <c:pt idx="16">
                  <c:v>-34.731424487178487</c:v>
                </c:pt>
                <c:pt idx="17">
                  <c:v>-33.045448603099672</c:v>
                </c:pt>
                <c:pt idx="18">
                  <c:v>-31.231731472688583</c:v>
                </c:pt>
                <c:pt idx="19">
                  <c:v>-29.28744613207644</c:v>
                </c:pt>
                <c:pt idx="20">
                  <c:v>-27.209681584012053</c:v>
                </c:pt>
                <c:pt idx="21">
                  <c:v>-24.995439652084343</c:v>
                </c:pt>
                <c:pt idx="22">
                  <c:v>-22.641631692564896</c:v>
                </c:pt>
                <c:pt idx="23">
                  <c:v>-20.14507515629527</c:v>
                </c:pt>
                <c:pt idx="24">
                  <c:v>-17.502489992579523</c:v>
                </c:pt>
                <c:pt idx="25">
                  <c:v>-14.710494886545796</c:v>
                </c:pt>
                <c:pt idx="26">
                  <c:v>-11.76560332090998</c:v>
                </c:pt>
                <c:pt idx="27">
                  <c:v>-9.3025882629521544</c:v>
                </c:pt>
                <c:pt idx="28">
                  <c:v>-8.8498234458501912</c:v>
                </c:pt>
                <c:pt idx="29">
                  <c:v>-8.0466754847408968</c:v>
                </c:pt>
                <c:pt idx="30">
                  <c:v>-7.1176610348615439</c:v>
                </c:pt>
                <c:pt idx="31">
                  <c:v>-6.059724150420096</c:v>
                </c:pt>
                <c:pt idx="32">
                  <c:v>-4.8697091512862647</c:v>
                </c:pt>
                <c:pt idx="33">
                  <c:v>-3.5443565208413292</c:v>
                </c:pt>
                <c:pt idx="34">
                  <c:v>-2.0802985996781471</c:v>
                </c:pt>
                <c:pt idx="35">
                  <c:v>-0.47405506319889484</c:v>
                </c:pt>
                <c:pt idx="36">
                  <c:v>1.2779718296481162</c:v>
                </c:pt>
                <c:pt idx="37">
                  <c:v>3.179502230119978</c:v>
                </c:pt>
                <c:pt idx="38">
                  <c:v>5.2343839504810354</c:v>
                </c:pt>
                <c:pt idx="39">
                  <c:v>7.4465979874259345</c:v>
                </c:pt>
                <c:pt idx="40">
                  <c:v>9.1094521190756481</c:v>
                </c:pt>
                <c:pt idx="41">
                  <c:v>8.5050755430798368</c:v>
                </c:pt>
                <c:pt idx="42">
                  <c:v>8.2855569533889213</c:v>
                </c:pt>
                <c:pt idx="43">
                  <c:v>8.1882307796437317</c:v>
                </c:pt>
                <c:pt idx="44">
                  <c:v>8.2164125872966096</c:v>
                </c:pt>
                <c:pt idx="45">
                  <c:v>8.3735389916482461</c:v>
                </c:pt>
                <c:pt idx="46">
                  <c:v>8.6631732331588918</c:v>
                </c:pt>
                <c:pt idx="47">
                  <c:v>9.0890110637726185</c:v>
                </c:pt>
                <c:pt idx="48">
                  <c:v>9.6548869646857458</c:v>
                </c:pt>
                <c:pt idx="49">
                  <c:v>10.364780717539146</c:v>
                </c:pt>
                <c:pt idx="50">
                  <c:v>11.222824352695877</c:v>
                </c:pt>
                <c:pt idx="51">
                  <c:v>12.233309500093391</c:v>
                </c:pt>
                <c:pt idx="52">
                  <c:v>13.400695170148058</c:v>
                </c:pt>
                <c:pt idx="53">
                  <c:v>13.927813593486903</c:v>
                </c:pt>
                <c:pt idx="54">
                  <c:v>11.856832061244381</c:v>
                </c:pt>
                <c:pt idx="55">
                  <c:v>10.206755961952046</c:v>
                </c:pt>
                <c:pt idx="56">
                  <c:v>8.6659535684510161</c:v>
                </c:pt>
                <c:pt idx="57">
                  <c:v>7.2377851557771757</c:v>
                </c:pt>
                <c:pt idx="58">
                  <c:v>5.9257502116173519</c:v>
                </c:pt>
                <c:pt idx="59">
                  <c:v>4.7334947212586576</c:v>
                </c:pt>
                <c:pt idx="60">
                  <c:v>3.6648189148410952</c:v>
                </c:pt>
                <c:pt idx="61">
                  <c:v>2.7236855115065186</c:v>
                </c:pt>
                <c:pt idx="62">
                  <c:v>1.914228498027253</c:v>
                </c:pt>
                <c:pt idx="63">
                  <c:v>1.2407624827818728</c:v>
                </c:pt>
                <c:pt idx="64">
                  <c:v>0.70779266955625453</c:v>
                </c:pt>
                <c:pt idx="65">
                  <c:v>0.3200254996215085</c:v>
                </c:pt>
              </c:numCache>
            </c:numRef>
          </c:yVal>
          <c:smooth val="0"/>
        </c:ser>
        <c:ser>
          <c:idx val="2"/>
          <c:order val="2"/>
          <c:tx>
            <c:v>Stresses @ 20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pt)'!$AH$3:$AH$68</c:f>
              <c:numCache>
                <c:formatCode>_(* #,##0.00_);_(* \(#,##0.00\);_(* "-"??_);_(@_)</c:formatCode>
                <c:ptCount val="66"/>
                <c:pt idx="0">
                  <c:v>-32.379569916585126</c:v>
                </c:pt>
                <c:pt idx="1">
                  <c:v>-32.640283674791988</c:v>
                </c:pt>
                <c:pt idx="2">
                  <c:v>-32.816405320112388</c:v>
                </c:pt>
                <c:pt idx="3">
                  <c:v>-32.906260432602274</c:v>
                </c:pt>
                <c:pt idx="4">
                  <c:v>-32.908130107296586</c:v>
                </c:pt>
                <c:pt idx="5">
                  <c:v>-32.820249467011088</c:v>
                </c:pt>
                <c:pt idx="6">
                  <c:v>-32.640806115079506</c:v>
                </c:pt>
                <c:pt idx="7">
                  <c:v>-32.367938525176157</c:v>
                </c:pt>
                <c:pt idx="8">
                  <c:v>-31.999734365219794</c:v>
                </c:pt>
                <c:pt idx="9">
                  <c:v>-31.534228752187797</c:v>
                </c:pt>
                <c:pt idx="10">
                  <c:v>-30.969402434496011</c:v>
                </c:pt>
                <c:pt idx="11">
                  <c:v>-30.303179898411425</c:v>
                </c:pt>
                <c:pt idx="12">
                  <c:v>-29.533427394768232</c:v>
                </c:pt>
                <c:pt idx="13">
                  <c:v>-28.657950882045913</c:v>
                </c:pt>
                <c:pt idx="14">
                  <c:v>-27.674493881644285</c:v>
                </c:pt>
                <c:pt idx="15">
                  <c:v>-26.580735240951128</c:v>
                </c:pt>
                <c:pt idx="16">
                  <c:v>-25.374286799544507</c:v>
                </c:pt>
                <c:pt idx="17">
                  <c:v>-24.052690953600354</c:v>
                </c:pt>
                <c:pt idx="18">
                  <c:v>-22.613418113287075</c:v>
                </c:pt>
                <c:pt idx="19">
                  <c:v>-21.053864047621751</c:v>
                </c:pt>
                <c:pt idx="20">
                  <c:v>-19.37134711093287</c:v>
                </c:pt>
                <c:pt idx="21">
                  <c:v>-17.563105344724878</c:v>
                </c:pt>
                <c:pt idx="22">
                  <c:v>-15.626293448364642</c:v>
                </c:pt>
                <c:pt idx="23">
                  <c:v>-13.55797961161006</c:v>
                </c:pt>
                <c:pt idx="24">
                  <c:v>-11.355142201573667</c:v>
                </c:pt>
                <c:pt idx="25">
                  <c:v>-9.0146662962557933</c:v>
                </c:pt>
                <c:pt idx="26">
                  <c:v>-6.5333400562937518</c:v>
                </c:pt>
                <c:pt idx="27">
                  <c:v>-4.4862049701065976</c:v>
                </c:pt>
                <c:pt idx="28">
                  <c:v>-4.1504056128726701</c:v>
                </c:pt>
                <c:pt idx="29">
                  <c:v>-3.600893540213205</c:v>
                </c:pt>
                <c:pt idx="30">
                  <c:v>-2.9347679534612379</c:v>
                </c:pt>
                <c:pt idx="31">
                  <c:v>-2.1491975430683605</c:v>
                </c:pt>
                <c:pt idx="32">
                  <c:v>-1.2412585932846505</c:v>
                </c:pt>
                <c:pt idx="33">
                  <c:v>-0.2079311812452036</c:v>
                </c:pt>
                <c:pt idx="34">
                  <c:v>0.95390481311086639</c:v>
                </c:pt>
                <c:pt idx="35">
                  <c:v>2.2474738973648827</c:v>
                </c:pt>
                <c:pt idx="36">
                  <c:v>3.6761093690095343</c:v>
                </c:pt>
                <c:pt idx="37">
                  <c:v>5.2432579425339112</c:v>
                </c:pt>
                <c:pt idx="38">
                  <c:v>6.9524846146972541</c:v>
                </c:pt>
                <c:pt idx="39">
                  <c:v>8.8074777824199053</c:v>
                </c:pt>
                <c:pt idx="40">
                  <c:v>10.168067778505417</c:v>
                </c:pt>
                <c:pt idx="41">
                  <c:v>9.6037165889688811</c:v>
                </c:pt>
                <c:pt idx="42">
                  <c:v>9.2673798309382214</c:v>
                </c:pt>
                <c:pt idx="43">
                  <c:v>9.0453602672403228</c:v>
                </c:pt>
                <c:pt idx="44">
                  <c:v>8.9407598174743832</c:v>
                </c:pt>
                <c:pt idx="45">
                  <c:v>8.9567936545933406</c:v>
                </c:pt>
                <c:pt idx="46">
                  <c:v>9.096795421327684</c:v>
                </c:pt>
                <c:pt idx="47">
                  <c:v>9.3642227376134137</c:v>
                </c:pt>
                <c:pt idx="48">
                  <c:v>9.76266301814176</c:v>
                </c:pt>
                <c:pt idx="49">
                  <c:v>10.295839620596999</c:v>
                </c:pt>
                <c:pt idx="50">
                  <c:v>10.967618346722439</c:v>
                </c:pt>
                <c:pt idx="51">
                  <c:v>11.78201432006512</c:v>
                </c:pt>
                <c:pt idx="52">
                  <c:v>12.743199266110256</c:v>
                </c:pt>
                <c:pt idx="53">
                  <c:v>13.129086418844773</c:v>
                </c:pt>
                <c:pt idx="54">
                  <c:v>11.315127835377611</c:v>
                </c:pt>
                <c:pt idx="55">
                  <c:v>9.7405491868374181</c:v>
                </c:pt>
                <c:pt idx="56">
                  <c:v>8.2702355290952951</c:v>
                </c:pt>
                <c:pt idx="57">
                  <c:v>6.9073931106440547</c:v>
                </c:pt>
                <c:pt idx="58">
                  <c:v>5.6553610117810189</c:v>
                </c:pt>
                <c:pt idx="59">
                  <c:v>4.5176180956758634</c:v>
                </c:pt>
                <c:pt idx="60">
                  <c:v>3.4977904005553482</c:v>
                </c:pt>
                <c:pt idx="61">
                  <c:v>2.5996590060128413</c:v>
                </c:pt>
                <c:pt idx="62">
                  <c:v>1.8271684093036999</c:v>
                </c:pt>
                <c:pt idx="63">
                  <c:v>1.1844354506213137</c:v>
                </c:pt>
                <c:pt idx="64">
                  <c:v>0.67575882979377688</c:v>
                </c:pt>
                <c:pt idx="65">
                  <c:v>0.30562926063258156</c:v>
                </c:pt>
              </c:numCache>
            </c:numRef>
          </c:yVal>
          <c:smooth val="0"/>
        </c:ser>
        <c:ser>
          <c:idx val="3"/>
          <c:order val="3"/>
          <c:tx>
            <c:v>Stresses @ 30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pt)'!$AN$3:$AN$68</c:f>
              <c:numCache>
                <c:formatCode>_(* #,##0.00_);_(* \(#,##0.00\);_(* "-"??_);_(@_)</c:formatCode>
                <c:ptCount val="66"/>
                <c:pt idx="0">
                  <c:v>-26.839859782548309</c:v>
                </c:pt>
                <c:pt idx="1">
                  <c:v>-27.138750264157952</c:v>
                </c:pt>
                <c:pt idx="2">
                  <c:v>-27.360450896640192</c:v>
                </c:pt>
                <c:pt idx="3">
                  <c:v>-27.50343379353459</c:v>
                </c:pt>
                <c:pt idx="4">
                  <c:v>-27.56613047619296</c:v>
                </c:pt>
                <c:pt idx="5">
                  <c:v>-27.546930516707757</c:v>
                </c:pt>
                <c:pt idx="6">
                  <c:v>-27.44418012603078</c:v>
                </c:pt>
                <c:pt idx="7">
                  <c:v>-27.256180684681159</c:v>
                </c:pt>
                <c:pt idx="8">
                  <c:v>-26.981187213301055</c:v>
                </c:pt>
                <c:pt idx="9">
                  <c:v>-26.617406780166259</c:v>
                </c:pt>
                <c:pt idx="10">
                  <c:v>-26.162996842598414</c:v>
                </c:pt>
                <c:pt idx="11">
                  <c:v>-25.616063519056219</c:v>
                </c:pt>
                <c:pt idx="12">
                  <c:v>-24.974659788501519</c:v>
                </c:pt>
                <c:pt idx="13">
                  <c:v>-24.236783613444118</c:v>
                </c:pt>
                <c:pt idx="14">
                  <c:v>-23.400375982863864</c:v>
                </c:pt>
                <c:pt idx="15">
                  <c:v>-22.463318870992065</c:v>
                </c:pt>
                <c:pt idx="16">
                  <c:v>-21.423433107700429</c:v>
                </c:pt>
                <c:pt idx="17">
                  <c:v>-20.278476155999911</c:v>
                </c:pt>
                <c:pt idx="18">
                  <c:v>-19.026139791887609</c:v>
                </c:pt>
                <c:pt idx="19">
                  <c:v>-17.664047681499145</c:v>
                </c:pt>
                <c:pt idx="20">
                  <c:v>-16.18975285022406</c:v>
                </c:pt>
                <c:pt idx="21">
                  <c:v>-14.600735038121645</c:v>
                </c:pt>
                <c:pt idx="22">
                  <c:v>-12.894397935632947</c:v>
                </c:pt>
                <c:pt idx="23">
                  <c:v>-11.068066293219841</c:v>
                </c:pt>
                <c:pt idx="24">
                  <c:v>-9.1189828981712449</c:v>
                </c:pt>
                <c:pt idx="25">
                  <c:v>-7.0443054113994368</c:v>
                </c:pt>
                <c:pt idx="26">
                  <c:v>-4.8411030566031581</c:v>
                </c:pt>
                <c:pt idx="27">
                  <c:v>-3.0315619344509011</c:v>
                </c:pt>
                <c:pt idx="28">
                  <c:v>-2.7415548315216753</c:v>
                </c:pt>
                <c:pt idx="29">
                  <c:v>-2.2903132923823919</c:v>
                </c:pt>
                <c:pt idx="30">
                  <c:v>-1.732488657557957</c:v>
                </c:pt>
                <c:pt idx="31">
                  <c:v>-1.0654931513621477</c:v>
                </c:pt>
                <c:pt idx="32">
                  <c:v>-0.28665453922481487</c:v>
                </c:pt>
                <c:pt idx="33">
                  <c:v>0.60678734638594323</c:v>
                </c:pt>
                <c:pt idx="34">
                  <c:v>1.6176842529463524</c:v>
                </c:pt>
                <c:pt idx="35">
                  <c:v>2.7489833378878386</c:v>
                </c:pt>
                <c:pt idx="36">
                  <c:v>4.0037311924429604</c:v>
                </c:pt>
                <c:pt idx="37">
                  <c:v>5.3850780708690582</c:v>
                </c:pt>
                <c:pt idx="38">
                  <c:v>6.8962823373838091</c:v>
                </c:pt>
                <c:pt idx="39">
                  <c:v>8.5407151440013038</c:v>
                </c:pt>
                <c:pt idx="40">
                  <c:v>9.7370548002184734</c:v>
                </c:pt>
                <c:pt idx="41">
                  <c:v>9.225896851225869</c:v>
                </c:pt>
                <c:pt idx="42">
                  <c:v>8.8835724741494211</c:v>
                </c:pt>
                <c:pt idx="43">
                  <c:v>8.6460215110869463</c:v>
                </c:pt>
                <c:pt idx="44">
                  <c:v>8.5160869226185003</c:v>
                </c:pt>
                <c:pt idx="45">
                  <c:v>8.4967154691098408</c:v>
                </c:pt>
                <c:pt idx="46">
                  <c:v>8.5909624917824701</c:v>
                </c:pt>
                <c:pt idx="47">
                  <c:v>8.8019969605056065</c:v>
                </c:pt>
                <c:pt idx="48">
                  <c:v>9.1331068058325471</c:v>
                </c:pt>
                <c:pt idx="49">
                  <c:v>9.5877045541321007</c:v>
                </c:pt>
                <c:pt idx="50">
                  <c:v>10.169333286108031</c:v>
                </c:pt>
                <c:pt idx="51">
                  <c:v>10.881672940567277</c:v>
                </c:pt>
                <c:pt idx="52">
                  <c:v>11.728546987002986</c:v>
                </c:pt>
                <c:pt idx="53">
                  <c:v>12.054258069758855</c:v>
                </c:pt>
                <c:pt idx="54">
                  <c:v>10.430594403061134</c:v>
                </c:pt>
                <c:pt idx="55">
                  <c:v>8.9792933958169474</c:v>
                </c:pt>
                <c:pt idx="56">
                  <c:v>7.6240787910325762</c:v>
                </c:pt>
                <c:pt idx="57">
                  <c:v>6.367905331636889</c:v>
                </c:pt>
                <c:pt idx="58">
                  <c:v>5.2138501732605178</c:v>
                </c:pt>
                <c:pt idx="59">
                  <c:v>4.1651192901180663</c:v>
                </c:pt>
                <c:pt idx="60">
                  <c:v>3.2250542874126187</c:v>
                </c:pt>
                <c:pt idx="61">
                  <c:v>2.39713965068198</c:v>
                </c:pt>
                <c:pt idx="62">
                  <c:v>1.6850104651355451</c:v>
                </c:pt>
                <c:pt idx="63">
                  <c:v>1.0924606409187332</c:v>
                </c:pt>
                <c:pt idx="64">
                  <c:v>0.62345168341691048</c:v>
                </c:pt>
                <c:pt idx="65">
                  <c:v>0.28212205120487477</c:v>
                </c:pt>
              </c:numCache>
            </c:numRef>
          </c:yVal>
          <c:smooth val="0"/>
        </c:ser>
        <c:ser>
          <c:idx val="4"/>
          <c:order val="4"/>
          <c:tx>
            <c:v>Stresses @ 40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pt)'!$AT$3:$AT$68</c:f>
              <c:numCache>
                <c:formatCode>_(* #,##0.00_);_(* \(#,##0.00\);_(* "-"??_);_(@_)</c:formatCode>
                <c:ptCount val="66"/>
                <c:pt idx="0">
                  <c:v>-22.824715131397202</c:v>
                </c:pt>
                <c:pt idx="1">
                  <c:v>-23.107231747004956</c:v>
                </c:pt>
                <c:pt idx="2">
                  <c:v>-23.321709271045624</c:v>
                </c:pt>
                <c:pt idx="3">
                  <c:v>-23.466800957841482</c:v>
                </c:pt>
                <c:pt idx="4">
                  <c:v>-23.541124281961185</c:v>
                </c:pt>
                <c:pt idx="5">
                  <c:v>-23.543259742028834</c:v>
                </c:pt>
                <c:pt idx="6">
                  <c:v>-23.471749616220258</c:v>
                </c:pt>
                <c:pt idx="7">
                  <c:v>-23.325096667154749</c:v>
                </c:pt>
                <c:pt idx="8">
                  <c:v>-23.101762793764376</c:v>
                </c:pt>
                <c:pt idx="9">
                  <c:v>-22.800167627591893</c:v>
                </c:pt>
                <c:pt idx="10">
                  <c:v>-22.418687070825399</c:v>
                </c:pt>
                <c:pt idx="11">
                  <c:v>-21.955651773229473</c:v>
                </c:pt>
                <c:pt idx="12">
                  <c:v>-21.40934554497159</c:v>
                </c:pt>
                <c:pt idx="13">
                  <c:v>-20.778003702174246</c:v>
                </c:pt>
                <c:pt idx="14">
                  <c:v>-20.059811341842551</c:v>
                </c:pt>
                <c:pt idx="15">
                  <c:v>-19.252901542624038</c:v>
                </c:pt>
                <c:pt idx="16">
                  <c:v>-18.355353487654348</c:v>
                </c:pt>
                <c:pt idx="17">
                  <c:v>-17.365190505523497</c:v>
                </c:pt>
                <c:pt idx="18">
                  <c:v>-16.280378025165454</c:v>
                </c:pt>
                <c:pt idx="19">
                  <c:v>-15.09882144022605</c:v>
                </c:pt>
                <c:pt idx="20">
                  <c:v>-13.818363878200088</c:v>
                </c:pt>
                <c:pt idx="21">
                  <c:v>-12.436783869346115</c:v>
                </c:pt>
                <c:pt idx="22">
                  <c:v>-10.951792910086489</c:v>
                </c:pt>
                <c:pt idx="23">
                  <c:v>-9.3610329152779297</c:v>
                </c:pt>
                <c:pt idx="24">
                  <c:v>-7.6620735533946158</c:v>
                </c:pt>
                <c:pt idx="25">
                  <c:v>-5.8524094582969131</c:v>
                </c:pt>
                <c:pt idx="26">
                  <c:v>-3.9294573108658355</c:v>
                </c:pt>
                <c:pt idx="27">
                  <c:v>-2.3527339363539062</c:v>
                </c:pt>
                <c:pt idx="28">
                  <c:v>-2.0971244808890264</c:v>
                </c:pt>
                <c:pt idx="29">
                  <c:v>-1.7151161544375579</c:v>
                </c:pt>
                <c:pt idx="30">
                  <c:v>-1.2391067513068106</c:v>
                </c:pt>
                <c:pt idx="31">
                  <c:v>-0.66681398894238186</c:v>
                </c:pt>
                <c:pt idx="32">
                  <c:v>4.1189039658096737E-3</c:v>
                </c:pt>
                <c:pt idx="33">
                  <c:v>0.77612625149009884</c:v>
                </c:pt>
                <c:pt idx="34">
                  <c:v>1.651723146968868</c:v>
                </c:pt>
                <c:pt idx="35">
                  <c:v>2.6335088309367363</c:v>
                </c:pt>
                <c:pt idx="36">
                  <c:v>3.7241702400125067</c:v>
                </c:pt>
                <c:pt idx="37">
                  <c:v>4.9264857369250521</c:v>
                </c:pt>
                <c:pt idx="38">
                  <c:v>6.2433290325561623</c:v>
                </c:pt>
                <c:pt idx="39">
                  <c:v>7.6776733116322973</c:v>
                </c:pt>
                <c:pt idx="40">
                  <c:v>8.7179651539132319</c:v>
                </c:pt>
                <c:pt idx="41">
                  <c:v>8.2745108867702228</c:v>
                </c:pt>
                <c:pt idx="42">
                  <c:v>7.9615773563270347</c:v>
                </c:pt>
                <c:pt idx="43">
                  <c:v>7.7411377031122095</c:v>
                </c:pt>
                <c:pt idx="44">
                  <c:v>7.6157016836192817</c:v>
                </c:pt>
                <c:pt idx="45">
                  <c:v>7.5878706891610923</c:v>
                </c:pt>
                <c:pt idx="46">
                  <c:v>7.6603419666670893</c:v>
                </c:pt>
                <c:pt idx="47">
                  <c:v>7.8359130749496186</c:v>
                </c:pt>
                <c:pt idx="48">
                  <c:v>8.1174865919089498</c:v>
                </c:pt>
                <c:pt idx="49">
                  <c:v>8.5080750893189823</c:v>
                </c:pt>
                <c:pt idx="50">
                  <c:v>9.0108063931090641</c:v>
                </c:pt>
                <c:pt idx="51">
                  <c:v>9.6289291484415092</c:v>
                </c:pt>
                <c:pt idx="52">
                  <c:v>10.365818710389856</c:v>
                </c:pt>
                <c:pt idx="53">
                  <c:v>10.644475763805337</c:v>
                </c:pt>
                <c:pt idx="54">
                  <c:v>9.2301078650403685</c:v>
                </c:pt>
                <c:pt idx="55">
                  <c:v>7.9461189608867802</c:v>
                </c:pt>
                <c:pt idx="56">
                  <c:v>6.7471164997778059</c:v>
                </c:pt>
                <c:pt idx="57">
                  <c:v>5.6357138819268222</c:v>
                </c:pt>
                <c:pt idx="58">
                  <c:v>4.6146327794690283</c:v>
                </c:pt>
                <c:pt idx="59">
                  <c:v>3.6867088024191355</c:v>
                </c:pt>
                <c:pt idx="60">
                  <c:v>2.8548975241996168</c:v>
                </c:pt>
                <c:pt idx="61">
                  <c:v>2.1222808936459256</c:v>
                </c:pt>
                <c:pt idx="62">
                  <c:v>1.4920740627209477</c:v>
                </c:pt>
                <c:pt idx="63">
                  <c:v>0.96763266172544404</c:v>
                </c:pt>
                <c:pt idx="64">
                  <c:v>0.55246055659962279</c:v>
                </c:pt>
                <c:pt idx="65">
                  <c:v>0.25021812600162718</c:v>
                </c:pt>
              </c:numCache>
            </c:numRef>
          </c:yVal>
          <c:smooth val="0"/>
        </c:ser>
        <c:ser>
          <c:idx val="5"/>
          <c:order val="5"/>
          <c:tx>
            <c:v>Stresses @ 50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pt)'!$AZ$3:$AZ$68</c:f>
              <c:numCache>
                <c:formatCode>_(* #,##0.00_);_(* \(#,##0.00\);_(* "-"??_);_(@_)</c:formatCode>
                <c:ptCount val="66"/>
                <c:pt idx="0">
                  <c:v>-19.123997207192783</c:v>
                </c:pt>
                <c:pt idx="1">
                  <c:v>-19.361948990864693</c:v>
                </c:pt>
                <c:pt idx="2">
                  <c:v>-19.542822522477845</c:v>
                </c:pt>
                <c:pt idx="3">
                  <c:v>-19.665488025686027</c:v>
                </c:pt>
                <c:pt idx="4">
                  <c:v>-19.728785708786301</c:v>
                </c:pt>
                <c:pt idx="5">
                  <c:v>-19.731524761238823</c:v>
                </c:pt>
                <c:pt idx="6">
                  <c:v>-19.672482309657561</c:v>
                </c:pt>
                <c:pt idx="7">
                  <c:v>-19.550402331347613</c:v>
                </c:pt>
                <c:pt idx="8">
                  <c:v>-19.363994523363051</c:v>
                </c:pt>
                <c:pt idx="9">
                  <c:v>-19.111933124944834</c:v>
                </c:pt>
                <c:pt idx="10">
                  <c:v>-18.792855691081641</c:v>
                </c:pt>
                <c:pt idx="11">
                  <c:v>-18.405361814810714</c:v>
                </c:pt>
                <c:pt idx="12">
                  <c:v>-17.948011795740928</c:v>
                </c:pt>
                <c:pt idx="13">
                  <c:v>-17.419325252138986</c:v>
                </c:pt>
                <c:pt idx="14">
                  <c:v>-16.817779673768154</c:v>
                </c:pt>
                <c:pt idx="15">
                  <c:v>-16.141808912507521</c:v>
                </c:pt>
                <c:pt idx="16">
                  <c:v>-15.38980160760808</c:v>
                </c:pt>
                <c:pt idx="17">
                  <c:v>-14.560099542259904</c:v>
                </c:pt>
                <c:pt idx="18">
                  <c:v>-13.650995927948665</c:v>
                </c:pt>
                <c:pt idx="19">
                  <c:v>-12.660733612873065</c:v>
                </c:pt>
                <c:pt idx="20">
                  <c:v>-11.587503210471873</c:v>
                </c:pt>
                <c:pt idx="21">
                  <c:v>-10.429441143873916</c:v>
                </c:pt>
                <c:pt idx="22">
                  <c:v>-9.1846276018305186</c:v>
                </c:pt>
                <c:pt idx="23">
                  <c:v>-7.8510844014203762</c:v>
                </c:pt>
                <c:pt idx="24">
                  <c:v>-6.4267727525283807</c:v>
                </c:pt>
                <c:pt idx="25">
                  <c:v>-4.9095909187908591</c:v>
                </c:pt>
                <c:pt idx="26">
                  <c:v>-3.2973717693696099</c:v>
                </c:pt>
                <c:pt idx="27">
                  <c:v>-1.975611607940833</c:v>
                </c:pt>
                <c:pt idx="28">
                  <c:v>-1.7534663174963032</c:v>
                </c:pt>
                <c:pt idx="29">
                  <c:v>-1.4338746566145246</c:v>
                </c:pt>
                <c:pt idx="30">
                  <c:v>-1.0354242934220976</c:v>
                </c:pt>
                <c:pt idx="31">
                  <c:v>-0.55620060745457955</c:v>
                </c:pt>
                <c:pt idx="32">
                  <c:v>5.7735110570428802E-3</c:v>
                </c:pt>
                <c:pt idx="33">
                  <c:v>0.65254023163563435</c:v>
                </c:pt>
                <c:pt idx="34">
                  <c:v>1.3862094819414421</c:v>
                </c:pt>
                <c:pt idx="35">
                  <c:v>2.2089617815808587</c:v>
                </c:pt>
                <c:pt idx="36">
                  <c:v>3.1230512193368325</c:v>
                </c:pt>
                <c:pt idx="37">
                  <c:v>4.130808582361202</c:v>
                </c:pt>
                <c:pt idx="38">
                  <c:v>5.2346446464561014</c:v>
                </c:pt>
                <c:pt idx="39">
                  <c:v>6.4370536372027232</c:v>
                </c:pt>
                <c:pt idx="40">
                  <c:v>7.3088849243186376</c:v>
                </c:pt>
                <c:pt idx="41">
                  <c:v>6.9461442054811879</c:v>
                </c:pt>
                <c:pt idx="42">
                  <c:v>6.6828599466146059</c:v>
                </c:pt>
                <c:pt idx="43">
                  <c:v>6.4971720889414772</c:v>
                </c:pt>
                <c:pt idx="44">
                  <c:v>6.3911861417889524</c:v>
                </c:pt>
                <c:pt idx="45">
                  <c:v>6.3670844902119033</c:v>
                </c:pt>
                <c:pt idx="46">
                  <c:v>6.4271299360195124</c:v>
                </c:pt>
                <c:pt idx="47">
                  <c:v>6.5736694363512242</c:v>
                </c:pt>
                <c:pt idx="48">
                  <c:v>6.8091380527805558</c:v>
                </c:pt>
                <c:pt idx="49">
                  <c:v>7.136063124909052</c:v>
                </c:pt>
                <c:pt idx="50">
                  <c:v>7.5570686834809644</c:v>
                </c:pt>
                <c:pt idx="51">
                  <c:v>8.0748801192105457</c:v>
                </c:pt>
                <c:pt idx="52">
                  <c:v>8.6923291247769257</c:v>
                </c:pt>
                <c:pt idx="53">
                  <c:v>8.9253615125704542</c:v>
                </c:pt>
                <c:pt idx="54">
                  <c:v>7.7501443972975856</c:v>
                </c:pt>
                <c:pt idx="55">
                  <c:v>6.6724183644407766</c:v>
                </c:pt>
                <c:pt idx="56">
                  <c:v>5.6659947107864337</c:v>
                </c:pt>
                <c:pt idx="57">
                  <c:v>4.7330660282065455</c:v>
                </c:pt>
                <c:pt idx="58">
                  <c:v>3.8759157476982735</c:v>
                </c:pt>
                <c:pt idx="59">
                  <c:v>3.0969228931604178</c:v>
                </c:pt>
                <c:pt idx="60">
                  <c:v>2.39856713685821</c:v>
                </c:pt>
                <c:pt idx="61">
                  <c:v>1.7834341791519772</c:v>
                </c:pt>
                <c:pt idx="62">
                  <c:v>1.2542214770167455</c:v>
                </c:pt>
                <c:pt idx="63">
                  <c:v>0.81374434802323015</c:v>
                </c:pt>
                <c:pt idx="64">
                  <c:v>0.46494247880701406</c:v>
                </c:pt>
                <c:pt idx="65">
                  <c:v>0.21088686964597453</c:v>
                </c:pt>
              </c:numCache>
            </c:numRef>
          </c:yVal>
          <c:smooth val="0"/>
        </c:ser>
        <c:ser>
          <c:idx val="6"/>
          <c:order val="6"/>
          <c:tx>
            <c:v>Stresses @ 60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pt)'!$BF$3:$BF$68</c:f>
              <c:numCache>
                <c:formatCode>_(* #,##0.00_);_(* \(#,##0.00\);_(* "-"??_);_(@_)</c:formatCode>
                <c:ptCount val="66"/>
                <c:pt idx="0">
                  <c:v>-15.41112969313494</c:v>
                </c:pt>
                <c:pt idx="1">
                  <c:v>-15.586202909839075</c:v>
                </c:pt>
                <c:pt idx="2">
                  <c:v>-15.716747685045156</c:v>
                </c:pt>
                <c:pt idx="3">
                  <c:v>-15.80188266412352</c:v>
                </c:pt>
                <c:pt idx="4">
                  <c:v>-15.840703077153625</c:v>
                </c:pt>
                <c:pt idx="5">
                  <c:v>-15.832279956095967</c:v>
                </c:pt>
                <c:pt idx="6">
                  <c:v>-15.775659320345484</c:v>
                </c:pt>
                <c:pt idx="7">
                  <c:v>-15.669861329167116</c:v>
                </c:pt>
                <c:pt idx="8">
                  <c:v>-15.513879399431021</c:v>
                </c:pt>
                <c:pt idx="9">
                  <c:v>-15.306679286979227</c:v>
                </c:pt>
                <c:pt idx="10">
                  <c:v>-15.047198129861918</c:v>
                </c:pt>
                <c:pt idx="11">
                  <c:v>-14.734343451584573</c:v>
                </c:pt>
                <c:pt idx="12">
                  <c:v>-14.366992122401825</c:v>
                </c:pt>
                <c:pt idx="13">
                  <c:v>-13.943989276583657</c:v>
                </c:pt>
                <c:pt idx="14">
                  <c:v>-13.464147183461158</c:v>
                </c:pt>
                <c:pt idx="15">
                  <c:v>-12.926244069933107</c:v>
                </c:pt>
                <c:pt idx="16">
                  <c:v>-12.329022891981479</c:v>
                </c:pt>
                <c:pt idx="17">
                  <c:v>-11.671190052600531</c:v>
                </c:pt>
                <c:pt idx="18">
                  <c:v>-10.951414063392834</c:v>
                </c:pt>
                <c:pt idx="19">
                  <c:v>-10.168324146922702</c:v>
                </c:pt>
                <c:pt idx="20">
                  <c:v>-9.3205087767454664</c:v>
                </c:pt>
                <c:pt idx="21">
                  <c:v>-8.4065141518454709</c:v>
                </c:pt>
                <c:pt idx="22">
                  <c:v>-7.4248426020191323</c:v>
                </c:pt>
                <c:pt idx="23">
                  <c:v>-6.3739509205285723</c:v>
                </c:pt>
                <c:pt idx="24">
                  <c:v>-5.2522486201259895</c:v>
                </c:pt>
                <c:pt idx="25">
                  <c:v>-4.0580961083084919</c:v>
                </c:pt>
                <c:pt idx="26">
                  <c:v>-2.7898027774050709</c:v>
                </c:pt>
                <c:pt idx="27">
                  <c:v>-1.7486080434731468</c:v>
                </c:pt>
                <c:pt idx="28">
                  <c:v>-1.5617686682447438</c:v>
                </c:pt>
                <c:pt idx="29">
                  <c:v>-1.3038970044017328</c:v>
                </c:pt>
                <c:pt idx="30">
                  <c:v>-0.98453815054413196</c:v>
                </c:pt>
                <c:pt idx="31">
                  <c:v>-0.60219927420583508</c:v>
                </c:pt>
                <c:pt idx="32">
                  <c:v>-0.15533881977567232</c:v>
                </c:pt>
                <c:pt idx="33">
                  <c:v>0.35763549571652925</c:v>
                </c:pt>
                <c:pt idx="34">
                  <c:v>0.9383687865677145</c:v>
                </c:pt>
                <c:pt idx="35">
                  <c:v>1.588561207964051</c:v>
                </c:pt>
                <c:pt idx="36">
                  <c:v>2.3099702773732833</c:v>
                </c:pt>
                <c:pt idx="37">
                  <c:v>3.1044133144262496</c:v>
                </c:pt>
                <c:pt idx="38">
                  <c:v>3.9737700064042505</c:v>
                </c:pt>
                <c:pt idx="39">
                  <c:v>4.9199851069413851</c:v>
                </c:pt>
                <c:pt idx="40">
                  <c:v>5.6077050991944226</c:v>
                </c:pt>
                <c:pt idx="41">
                  <c:v>5.3364187778236705</c:v>
                </c:pt>
                <c:pt idx="42">
                  <c:v>5.1368449741032807</c:v>
                </c:pt>
                <c:pt idx="43">
                  <c:v>4.9977206747634311</c:v>
                </c:pt>
                <c:pt idx="44">
                  <c:v>4.920686100424974</c:v>
                </c:pt>
                <c:pt idx="45">
                  <c:v>4.9074413595012656</c:v>
                </c:pt>
                <c:pt idx="46">
                  <c:v>4.9597492067871132</c:v>
                </c:pt>
                <c:pt idx="47">
                  <c:v>5.0794379559495475</c:v>
                </c:pt>
                <c:pt idx="48">
                  <c:v>5.2684045560316575</c:v>
                </c:pt>
                <c:pt idx="49">
                  <c:v>5.528617842847158</c:v>
                </c:pt>
                <c:pt idx="50">
                  <c:v>5.8621219769756285</c:v>
                </c:pt>
                <c:pt idx="51">
                  <c:v>6.2710400809731617</c:v>
                </c:pt>
                <c:pt idx="52">
                  <c:v>6.757578089397275</c:v>
                </c:pt>
                <c:pt idx="53">
                  <c:v>6.9434768259094186</c:v>
                </c:pt>
                <c:pt idx="54">
                  <c:v>6.0356719409024917</c:v>
                </c:pt>
                <c:pt idx="55">
                  <c:v>5.1968923545783472</c:v>
                </c:pt>
                <c:pt idx="56">
                  <c:v>4.4135627625429397</c:v>
                </c:pt>
                <c:pt idx="57">
                  <c:v>3.6873882687494981</c:v>
                </c:pt>
                <c:pt idx="58">
                  <c:v>3.0201446211497527</c:v>
                </c:pt>
                <c:pt idx="59">
                  <c:v>2.4136819087486674</c:v>
                </c:pt>
                <c:pt idx="60">
                  <c:v>1.869928493293449</c:v>
                </c:pt>
                <c:pt idx="61">
                  <c:v>1.3908951931553215</c:v>
                </c:pt>
                <c:pt idx="62">
                  <c:v>0.97867973848034406</c:v>
                </c:pt>
                <c:pt idx="63">
                  <c:v>0.63547151835268856</c:v>
                </c:pt>
                <c:pt idx="64">
                  <c:v>0.36355664254652814</c:v>
                </c:pt>
                <c:pt idx="65">
                  <c:v>0.16532334245970709</c:v>
                </c:pt>
              </c:numCache>
            </c:numRef>
          </c:yVal>
          <c:smooth val="0"/>
        </c:ser>
        <c:ser>
          <c:idx val="7"/>
          <c:order val="7"/>
          <c:tx>
            <c:v>Stresses @ 70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pt)'!$BL$3:$BL$68</c:f>
              <c:numCache>
                <c:formatCode>_(* #,##0.00_);_(* \(#,##0.00\);_(* "-"??_);_(@_)</c:formatCode>
                <c:ptCount val="66"/>
                <c:pt idx="0">
                  <c:v>-11.612636361633385</c:v>
                </c:pt>
                <c:pt idx="1">
                  <c:v>-11.712044441364482</c:v>
                </c:pt>
                <c:pt idx="2">
                  <c:v>-11.780729036296647</c:v>
                </c:pt>
                <c:pt idx="3">
                  <c:v>-11.818082058193415</c:v>
                </c:pt>
                <c:pt idx="4">
                  <c:v>-11.82347926369707</c:v>
                </c:pt>
                <c:pt idx="5">
                  <c:v>-11.79627971422242</c:v>
                </c:pt>
                <c:pt idx="6">
                  <c:v>-11.73582521403536</c:v>
                </c:pt>
                <c:pt idx="7">
                  <c:v>-11.641439725481575</c:v>
                </c:pt>
                <c:pt idx="8">
                  <c:v>-11.51242876027375</c:v>
                </c:pt>
                <c:pt idx="9">
                  <c:v>-11.348078745686061</c:v>
                </c:pt>
                <c:pt idx="10">
                  <c:v>-11.147656364440408</c:v>
                </c:pt>
                <c:pt idx="11">
                  <c:v>-10.910407867001956</c:v>
                </c:pt>
                <c:pt idx="12">
                  <c:v>-10.635558354928746</c:v>
                </c:pt>
                <c:pt idx="13">
                  <c:v>-10.322311033844116</c:v>
                </c:pt>
                <c:pt idx="14">
                  <c:v>-9.9698464345188675</c:v>
                </c:pt>
                <c:pt idx="15">
                  <c:v>-9.5773216004636588</c:v>
                </c:pt>
                <c:pt idx="16">
                  <c:v>-9.1438692403393684</c:v>
                </c:pt>
                <c:pt idx="17">
                  <c:v>-8.6685968433952176</c:v>
                </c:pt>
                <c:pt idx="18">
                  <c:v>-8.1505857560390886</c:v>
                </c:pt>
                <c:pt idx="19">
                  <c:v>-7.5888902175329491</c:v>
                </c:pt>
                <c:pt idx="20">
                  <c:v>-6.9825363526868598</c:v>
                </c:pt>
                <c:pt idx="21">
                  <c:v>-6.3305211192973738</c:v>
                </c:pt>
                <c:pt idx="22">
                  <c:v>-5.6318112079407321</c:v>
                </c:pt>
                <c:pt idx="23">
                  <c:v>-4.8853418915851057</c:v>
                </c:pt>
                <c:pt idx="24">
                  <c:v>-4.0900158223315204</c:v>
                </c:pt>
                <c:pt idx="25">
                  <c:v>-3.244701772426358</c:v>
                </c:pt>
                <c:pt idx="26">
                  <c:v>-2.3482333165110227</c:v>
                </c:pt>
                <c:pt idx="27">
                  <c:v>-1.6094354461110525</c:v>
                </c:pt>
                <c:pt idx="28">
                  <c:v>-1.4602800549174029</c:v>
                </c:pt>
                <c:pt idx="29">
                  <c:v>-1.2649579808564539</c:v>
                </c:pt>
                <c:pt idx="30">
                  <c:v>-1.0272762283684473</c:v>
                </c:pt>
                <c:pt idx="31">
                  <c:v>-0.74620639045945858</c:v>
                </c:pt>
                <c:pt idx="32">
                  <c:v>-0.4206864948549669</c:v>
                </c:pt>
                <c:pt idx="33">
                  <c:v>-4.9619623271826119E-2</c:v>
                </c:pt>
                <c:pt idx="34">
                  <c:v>0.36812753803344306</c:v>
                </c:pt>
                <c:pt idx="35">
                  <c:v>0.83372622046419942</c:v>
                </c:pt>
                <c:pt idx="36">
                  <c:v>1.3483871723266934</c:v>
                </c:pt>
                <c:pt idx="37">
                  <c:v>1.9133623397046684</c:v>
                </c:pt>
                <c:pt idx="38">
                  <c:v>2.5299466338685357</c:v>
                </c:pt>
                <c:pt idx="39">
                  <c:v>3.1994797904615413</c:v>
                </c:pt>
                <c:pt idx="40">
                  <c:v>3.6894859231877608</c:v>
                </c:pt>
                <c:pt idx="41">
                  <c:v>3.5176938848117962</c:v>
                </c:pt>
                <c:pt idx="42">
                  <c:v>3.3919663634906838</c:v>
                </c:pt>
                <c:pt idx="43">
                  <c:v>3.3077773282182368</c:v>
                </c:pt>
                <c:pt idx="44">
                  <c:v>3.266253838903745</c:v>
                </c:pt>
                <c:pt idx="45">
                  <c:v>3.2685641073502398</c:v>
                </c:pt>
                <c:pt idx="46">
                  <c:v>3.3159193928901862</c:v>
                </c:pt>
                <c:pt idx="47">
                  <c:v>3.4095760037836613</c:v>
                </c:pt>
                <c:pt idx="48">
                  <c:v>3.5508374113278074</c:v>
                </c:pt>
                <c:pt idx="49">
                  <c:v>3.7410564841531091</c:v>
                </c:pt>
                <c:pt idx="50">
                  <c:v>3.9816378507541379</c:v>
                </c:pt>
                <c:pt idx="51">
                  <c:v>4.2740403989241118</c:v>
                </c:pt>
                <c:pt idx="52">
                  <c:v>4.619779921439048</c:v>
                </c:pt>
                <c:pt idx="53">
                  <c:v>4.7566330806848631</c:v>
                </c:pt>
                <c:pt idx="54">
                  <c:v>4.1387838738777321</c:v>
                </c:pt>
                <c:pt idx="55">
                  <c:v>3.564374042456973</c:v>
                </c:pt>
                <c:pt idx="56">
                  <c:v>3.0278751660335539</c:v>
                </c:pt>
                <c:pt idx="57">
                  <c:v>2.5304529931382995</c:v>
                </c:pt>
                <c:pt idx="58">
                  <c:v>2.0733215724625587</c:v>
                </c:pt>
                <c:pt idx="59">
                  <c:v>1.6577457807586153</c:v>
                </c:pt>
                <c:pt idx="60">
                  <c:v>1.2850440111859878</c:v>
                </c:pt>
                <c:pt idx="61">
                  <c:v>0.95659103411115576</c:v>
                </c:pt>
                <c:pt idx="62">
                  <c:v>0.67382104340632476</c:v>
                </c:pt>
                <c:pt idx="63">
                  <c:v>0.43823090243295426</c:v>
                </c:pt>
                <c:pt idx="64">
                  <c:v>0.25138360514923147</c:v>
                </c:pt>
                <c:pt idx="65">
                  <c:v>0.11491196916012238</c:v>
                </c:pt>
              </c:numCache>
            </c:numRef>
          </c:yVal>
          <c:smooth val="0"/>
        </c:ser>
        <c:ser>
          <c:idx val="8"/>
          <c:order val="8"/>
          <c:tx>
            <c:v>Stresses @ 80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pt)'!$BR$3:$BR$68</c:f>
              <c:numCache>
                <c:formatCode>_(* #,##0.00_);_(* \(#,##0.00\);_(* "-"??_);_(@_)</c:formatCode>
                <c:ptCount val="66"/>
                <c:pt idx="0">
                  <c:v>-7.7548612401933781</c:v>
                </c:pt>
                <c:pt idx="1">
                  <c:v>-7.7698458898977592</c:v>
                </c:pt>
                <c:pt idx="2">
                  <c:v>-7.7687704098031176</c:v>
                </c:pt>
                <c:pt idx="3">
                  <c:v>-7.7513169693466786</c:v>
                </c:pt>
                <c:pt idx="4">
                  <c:v>-7.7171592944618208</c:v>
                </c:pt>
                <c:pt idx="5">
                  <c:v>-7.6659623852877923</c:v>
                </c:pt>
                <c:pt idx="6">
                  <c:v>-7.5973822224773899</c:v>
                </c:pt>
                <c:pt idx="7">
                  <c:v>-7.5110654615613992</c:v>
                </c:pt>
                <c:pt idx="8">
                  <c:v>-7.4066491147994205</c:v>
                </c:pt>
                <c:pt idx="9">
                  <c:v>-7.2837602199150817</c:v>
                </c:pt>
                <c:pt idx="10">
                  <c:v>-7.1420154950806456</c:v>
                </c:pt>
                <c:pt idx="11">
                  <c:v>-6.981020979480264</c:v>
                </c:pt>
                <c:pt idx="12">
                  <c:v>-6.8003716587437548</c:v>
                </c:pt>
                <c:pt idx="13">
                  <c:v>-6.5996510745026233</c:v>
                </c:pt>
                <c:pt idx="14">
                  <c:v>-6.3784309172775711</c:v>
                </c:pt>
                <c:pt idx="15">
                  <c:v>-6.1362706018611641</c:v>
                </c:pt>
                <c:pt idx="16">
                  <c:v>-5.8727168243113805</c:v>
                </c:pt>
                <c:pt idx="17">
                  <c:v>-5.5873030996199926</c:v>
                </c:pt>
                <c:pt idx="18">
                  <c:v>-5.2795492790651046</c:v>
                </c:pt>
                <c:pt idx="19">
                  <c:v>-4.9489610461986624</c:v>
                </c:pt>
                <c:pt idx="20">
                  <c:v>-4.5950293903572135</c:v>
                </c:pt>
                <c:pt idx="21">
                  <c:v>-4.2172300565178684</c:v>
                </c:pt>
                <c:pt idx="22">
                  <c:v>-3.81502297025001</c:v>
                </c:pt>
                <c:pt idx="23">
                  <c:v>-3.387851636437579</c:v>
                </c:pt>
                <c:pt idx="24">
                  <c:v>-2.9351425103653073</c:v>
                </c:pt>
                <c:pt idx="25">
                  <c:v>-2.4563043396755879</c:v>
                </c:pt>
                <c:pt idx="26">
                  <c:v>-1.9507274756096904</c:v>
                </c:pt>
                <c:pt idx="27">
                  <c:v>-1.5292428010188406</c:v>
                </c:pt>
                <c:pt idx="28">
                  <c:v>-1.4197738034512173</c:v>
                </c:pt>
                <c:pt idx="29">
                  <c:v>-1.287556786935504</c:v>
                </c:pt>
                <c:pt idx="30">
                  <c:v>-1.1333085702673327</c:v>
                </c:pt>
                <c:pt idx="31">
                  <c:v>-0.95649433272986872</c:v>
                </c:pt>
                <c:pt idx="32">
                  <c:v>-0.75656179802196855</c:v>
                </c:pt>
                <c:pt idx="33">
                  <c:v>-0.53294051617215932</c:v>
                </c:pt>
                <c:pt idx="34">
                  <c:v>-0.28504110970807389</c:v>
                </c:pt>
                <c:pt idx="35">
                  <c:v>-1.2254481988128006E-2</c:v>
                </c:pt>
                <c:pt idx="36">
                  <c:v>0.28604901453902454</c:v>
                </c:pt>
                <c:pt idx="37">
                  <c:v>0.61052045253388643</c:v>
                </c:pt>
                <c:pt idx="38">
                  <c:v>0.96183324897471034</c:v>
                </c:pt>
                <c:pt idx="39">
                  <c:v>1.3406841321023497</c:v>
                </c:pt>
                <c:pt idx="40">
                  <c:v>1.6236858396697942</c:v>
                </c:pt>
                <c:pt idx="41">
                  <c:v>1.5564421003825302</c:v>
                </c:pt>
                <c:pt idx="42">
                  <c:v>1.5115016394856418</c:v>
                </c:pt>
                <c:pt idx="43">
                  <c:v>1.4879820569190394</c:v>
                </c:pt>
                <c:pt idx="44">
                  <c:v>1.48646450915823</c:v>
                </c:pt>
                <c:pt idx="45">
                  <c:v>1.5075513731176966</c:v>
                </c:pt>
                <c:pt idx="46">
                  <c:v>1.5518672237624409</c:v>
                </c:pt>
                <c:pt idx="47">
                  <c:v>1.6200598662702157</c:v>
                </c:pt>
                <c:pt idx="48">
                  <c:v>1.7128014263290281</c:v>
                </c:pt>
                <c:pt idx="49">
                  <c:v>1.8307895024262215</c:v>
                </c:pt>
                <c:pt idx="50">
                  <c:v>1.9747483842806108</c:v>
                </c:pt>
                <c:pt idx="51">
                  <c:v>2.145430341889905</c:v>
                </c:pt>
                <c:pt idx="52">
                  <c:v>2.3436169900146271</c:v>
                </c:pt>
                <c:pt idx="53">
                  <c:v>2.4301254627866293</c:v>
                </c:pt>
                <c:pt idx="54">
                  <c:v>2.1171161802681744</c:v>
                </c:pt>
                <c:pt idx="55">
                  <c:v>1.8244666708963395</c:v>
                </c:pt>
                <c:pt idx="56">
                  <c:v>1.5510353376864594</c:v>
                </c:pt>
                <c:pt idx="57">
                  <c:v>1.2974130942849014</c:v>
                </c:pt>
                <c:pt idx="58">
                  <c:v>1.0642153408554704</c:v>
                </c:pt>
                <c:pt idx="59">
                  <c:v>0.85208324591710272</c:v>
                </c:pt>
                <c:pt idx="60">
                  <c:v>0.6616851095588332</c:v>
                </c:pt>
                <c:pt idx="61">
                  <c:v>0.49371781412352878</c:v>
                </c:pt>
                <c:pt idx="62">
                  <c:v>0.34890836897856875</c:v>
                </c:pt>
                <c:pt idx="63">
                  <c:v>0.22801555657018086</c:v>
                </c:pt>
                <c:pt idx="64">
                  <c:v>0.13183168759414501</c:v>
                </c:pt>
                <c:pt idx="65">
                  <c:v>6.1184473815542595E-2</c:v>
                </c:pt>
              </c:numCache>
            </c:numRef>
          </c:yVal>
          <c:smooth val="0"/>
        </c:ser>
        <c:ser>
          <c:idx val="9"/>
          <c:order val="9"/>
          <c:tx>
            <c:v>Stresses @ 90 deg</c:v>
          </c:tx>
          <c:spPr>
            <a:ln w="28575">
              <a:noFill/>
            </a:ln>
          </c:spPr>
          <c:xVal>
            <c:numRef>
              <c:f>'Baseline Given'!$E$4:$E$70</c:f>
              <c:numCache>
                <c:formatCode>General</c:formatCode>
                <c:ptCount val="6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</c:numCache>
            </c:numRef>
          </c:xVal>
          <c:yVal>
            <c:numRef>
              <c:f>'Baseline-tilt up (3 pt)'!$BX$3:$BX$68</c:f>
              <c:numCache>
                <c:formatCode>_(* #,##0.00_);_(* \(#,##0.00\);_(* "-"??_);_(@_)</c:formatCode>
                <c:ptCount val="66"/>
                <c:pt idx="0">
                  <c:v>-3.9127462479101944</c:v>
                </c:pt>
                <c:pt idx="1">
                  <c:v>-3.8379350575171172</c:v>
                </c:pt>
                <c:pt idx="2">
                  <c:v>-3.7621507299510966</c:v>
                </c:pt>
                <c:pt idx="3">
                  <c:v>-3.6853740776890693</c:v>
                </c:pt>
                <c:pt idx="4">
                  <c:v>-3.6075854041228026</c:v>
                </c:pt>
                <c:pt idx="5">
                  <c:v>-3.5287644865347221</c:v>
                </c:pt>
                <c:pt idx="6">
                  <c:v>-3.4488905583853438</c:v>
                </c:pt>
                <c:pt idx="7">
                  <c:v>-3.3679422908795802</c:v>
                </c:pt>
                <c:pt idx="8">
                  <c:v>-3.2858977737774202</c:v>
                </c:pt>
                <c:pt idx="9">
                  <c:v>-3.2027344954125807</c:v>
                </c:pt>
                <c:pt idx="10">
                  <c:v>-3.11842932188071</c:v>
                </c:pt>
                <c:pt idx="11">
                  <c:v>-3.0329584753565744</c:v>
                </c:pt>
                <c:pt idx="12">
                  <c:v>-2.9462975114973911</c:v>
                </c:pt>
                <c:pt idx="13">
                  <c:v>-2.8584212958870112</c:v>
                </c:pt>
                <c:pt idx="14">
                  <c:v>-2.76930397947313</c:v>
                </c:pt>
                <c:pt idx="15">
                  <c:v>-2.6789189729468923</c:v>
                </c:pt>
                <c:pt idx="16">
                  <c:v>-2.5872389200113739</c:v>
                </c:pt>
                <c:pt idx="17">
                  <c:v>-2.4942356694822934</c:v>
                </c:pt>
                <c:pt idx="18">
                  <c:v>-2.3998802461609654</c:v>
                </c:pt>
                <c:pt idx="19">
                  <c:v>-2.3041428204159797</c:v>
                </c:pt>
                <c:pt idx="20">
                  <c:v>-2.206992676406303</c:v>
                </c:pt>
                <c:pt idx="21">
                  <c:v>-2.1083981788744381</c:v>
                </c:pt>
                <c:pt idx="22">
                  <c:v>-2.0083267384340031</c:v>
                </c:pt>
                <c:pt idx="23">
                  <c:v>-1.9067447752714368</c:v>
                </c:pt>
                <c:pt idx="24">
                  <c:v>-1.8036176811766382</c:v>
                </c:pt>
                <c:pt idx="25">
                  <c:v>-1.6989097798120649</c:v>
                </c:pt>
                <c:pt idx="26">
                  <c:v>-1.592584285124172</c:v>
                </c:pt>
                <c:pt idx="27">
                  <c:v>-1.4947665734192219</c:v>
                </c:pt>
                <c:pt idx="28">
                  <c:v>-1.4261456734822793</c:v>
                </c:pt>
                <c:pt idx="29">
                  <c:v>-1.3564436880611692</c:v>
                </c:pt>
                <c:pt idx="30">
                  <c:v>-1.2856346867751827</c:v>
                </c:pt>
                <c:pt idx="31">
                  <c:v>-1.2136918998417872</c:v>
                </c:pt>
                <c:pt idx="32">
                  <c:v>-1.1405876837574505</c:v>
                </c:pt>
                <c:pt idx="33">
                  <c:v>-1.0662934852790589</c:v>
                </c:pt>
                <c:pt idx="34">
                  <c:v>-0.99077980360691753</c:v>
                </c:pt>
                <c:pt idx="35">
                  <c:v>-0.91401615066365482</c:v>
                </c:pt>
                <c:pt idx="36">
                  <c:v>-0.8359710093562096</c:v>
                </c:pt>
                <c:pt idx="37">
                  <c:v>-0.75661178970037213</c:v>
                </c:pt>
                <c:pt idx="38">
                  <c:v>-0.67590478267904675</c:v>
                </c:pt>
                <c:pt idx="39">
                  <c:v>-0.59381511169645596</c:v>
                </c:pt>
                <c:pt idx="40">
                  <c:v>-0.52162335106045044</c:v>
                </c:pt>
                <c:pt idx="41">
                  <c:v>-0.48242375997536163</c:v>
                </c:pt>
                <c:pt idx="42">
                  <c:v>-0.44254254279931093</c:v>
                </c:pt>
                <c:pt idx="43">
                  <c:v>-0.40196148256328351</c:v>
                </c:pt>
                <c:pt idx="44">
                  <c:v>-0.36066170162196287</c:v>
                </c:pt>
                <c:pt idx="45">
                  <c:v>-0.31862363130291449</c:v>
                </c:pt>
                <c:pt idx="46">
                  <c:v>-0.27582697986464677</c:v>
                </c:pt>
                <c:pt idx="47">
                  <c:v>-0.23225069865259243</c:v>
                </c:pt>
                <c:pt idx="48">
                  <c:v>-0.18787294633365548</c:v>
                </c:pt>
                <c:pt idx="49">
                  <c:v>-0.14267105108086436</c:v>
                </c:pt>
                <c:pt idx="50">
                  <c:v>-9.6621470569761267E-2</c:v>
                </c:pt>
                <c:pt idx="51">
                  <c:v>-4.9699749637394861E-2</c:v>
                </c:pt>
                <c:pt idx="52">
                  <c:v>-1.8804754430636458E-3</c:v>
                </c:pt>
                <c:pt idx="53">
                  <c:v>3.4097467705209834E-2</c:v>
                </c:pt>
                <c:pt idx="54">
                  <c:v>3.2096209930933789E-2</c:v>
                </c:pt>
                <c:pt idx="55">
                  <c:v>3.0036444945702633E-2</c:v>
                </c:pt>
                <c:pt idx="56">
                  <c:v>2.7916308368970827E-2</c:v>
                </c:pt>
                <c:pt idx="57">
                  <c:v>2.5733865567669965E-2</c:v>
                </c:pt>
                <c:pt idx="58">
                  <c:v>2.348710854347914E-2</c:v>
                </c:pt>
                <c:pt idx="59">
                  <c:v>2.1173952660374019E-2</c:v>
                </c:pt>
                <c:pt idx="60">
                  <c:v>1.8792233203102044E-2</c:v>
                </c:pt>
                <c:pt idx="61">
                  <c:v>1.6339701756613676E-2</c:v>
                </c:pt>
                <c:pt idx="62">
                  <c:v>1.3814022395816937E-2</c:v>
                </c:pt>
                <c:pt idx="63">
                  <c:v>1.1212767674311177E-2</c:v>
                </c:pt>
                <c:pt idx="64">
                  <c:v>8.5334143999909063E-3</c:v>
                </c:pt>
                <c:pt idx="65">
                  <c:v>5.773339184588307E-3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318208"/>
        <c:axId val="98340864"/>
      </c:scatterChart>
      <c:valAx>
        <c:axId val="9831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Tower Length (meters)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crossAx val="98340864"/>
        <c:crosses val="autoZero"/>
        <c:crossBetween val="midCat"/>
      </c:valAx>
      <c:valAx>
        <c:axId val="9834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83182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Allowable Column</a:t>
            </a:r>
            <a:r>
              <a:rPr lang="en-US" baseline="0"/>
              <a:t> Buckling vs Calculated Operation Stresses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Allowable Column Buckling</c:v>
          </c:tx>
          <c:invertIfNegative val="0"/>
          <c:val>
            <c:numRef>
              <c:f>'Column Buckling'!$I$22</c:f>
              <c:numCache>
                <c:formatCode>0.000</c:formatCode>
                <c:ptCount val="1"/>
                <c:pt idx="0">
                  <c:v>5.4383106328200546</c:v>
                </c:pt>
              </c:numCache>
            </c:numRef>
          </c:val>
        </c:ser>
        <c:ser>
          <c:idx val="1"/>
          <c:order val="1"/>
          <c:tx>
            <c:v>Calculated Axial Stress</c:v>
          </c:tx>
          <c:invertIfNegative val="0"/>
          <c:val>
            <c:numRef>
              <c:f>'Column Buckling'!$I$23</c:f>
              <c:numCache>
                <c:formatCode>0.0000</c:formatCode>
                <c:ptCount val="1"/>
                <c:pt idx="0">
                  <c:v>0.18457056086714724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375552"/>
        <c:axId val="98377088"/>
      </c:barChart>
      <c:catAx>
        <c:axId val="98375552"/>
        <c:scaling>
          <c:orientation val="minMax"/>
        </c:scaling>
        <c:delete val="1"/>
        <c:axPos val="b"/>
        <c:majorTickMark val="none"/>
        <c:minorTickMark val="none"/>
        <c:tickLblPos val="nextTo"/>
        <c:crossAx val="98377088"/>
        <c:crosses val="autoZero"/>
        <c:auto val="1"/>
        <c:lblAlgn val="ctr"/>
        <c:lblOffset val="100"/>
        <c:noMultiLvlLbl val="0"/>
      </c:catAx>
      <c:valAx>
        <c:axId val="9837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</a:t>
                </a:r>
                <a:r>
                  <a:rPr lang="en-US" baseline="0"/>
                  <a:t> (MPa)</a:t>
                </a: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crossAx val="983755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Yielding Test at</a:t>
            </a:r>
            <a:r>
              <a:rPr lang="en-US" baseline="0"/>
              <a:t> Base of Tower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2°</c:v>
          </c:tx>
          <c:invertIfNegative val="0"/>
          <c:val>
            <c:numRef>
              <c:f>'Yielding Stress (1)'!$D$4</c:f>
              <c:numCache>
                <c:formatCode>_(* #,##0.00_);_(* \(#,##0.00\);_(* "-"??_);_(@_)</c:formatCode>
                <c:ptCount val="1"/>
                <c:pt idx="0">
                  <c:v>0.44859375528110002</c:v>
                </c:pt>
              </c:numCache>
            </c:numRef>
          </c:val>
        </c:ser>
        <c:ser>
          <c:idx val="1"/>
          <c:order val="1"/>
          <c:tx>
            <c:v>10°</c:v>
          </c:tx>
          <c:invertIfNegative val="0"/>
          <c:val>
            <c:numRef>
              <c:f>'Yielding Stress (1)'!$D$5</c:f>
              <c:numCache>
                <c:formatCode>_(* #,##0.00_);_(* \(#,##0.00\);_(* "-"??_);_(@_)</c:formatCode>
                <c:ptCount val="1"/>
                <c:pt idx="0">
                  <c:v>0.11016566483189454</c:v>
                </c:pt>
              </c:numCache>
            </c:numRef>
          </c:val>
        </c:ser>
        <c:ser>
          <c:idx val="2"/>
          <c:order val="2"/>
          <c:tx>
            <c:v>20°</c:v>
          </c:tx>
          <c:invertIfNegative val="0"/>
          <c:val>
            <c:numRef>
              <c:f>'Yielding Stress (1)'!$D$6</c:f>
              <c:numCache>
                <c:formatCode>_(* #,##0.00_);_(* \(#,##0.00\);_(* "-"??_);_(@_)</c:formatCode>
                <c:ptCount val="1"/>
                <c:pt idx="0">
                  <c:v>5.7458255723987606E-2</c:v>
                </c:pt>
              </c:numCache>
            </c:numRef>
          </c:val>
        </c:ser>
        <c:ser>
          <c:idx val="3"/>
          <c:order val="3"/>
          <c:tx>
            <c:v>30°</c:v>
          </c:tx>
          <c:invertIfNegative val="0"/>
          <c:val>
            <c:numRef>
              <c:f>'Yielding Stress (1)'!$D$7</c:f>
              <c:numCache>
                <c:formatCode>_(* #,##0.00_);_(* \(#,##0.00\);_(* "-"??_);_(@_)</c:formatCode>
                <c:ptCount val="1"/>
                <c:pt idx="0">
                  <c:v>3.9831822772736038E-2</c:v>
                </c:pt>
              </c:numCache>
            </c:numRef>
          </c:val>
        </c:ser>
        <c:ser>
          <c:idx val="4"/>
          <c:order val="4"/>
          <c:tx>
            <c:v>40°</c:v>
          </c:tx>
          <c:invertIfNegative val="0"/>
          <c:val>
            <c:numRef>
              <c:f>'Yielding Stress (1)'!$D$8</c:f>
              <c:numCache>
                <c:formatCode>_(* #,##0.00_);_(* \(#,##0.00\);_(* "-"??_);_(@_)</c:formatCode>
                <c:ptCount val="1"/>
                <c:pt idx="0">
                  <c:v>3.0519928020999929E-2</c:v>
                </c:pt>
              </c:numCache>
            </c:numRef>
          </c:val>
        </c:ser>
        <c:ser>
          <c:idx val="5"/>
          <c:order val="5"/>
          <c:tx>
            <c:v>50°</c:v>
          </c:tx>
          <c:invertIfNegative val="0"/>
          <c:val>
            <c:numRef>
              <c:f>'Yielding Stress (1)'!$D$9</c:f>
              <c:numCache>
                <c:formatCode>_(* #,##0.00_);_(* \(#,##0.00\);_(* "-"??_);_(@_)</c:formatCode>
                <c:ptCount val="1"/>
                <c:pt idx="0">
                  <c:v>2.4669908299957032E-2</c:v>
                </c:pt>
              </c:numCache>
            </c:numRef>
          </c:val>
        </c:ser>
        <c:ser>
          <c:idx val="6"/>
          <c:order val="6"/>
          <c:tx>
            <c:v>60°</c:v>
          </c:tx>
          <c:invertIfNegative val="0"/>
          <c:val>
            <c:numRef>
              <c:f>'Yielding Stress (1)'!$D$10</c:f>
              <c:numCache>
                <c:formatCode>_(* #,##0.00_);_(* \(#,##0.00\);_(* "-"??_);_(@_)</c:formatCode>
                <c:ptCount val="1"/>
                <c:pt idx="0">
                  <c:v>2.0767018393933728E-2</c:v>
                </c:pt>
              </c:numCache>
            </c:numRef>
          </c:val>
        </c:ser>
        <c:ser>
          <c:idx val="7"/>
          <c:order val="7"/>
          <c:tx>
            <c:v>70°</c:v>
          </c:tx>
          <c:invertIfNegative val="0"/>
          <c:val>
            <c:numRef>
              <c:f>'Yielding Stress (1)'!$D$11</c:f>
              <c:numCache>
                <c:formatCode>_(* #,##0.00_);_(* \(#,##0.00\);_(* "-"??_);_(@_)</c:formatCode>
                <c:ptCount val="1"/>
                <c:pt idx="0">
                  <c:v>1.8211668612335766E-2</c:v>
                </c:pt>
              </c:numCache>
            </c:numRef>
          </c:val>
        </c:ser>
        <c:ser>
          <c:idx val="8"/>
          <c:order val="8"/>
          <c:tx>
            <c:v>80°</c:v>
          </c:tx>
          <c:invertIfNegative val="0"/>
          <c:val>
            <c:numRef>
              <c:f>'Yielding Stress (1)'!$D$12</c:f>
              <c:numCache>
                <c:formatCode>_(* #,##0.00_);_(* \(#,##0.00\);_(* "-"??_);_(@_)</c:formatCode>
                <c:ptCount val="1"/>
                <c:pt idx="0">
                  <c:v>1.6738117999852784E-2</c:v>
                </c:pt>
              </c:numCache>
            </c:numRef>
          </c:val>
        </c:ser>
        <c:ser>
          <c:idx val="9"/>
          <c:order val="9"/>
          <c:tx>
            <c:v>90°</c:v>
          </c:tx>
          <c:invertIfNegative val="0"/>
          <c:val>
            <c:numRef>
              <c:f>'Yielding Stress (1)'!$D$13</c:f>
              <c:numCache>
                <c:formatCode>_(* #,##0.00_);_(* \(#,##0.00\);_(* "-"??_);_(@_)</c:formatCode>
                <c:ptCount val="1"/>
                <c:pt idx="0">
                  <c:v>1.6228153464945456E-2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429568"/>
        <c:axId val="98431360"/>
      </c:barChart>
      <c:catAx>
        <c:axId val="98429568"/>
        <c:scaling>
          <c:orientation val="minMax"/>
        </c:scaling>
        <c:delete val="1"/>
        <c:axPos val="b"/>
        <c:majorTickMark val="none"/>
        <c:minorTickMark val="none"/>
        <c:tickLblPos val="nextTo"/>
        <c:crossAx val="98431360"/>
        <c:crosses val="autoZero"/>
        <c:auto val="1"/>
        <c:lblAlgn val="ctr"/>
        <c:lblOffset val="100"/>
        <c:noMultiLvlLbl val="0"/>
      </c:catAx>
      <c:valAx>
        <c:axId val="9843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Stress (MPa)</a:t>
                </a:r>
              </a:p>
            </c:rich>
          </c:tx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crossAx val="984295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13" Type="http://schemas.openxmlformats.org/officeDocument/2006/relationships/chart" Target="../charts/chart22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chart" Target="../charts/chart21.xml"/><Relationship Id="rId2" Type="http://schemas.openxmlformats.org/officeDocument/2006/relationships/chart" Target="../charts/chart11.xml"/><Relationship Id="rId16" Type="http://schemas.openxmlformats.org/officeDocument/2006/relationships/chart" Target="../charts/chart25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5" Type="http://schemas.openxmlformats.org/officeDocument/2006/relationships/chart" Target="../charts/chart2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Relationship Id="rId14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206375</xdr:colOff>
      <xdr:row>115</xdr:row>
      <xdr:rowOff>150811</xdr:rowOff>
    </xdr:from>
    <xdr:to>
      <xdr:col>28</xdr:col>
      <xdr:colOff>174625</xdr:colOff>
      <xdr:row>143</xdr:row>
      <xdr:rowOff>79374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187325</xdr:colOff>
      <xdr:row>2</xdr:row>
      <xdr:rowOff>3175</xdr:rowOff>
    </xdr:from>
    <xdr:to>
      <xdr:col>15</xdr:col>
      <xdr:colOff>388936</xdr:colOff>
      <xdr:row>24</xdr:row>
      <xdr:rowOff>103187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202406</xdr:colOff>
      <xdr:row>27</xdr:row>
      <xdr:rowOff>91281</xdr:rowOff>
    </xdr:from>
    <xdr:to>
      <xdr:col>15</xdr:col>
      <xdr:colOff>404017</xdr:colOff>
      <xdr:row>50</xdr:row>
      <xdr:rowOff>793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40822</xdr:colOff>
      <xdr:row>53</xdr:row>
      <xdr:rowOff>74840</xdr:rowOff>
    </xdr:from>
    <xdr:to>
      <xdr:col>15</xdr:col>
      <xdr:colOff>242433</xdr:colOff>
      <xdr:row>82</xdr:row>
      <xdr:rowOff>93209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598714</xdr:colOff>
      <xdr:row>1</xdr:row>
      <xdr:rowOff>161018</xdr:rowOff>
    </xdr:from>
    <xdr:to>
      <xdr:col>34</xdr:col>
      <xdr:colOff>432932</xdr:colOff>
      <xdr:row>24</xdr:row>
      <xdr:rowOff>70530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13607</xdr:colOff>
      <xdr:row>27</xdr:row>
      <xdr:rowOff>61232</xdr:rowOff>
    </xdr:from>
    <xdr:to>
      <xdr:col>34</xdr:col>
      <xdr:colOff>451075</xdr:colOff>
      <xdr:row>49</xdr:row>
      <xdr:rowOff>161244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596447</xdr:colOff>
      <xdr:row>52</xdr:row>
      <xdr:rowOff>172357</xdr:rowOff>
    </xdr:from>
    <xdr:to>
      <xdr:col>34</xdr:col>
      <xdr:colOff>430666</xdr:colOff>
      <xdr:row>82</xdr:row>
      <xdr:rowOff>226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381000</xdr:colOff>
      <xdr:row>14</xdr:row>
      <xdr:rowOff>47625</xdr:rowOff>
    </xdr:from>
    <xdr:to>
      <xdr:col>18</xdr:col>
      <xdr:colOff>523875</xdr:colOff>
      <xdr:row>17</xdr:row>
      <xdr:rowOff>31750</xdr:rowOff>
    </xdr:to>
    <xdr:sp macro="" textlink="">
      <xdr:nvSpPr>
        <xdr:cNvPr id="11" name="Right Arrow 10"/>
        <xdr:cNvSpPr/>
      </xdr:nvSpPr>
      <xdr:spPr>
        <a:xfrm>
          <a:off x="9683750" y="2921000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222250</xdr:colOff>
      <xdr:row>7</xdr:row>
      <xdr:rowOff>142875</xdr:rowOff>
    </xdr:from>
    <xdr:to>
      <xdr:col>19</xdr:col>
      <xdr:colOff>111125</xdr:colOff>
      <xdr:row>15</xdr:row>
      <xdr:rowOff>63500</xdr:rowOff>
    </xdr:to>
    <xdr:sp macro="" textlink="">
      <xdr:nvSpPr>
        <xdr:cNvPr id="16" name="TextBox 15"/>
        <xdr:cNvSpPr txBox="1"/>
      </xdr:nvSpPr>
      <xdr:spPr>
        <a:xfrm>
          <a:off x="9525000" y="1873250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16</xdr:col>
      <xdr:colOff>428625</xdr:colOff>
      <xdr:row>41</xdr:row>
      <xdr:rowOff>111125</xdr:rowOff>
    </xdr:from>
    <xdr:to>
      <xdr:col>18</xdr:col>
      <xdr:colOff>571500</xdr:colOff>
      <xdr:row>44</xdr:row>
      <xdr:rowOff>95250</xdr:rowOff>
    </xdr:to>
    <xdr:sp macro="" textlink="">
      <xdr:nvSpPr>
        <xdr:cNvPr id="24" name="Right Arrow 23"/>
        <xdr:cNvSpPr/>
      </xdr:nvSpPr>
      <xdr:spPr>
        <a:xfrm>
          <a:off x="9731375" y="8096250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269875</xdr:colOff>
      <xdr:row>34</xdr:row>
      <xdr:rowOff>127000</xdr:rowOff>
    </xdr:from>
    <xdr:to>
      <xdr:col>19</xdr:col>
      <xdr:colOff>158750</xdr:colOff>
      <xdr:row>42</xdr:row>
      <xdr:rowOff>127000</xdr:rowOff>
    </xdr:to>
    <xdr:sp macro="" textlink="">
      <xdr:nvSpPr>
        <xdr:cNvPr id="25" name="TextBox 24"/>
        <xdr:cNvSpPr txBox="1"/>
      </xdr:nvSpPr>
      <xdr:spPr>
        <a:xfrm>
          <a:off x="9572625" y="6858000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16</xdr:col>
      <xdr:colOff>358775</xdr:colOff>
      <xdr:row>66</xdr:row>
      <xdr:rowOff>184150</xdr:rowOff>
    </xdr:from>
    <xdr:to>
      <xdr:col>18</xdr:col>
      <xdr:colOff>501650</xdr:colOff>
      <xdr:row>69</xdr:row>
      <xdr:rowOff>168275</xdr:rowOff>
    </xdr:to>
    <xdr:sp macro="" textlink="">
      <xdr:nvSpPr>
        <xdr:cNvPr id="26" name="Right Arrow 25"/>
        <xdr:cNvSpPr/>
      </xdr:nvSpPr>
      <xdr:spPr>
        <a:xfrm>
          <a:off x="9661525" y="12868275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200025</xdr:colOff>
      <xdr:row>60</xdr:row>
      <xdr:rowOff>88900</xdr:rowOff>
    </xdr:from>
    <xdr:to>
      <xdr:col>19</xdr:col>
      <xdr:colOff>88900</xdr:colOff>
      <xdr:row>68</xdr:row>
      <xdr:rowOff>9525</xdr:rowOff>
    </xdr:to>
    <xdr:sp macro="" textlink="">
      <xdr:nvSpPr>
        <xdr:cNvPr id="27" name="TextBox 26"/>
        <xdr:cNvSpPr txBox="1"/>
      </xdr:nvSpPr>
      <xdr:spPr>
        <a:xfrm>
          <a:off x="9502775" y="11630025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5</xdr:col>
      <xdr:colOff>217713</xdr:colOff>
      <xdr:row>145</xdr:row>
      <xdr:rowOff>95248</xdr:rowOff>
    </xdr:from>
    <xdr:to>
      <xdr:col>28</xdr:col>
      <xdr:colOff>163285</xdr:colOff>
      <xdr:row>173</xdr:row>
      <xdr:rowOff>95249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3174</xdr:colOff>
      <xdr:row>84</xdr:row>
      <xdr:rowOff>173036</xdr:rowOff>
    </xdr:from>
    <xdr:to>
      <xdr:col>23</xdr:col>
      <xdr:colOff>533399</xdr:colOff>
      <xdr:row>112</xdr:row>
      <xdr:rowOff>60325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179</xdr:row>
      <xdr:rowOff>174625</xdr:rowOff>
    </xdr:from>
    <xdr:to>
      <xdr:col>13</xdr:col>
      <xdr:colOff>266700</xdr:colOff>
      <xdr:row>199</xdr:row>
      <xdr:rowOff>476250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269875</xdr:colOff>
      <xdr:row>39</xdr:row>
      <xdr:rowOff>158750</xdr:rowOff>
    </xdr:from>
    <xdr:to>
      <xdr:col>14</xdr:col>
      <xdr:colOff>412750</xdr:colOff>
      <xdr:row>42</xdr:row>
      <xdr:rowOff>142875</xdr:rowOff>
    </xdr:to>
    <xdr:sp macro="" textlink="">
      <xdr:nvSpPr>
        <xdr:cNvPr id="23" name="Right Arrow 22"/>
        <xdr:cNvSpPr/>
      </xdr:nvSpPr>
      <xdr:spPr>
        <a:xfrm>
          <a:off x="8604250" y="7762875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111125</xdr:colOff>
      <xdr:row>32</xdr:row>
      <xdr:rowOff>174625</xdr:rowOff>
    </xdr:from>
    <xdr:to>
      <xdr:col>15</xdr:col>
      <xdr:colOff>0</xdr:colOff>
      <xdr:row>40</xdr:row>
      <xdr:rowOff>174625</xdr:rowOff>
    </xdr:to>
    <xdr:sp macro="" textlink="">
      <xdr:nvSpPr>
        <xdr:cNvPr id="24" name="TextBox 23"/>
        <xdr:cNvSpPr txBox="1"/>
      </xdr:nvSpPr>
      <xdr:spPr>
        <a:xfrm>
          <a:off x="8445500" y="6524625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12</xdr:col>
      <xdr:colOff>317500</xdr:colOff>
      <xdr:row>67</xdr:row>
      <xdr:rowOff>0</xdr:rowOff>
    </xdr:from>
    <xdr:to>
      <xdr:col>14</xdr:col>
      <xdr:colOff>460375</xdr:colOff>
      <xdr:row>69</xdr:row>
      <xdr:rowOff>174625</xdr:rowOff>
    </xdr:to>
    <xdr:sp macro="" textlink="">
      <xdr:nvSpPr>
        <xdr:cNvPr id="27" name="Right Arrow 26"/>
        <xdr:cNvSpPr/>
      </xdr:nvSpPr>
      <xdr:spPr>
        <a:xfrm>
          <a:off x="8651875" y="12874625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158750</xdr:colOff>
      <xdr:row>60</xdr:row>
      <xdr:rowOff>95250</xdr:rowOff>
    </xdr:from>
    <xdr:to>
      <xdr:col>15</xdr:col>
      <xdr:colOff>47625</xdr:colOff>
      <xdr:row>68</xdr:row>
      <xdr:rowOff>15875</xdr:rowOff>
    </xdr:to>
    <xdr:sp macro="" textlink="">
      <xdr:nvSpPr>
        <xdr:cNvPr id="28" name="TextBox 27"/>
        <xdr:cNvSpPr txBox="1"/>
      </xdr:nvSpPr>
      <xdr:spPr>
        <a:xfrm>
          <a:off x="8493125" y="11636375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12</xdr:col>
      <xdr:colOff>238125</xdr:colOff>
      <xdr:row>14</xdr:row>
      <xdr:rowOff>111125</xdr:rowOff>
    </xdr:from>
    <xdr:to>
      <xdr:col>14</xdr:col>
      <xdr:colOff>381000</xdr:colOff>
      <xdr:row>17</xdr:row>
      <xdr:rowOff>95250</xdr:rowOff>
    </xdr:to>
    <xdr:sp macro="" textlink="">
      <xdr:nvSpPr>
        <xdr:cNvPr id="29" name="Right Arrow 28"/>
        <xdr:cNvSpPr/>
      </xdr:nvSpPr>
      <xdr:spPr>
        <a:xfrm>
          <a:off x="8572500" y="3175000"/>
          <a:ext cx="1349375" cy="555625"/>
        </a:xfrm>
        <a:prstGeom prst="rightArrow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79375</xdr:colOff>
      <xdr:row>8</xdr:row>
      <xdr:rowOff>15875</xdr:rowOff>
    </xdr:from>
    <xdr:to>
      <xdr:col>14</xdr:col>
      <xdr:colOff>571500</xdr:colOff>
      <xdr:row>15</xdr:row>
      <xdr:rowOff>127000</xdr:rowOff>
    </xdr:to>
    <xdr:sp macro="" textlink="">
      <xdr:nvSpPr>
        <xdr:cNvPr id="30" name="TextBox 29"/>
        <xdr:cNvSpPr txBox="1"/>
      </xdr:nvSpPr>
      <xdr:spPr>
        <a:xfrm>
          <a:off x="8413750" y="1936750"/>
          <a:ext cx="1698625" cy="1444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400" b="1">
              <a:solidFill>
                <a:schemeClr val="tx2">
                  <a:lumMod val="40000"/>
                  <a:lumOff val="60000"/>
                </a:schemeClr>
              </a:solidFill>
            </a:rPr>
            <a:t>Close-up</a:t>
          </a:r>
          <a:r>
            <a:rPr lang="en-US" sz="2400" b="1" baseline="0">
              <a:solidFill>
                <a:schemeClr val="tx2">
                  <a:lumMod val="40000"/>
                  <a:lumOff val="60000"/>
                </a:schemeClr>
              </a:solidFill>
            </a:rPr>
            <a:t> of Calculated Stresses</a:t>
          </a:r>
          <a:endParaRPr lang="en-US" sz="2400" b="1">
            <a:solidFill>
              <a:schemeClr val="tx2">
                <a:lumMod val="40000"/>
                <a:lumOff val="60000"/>
              </a:schemeClr>
            </a:solidFill>
          </a:endParaRPr>
        </a:p>
      </xdr:txBody>
    </xdr:sp>
    <xdr:clientData/>
  </xdr:twoCellAnchor>
  <xdr:twoCellAnchor>
    <xdr:from>
      <xdr:col>0</xdr:col>
      <xdr:colOff>238125</xdr:colOff>
      <xdr:row>2</xdr:row>
      <xdr:rowOff>25400</xdr:rowOff>
    </xdr:from>
    <xdr:to>
      <xdr:col>11</xdr:col>
      <xdr:colOff>279400</xdr:colOff>
      <xdr:row>24</xdr:row>
      <xdr:rowOff>28575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412750</xdr:colOff>
      <xdr:row>1</xdr:row>
      <xdr:rowOff>142875</xdr:rowOff>
    </xdr:from>
    <xdr:to>
      <xdr:col>28</xdr:col>
      <xdr:colOff>342900</xdr:colOff>
      <xdr:row>23</xdr:row>
      <xdr:rowOff>146050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28</xdr:row>
      <xdr:rowOff>0</xdr:rowOff>
    </xdr:from>
    <xdr:to>
      <xdr:col>11</xdr:col>
      <xdr:colOff>295275</xdr:colOff>
      <xdr:row>50</xdr:row>
      <xdr:rowOff>3175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11</xdr:col>
      <xdr:colOff>295275</xdr:colOff>
      <xdr:row>74</xdr:row>
      <xdr:rowOff>114300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349250</xdr:colOff>
      <xdr:row>27</xdr:row>
      <xdr:rowOff>142875</xdr:rowOff>
    </xdr:from>
    <xdr:to>
      <xdr:col>28</xdr:col>
      <xdr:colOff>279400</xdr:colOff>
      <xdr:row>49</xdr:row>
      <xdr:rowOff>146050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317500</xdr:colOff>
      <xdr:row>53</xdr:row>
      <xdr:rowOff>142875</xdr:rowOff>
    </xdr:from>
    <xdr:to>
      <xdr:col>28</xdr:col>
      <xdr:colOff>247650</xdr:colOff>
      <xdr:row>75</xdr:row>
      <xdr:rowOff>66675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444499</xdr:colOff>
      <xdr:row>78</xdr:row>
      <xdr:rowOff>142875</xdr:rowOff>
    </xdr:from>
    <xdr:to>
      <xdr:col>21</xdr:col>
      <xdr:colOff>111124</xdr:colOff>
      <xdr:row>91</xdr:row>
      <xdr:rowOff>77786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</xdr:colOff>
      <xdr:row>204</xdr:row>
      <xdr:rowOff>47625</xdr:rowOff>
    </xdr:from>
    <xdr:to>
      <xdr:col>13</xdr:col>
      <xdr:colOff>282575</xdr:colOff>
      <xdr:row>228</xdr:row>
      <xdr:rowOff>47625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190499</xdr:colOff>
      <xdr:row>232</xdr:row>
      <xdr:rowOff>79374</xdr:rowOff>
    </xdr:from>
    <xdr:to>
      <xdr:col>13</xdr:col>
      <xdr:colOff>330199</xdr:colOff>
      <xdr:row>256</xdr:row>
      <xdr:rowOff>79374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79375</xdr:colOff>
      <xdr:row>259</xdr:row>
      <xdr:rowOff>184149</xdr:rowOff>
    </xdr:from>
    <xdr:to>
      <xdr:col>13</xdr:col>
      <xdr:colOff>428625</xdr:colOff>
      <xdr:row>284</xdr:row>
      <xdr:rowOff>111124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288</xdr:row>
      <xdr:rowOff>0</xdr:rowOff>
    </xdr:from>
    <xdr:to>
      <xdr:col>13</xdr:col>
      <xdr:colOff>349250</xdr:colOff>
      <xdr:row>312</xdr:row>
      <xdr:rowOff>117475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316</xdr:row>
      <xdr:rowOff>0</xdr:rowOff>
    </xdr:from>
    <xdr:to>
      <xdr:col>13</xdr:col>
      <xdr:colOff>349250</xdr:colOff>
      <xdr:row>340</xdr:row>
      <xdr:rowOff>117475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15876</xdr:colOff>
      <xdr:row>93</xdr:row>
      <xdr:rowOff>79375</xdr:rowOff>
    </xdr:from>
    <xdr:to>
      <xdr:col>13</xdr:col>
      <xdr:colOff>365126</xdr:colOff>
      <xdr:row>119</xdr:row>
      <xdr:rowOff>63500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15875</xdr:colOff>
      <xdr:row>121</xdr:row>
      <xdr:rowOff>63500</xdr:rowOff>
    </xdr:from>
    <xdr:to>
      <xdr:col>13</xdr:col>
      <xdr:colOff>365125</xdr:colOff>
      <xdr:row>147</xdr:row>
      <xdr:rowOff>47625</xdr:rowOff>
    </xdr:to>
    <xdr:graphicFrame macro="">
      <xdr:nvGraphicFramePr>
        <xdr:cNvPr id="36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47625</xdr:colOff>
      <xdr:row>149</xdr:row>
      <xdr:rowOff>95250</xdr:rowOff>
    </xdr:from>
    <xdr:to>
      <xdr:col>13</xdr:col>
      <xdr:colOff>396875</xdr:colOff>
      <xdr:row>175</xdr:row>
      <xdr:rowOff>79375</xdr:rowOff>
    </xdr:to>
    <xdr:graphicFrame macro="">
      <xdr:nvGraphicFramePr>
        <xdr:cNvPr id="37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120</xdr:row>
      <xdr:rowOff>6350</xdr:rowOff>
    </xdr:from>
    <xdr:to>
      <xdr:col>14</xdr:col>
      <xdr:colOff>673100</xdr:colOff>
      <xdr:row>148</xdr:row>
      <xdr:rowOff>177800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400050</xdr:colOff>
      <xdr:row>95</xdr:row>
      <xdr:rowOff>47624</xdr:rowOff>
    </xdr:from>
    <xdr:to>
      <xdr:col>13</xdr:col>
      <xdr:colOff>914400</xdr:colOff>
      <xdr:row>117</xdr:row>
      <xdr:rowOff>76199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283028</xdr:colOff>
      <xdr:row>125</xdr:row>
      <xdr:rowOff>120832</xdr:rowOff>
    </xdr:from>
    <xdr:to>
      <xdr:col>17</xdr:col>
      <xdr:colOff>579119</xdr:colOff>
      <xdr:row>157</xdr:row>
      <xdr:rowOff>91440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152400</xdr:colOff>
      <xdr:row>98</xdr:row>
      <xdr:rowOff>100693</xdr:rowOff>
    </xdr:from>
    <xdr:to>
      <xdr:col>12</xdr:col>
      <xdr:colOff>838201</xdr:colOff>
      <xdr:row>120</xdr:row>
      <xdr:rowOff>5443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/AppData/Roaming/Microsoft/Excel/Compiled_Excel_updated%202.19%20(version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iena/AppData/Local/Microsoft/Windows/Temporary%20Internet%20Files/Low/Content.IE5/O9U3X2IZ/OLD(2-24-1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aseline Given"/>
      <sheetName val="Alternative 1"/>
      <sheetName val="Alternative 2"/>
      <sheetName val="Alternative 3"/>
      <sheetName val="Baseline Tilt Up"/>
      <sheetName val="1Pt Tilt Up"/>
      <sheetName val="2 Pt Tilt Up"/>
      <sheetName val="3 Pt Tilt up"/>
      <sheetName val="Center of Gravity"/>
      <sheetName val="Baseline-Tilt up (1 pt)"/>
      <sheetName val="Baseline-tilt up (2 pt)"/>
      <sheetName val="Baseline-tilt up (3 pt)"/>
      <sheetName val="Wind Loading"/>
      <sheetName val="Dynamic Loading"/>
      <sheetName val="Combined Stress"/>
      <sheetName val="Local and Global Buckl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LINE SUMMARY"/>
      <sheetName val="ALTERNATIVE SUMMARY"/>
      <sheetName val="Baseline Given"/>
      <sheetName val="Alternative 1"/>
      <sheetName val="Alternative 2"/>
      <sheetName val="Alternative 3"/>
      <sheetName val="Baseline Tilt Up"/>
      <sheetName val="1Pt Tilt Up"/>
      <sheetName val="2 Pt Tilt Up"/>
      <sheetName val="3 Pt Tilt up"/>
      <sheetName val="Baseline-Tilt up (1 pt)"/>
      <sheetName val="Alternative 1-Tilt Up (1 pt)"/>
      <sheetName val="Baseline-tilt up (2 pt)"/>
      <sheetName val="Baseline-tilt up (3 pt)"/>
      <sheetName val="Wind Loading"/>
      <sheetName val="Dynamic Loading"/>
      <sheetName val="Combined Stress"/>
      <sheetName val="Local and Global Buckling"/>
      <sheetName val="Center of Grav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I175"/>
  <sheetViews>
    <sheetView showGridLines="0" topLeftCell="A113" zoomScale="50" zoomScaleNormal="50" workbookViewId="0">
      <selection activeCell="K184" sqref="K184"/>
    </sheetView>
  </sheetViews>
  <sheetFormatPr defaultColWidth="9.140625" defaultRowHeight="15" x14ac:dyDescent="0.25"/>
  <cols>
    <col min="1" max="1" width="3.7109375" style="7" customWidth="1"/>
    <col min="2" max="16384" width="9.140625" style="7"/>
  </cols>
  <sheetData>
    <row r="1" spans="1:35" ht="46.5" x14ac:dyDescent="0.7">
      <c r="A1" s="163" t="s">
        <v>174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35" x14ac:dyDescent="0.2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</row>
    <row r="3" spans="1:35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</row>
    <row r="4" spans="1:35" x14ac:dyDescent="0.25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</row>
    <row r="5" spans="1:35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</row>
    <row r="6" spans="1:35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</row>
    <row r="7" spans="1:35" x14ac:dyDescent="0.25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</row>
    <row r="8" spans="1:35" x14ac:dyDescent="0.2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</row>
    <row r="9" spans="1:35" x14ac:dyDescent="0.25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</row>
    <row r="10" spans="1:35" x14ac:dyDescent="0.25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</row>
    <row r="11" spans="1:3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</row>
    <row r="12" spans="1:35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</row>
    <row r="13" spans="1:35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</row>
    <row r="14" spans="1:3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</row>
    <row r="15" spans="1:35" x14ac:dyDescent="0.2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</row>
    <row r="16" spans="1:35" x14ac:dyDescent="0.2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</row>
    <row r="17" spans="1:35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</row>
    <row r="18" spans="1:35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</row>
    <row r="19" spans="1:35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</row>
    <row r="20" spans="1:35" ht="8.25" customHeight="1" x14ac:dyDescent="0.25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</row>
    <row r="21" spans="1:35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</row>
    <row r="22" spans="1:35" x14ac:dyDescent="0.25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</row>
    <row r="23" spans="1:35" x14ac:dyDescent="0.25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</row>
    <row r="24" spans="1:35" x14ac:dyDescent="0.25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</row>
    <row r="25" spans="1:35" x14ac:dyDescent="0.25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</row>
    <row r="26" spans="1:35" ht="9.75" customHeight="1" x14ac:dyDescent="0.25">
      <c r="A26" s="160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2"/>
    </row>
    <row r="27" spans="1:35" x14ac:dyDescent="0.25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</row>
    <row r="28" spans="1:35" x14ac:dyDescent="0.2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</row>
    <row r="29" spans="1:35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</row>
    <row r="30" spans="1:35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</row>
    <row r="31" spans="1:35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</row>
    <row r="32" spans="1:35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</row>
    <row r="33" spans="1:35" x14ac:dyDescent="0.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</row>
    <row r="34" spans="1:35" x14ac:dyDescent="0.2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</row>
    <row r="35" spans="1:35" x14ac:dyDescent="0.2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</row>
    <row r="36" spans="1:35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</row>
    <row r="37" spans="1:35" x14ac:dyDescent="0.2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</row>
    <row r="38" spans="1:35" x14ac:dyDescent="0.2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</row>
    <row r="39" spans="1:35" ht="8.25" customHeight="1" x14ac:dyDescent="0.25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</row>
    <row r="40" spans="1:35" x14ac:dyDescent="0.2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</row>
    <row r="41" spans="1:35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</row>
    <row r="42" spans="1:35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</row>
    <row r="43" spans="1:35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</row>
    <row r="44" spans="1:35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</row>
    <row r="45" spans="1:35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</row>
    <row r="46" spans="1:35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</row>
    <row r="47" spans="1:35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</row>
    <row r="48" spans="1:35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</row>
    <row r="49" spans="1:35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</row>
    <row r="50" spans="1:35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</row>
    <row r="51" spans="1:35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</row>
    <row r="52" spans="1:35" ht="9.75" customHeight="1" x14ac:dyDescent="0.2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2"/>
    </row>
    <row r="53" spans="1:35" x14ac:dyDescent="0.25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</row>
    <row r="54" spans="1:35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</row>
    <row r="55" spans="1:35" x14ac:dyDescent="0.2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</row>
    <row r="56" spans="1:35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</row>
    <row r="57" spans="1:35" x14ac:dyDescent="0.25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</row>
    <row r="58" spans="1:35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</row>
    <row r="59" spans="1:35" x14ac:dyDescent="0.25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</row>
    <row r="60" spans="1:35" x14ac:dyDescent="0.25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</row>
    <row r="61" spans="1:35" x14ac:dyDescent="0.25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</row>
    <row r="62" spans="1:35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</row>
    <row r="63" spans="1:35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</row>
    <row r="64" spans="1:35" x14ac:dyDescent="0.25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</row>
    <row r="65" spans="1:35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</row>
    <row r="66" spans="1:35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</row>
    <row r="67" spans="1:35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</row>
    <row r="68" spans="1:35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</row>
    <row r="69" spans="1:35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</row>
    <row r="70" spans="1:35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</row>
    <row r="71" spans="1:35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</row>
    <row r="72" spans="1:35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</row>
    <row r="73" spans="1:35" x14ac:dyDescent="0.2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</row>
    <row r="74" spans="1:35" x14ac:dyDescent="0.2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</row>
    <row r="75" spans="1:35" x14ac:dyDescent="0.2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</row>
    <row r="76" spans="1:35" x14ac:dyDescent="0.2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</row>
    <row r="77" spans="1:35" x14ac:dyDescent="0.2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</row>
    <row r="78" spans="1:35" x14ac:dyDescent="0.2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</row>
    <row r="79" spans="1:35" x14ac:dyDescent="0.2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</row>
    <row r="80" spans="1:35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</row>
    <row r="81" spans="1:35" x14ac:dyDescent="0.25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</row>
    <row r="82" spans="1:35" x14ac:dyDescent="0.25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</row>
    <row r="83" spans="1:35" x14ac:dyDescent="0.25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</row>
    <row r="84" spans="1:35" x14ac:dyDescent="0.25">
      <c r="A84" s="160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2"/>
    </row>
    <row r="85" spans="1:35" x14ac:dyDescent="0.25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</row>
    <row r="86" spans="1:35" x14ac:dyDescent="0.25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</row>
    <row r="87" spans="1:35" x14ac:dyDescent="0.25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</row>
    <row r="88" spans="1:35" x14ac:dyDescent="0.25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</row>
    <row r="89" spans="1:35" x14ac:dyDescent="0.25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</row>
    <row r="90" spans="1:35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</row>
    <row r="91" spans="1:35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</row>
    <row r="92" spans="1:35" x14ac:dyDescent="0.25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</row>
    <row r="93" spans="1:35" x14ac:dyDescent="0.25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</row>
    <row r="94" spans="1:35" x14ac:dyDescent="0.25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</row>
    <row r="95" spans="1:35" x14ac:dyDescent="0.25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</row>
    <row r="96" spans="1:35" x14ac:dyDescent="0.25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</row>
    <row r="97" spans="1:35" x14ac:dyDescent="0.25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</row>
    <row r="98" spans="1:35" x14ac:dyDescent="0.25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</row>
    <row r="99" spans="1:35" x14ac:dyDescent="0.25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</row>
    <row r="100" spans="1:35" x14ac:dyDescent="0.25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</row>
    <row r="101" spans="1:35" x14ac:dyDescent="0.25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</row>
    <row r="102" spans="1:35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</row>
    <row r="103" spans="1:35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</row>
    <row r="104" spans="1:35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</row>
    <row r="105" spans="1:35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</row>
    <row r="106" spans="1:35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</row>
    <row r="107" spans="1:35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</row>
    <row r="108" spans="1:35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</row>
    <row r="109" spans="1:35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</row>
    <row r="110" spans="1:35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</row>
    <row r="111" spans="1:35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</row>
    <row r="112" spans="1:35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</row>
    <row r="113" spans="1:35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</row>
    <row r="114" spans="1:35" ht="41.25" customHeight="1" x14ac:dyDescent="0.25">
      <c r="A114" s="169"/>
      <c r="B114" s="170"/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1"/>
    </row>
    <row r="115" spans="1:35" ht="61.5" x14ac:dyDescent="0.9">
      <c r="A115" s="163" t="s">
        <v>173</v>
      </c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7"/>
    </row>
    <row r="116" spans="1:35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</row>
    <row r="117" spans="1:35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</row>
    <row r="118" spans="1:35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</row>
    <row r="119" spans="1:35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</row>
    <row r="120" spans="1:35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</row>
    <row r="121" spans="1:35" x14ac:dyDescent="0.25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</row>
    <row r="122" spans="1:35" x14ac:dyDescent="0.25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</row>
    <row r="123" spans="1:35" x14ac:dyDescent="0.25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</row>
    <row r="124" spans="1:35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</row>
    <row r="125" spans="1:35" x14ac:dyDescent="0.25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</row>
    <row r="126" spans="1:35" x14ac:dyDescent="0.25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</row>
    <row r="127" spans="1:35" x14ac:dyDescent="0.25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</row>
    <row r="128" spans="1:35" x14ac:dyDescent="0.25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</row>
    <row r="129" spans="1:35" x14ac:dyDescent="0.25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</row>
    <row r="130" spans="1:35" x14ac:dyDescent="0.25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</row>
    <row r="131" spans="1:35" x14ac:dyDescent="0.25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</row>
    <row r="132" spans="1:35" x14ac:dyDescent="0.25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</row>
    <row r="133" spans="1:35" x14ac:dyDescent="0.25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</row>
    <row r="134" spans="1:35" x14ac:dyDescent="0.25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</row>
    <row r="135" spans="1:35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</row>
    <row r="136" spans="1:35" x14ac:dyDescent="0.25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</row>
    <row r="137" spans="1:35" x14ac:dyDescent="0.25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</row>
    <row r="138" spans="1:35" x14ac:dyDescent="0.25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</row>
    <row r="139" spans="1:35" x14ac:dyDescent="0.25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</row>
    <row r="140" spans="1:35" x14ac:dyDescent="0.25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</row>
    <row r="141" spans="1:35" x14ac:dyDescent="0.25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</row>
    <row r="142" spans="1:35" x14ac:dyDescent="0.25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</row>
    <row r="143" spans="1:35" x14ac:dyDescent="0.25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</row>
    <row r="144" spans="1:35" x14ac:dyDescent="0.25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</row>
    <row r="145" spans="1:35" x14ac:dyDescent="0.25">
      <c r="A145" s="160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2"/>
    </row>
    <row r="146" spans="1:35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</row>
    <row r="147" spans="1:35" x14ac:dyDescent="0.25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</row>
    <row r="148" spans="1:35" x14ac:dyDescent="0.25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</row>
    <row r="149" spans="1:35" x14ac:dyDescent="0.25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</row>
    <row r="150" spans="1:35" x14ac:dyDescent="0.25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</row>
    <row r="151" spans="1:35" x14ac:dyDescent="0.25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</row>
    <row r="152" spans="1:35" x14ac:dyDescent="0.25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</row>
    <row r="153" spans="1:35" x14ac:dyDescent="0.25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</row>
    <row r="154" spans="1:35" x14ac:dyDescent="0.25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</row>
    <row r="155" spans="1:35" x14ac:dyDescent="0.25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</row>
    <row r="156" spans="1:35" x14ac:dyDescent="0.25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</row>
    <row r="157" spans="1:35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</row>
    <row r="158" spans="1:35" x14ac:dyDescent="0.25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</row>
    <row r="159" spans="1:35" x14ac:dyDescent="0.25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</row>
    <row r="160" spans="1:35" x14ac:dyDescent="0.25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</row>
    <row r="161" spans="1:35" x14ac:dyDescent="0.25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</row>
    <row r="162" spans="1:35" x14ac:dyDescent="0.25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</row>
    <row r="163" spans="1:35" x14ac:dyDescent="0.25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</row>
    <row r="164" spans="1:35" x14ac:dyDescent="0.25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</row>
    <row r="165" spans="1:35" x14ac:dyDescent="0.25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</row>
    <row r="166" spans="1:35" x14ac:dyDescent="0.25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</row>
    <row r="167" spans="1:35" x14ac:dyDescent="0.25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</row>
    <row r="168" spans="1:35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</row>
    <row r="169" spans="1:35" x14ac:dyDescent="0.25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</row>
    <row r="170" spans="1:35" x14ac:dyDescent="0.25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</row>
    <row r="171" spans="1:35" x14ac:dyDescent="0.25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</row>
    <row r="172" spans="1:35" x14ac:dyDescent="0.25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</row>
    <row r="173" spans="1:35" x14ac:dyDescent="0.25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</row>
    <row r="174" spans="1:35" x14ac:dyDescent="0.25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</row>
    <row r="175" spans="1:35" x14ac:dyDescent="0.25">
      <c r="A175" s="160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2"/>
    </row>
  </sheetData>
  <mergeCells count="9">
    <mergeCell ref="A175:AI175"/>
    <mergeCell ref="A84:AI84"/>
    <mergeCell ref="A145:AI145"/>
    <mergeCell ref="A1:AI1"/>
    <mergeCell ref="A115:AI115"/>
    <mergeCell ref="A39:M39"/>
    <mergeCell ref="A52:AI52"/>
    <mergeCell ref="A26:AI26"/>
    <mergeCell ref="A114:AI11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C000"/>
  </sheetPr>
  <dimension ref="A1:CA93"/>
  <sheetViews>
    <sheetView topLeftCell="BO1" zoomScale="70" zoomScaleNormal="70" workbookViewId="0">
      <selection activeCell="BZ1" sqref="BZ1:CA1"/>
    </sheetView>
  </sheetViews>
  <sheetFormatPr defaultColWidth="9.140625" defaultRowHeight="15" x14ac:dyDescent="0.25"/>
  <cols>
    <col min="1" max="4" width="9.140625" style="18"/>
    <col min="5" max="6" width="10" style="18" customWidth="1"/>
    <col min="7" max="8" width="9.140625" style="18"/>
    <col min="9" max="9" width="1.28515625" style="198" customWidth="1"/>
    <col min="10" max="10" width="12.42578125" style="18" customWidth="1"/>
    <col min="11" max="11" width="11.42578125" style="18" customWidth="1"/>
    <col min="12" max="12" width="9.140625" style="18"/>
    <col min="13" max="13" width="16.42578125" style="18" customWidth="1"/>
    <col min="14" max="14" width="17.28515625" style="18" customWidth="1"/>
    <col min="15" max="15" width="14.7109375" style="18" customWidth="1"/>
    <col min="16" max="16" width="17.28515625" style="18" customWidth="1"/>
    <col min="17" max="17" width="1.28515625" style="198" customWidth="1"/>
    <col min="18" max="19" width="18.28515625" style="18" customWidth="1"/>
    <col min="20" max="22" width="18.85546875" style="18" customWidth="1"/>
    <col min="23" max="23" width="1.28515625" style="198" customWidth="1"/>
    <col min="24" max="28" width="18.7109375" style="18" customWidth="1"/>
    <col min="29" max="29" width="1.28515625" style="198" customWidth="1"/>
    <col min="30" max="34" width="18.28515625" style="18" customWidth="1"/>
    <col min="35" max="35" width="1.28515625" style="198" customWidth="1"/>
    <col min="36" max="40" width="19.7109375" style="18" customWidth="1"/>
    <col min="41" max="41" width="1.28515625" style="198" customWidth="1"/>
    <col min="42" max="46" width="20.85546875" style="18" customWidth="1"/>
    <col min="47" max="47" width="1.28515625" style="198" customWidth="1"/>
    <col min="48" max="52" width="20.5703125" style="18" customWidth="1"/>
    <col min="53" max="53" width="1.28515625" style="198" customWidth="1"/>
    <col min="54" max="58" width="19.42578125" style="18" customWidth="1"/>
    <col min="59" max="59" width="1.28515625" style="198" customWidth="1"/>
    <col min="60" max="64" width="18.42578125" style="18" customWidth="1"/>
    <col min="65" max="65" width="1.28515625" style="198" customWidth="1"/>
    <col min="66" max="70" width="17.7109375" style="18" customWidth="1"/>
    <col min="71" max="71" width="1.28515625" style="198" customWidth="1"/>
    <col min="72" max="73" width="18.5703125" style="18" customWidth="1"/>
    <col min="74" max="74" width="17.28515625" style="18" bestFit="1" customWidth="1"/>
    <col min="75" max="76" width="17.28515625" style="18" customWidth="1"/>
    <col min="77" max="77" width="5.140625" style="200" customWidth="1"/>
    <col min="78" max="78" width="19.28515625" style="20" customWidth="1"/>
    <col min="79" max="79" width="18.5703125" style="20" customWidth="1"/>
    <col min="80" max="16384" width="9.140625" style="20"/>
  </cols>
  <sheetData>
    <row r="1" spans="1:79" ht="45" customHeight="1" x14ac:dyDescent="0.25">
      <c r="A1" s="190" t="s">
        <v>132</v>
      </c>
      <c r="B1" s="190"/>
      <c r="C1" s="190"/>
      <c r="D1" s="190"/>
      <c r="E1" s="190"/>
      <c r="F1" s="190"/>
      <c r="G1" s="190"/>
      <c r="H1" s="190"/>
      <c r="J1" s="191" t="s">
        <v>133</v>
      </c>
      <c r="K1" s="192"/>
      <c r="L1" s="192"/>
      <c r="M1" s="192"/>
      <c r="N1" s="192"/>
      <c r="O1" s="192"/>
      <c r="P1" s="193"/>
      <c r="R1" s="190" t="s">
        <v>134</v>
      </c>
      <c r="S1" s="190"/>
      <c r="T1" s="190"/>
      <c r="U1" s="190"/>
      <c r="V1" s="190"/>
      <c r="X1" s="190" t="s">
        <v>135</v>
      </c>
      <c r="Y1" s="190"/>
      <c r="Z1" s="190"/>
      <c r="AA1" s="190"/>
      <c r="AB1" s="190"/>
      <c r="AD1" s="190" t="s">
        <v>136</v>
      </c>
      <c r="AE1" s="190"/>
      <c r="AF1" s="190"/>
      <c r="AG1" s="190"/>
      <c r="AH1" s="190"/>
      <c r="AJ1" s="190" t="s">
        <v>137</v>
      </c>
      <c r="AK1" s="190"/>
      <c r="AL1" s="190"/>
      <c r="AM1" s="190"/>
      <c r="AN1" s="190"/>
      <c r="AP1" s="190" t="s">
        <v>138</v>
      </c>
      <c r="AQ1" s="190"/>
      <c r="AR1" s="190"/>
      <c r="AS1" s="190"/>
      <c r="AT1" s="190"/>
      <c r="AV1" s="190" t="s">
        <v>139</v>
      </c>
      <c r="AW1" s="190"/>
      <c r="AX1" s="190"/>
      <c r="AY1" s="190"/>
      <c r="AZ1" s="190"/>
      <c r="BB1" s="190" t="s">
        <v>140</v>
      </c>
      <c r="BC1" s="190"/>
      <c r="BD1" s="190"/>
      <c r="BE1" s="190"/>
      <c r="BF1" s="190"/>
      <c r="BH1" s="190" t="s">
        <v>141</v>
      </c>
      <c r="BI1" s="190"/>
      <c r="BJ1" s="190"/>
      <c r="BK1" s="190"/>
      <c r="BL1" s="190"/>
      <c r="BN1" s="190" t="s">
        <v>142</v>
      </c>
      <c r="BO1" s="190"/>
      <c r="BP1" s="190"/>
      <c r="BQ1" s="190"/>
      <c r="BR1" s="190"/>
      <c r="BT1" s="190" t="s">
        <v>143</v>
      </c>
      <c r="BU1" s="190"/>
      <c r="BV1" s="190"/>
      <c r="BW1" s="190"/>
      <c r="BX1" s="190"/>
      <c r="BZ1" s="246" t="s">
        <v>225</v>
      </c>
      <c r="CA1" s="247"/>
    </row>
    <row r="2" spans="1:79" ht="60" customHeight="1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99" t="s">
        <v>131</v>
      </c>
      <c r="F2" s="99" t="s">
        <v>150</v>
      </c>
      <c r="G2" s="99" t="s">
        <v>151</v>
      </c>
      <c r="H2" s="99" t="s">
        <v>158</v>
      </c>
      <c r="J2" s="100" t="s">
        <v>207</v>
      </c>
      <c r="K2" s="100" t="s">
        <v>123</v>
      </c>
      <c r="L2" s="99" t="s">
        <v>129</v>
      </c>
      <c r="M2" s="99" t="s">
        <v>125</v>
      </c>
      <c r="N2" s="99" t="s">
        <v>126</v>
      </c>
      <c r="O2" s="100" t="s">
        <v>127</v>
      </c>
      <c r="P2" s="100" t="s">
        <v>128</v>
      </c>
      <c r="R2" s="99" t="s">
        <v>113</v>
      </c>
      <c r="S2" s="99" t="s">
        <v>157</v>
      </c>
      <c r="T2" s="100" t="s">
        <v>153</v>
      </c>
      <c r="U2" s="100" t="s">
        <v>155</v>
      </c>
      <c r="V2" s="100" t="s">
        <v>156</v>
      </c>
      <c r="X2" s="99" t="s">
        <v>113</v>
      </c>
      <c r="Y2" s="99" t="s">
        <v>157</v>
      </c>
      <c r="Z2" s="100" t="s">
        <v>153</v>
      </c>
      <c r="AA2" s="100" t="s">
        <v>155</v>
      </c>
      <c r="AB2" s="100" t="s">
        <v>156</v>
      </c>
      <c r="AD2" s="99" t="s">
        <v>113</v>
      </c>
      <c r="AE2" s="99" t="s">
        <v>157</v>
      </c>
      <c r="AF2" s="100" t="s">
        <v>153</v>
      </c>
      <c r="AG2" s="100" t="s">
        <v>155</v>
      </c>
      <c r="AH2" s="100" t="s">
        <v>156</v>
      </c>
      <c r="AJ2" s="99" t="s">
        <v>113</v>
      </c>
      <c r="AK2" s="99" t="s">
        <v>157</v>
      </c>
      <c r="AL2" s="100" t="s">
        <v>153</v>
      </c>
      <c r="AM2" s="100" t="s">
        <v>155</v>
      </c>
      <c r="AN2" s="100" t="s">
        <v>156</v>
      </c>
      <c r="AP2" s="99" t="s">
        <v>113</v>
      </c>
      <c r="AQ2" s="99" t="s">
        <v>157</v>
      </c>
      <c r="AR2" s="100" t="s">
        <v>153</v>
      </c>
      <c r="AS2" s="100" t="s">
        <v>155</v>
      </c>
      <c r="AT2" s="100" t="s">
        <v>156</v>
      </c>
      <c r="AV2" s="99" t="s">
        <v>113</v>
      </c>
      <c r="AW2" s="99" t="s">
        <v>157</v>
      </c>
      <c r="AX2" s="100" t="s">
        <v>153</v>
      </c>
      <c r="AY2" s="100" t="s">
        <v>155</v>
      </c>
      <c r="AZ2" s="100" t="s">
        <v>156</v>
      </c>
      <c r="BB2" s="99" t="s">
        <v>113</v>
      </c>
      <c r="BC2" s="99" t="s">
        <v>157</v>
      </c>
      <c r="BD2" s="100" t="s">
        <v>153</v>
      </c>
      <c r="BE2" s="100" t="s">
        <v>155</v>
      </c>
      <c r="BF2" s="100" t="s">
        <v>156</v>
      </c>
      <c r="BH2" s="99" t="s">
        <v>113</v>
      </c>
      <c r="BI2" s="99" t="s">
        <v>157</v>
      </c>
      <c r="BJ2" s="100" t="s">
        <v>153</v>
      </c>
      <c r="BK2" s="100" t="s">
        <v>155</v>
      </c>
      <c r="BL2" s="100" t="s">
        <v>156</v>
      </c>
      <c r="BN2" s="99" t="s">
        <v>113</v>
      </c>
      <c r="BO2" s="99" t="s">
        <v>157</v>
      </c>
      <c r="BP2" s="100" t="s">
        <v>153</v>
      </c>
      <c r="BQ2" s="100" t="s">
        <v>155</v>
      </c>
      <c r="BR2" s="100" t="s">
        <v>156</v>
      </c>
      <c r="BT2" s="99" t="s">
        <v>113</v>
      </c>
      <c r="BU2" s="99" t="s">
        <v>157</v>
      </c>
      <c r="BV2" s="100" t="s">
        <v>153</v>
      </c>
      <c r="BW2" s="100" t="s">
        <v>155</v>
      </c>
      <c r="BX2" s="100" t="s">
        <v>156</v>
      </c>
      <c r="BZ2" s="99" t="s">
        <v>191</v>
      </c>
      <c r="CA2" s="99" t="s">
        <v>190</v>
      </c>
    </row>
    <row r="3" spans="1:79" ht="15" customHeight="1" x14ac:dyDescent="0.25">
      <c r="A3" s="18">
        <f>'Baseline Given'!E4</f>
        <v>1</v>
      </c>
      <c r="B3" s="18">
        <v>67</v>
      </c>
      <c r="C3" s="18">
        <f t="shared" ref="C3:C34" si="0">C4+0.5</f>
        <v>33.5</v>
      </c>
      <c r="D3" s="18">
        <v>1</v>
      </c>
      <c r="E3" s="18">
        <v>26.75</v>
      </c>
      <c r="F3" s="18">
        <v>39.75</v>
      </c>
      <c r="G3" s="18">
        <v>52.75</v>
      </c>
      <c r="H3" s="18">
        <v>67</v>
      </c>
      <c r="J3" s="103">
        <v>0</v>
      </c>
      <c r="K3" s="103"/>
      <c r="L3" s="18">
        <f t="shared" ref="L3:L34" si="1">27.75*SIN(K3)+40.75*SIN(K3)+53.75*SIN(K3)</f>
        <v>0</v>
      </c>
      <c r="M3" s="104">
        <f t="shared" ref="M3:M34" si="2">27.75*553480*COS(K3)+40.75*210080*COS(K3)+53.75*319160*COS(K3)</f>
        <v>41074680</v>
      </c>
      <c r="N3" s="104" t="e">
        <f t="shared" ref="N3:N34" si="3">M3*3/L3</f>
        <v>#DIV/0!</v>
      </c>
      <c r="O3" s="104">
        <f>553480*COS(K3)+210080*COS(K3)+319160*COS(K3)</f>
        <v>1082720</v>
      </c>
      <c r="P3" s="104" t="e">
        <f t="shared" ref="P3:P34" si="4">N3*COS(K3)</f>
        <v>#DIV/0!</v>
      </c>
      <c r="R3" s="105">
        <f t="shared" ref="R3:R34" si="5">16160*B3*C3*COS($K$5)-($N$5/3)*E3*SIN($K$5)-($N$5/3)*F3*SIN($K$5)-($N$5/3)*G3*SIN($K$5)</f>
        <v>-3793280.2203059178</v>
      </c>
      <c r="S3" s="106">
        <f t="shared" ref="S3:S30" si="6">16160*H3+($N$5/3)*COS($K$5)+($N$5/3)*COS($K$5)+($N$5/3)*COS($K$5)</f>
        <v>29929552.283234291</v>
      </c>
      <c r="T3" s="105">
        <f>R3*'Baseline Given'!K4/'Baseline Given'!L4</f>
        <v>-21700927.661204387</v>
      </c>
      <c r="U3" s="105">
        <f>S3/'Baseline Given'!M4</f>
        <v>2439591.8720606086</v>
      </c>
      <c r="V3" s="105">
        <f t="shared" ref="V3:V34" si="7">(T3+U3)/1000000</f>
        <v>-19.261335789143779</v>
      </c>
      <c r="X3" s="105">
        <f t="shared" ref="X3:X34" si="8">16160*B3*C3*COS($K$13)-($N$12/3)*E3*SIN($K$13)-($N$12/3)*F3*SIN($K$13)-($N$12/3)*G3*SIN($K$13)</f>
        <v>-8207919.1664698366</v>
      </c>
      <c r="Y3" s="106">
        <f t="shared" ref="Y3:Y30" si="9">16160*H3+($N$12/3)*COS($K$13)+($N$12/3)*COS($K$13)+($N$12/3)*COS($K$13)</f>
        <v>7350092.6818192285</v>
      </c>
      <c r="Z3" s="105">
        <f>X3*'Baseline Given'!K4/'Baseline Given'!L4</f>
        <v>-46956578.405960761</v>
      </c>
      <c r="AA3" s="105">
        <f>Y3/'Baseline Given'!M4</f>
        <v>599114.42028162011</v>
      </c>
      <c r="AB3" s="105">
        <f t="shared" ref="AB3:AB34" si="10">(Z3+AA3)/1000000</f>
        <v>-46.357463985679139</v>
      </c>
      <c r="AD3" s="105">
        <f t="shared" ref="AD3:AD34" si="11">16160*B3*C3*COS($K$23)-($N$22/3)*E3*SIN($K$23)-($N$22/3)*F3*SIN($K$23)-($N$22/3)*G3*SIN($K$23)</f>
        <v>-5714506.3411721904</v>
      </c>
      <c r="AE3" s="106">
        <f t="shared" ref="AE3:AE30" si="12">16160*H3+($N$22/3)*COS($K$23)+($N$22/3)*COS($K$23)+($N$22/3)*COS($K$23)</f>
        <v>3833529.6535738795</v>
      </c>
      <c r="AF3" s="105">
        <f>AD3*'Baseline Given'!K4/'Baseline Given'!L4</f>
        <v>-32692045.281924993</v>
      </c>
      <c r="AG3" s="105">
        <f>AE3/'Baseline Given'!M4</f>
        <v>312475.36533986271</v>
      </c>
      <c r="AH3" s="105">
        <f t="shared" ref="AH3:AH34" si="13">(AF3+AG3)/1000000</f>
        <v>-32.379569916585126</v>
      </c>
      <c r="AJ3" s="105">
        <f t="shared" ref="AJ3:AJ34" si="14">16160*B3*C3*COS($K$33)-($N$32/3)*E3*SIN($K$33)-($N$32/3)*F3*SIN($K$33)-($N$32/3)*G3*SIN($K$33)</f>
        <v>-4729419.9328083526</v>
      </c>
      <c r="AK3" s="106">
        <f t="shared" ref="AK3:AK30" si="15">16160*H3+($N$32/3)*COS($K$33)+($N$32/3)*COS($K$33)+($N$32/3)*COS($K$33)</f>
        <v>2657519.3865145431</v>
      </c>
      <c r="AL3" s="105">
        <f>AJ3*'Baseline Given'!K4/'Baseline Given'!L4</f>
        <v>-27056477.21249951</v>
      </c>
      <c r="AM3" s="105">
        <f>AK3/'Baseline Given'!M4</f>
        <v>216617.42995120308</v>
      </c>
      <c r="AN3" s="105">
        <f t="shared" ref="AN3:AN34" si="16">(AL3+AM3)/1000000</f>
        <v>-26.839859782548309</v>
      </c>
      <c r="AP3" s="105">
        <f t="shared" ref="AP3:AP34" si="17">16160*B3*C3*COS($K$43)-($N$42/3)*E3*SIN($K$43)-($N$42/3)*F3*SIN($K$43)-($N$42/3)*G3*SIN($K$43)</f>
        <v>-4018728.472249385</v>
      </c>
      <c r="AQ3" s="106">
        <f t="shared" ref="AQ3:AQ30" si="18">16160*H3+($N$42/3)*COS($K$43)+($N$42/3)*COS($K$43)+($N$42/3)*COS($K$43)</f>
        <v>2036243.3504383261</v>
      </c>
      <c r="AR3" s="105">
        <f>AP3*'Baseline Given'!K4/'Baseline Given'!L4</f>
        <v>-22990691.644518968</v>
      </c>
      <c r="AS3" s="105">
        <f>AQ3/'Baseline Given'!M4</f>
        <v>165976.51312176549</v>
      </c>
      <c r="AT3" s="105">
        <f t="shared" ref="AT3:AT34" si="19">(AR3+AS3)/1000000</f>
        <v>-22.824715131397202</v>
      </c>
      <c r="AV3" s="105">
        <f t="shared" ref="AV3:AV34" si="20">16160*B3*C3*COS($K$53)-($N$52/3)*E3*SIN($K$53)-($N$52/3)*F3*SIN($K$53)-($N$52/3)*G3*SIN($K$53)</f>
        <v>-3366289.0749431793</v>
      </c>
      <c r="AW3" s="106">
        <f t="shared" ref="AW3:AW30" si="21">16160*H3+($N$52/3)*COS($K$53)+($N$52/3)*COS($K$53)+($N$52/3)*COS($K$53)</f>
        <v>1645938.7783588707</v>
      </c>
      <c r="AX3" s="105">
        <f>AV3*'Baseline Given'!K4/'Baseline Given'!L4</f>
        <v>-19258159.550404411</v>
      </c>
      <c r="AY3" s="105">
        <f>AW3/'Baseline Given'!M4</f>
        <v>134162.34321162885</v>
      </c>
      <c r="AZ3" s="105">
        <f t="shared" ref="AZ3:AZ34" si="22">(AX3+AY3)/1000000</f>
        <v>-19.123997207192783</v>
      </c>
      <c r="BB3" s="105">
        <f t="shared" ref="BB3:BB34" si="23">16160*B3*C3*COS($K$63)-($N$62/3)*E3*SIN($K$63)-($N$62/3)*F3*SIN($K$63)-($N$62/3)*G3*SIN($K$63)</f>
        <v>-2713576.9064666098</v>
      </c>
      <c r="BC3" s="106">
        <f t="shared" ref="BC3:BC30" si="24">16160*H3+($N$62/3)*COS($K$63)+($N$62/3)*COS($K$63)+($N$62/3)*COS($K$63)</f>
        <v>1385544.0202596192</v>
      </c>
      <c r="BD3" s="105">
        <f>BB3*'Baseline Given'!K4/'Baseline Given'!L4</f>
        <v>-15524066.963235738</v>
      </c>
      <c r="BE3" s="105">
        <f>BC3/'Baseline Given'!M4</f>
        <v>112937.27010079665</v>
      </c>
      <c r="BF3" s="105">
        <f t="shared" ref="BF3:BF34" si="25">(BD3+BE3)/1000000</f>
        <v>-15.41112969313494</v>
      </c>
      <c r="BH3" s="105">
        <f t="shared" ref="BH3:BH34" si="26">16160*B3*C3*COS($K$73)-($N$72/3)*E3*SIN($K$73)-($N$72/3)*F3*SIN($K$73)-($N$72/3)*G3*SIN($K$73)</f>
        <v>-2047178.4907472441</v>
      </c>
      <c r="BI3" s="107">
        <f t="shared" ref="BI3:BI30" si="27">16160*H3+($N$72/3)*COS($K$73)+($N$72/3)*COS($K$73)+($N$72/3)*COS($K$73)</f>
        <v>1215055.2933340461</v>
      </c>
      <c r="BJ3" s="105">
        <f>BH3*'Baseline Given'!K4/'Baseline Given'!L4</f>
        <v>-11711676.901554272</v>
      </c>
      <c r="BK3" s="105">
        <f>BI3/'Baseline Given'!M4</f>
        <v>99040.539920887575</v>
      </c>
      <c r="BL3" s="105">
        <f t="shared" ref="BL3:BL34" si="28">(BJ3+BK3)/1000000</f>
        <v>-11.612636361633385</v>
      </c>
      <c r="BN3" s="105">
        <f t="shared" ref="BN3:BN34" si="29">16160*B3*C3*COS($K$83)-($N$82/3)*E3*SIN($K$83)-($N$82/3)*F3*SIN($K$83)-($N$82/3)*G3*SIN($K$83)</f>
        <v>-1371446.097825252</v>
      </c>
      <c r="BO3" s="106">
        <f t="shared" ref="BO3:BO30" si="30">16160*H3+($N$82/3)*COS($K$83)+($N$82/3)*COS($K$83)+($N$82/3)*COS($K$83)</f>
        <v>1116742.7233735612</v>
      </c>
      <c r="BP3" s="105">
        <f>BN3*'Baseline Given'!K4/'Baseline Given'!L4</f>
        <v>-7845888.2106386097</v>
      </c>
      <c r="BQ3" s="105">
        <f>BO3/'Baseline Given'!M4</f>
        <v>91026.970445231156</v>
      </c>
      <c r="BR3" s="105">
        <f t="shared" ref="BR3:BR34" si="31">(BP3+BQ3)/1000000</f>
        <v>-7.7548612401933781</v>
      </c>
      <c r="BT3" s="105">
        <f t="shared" ref="BT3:BT34" si="32">16160*B3*C3*COS($K$93)-($N$92/3)*E3*SIN($K$93)-($N$92/3)*F3*SIN($K$93)-($N$92/3)*G3*SIN($K$93)</f>
        <v>-699367.06627370918</v>
      </c>
      <c r="BU3" s="106">
        <f t="shared" ref="BU3:BU30" si="33">16160*H3+($N$92/3)*COS($K$93)+($N$92/3)*COS($K$93)+($N$92/3)*COS($K$93)</f>
        <v>1082720</v>
      </c>
      <c r="BV3" s="105">
        <f>BT3*'Baseline Given'!K4/'Baseline Given'!L4</f>
        <v>-4000999.987448995</v>
      </c>
      <c r="BW3" s="105">
        <f>BU3/'Baseline Given'!M4</f>
        <v>88253.739538800219</v>
      </c>
      <c r="BX3" s="105">
        <f t="shared" ref="BX3:BX34" si="34">(BV3+BW3)/1000000</f>
        <v>-3.9127462479101944</v>
      </c>
      <c r="BZ3" s="104">
        <v>150</v>
      </c>
      <c r="CA3" s="104">
        <v>-150</v>
      </c>
    </row>
    <row r="4" spans="1:79" ht="15" customHeight="1" x14ac:dyDescent="0.25">
      <c r="A4" s="18">
        <f>'Baseline Given'!E5</f>
        <v>2</v>
      </c>
      <c r="B4" s="18">
        <f t="shared" ref="B4:B35" si="35">B3-1</f>
        <v>66</v>
      </c>
      <c r="C4" s="18">
        <f t="shared" si="0"/>
        <v>33</v>
      </c>
      <c r="D4" s="18">
        <f t="shared" ref="D4:D35" si="36">D3+1</f>
        <v>2</v>
      </c>
      <c r="E4" s="18">
        <f t="shared" ref="E4:E29" si="37">E3-1</f>
        <v>25.75</v>
      </c>
      <c r="F4" s="18">
        <f t="shared" ref="F4:F29" si="38">F3-1</f>
        <v>38.75</v>
      </c>
      <c r="G4" s="18">
        <f t="shared" ref="G4:G29" si="39">G3-1</f>
        <v>51.75</v>
      </c>
      <c r="H4" s="18">
        <f t="shared" ref="H4:H29" si="40">H3-1</f>
        <v>66</v>
      </c>
      <c r="J4" s="104">
        <f t="shared" ref="J4:J35" si="41">J3+1</f>
        <v>1</v>
      </c>
      <c r="K4" s="104">
        <f t="shared" ref="K4:K35" si="42">J4*PI()/180</f>
        <v>1.7453292519943295E-2</v>
      </c>
      <c r="L4" s="105">
        <f t="shared" si="1"/>
        <v>2.1335566869579092</v>
      </c>
      <c r="M4" s="104">
        <f t="shared" si="2"/>
        <v>41068424.127286322</v>
      </c>
      <c r="N4" s="104">
        <f t="shared" si="3"/>
        <v>57746425.550815262</v>
      </c>
      <c r="O4" s="104">
        <f t="shared" ref="O4:O67" si="43">553480*COS(K4)+210080*COS(K4)+319160*COS(K4)</f>
        <v>1082555.096499728</v>
      </c>
      <c r="P4" s="104">
        <f t="shared" si="4"/>
        <v>57737630.490502782</v>
      </c>
      <c r="R4" s="105">
        <f t="shared" si="5"/>
        <v>-3859911.9979237784</v>
      </c>
      <c r="S4" s="106">
        <f t="shared" si="6"/>
        <v>29913392.283234291</v>
      </c>
      <c r="T4" s="105">
        <f>R4*'Baseline Given'!K5/'Baseline Given'!L5</f>
        <v>-22225925.950328067</v>
      </c>
      <c r="U4" s="105">
        <f>S4/'Baseline Given'!M5</f>
        <v>2462802.7924952693</v>
      </c>
      <c r="V4" s="105">
        <f t="shared" si="7"/>
        <v>-19.763123157832798</v>
      </c>
      <c r="X4" s="105">
        <f t="shared" si="8"/>
        <v>-8161126.0682069827</v>
      </c>
      <c r="Y4" s="106">
        <f t="shared" si="9"/>
        <v>7333932.6818192285</v>
      </c>
      <c r="Z4" s="105">
        <f>X4*'Baseline Given'!K5/'Baseline Given'!L5</f>
        <v>-46992932.419399247</v>
      </c>
      <c r="AA4" s="105">
        <f>Y4/'Baseline Given'!M5</f>
        <v>603810.81883782311</v>
      </c>
      <c r="AB4" s="105">
        <f t="shared" si="10"/>
        <v>-46.389121600561424</v>
      </c>
      <c r="AD4" s="105">
        <f t="shared" si="11"/>
        <v>-5723124.785140546</v>
      </c>
      <c r="AE4" s="106">
        <f t="shared" si="12"/>
        <v>3817369.6535738795</v>
      </c>
      <c r="AF4" s="105">
        <f>AD4*'Baseline Given'!K5/'Baseline Given'!L5</f>
        <v>-32954571.955900032</v>
      </c>
      <c r="AG4" s="105">
        <f>AE4/'Baseline Given'!M5</f>
        <v>314288.28110804793</v>
      </c>
      <c r="AH4" s="105">
        <f t="shared" si="13"/>
        <v>-32.640283674791988</v>
      </c>
      <c r="AJ4" s="105">
        <f t="shared" si="14"/>
        <v>-4750874.6230074354</v>
      </c>
      <c r="AK4" s="106">
        <f t="shared" si="15"/>
        <v>2641359.3865145431</v>
      </c>
      <c r="AL4" s="105">
        <f>AJ4*'Baseline Given'!K5/'Baseline Given'!L5</f>
        <v>-27356216.314530902</v>
      </c>
      <c r="AM4" s="105">
        <f>AK4/'Baseline Given'!M5</f>
        <v>217466.05037294887</v>
      </c>
      <c r="AN4" s="105">
        <f t="shared" si="16"/>
        <v>-27.138750264157952</v>
      </c>
      <c r="AP4" s="105">
        <f t="shared" si="17"/>
        <v>-4041849.3809310384</v>
      </c>
      <c r="AQ4" s="106">
        <f t="shared" si="18"/>
        <v>2020083.3504383261</v>
      </c>
      <c r="AR4" s="105">
        <f>AP4*'Baseline Given'!K5/'Baseline Given'!L5</f>
        <v>-23273547.451670825</v>
      </c>
      <c r="AS4" s="105">
        <f>AQ4/'Baseline Given'!M5</f>
        <v>166315.70466587003</v>
      </c>
      <c r="AT4" s="105">
        <f t="shared" si="19"/>
        <v>-23.107231747004956</v>
      </c>
      <c r="AV4" s="105">
        <f t="shared" si="20"/>
        <v>-3385836.3492910098</v>
      </c>
      <c r="AW4" s="106">
        <f t="shared" si="21"/>
        <v>1629778.7783588707</v>
      </c>
      <c r="AX4" s="105">
        <f>AV4*'Baseline Given'!K5/'Baseline Given'!L5</f>
        <v>-19496130.486847728</v>
      </c>
      <c r="AY4" s="105">
        <f>AW4/'Baseline Given'!M5</f>
        <v>134181.4959830351</v>
      </c>
      <c r="AZ4" s="105">
        <f t="shared" si="22"/>
        <v>-19.361948990864693</v>
      </c>
      <c r="BB4" s="105">
        <f t="shared" si="23"/>
        <v>-2726390.3176246835</v>
      </c>
      <c r="BC4" s="106">
        <f t="shared" si="24"/>
        <v>1369384.0202596192</v>
      </c>
      <c r="BD4" s="105">
        <f>BB4*'Baseline Given'!K5/'Baseline Given'!L5</f>
        <v>-15698945.816332633</v>
      </c>
      <c r="BE4" s="105">
        <f>BC4/'Baseline Given'!M5</f>
        <v>112742.90649355753</v>
      </c>
      <c r="BF4" s="105">
        <f t="shared" si="25"/>
        <v>-15.586202909839075</v>
      </c>
      <c r="BH4" s="105">
        <f t="shared" si="26"/>
        <v>-2051138.7873385455</v>
      </c>
      <c r="BI4" s="107">
        <f t="shared" si="27"/>
        <v>1198895.2933340461</v>
      </c>
      <c r="BJ4" s="105">
        <f>BH4*'Baseline Given'!K5/'Baseline Given'!L5</f>
        <v>-11810750.821716649</v>
      </c>
      <c r="BK4" s="105">
        <f>BI4/'Baseline Given'!M5</f>
        <v>98706.380352167762</v>
      </c>
      <c r="BL4" s="105">
        <f t="shared" si="28"/>
        <v>-11.712044441364482</v>
      </c>
      <c r="BN4" s="105">
        <f t="shared" si="29"/>
        <v>-1365102.9229508815</v>
      </c>
      <c r="BO4" s="106">
        <f t="shared" si="30"/>
        <v>1100582.7233735612</v>
      </c>
      <c r="BP4" s="105">
        <f>BN4*'Baseline Given'!K5/'Baseline Given'!L5</f>
        <v>-7860458.0872317152</v>
      </c>
      <c r="BQ4" s="105">
        <f>BO4/'Baseline Given'!M5</f>
        <v>90612.197333955759</v>
      </c>
      <c r="BR4" s="105">
        <f t="shared" si="31"/>
        <v>-7.7698458898977592</v>
      </c>
      <c r="BT4" s="105">
        <f t="shared" si="32"/>
        <v>-681772.92624166631</v>
      </c>
      <c r="BU4" s="106">
        <f t="shared" si="33"/>
        <v>1066560</v>
      </c>
      <c r="BV4" s="105">
        <f>BT4*'Baseline Given'!K5/'Baseline Given'!L5</f>
        <v>-3925746.1262682858</v>
      </c>
      <c r="BW4" s="105">
        <f>BU4/'Baseline Given'!M5</f>
        <v>87811.068751168335</v>
      </c>
      <c r="BX4" s="105">
        <f t="shared" si="34"/>
        <v>-3.8379350575171172</v>
      </c>
      <c r="BZ4" s="104">
        <v>150</v>
      </c>
      <c r="CA4" s="104">
        <v>-150</v>
      </c>
    </row>
    <row r="5" spans="1:79" ht="15" customHeight="1" x14ac:dyDescent="0.25">
      <c r="A5" s="18">
        <f>'Baseline Given'!E6</f>
        <v>3</v>
      </c>
      <c r="B5" s="18">
        <f t="shared" si="35"/>
        <v>65</v>
      </c>
      <c r="C5" s="18">
        <f t="shared" si="0"/>
        <v>32.5</v>
      </c>
      <c r="D5" s="18">
        <f t="shared" si="36"/>
        <v>3</v>
      </c>
      <c r="E5" s="18">
        <f t="shared" si="37"/>
        <v>24.75</v>
      </c>
      <c r="F5" s="18">
        <f t="shared" si="38"/>
        <v>37.75</v>
      </c>
      <c r="G5" s="18">
        <f t="shared" si="39"/>
        <v>50.75</v>
      </c>
      <c r="H5" s="18">
        <f t="shared" si="40"/>
        <v>65</v>
      </c>
      <c r="J5" s="104">
        <f t="shared" si="41"/>
        <v>2</v>
      </c>
      <c r="K5" s="104">
        <f t="shared" si="42"/>
        <v>3.4906585039886591E-2</v>
      </c>
      <c r="L5" s="105">
        <f t="shared" si="1"/>
        <v>4.2664634718807442</v>
      </c>
      <c r="M5" s="104">
        <f t="shared" si="2"/>
        <v>41049658.414744712</v>
      </c>
      <c r="N5" s="108">
        <f t="shared" si="3"/>
        <v>28864415.705391604</v>
      </c>
      <c r="O5" s="104">
        <f t="shared" si="43"/>
        <v>1082060.4362301154</v>
      </c>
      <c r="P5" s="104">
        <f t="shared" si="4"/>
        <v>28846832.283234291</v>
      </c>
      <c r="R5" s="105">
        <f t="shared" si="5"/>
        <v>-3910393.6197770219</v>
      </c>
      <c r="S5" s="106">
        <f t="shared" si="6"/>
        <v>29897232.283234291</v>
      </c>
      <c r="T5" s="105">
        <f>R5*'Baseline Given'!K6/'Baseline Given'!L6</f>
        <v>-22664202.465647493</v>
      </c>
      <c r="U5" s="105">
        <f>S5/'Baseline Given'!M6</f>
        <v>2486358.9967356855</v>
      </c>
      <c r="V5" s="105">
        <f t="shared" si="7"/>
        <v>-20.177843468911806</v>
      </c>
      <c r="X5" s="105">
        <f t="shared" si="8"/>
        <v>-8098418.4766554479</v>
      </c>
      <c r="Y5" s="106">
        <f t="shared" si="9"/>
        <v>7317772.6818192285</v>
      </c>
      <c r="Z5" s="105">
        <f>X5*'Baseline Given'!K6/'Baseline Given'!L6</f>
        <v>-46937524.416512743</v>
      </c>
      <c r="AA5" s="105">
        <f>Y5/'Baseline Given'!M6</f>
        <v>608571.71564041392</v>
      </c>
      <c r="AB5" s="105">
        <f t="shared" si="10"/>
        <v>-46.328952700872328</v>
      </c>
      <c r="AD5" s="105">
        <f t="shared" si="11"/>
        <v>-5716557.7963569984</v>
      </c>
      <c r="AE5" s="106">
        <f t="shared" si="12"/>
        <v>3801209.6535738795</v>
      </c>
      <c r="AF5" s="105">
        <f>AD5*'Baseline Given'!K6/'Baseline Given'!L6</f>
        <v>-33132527.285219569</v>
      </c>
      <c r="AG5" s="105">
        <f>AE5/'Baseline Given'!M6</f>
        <v>316121.96510718355</v>
      </c>
      <c r="AH5" s="105">
        <f t="shared" si="13"/>
        <v>-32.816405320112388</v>
      </c>
      <c r="AJ5" s="105">
        <f t="shared" si="14"/>
        <v>-4758334.3426813595</v>
      </c>
      <c r="AK5" s="106">
        <f t="shared" si="15"/>
        <v>2625199.3865145431</v>
      </c>
      <c r="AL5" s="105">
        <f>AJ5*'Baseline Given'!K6/'Baseline Given'!L6</f>
        <v>-27578771.711458419</v>
      </c>
      <c r="AM5" s="105">
        <f>AK5/'Baseline Given'!M6</f>
        <v>218320.81481822446</v>
      </c>
      <c r="AN5" s="105">
        <f t="shared" si="16"/>
        <v>-27.360450896640192</v>
      </c>
      <c r="AP5" s="105">
        <f t="shared" si="17"/>
        <v>-4052591.0114118941</v>
      </c>
      <c r="AQ5" s="106">
        <f t="shared" si="18"/>
        <v>2003923.3504383261</v>
      </c>
      <c r="AR5" s="105">
        <f>AP5*'Baseline Given'!K6/'Baseline Given'!L6</f>
        <v>-23488362.585437041</v>
      </c>
      <c r="AS5" s="105">
        <f>AQ5/'Baseline Given'!M6</f>
        <v>166653.31439141644</v>
      </c>
      <c r="AT5" s="105">
        <f t="shared" si="19"/>
        <v>-23.321709271045624</v>
      </c>
      <c r="AV5" s="105">
        <f t="shared" si="20"/>
        <v>-3394996.1758663151</v>
      </c>
      <c r="AW5" s="106">
        <f t="shared" si="21"/>
        <v>1613618.7783588707</v>
      </c>
      <c r="AX5" s="105">
        <f>AV5*'Baseline Given'!K6/'Baseline Given'!L6</f>
        <v>-19677016.735803876</v>
      </c>
      <c r="AY5" s="105">
        <f>AW5/'Baseline Given'!M6</f>
        <v>134194.21332603035</v>
      </c>
      <c r="AZ5" s="105">
        <f t="shared" si="22"/>
        <v>-19.542822522477845</v>
      </c>
      <c r="BB5" s="105">
        <f t="shared" si="23"/>
        <v>-2731123.7287827544</v>
      </c>
      <c r="BC5" s="106">
        <f t="shared" si="24"/>
        <v>1353224.0202596192</v>
      </c>
      <c r="BD5" s="105">
        <f>BB5*'Baseline Given'!K6/'Baseline Given'!L6</f>
        <v>-15829286.554379163</v>
      </c>
      <c r="BE5" s="105">
        <f>BC5/'Baseline Given'!M6</f>
        <v>112538.86933400626</v>
      </c>
      <c r="BF5" s="105">
        <f t="shared" si="25"/>
        <v>-15.716747685045156</v>
      </c>
      <c r="BH5" s="105">
        <f t="shared" si="26"/>
        <v>-2049572.0384137034</v>
      </c>
      <c r="BI5" s="107">
        <f t="shared" si="27"/>
        <v>1182735.2933340461</v>
      </c>
      <c r="BJ5" s="105">
        <f>BH5*'Baseline Given'!K6/'Baseline Given'!L6</f>
        <v>-11879089.463425115</v>
      </c>
      <c r="BK5" s="105">
        <f>BI5/'Baseline Given'!M6</f>
        <v>98360.427128467258</v>
      </c>
      <c r="BL5" s="105">
        <f t="shared" si="28"/>
        <v>-11.780729036296647</v>
      </c>
      <c r="BN5" s="105">
        <f t="shared" si="29"/>
        <v>-1355953.5935254153</v>
      </c>
      <c r="BO5" s="106">
        <f t="shared" si="30"/>
        <v>1084422.7233735612</v>
      </c>
      <c r="BP5" s="105">
        <f>BN5*'Baseline Given'!K6/'Baseline Given'!L6</f>
        <v>-7858954.8178105596</v>
      </c>
      <c r="BQ5" s="105">
        <f>BO5/'Baseline Given'!M6</f>
        <v>90184.408007441976</v>
      </c>
      <c r="BR5" s="105">
        <f t="shared" si="31"/>
        <v>-7.7687704098031176</v>
      </c>
      <c r="BT5" s="105">
        <f t="shared" si="32"/>
        <v>-664178.78620962333</v>
      </c>
      <c r="BU5" s="106">
        <f t="shared" si="33"/>
        <v>1050400</v>
      </c>
      <c r="BV5" s="105">
        <f>BT5*'Baseline Given'!K6/'Baseline Given'!L6</f>
        <v>-3849505.6886117929</v>
      </c>
      <c r="BW5" s="105">
        <f>BU5/'Baseline Given'!M6</f>
        <v>87354.958660696211</v>
      </c>
      <c r="BX5" s="105">
        <f t="shared" si="34"/>
        <v>-3.7621507299510966</v>
      </c>
      <c r="BZ5" s="104">
        <v>150</v>
      </c>
      <c r="CA5" s="104">
        <v>-150</v>
      </c>
    </row>
    <row r="6" spans="1:79" ht="15" customHeight="1" x14ac:dyDescent="0.25">
      <c r="A6" s="18">
        <f>'Baseline Given'!E7</f>
        <v>4</v>
      </c>
      <c r="B6" s="18">
        <f t="shared" si="35"/>
        <v>64</v>
      </c>
      <c r="C6" s="18">
        <f t="shared" si="0"/>
        <v>32</v>
      </c>
      <c r="D6" s="18">
        <f t="shared" si="36"/>
        <v>4</v>
      </c>
      <c r="E6" s="18">
        <f t="shared" si="37"/>
        <v>23.75</v>
      </c>
      <c r="F6" s="18">
        <f t="shared" si="38"/>
        <v>36.75</v>
      </c>
      <c r="G6" s="18">
        <f t="shared" si="39"/>
        <v>49.75</v>
      </c>
      <c r="H6" s="18">
        <f t="shared" si="40"/>
        <v>64</v>
      </c>
      <c r="J6" s="104">
        <f t="shared" si="41"/>
        <v>3</v>
      </c>
      <c r="K6" s="104">
        <f t="shared" si="42"/>
        <v>5.2359877559829883E-2</v>
      </c>
      <c r="L6" s="105">
        <f t="shared" si="1"/>
        <v>6.398070650699883</v>
      </c>
      <c r="M6" s="104">
        <f t="shared" si="2"/>
        <v>41018388.578593001</v>
      </c>
      <c r="N6" s="104">
        <f t="shared" si="3"/>
        <v>19233167.692875981</v>
      </c>
      <c r="O6" s="104">
        <f t="shared" si="43"/>
        <v>1081236.1698694723</v>
      </c>
      <c r="P6" s="104">
        <f t="shared" si="4"/>
        <v>19206809.304993443</v>
      </c>
      <c r="R6" s="105">
        <f t="shared" si="5"/>
        <v>-3944725.0858656373</v>
      </c>
      <c r="S6" s="106">
        <f t="shared" si="6"/>
        <v>29881072.283234291</v>
      </c>
      <c r="T6" s="105">
        <f>R6*'Baseline Given'!K7/'Baseline Given'!L7</f>
        <v>-23014040.573810164</v>
      </c>
      <c r="U6" s="105">
        <f>S6/'Baseline Given'!M7</f>
        <v>2510267.4338510889</v>
      </c>
      <c r="V6" s="105">
        <f t="shared" si="7"/>
        <v>-20.503773139959076</v>
      </c>
      <c r="X6" s="105">
        <f t="shared" si="8"/>
        <v>-8019796.3918152303</v>
      </c>
      <c r="Y6" s="106">
        <f t="shared" si="9"/>
        <v>7301612.6818192285</v>
      </c>
      <c r="Z6" s="105">
        <f>X6*'Baseline Given'!K7/'Baseline Given'!L7</f>
        <v>-46788537.993752278</v>
      </c>
      <c r="AA6" s="105">
        <f>Y6/'Baseline Given'!M7</f>
        <v>613398.35317921231</v>
      </c>
      <c r="AB6" s="105">
        <f t="shared" si="10"/>
        <v>-46.175139640573072</v>
      </c>
      <c r="AD6" s="105">
        <f t="shared" si="11"/>
        <v>-5694805.3748215511</v>
      </c>
      <c r="AE6" s="106">
        <f t="shared" si="12"/>
        <v>3785049.6535738795</v>
      </c>
      <c r="AF6" s="105">
        <f>AD6*'Baseline Given'!K7/'Baseline Given'!L7</f>
        <v>-33224237.203677084</v>
      </c>
      <c r="AG6" s="105">
        <f>AE6/'Baseline Given'!M7</f>
        <v>317976.77107481047</v>
      </c>
      <c r="AH6" s="105">
        <f t="shared" si="13"/>
        <v>-32.906260432602274</v>
      </c>
      <c r="AJ6" s="105">
        <f t="shared" si="14"/>
        <v>-4751799.0918301251</v>
      </c>
      <c r="AK6" s="106">
        <f t="shared" si="15"/>
        <v>2609039.3865145431</v>
      </c>
      <c r="AL6" s="105">
        <f>AJ6*'Baseline Given'!K7/'Baseline Given'!L7</f>
        <v>-27722615.573342308</v>
      </c>
      <c r="AM6" s="105">
        <f>AK6/'Baseline Given'!M7</f>
        <v>219181.77980771524</v>
      </c>
      <c r="AN6" s="105">
        <f t="shared" si="16"/>
        <v>-27.50343379353459</v>
      </c>
      <c r="AP6" s="105">
        <f t="shared" si="17"/>
        <v>-4050953.3636919409</v>
      </c>
      <c r="AQ6" s="106">
        <f t="shared" si="18"/>
        <v>1987763.3504383261</v>
      </c>
      <c r="AR6" s="105">
        <f>AP6*'Baseline Given'!K7/'Baseline Given'!L7</f>
        <v>-23633790.199643482</v>
      </c>
      <c r="AS6" s="105">
        <f>AQ6/'Baseline Given'!M7</f>
        <v>166989.24180200027</v>
      </c>
      <c r="AT6" s="105">
        <f t="shared" si="19"/>
        <v>-23.466800957841482</v>
      </c>
      <c r="AV6" s="105">
        <f t="shared" si="20"/>
        <v>-3393768.5546690794</v>
      </c>
      <c r="AW6" s="106">
        <f t="shared" si="21"/>
        <v>1597458.7783588707</v>
      </c>
      <c r="AX6" s="105">
        <f>AV6*'Baseline Given'!K7/'Baseline Given'!L7</f>
        <v>-19799688.321787305</v>
      </c>
      <c r="AY6" s="105">
        <f>AW6/'Baseline Given'!M7</f>
        <v>134200.29610128084</v>
      </c>
      <c r="AZ6" s="105">
        <f t="shared" si="22"/>
        <v>-19.665488025686027</v>
      </c>
      <c r="BB6" s="105">
        <f t="shared" si="23"/>
        <v>-2727777.1399408299</v>
      </c>
      <c r="BC6" s="106">
        <f t="shared" si="24"/>
        <v>1337064.0202596192</v>
      </c>
      <c r="BD6" s="105">
        <f>BB6*'Baseline Given'!K7/'Baseline Given'!L7</f>
        <v>-15914207.557795925</v>
      </c>
      <c r="BE6" s="105">
        <f>BC6/'Baseline Given'!M7</f>
        <v>112324.89367240483</v>
      </c>
      <c r="BF6" s="105">
        <f t="shared" si="25"/>
        <v>-15.80188266412352</v>
      </c>
      <c r="BH6" s="105">
        <f t="shared" si="26"/>
        <v>-2042478.2439727206</v>
      </c>
      <c r="BI6" s="107">
        <f t="shared" si="27"/>
        <v>1166575.2933340461</v>
      </c>
      <c r="BJ6" s="105">
        <f>BH6*'Baseline Given'!K7/'Baseline Given'!L7</f>
        <v>-11916084.4304053</v>
      </c>
      <c r="BK6" s="105">
        <f>BI6/'Baseline Given'!M7</f>
        <v>98002.372211883994</v>
      </c>
      <c r="BL6" s="105">
        <f t="shared" si="28"/>
        <v>-11.818082058193415</v>
      </c>
      <c r="BN6" s="105">
        <f t="shared" si="29"/>
        <v>-1343998.1095488491</v>
      </c>
      <c r="BO6" s="106">
        <f t="shared" si="30"/>
        <v>1068262.7233735612</v>
      </c>
      <c r="BP6" s="105">
        <f>BN6*'Baseline Given'!K7/'Baseline Given'!L7</f>
        <v>-7841060.2389276149</v>
      </c>
      <c r="BQ6" s="105">
        <f>BO6/'Baseline Given'!M7</f>
        <v>89743.269580935841</v>
      </c>
      <c r="BR6" s="105">
        <f t="shared" si="31"/>
        <v>-7.7513169693466786</v>
      </c>
      <c r="BT6" s="105">
        <f t="shared" si="32"/>
        <v>-646584.64617758023</v>
      </c>
      <c r="BU6" s="106">
        <f t="shared" si="33"/>
        <v>1034240</v>
      </c>
      <c r="BV6" s="105">
        <f>BT6*'Baseline Given'!K7/'Baseline Given'!L7</f>
        <v>-3772259.1454730271</v>
      </c>
      <c r="BW6" s="105">
        <f>BU6/'Baseline Given'!M7</f>
        <v>86885.067783957667</v>
      </c>
      <c r="BX6" s="105">
        <f t="shared" si="34"/>
        <v>-3.6853740776890693</v>
      </c>
      <c r="BZ6" s="104">
        <v>150</v>
      </c>
      <c r="CA6" s="104">
        <v>-150</v>
      </c>
    </row>
    <row r="7" spans="1:79" ht="15" customHeight="1" x14ac:dyDescent="0.25">
      <c r="A7" s="18">
        <f>'Baseline Given'!E8</f>
        <v>5</v>
      </c>
      <c r="B7" s="18">
        <f t="shared" si="35"/>
        <v>63</v>
      </c>
      <c r="C7" s="18">
        <f t="shared" si="0"/>
        <v>31.5</v>
      </c>
      <c r="D7" s="18">
        <f t="shared" si="36"/>
        <v>5</v>
      </c>
      <c r="E7" s="18">
        <f t="shared" si="37"/>
        <v>22.75</v>
      </c>
      <c r="F7" s="18">
        <f t="shared" si="38"/>
        <v>35.75</v>
      </c>
      <c r="G7" s="18">
        <f t="shared" si="39"/>
        <v>48.75</v>
      </c>
      <c r="H7" s="18">
        <f t="shared" si="40"/>
        <v>63</v>
      </c>
      <c r="J7" s="104">
        <f t="shared" si="41"/>
        <v>4</v>
      </c>
      <c r="K7" s="104">
        <f t="shared" si="42"/>
        <v>6.9813170079773182E-2</v>
      </c>
      <c r="L7" s="105">
        <f t="shared" si="1"/>
        <v>8.5277289152193188</v>
      </c>
      <c r="M7" s="104">
        <f t="shared" si="2"/>
        <v>40974624.143926196</v>
      </c>
      <c r="N7" s="104">
        <f t="shared" si="3"/>
        <v>14414608.350459881</v>
      </c>
      <c r="O7" s="104">
        <f t="shared" si="43"/>
        <v>1080082.5484973169</v>
      </c>
      <c r="P7" s="104">
        <f t="shared" si="4"/>
        <v>14379495.088993842</v>
      </c>
      <c r="R7" s="105">
        <f t="shared" si="5"/>
        <v>-3962906.3961896189</v>
      </c>
      <c r="S7" s="106">
        <f t="shared" si="6"/>
        <v>29864912.283234291</v>
      </c>
      <c r="T7" s="105">
        <f>R7*'Baseline Given'!K8/'Baseline Given'!L8</f>
        <v>-23273678.033492636</v>
      </c>
      <c r="U7" s="105">
        <f>S7/'Baseline Given'!M8</f>
        <v>2534535.2293025455</v>
      </c>
      <c r="V7" s="105">
        <f t="shared" si="7"/>
        <v>-20.739142804190092</v>
      </c>
      <c r="X7" s="105">
        <f t="shared" si="8"/>
        <v>-7925259.813686341</v>
      </c>
      <c r="Y7" s="106">
        <f t="shared" si="9"/>
        <v>7285452.6818192285</v>
      </c>
      <c r="Z7" s="105">
        <f>X7*'Baseline Given'!K8/'Baseline Given'!L8</f>
        <v>-46544108.488876879</v>
      </c>
      <c r="AA7" s="105">
        <f>Y7/'Baseline Given'!M8</f>
        <v>618292.00462288468</v>
      </c>
      <c r="AB7" s="105">
        <f t="shared" si="10"/>
        <v>-45.925816484253993</v>
      </c>
      <c r="AD7" s="105">
        <f t="shared" si="11"/>
        <v>-5657867.5205342043</v>
      </c>
      <c r="AE7" s="106">
        <f t="shared" si="12"/>
        <v>3768889.6535738795</v>
      </c>
      <c r="AF7" s="105">
        <f>AD7*'Baseline Given'!K8/'Baseline Given'!L8</f>
        <v>-33227983.168030318</v>
      </c>
      <c r="AG7" s="105">
        <f>AE7/'Baseline Given'!M8</f>
        <v>319853.06073373026</v>
      </c>
      <c r="AH7" s="105">
        <f t="shared" si="13"/>
        <v>-32.908130107296586</v>
      </c>
      <c r="AJ7" s="105">
        <f t="shared" si="14"/>
        <v>-4731268.8704537395</v>
      </c>
      <c r="AK7" s="106">
        <f t="shared" si="15"/>
        <v>2592879.3865145431</v>
      </c>
      <c r="AL7" s="105">
        <f>AJ7*'Baseline Given'!K8/'Baseline Given'!L8</f>
        <v>-27786179.478451129</v>
      </c>
      <c r="AM7" s="105">
        <f>AK7/'Baseline Given'!M8</f>
        <v>220049.00225817031</v>
      </c>
      <c r="AN7" s="105">
        <f t="shared" si="16"/>
        <v>-27.56613047619296</v>
      </c>
      <c r="AP7" s="105">
        <f t="shared" si="17"/>
        <v>-4036936.4377711862</v>
      </c>
      <c r="AQ7" s="106">
        <f t="shared" si="18"/>
        <v>1971603.3504383261</v>
      </c>
      <c r="AR7" s="105">
        <f>AP7*'Baseline Given'!K8/'Baseline Given'!L8</f>
        <v>-23708447.664749157</v>
      </c>
      <c r="AS7" s="105">
        <f>AQ7/'Baseline Given'!M8</f>
        <v>167323.38278797374</v>
      </c>
      <c r="AT7" s="105">
        <f t="shared" si="19"/>
        <v>-23.541124281961185</v>
      </c>
      <c r="AV7" s="105">
        <f t="shared" si="20"/>
        <v>-3382153.4856993174</v>
      </c>
      <c r="AW7" s="106">
        <f t="shared" si="21"/>
        <v>1581298.7783588707</v>
      </c>
      <c r="AX7" s="105">
        <f>AV7*'Baseline Given'!K8/'Baseline Given'!L8</f>
        <v>-19862985.247823741</v>
      </c>
      <c r="AY7" s="105">
        <f>AW7/'Baseline Given'!M8</f>
        <v>134199.53903744047</v>
      </c>
      <c r="AZ7" s="105">
        <f t="shared" si="22"/>
        <v>-19.728785708786301</v>
      </c>
      <c r="BB7" s="105">
        <f t="shared" si="23"/>
        <v>-2716350.5510989008</v>
      </c>
      <c r="BC7" s="106">
        <f t="shared" si="24"/>
        <v>1320904.0202596192</v>
      </c>
      <c r="BD7" s="105">
        <f>BB7*'Baseline Given'!K8/'Baseline Given'!L8</f>
        <v>-15952803.783900211</v>
      </c>
      <c r="BE7" s="105">
        <f>BC7/'Baseline Given'!M8</f>
        <v>112100.70674658622</v>
      </c>
      <c r="BF7" s="105">
        <f t="shared" si="25"/>
        <v>-15.840703077153625</v>
      </c>
      <c r="BH7" s="105">
        <f t="shared" si="26"/>
        <v>-2029857.4040155914</v>
      </c>
      <c r="BI7" s="107">
        <f t="shared" si="27"/>
        <v>1150415.2933340461</v>
      </c>
      <c r="BJ7" s="105">
        <f>BH7*'Baseline Given'!K8/'Baseline Given'!L8</f>
        <v>-11921111.162348935</v>
      </c>
      <c r="BK7" s="105">
        <f>BI7/'Baseline Given'!M8</f>
        <v>97631.898651864773</v>
      </c>
      <c r="BL7" s="105">
        <f t="shared" si="28"/>
        <v>-11.82347926369707</v>
      </c>
      <c r="BN7" s="105">
        <f t="shared" si="29"/>
        <v>-1329236.4710211866</v>
      </c>
      <c r="BO7" s="106">
        <f t="shared" si="30"/>
        <v>1052102.7233735612</v>
      </c>
      <c r="BP7" s="105">
        <f>BN7*'Baseline Given'!K8/'Baseline Given'!L8</f>
        <v>-7806447.7340844087</v>
      </c>
      <c r="BQ7" s="105">
        <f>BO7/'Baseline Given'!M8</f>
        <v>89288.439622587655</v>
      </c>
      <c r="BR7" s="105">
        <f t="shared" si="31"/>
        <v>-7.7171592944618208</v>
      </c>
      <c r="BT7" s="105">
        <f t="shared" si="32"/>
        <v>-628990.50614553725</v>
      </c>
      <c r="BU7" s="106">
        <f t="shared" si="33"/>
        <v>1018080</v>
      </c>
      <c r="BV7" s="105">
        <f>BT7*'Baseline Given'!K8/'Baseline Given'!L8</f>
        <v>-3693986.4489936731</v>
      </c>
      <c r="BW7" s="105">
        <f>BU7/'Baseline Given'!M8</f>
        <v>86401.044870870435</v>
      </c>
      <c r="BX7" s="105">
        <f t="shared" si="34"/>
        <v>-3.6075854041228026</v>
      </c>
      <c r="BZ7" s="104">
        <v>150</v>
      </c>
      <c r="CA7" s="104">
        <v>-150</v>
      </c>
    </row>
    <row r="8" spans="1:79" ht="15" customHeight="1" x14ac:dyDescent="0.25">
      <c r="A8" s="18">
        <f>'Baseline Given'!E9</f>
        <v>6</v>
      </c>
      <c r="B8" s="18">
        <f t="shared" si="35"/>
        <v>62</v>
      </c>
      <c r="C8" s="18">
        <f t="shared" si="0"/>
        <v>31</v>
      </c>
      <c r="D8" s="18">
        <f t="shared" si="36"/>
        <v>6</v>
      </c>
      <c r="E8" s="18">
        <f t="shared" si="37"/>
        <v>21.75</v>
      </c>
      <c r="F8" s="18">
        <f t="shared" si="38"/>
        <v>34.75</v>
      </c>
      <c r="G8" s="18">
        <f t="shared" si="39"/>
        <v>47.75</v>
      </c>
      <c r="H8" s="18">
        <f t="shared" si="40"/>
        <v>62</v>
      </c>
      <c r="J8" s="104">
        <f t="shared" si="41"/>
        <v>5</v>
      </c>
      <c r="K8" s="104">
        <f t="shared" si="42"/>
        <v>8.7266462599716474E-2</v>
      </c>
      <c r="L8" s="105">
        <f t="shared" si="1"/>
        <v>10.65478955090121</v>
      </c>
      <c r="M8" s="104">
        <f t="shared" si="2"/>
        <v>40918378.441815063</v>
      </c>
      <c r="N8" s="104">
        <f t="shared" si="3"/>
        <v>11521122.471636452</v>
      </c>
      <c r="O8" s="104">
        <f t="shared" si="43"/>
        <v>1078599.9235178947</v>
      </c>
      <c r="P8" s="104">
        <f t="shared" si="4"/>
        <v>11477281.122309901</v>
      </c>
      <c r="R8" s="105">
        <f t="shared" si="5"/>
        <v>-3964937.5507489759</v>
      </c>
      <c r="S8" s="106">
        <f t="shared" si="6"/>
        <v>29848752.283234291</v>
      </c>
      <c r="T8" s="105">
        <f>R8*'Baseline Given'!K9/'Baseline Given'!L9</f>
        <v>-23441305.470616978</v>
      </c>
      <c r="U8" s="105">
        <f>S8/'Baseline Given'!M9</f>
        <v>2559169.6903540175</v>
      </c>
      <c r="V8" s="105">
        <f t="shared" si="7"/>
        <v>-20.882135780262963</v>
      </c>
      <c r="X8" s="105">
        <f t="shared" si="8"/>
        <v>-7814808.7422687728</v>
      </c>
      <c r="Y8" s="106">
        <f t="shared" si="9"/>
        <v>7269292.6818192285</v>
      </c>
      <c r="Z8" s="105">
        <f>X8*'Baseline Given'!K9/'Baseline Given'!L9</f>
        <v>-46202321.367549896</v>
      </c>
      <c r="AA8" s="105">
        <f>Y8/'Baseline Given'!M9</f>
        <v>623253.97474229895</v>
      </c>
      <c r="AB8" s="105">
        <f t="shared" si="10"/>
        <v>-45.579067392807595</v>
      </c>
      <c r="AD8" s="105">
        <f t="shared" si="11"/>
        <v>-5605744.2334949523</v>
      </c>
      <c r="AE8" s="106">
        <f t="shared" si="12"/>
        <v>3752729.6535738795</v>
      </c>
      <c r="AF8" s="105">
        <f>AD8*'Baseline Given'!K9/'Baseline Given'!L9</f>
        <v>-33142000.671027526</v>
      </c>
      <c r="AG8" s="105">
        <f>AE8/'Baseline Given'!M9</f>
        <v>321751.204016437</v>
      </c>
      <c r="AH8" s="105">
        <f t="shared" si="13"/>
        <v>-32.820249467011088</v>
      </c>
      <c r="AJ8" s="105">
        <f t="shared" si="14"/>
        <v>-4696743.6785521917</v>
      </c>
      <c r="AK8" s="106">
        <f t="shared" si="15"/>
        <v>2576719.3865145431</v>
      </c>
      <c r="AL8" s="105">
        <f>AJ8*'Baseline Given'!K9/'Baseline Given'!L9</f>
        <v>-27767853.056180857</v>
      </c>
      <c r="AM8" s="105">
        <f>AK8/'Baseline Given'!M9</f>
        <v>220922.53947310022</v>
      </c>
      <c r="AN8" s="105">
        <f t="shared" si="16"/>
        <v>-27.546930516707757</v>
      </c>
      <c r="AP8" s="105">
        <f t="shared" si="17"/>
        <v>-4010540.2336496338</v>
      </c>
      <c r="AQ8" s="106">
        <f t="shared" si="18"/>
        <v>1955443.3504383261</v>
      </c>
      <c r="AR8" s="105">
        <f>AP8*'Baseline Given'!K9/'Baseline Given'!L9</f>
        <v>-23710915.371522497</v>
      </c>
      <c r="AS8" s="105">
        <f>AQ8/'Baseline Given'!M9</f>
        <v>167655.62949366361</v>
      </c>
      <c r="AT8" s="105">
        <f t="shared" si="19"/>
        <v>-23.543259742028834</v>
      </c>
      <c r="AV8" s="105">
        <f t="shared" si="20"/>
        <v>-3360150.9689570116</v>
      </c>
      <c r="AW8" s="106">
        <f t="shared" si="21"/>
        <v>1565138.7783588707</v>
      </c>
      <c r="AX8" s="105">
        <f>AV8*'Baseline Given'!K9/'Baseline Given'!L9</f>
        <v>-19865716.491759621</v>
      </c>
      <c r="AY8" s="105">
        <f>AW8/'Baseline Given'!M9</f>
        <v>134191.73052079487</v>
      </c>
      <c r="AZ8" s="105">
        <f t="shared" si="22"/>
        <v>-19.731524761238823</v>
      </c>
      <c r="BB8" s="105">
        <f t="shared" si="23"/>
        <v>-2696843.9622569745</v>
      </c>
      <c r="BC8" s="106">
        <f t="shared" si="24"/>
        <v>1304744.0202596192</v>
      </c>
      <c r="BD8" s="105">
        <f>BB8*'Baseline Given'!K9/'Baseline Given'!L9</f>
        <v>-15944145.983815812</v>
      </c>
      <c r="BE8" s="105">
        <f>BC8/'Baseline Given'!M9</f>
        <v>111866.02771984473</v>
      </c>
      <c r="BF8" s="105">
        <f t="shared" si="25"/>
        <v>-15.832279956095967</v>
      </c>
      <c r="BH8" s="105">
        <f t="shared" si="26"/>
        <v>-2011709.5185423205</v>
      </c>
      <c r="BI8" s="107">
        <f t="shared" si="27"/>
        <v>1134255.2933340461</v>
      </c>
      <c r="BJ8" s="105">
        <f>BH8*'Baseline Given'!K9/'Baseline Given'!L9</f>
        <v>-11893528.394511631</v>
      </c>
      <c r="BK8" s="105">
        <f>BI8/'Baseline Given'!M9</f>
        <v>97248.680289210606</v>
      </c>
      <c r="BL8" s="105">
        <f t="shared" si="28"/>
        <v>-11.79627971422242</v>
      </c>
      <c r="BN8" s="105">
        <f t="shared" si="29"/>
        <v>-1311668.6779424264</v>
      </c>
      <c r="BO8" s="106">
        <f t="shared" si="30"/>
        <v>1035942.7233735612</v>
      </c>
      <c r="BP8" s="105">
        <f>BN8*'Baseline Given'!K9/'Baseline Given'!L9</f>
        <v>-7754781.9511257093</v>
      </c>
      <c r="BQ8" s="105">
        <f>BO8/'Baseline Given'!M9</f>
        <v>88819.565837917369</v>
      </c>
      <c r="BR8" s="105">
        <f t="shared" si="31"/>
        <v>-7.6659623852877923</v>
      </c>
      <c r="BT8" s="105">
        <f t="shared" si="32"/>
        <v>-611396.36611349427</v>
      </c>
      <c r="BU8" s="106">
        <f t="shared" si="33"/>
        <v>1001920</v>
      </c>
      <c r="BV8" s="105">
        <f>BT8*'Baseline Given'!K9/'Baseline Given'!L9</f>
        <v>-3614667.0151171219</v>
      </c>
      <c r="BW8" s="105">
        <f>BU8/'Baseline Given'!M9</f>
        <v>85902.528582399551</v>
      </c>
      <c r="BX8" s="105">
        <f t="shared" si="34"/>
        <v>-3.5287644865347221</v>
      </c>
      <c r="BZ8" s="104">
        <v>150</v>
      </c>
      <c r="CA8" s="104">
        <v>-150</v>
      </c>
    </row>
    <row r="9" spans="1:79" ht="15" customHeight="1" x14ac:dyDescent="0.25">
      <c r="A9" s="18">
        <f>'Baseline Given'!E10</f>
        <v>7</v>
      </c>
      <c r="B9" s="18">
        <f t="shared" si="35"/>
        <v>61</v>
      </c>
      <c r="C9" s="18">
        <f t="shared" si="0"/>
        <v>30.5</v>
      </c>
      <c r="D9" s="18">
        <f t="shared" si="36"/>
        <v>7</v>
      </c>
      <c r="E9" s="18">
        <f t="shared" si="37"/>
        <v>20.75</v>
      </c>
      <c r="F9" s="18">
        <f t="shared" si="38"/>
        <v>33.75</v>
      </c>
      <c r="G9" s="18">
        <f t="shared" si="39"/>
        <v>46.75</v>
      </c>
      <c r="H9" s="18">
        <f t="shared" si="40"/>
        <v>61</v>
      </c>
      <c r="J9" s="104">
        <f t="shared" si="41"/>
        <v>6</v>
      </c>
      <c r="K9" s="104">
        <f t="shared" si="42"/>
        <v>0.10471975511965977</v>
      </c>
      <c r="L9" s="105">
        <f t="shared" si="1"/>
        <v>12.778604634470636</v>
      </c>
      <c r="M9" s="104">
        <f t="shared" si="2"/>
        <v>40849668.605245307</v>
      </c>
      <c r="N9" s="104">
        <f t="shared" si="3"/>
        <v>9590171.1744924504</v>
      </c>
      <c r="O9" s="104">
        <f t="shared" si="43"/>
        <v>1076788.746553137</v>
      </c>
      <c r="P9" s="104">
        <f t="shared" si="4"/>
        <v>9537635.2133624107</v>
      </c>
      <c r="R9" s="105">
        <f t="shared" si="5"/>
        <v>-3950818.5495437011</v>
      </c>
      <c r="S9" s="106">
        <f t="shared" si="6"/>
        <v>29832592.283234291</v>
      </c>
      <c r="T9" s="105">
        <f>R9*'Baseline Given'!K10/'Baseline Given'!L10</f>
        <v>-23515064.79198264</v>
      </c>
      <c r="U9" s="105">
        <f>S9/'Baseline Given'!M10</f>
        <v>2584178.3116783034</v>
      </c>
      <c r="V9" s="105">
        <f t="shared" si="7"/>
        <v>-20.930886480304338</v>
      </c>
      <c r="X9" s="105">
        <f t="shared" si="8"/>
        <v>-7688443.1775625255</v>
      </c>
      <c r="Y9" s="106">
        <f t="shared" si="9"/>
        <v>7253132.6818192285</v>
      </c>
      <c r="Z9" s="105">
        <f>X9*'Baseline Given'!K10/'Baseline Given'!L10</f>
        <v>-45761210.54477191</v>
      </c>
      <c r="AA9" s="105">
        <f>Y9/'Baseline Given'!M10</f>
        <v>628285.60086667328</v>
      </c>
      <c r="AB9" s="105">
        <f t="shared" si="10"/>
        <v>-45.132924943905238</v>
      </c>
      <c r="AD9" s="105">
        <f t="shared" si="11"/>
        <v>-5538435.5137038063</v>
      </c>
      <c r="AE9" s="106">
        <f t="shared" si="12"/>
        <v>3736569.6535738795</v>
      </c>
      <c r="AF9" s="105">
        <f>AD9*'Baseline Given'!K10/'Baseline Given'!L10</f>
        <v>-32964477.694376603</v>
      </c>
      <c r="AG9" s="105">
        <f>AE9/'Baseline Given'!M10</f>
        <v>323671.57929710031</v>
      </c>
      <c r="AH9" s="105">
        <f t="shared" si="13"/>
        <v>-32.640806115079506</v>
      </c>
      <c r="AJ9" s="105">
        <f t="shared" si="14"/>
        <v>-4648223.516125489</v>
      </c>
      <c r="AK9" s="106">
        <f t="shared" si="15"/>
        <v>2560559.3865145431</v>
      </c>
      <c r="AL9" s="105">
        <f>AJ9*'Baseline Given'!K10/'Baseline Given'!L10</f>
        <v>-27665982.575163364</v>
      </c>
      <c r="AM9" s="105">
        <f>AK9/'Baseline Given'!M10</f>
        <v>221802.44913258374</v>
      </c>
      <c r="AN9" s="105">
        <f t="shared" si="16"/>
        <v>-27.44418012603078</v>
      </c>
      <c r="AP9" s="105">
        <f t="shared" si="17"/>
        <v>-3971764.7513272725</v>
      </c>
      <c r="AQ9" s="106">
        <f t="shared" si="18"/>
        <v>1939283.3504383261</v>
      </c>
      <c r="AR9" s="105">
        <f>AP9*'Baseline Given'!K10/'Baseline Given'!L10</f>
        <v>-23639735.486399498</v>
      </c>
      <c r="AS9" s="105">
        <f>AQ9/'Baseline Given'!M10</f>
        <v>167985.87017923882</v>
      </c>
      <c r="AT9" s="105">
        <f t="shared" si="19"/>
        <v>-23.471749616220258</v>
      </c>
      <c r="AV9" s="105">
        <f t="shared" si="20"/>
        <v>-3327761.0044421824</v>
      </c>
      <c r="AW9" s="106">
        <f t="shared" si="21"/>
        <v>1548978.7783588707</v>
      </c>
      <c r="AX9" s="105">
        <f>AV9*'Baseline Given'!K10/'Baseline Given'!L10</f>
        <v>-19806658.962034311</v>
      </c>
      <c r="AY9" s="105">
        <f>AW9/'Baseline Given'!M10</f>
        <v>134176.65237675351</v>
      </c>
      <c r="AZ9" s="105">
        <f t="shared" si="22"/>
        <v>-19.672482309657561</v>
      </c>
      <c r="BB9" s="105">
        <f t="shared" si="23"/>
        <v>-2669257.3734150464</v>
      </c>
      <c r="BC9" s="106">
        <f t="shared" si="24"/>
        <v>1288584.0202596192</v>
      </c>
      <c r="BD9" s="105">
        <f>BB9*'Baseline Given'!K10/'Baseline Given'!L10</f>
        <v>-15887279.887754289</v>
      </c>
      <c r="BE9" s="105">
        <f>BC9/'Baseline Given'!M10</f>
        <v>111620.56740880481</v>
      </c>
      <c r="BF9" s="105">
        <f t="shared" si="25"/>
        <v>-15.775659320345484</v>
      </c>
      <c r="BH9" s="105">
        <f t="shared" si="26"/>
        <v>-1988034.5875529083</v>
      </c>
      <c r="BI9" s="107">
        <f t="shared" si="27"/>
        <v>1118095.2933340461</v>
      </c>
      <c r="BJ9" s="105">
        <f>BH9*'Baseline Given'!K10/'Baseline Given'!L10</f>
        <v>-11832677.595484197</v>
      </c>
      <c r="BK9" s="105">
        <f>BI9/'Baseline Given'!M10</f>
        <v>96852.381448836793</v>
      </c>
      <c r="BL9" s="105">
        <f t="shared" si="28"/>
        <v>-11.73582521403536</v>
      </c>
      <c r="BN9" s="105">
        <f t="shared" si="29"/>
        <v>-1291294.7303125691</v>
      </c>
      <c r="BO9" s="106">
        <f t="shared" si="30"/>
        <v>1019782.7233735612</v>
      </c>
      <c r="BP9" s="105">
        <f>BN9*'Baseline Given'!K10/'Baseline Given'!L10</f>
        <v>-7685718.5082197189</v>
      </c>
      <c r="BQ9" s="105">
        <f>BO9/'Baseline Given'!M10</f>
        <v>88336.285742329273</v>
      </c>
      <c r="BR9" s="105">
        <f t="shared" si="31"/>
        <v>-7.5973822224773899</v>
      </c>
      <c r="BT9" s="105">
        <f t="shared" si="32"/>
        <v>-593802.22608145128</v>
      </c>
      <c r="BU9" s="106">
        <f t="shared" si="33"/>
        <v>985760</v>
      </c>
      <c r="BV9" s="105">
        <f>BT9*'Baseline Given'!K10/'Baseline Given'!L10</f>
        <v>-3534279.7055414096</v>
      </c>
      <c r="BW9" s="105">
        <f>BU9/'Baseline Given'!M10</f>
        <v>85389.147156065752</v>
      </c>
      <c r="BX9" s="105">
        <f t="shared" si="34"/>
        <v>-3.4488905583853438</v>
      </c>
      <c r="BZ9" s="104">
        <v>150</v>
      </c>
      <c r="CA9" s="104">
        <v>-150</v>
      </c>
    </row>
    <row r="10" spans="1:79" ht="15" customHeight="1" x14ac:dyDescent="0.25">
      <c r="A10" s="18">
        <f>'Baseline Given'!E11</f>
        <v>8</v>
      </c>
      <c r="B10" s="18">
        <f t="shared" si="35"/>
        <v>60</v>
      </c>
      <c r="C10" s="18">
        <f t="shared" si="0"/>
        <v>30</v>
      </c>
      <c r="D10" s="18">
        <f t="shared" si="36"/>
        <v>8</v>
      </c>
      <c r="E10" s="18">
        <f t="shared" si="37"/>
        <v>19.75</v>
      </c>
      <c r="F10" s="18">
        <f t="shared" si="38"/>
        <v>32.75</v>
      </c>
      <c r="G10" s="18">
        <f t="shared" si="39"/>
        <v>45.75</v>
      </c>
      <c r="H10" s="18">
        <f t="shared" si="40"/>
        <v>60</v>
      </c>
      <c r="J10" s="104">
        <f t="shared" si="41"/>
        <v>7</v>
      </c>
      <c r="K10" s="104">
        <f t="shared" si="42"/>
        <v>0.12217304763960307</v>
      </c>
      <c r="L10" s="105">
        <f t="shared" si="1"/>
        <v>14.898527231279278</v>
      </c>
      <c r="M10" s="104">
        <f t="shared" si="2"/>
        <v>40768515.563898772</v>
      </c>
      <c r="N10" s="104">
        <f t="shared" si="3"/>
        <v>8209237.3825325025</v>
      </c>
      <c r="O10" s="104">
        <f t="shared" si="43"/>
        <v>1074649.5693050921</v>
      </c>
      <c r="P10" s="104">
        <f t="shared" si="4"/>
        <v>8148046.9719427144</v>
      </c>
      <c r="R10" s="105">
        <f t="shared" si="5"/>
        <v>-3920549.3925738037</v>
      </c>
      <c r="S10" s="106">
        <f t="shared" si="6"/>
        <v>29816432.283234291</v>
      </c>
      <c r="T10" s="105">
        <f>R10*'Baseline Given'!K11/'Baseline Given'!L11</f>
        <v>-23493047.534392785</v>
      </c>
      <c r="U10" s="105">
        <f>S10/'Baseline Given'!M11</f>
        <v>2609568.7811659127</v>
      </c>
      <c r="V10" s="105">
        <f t="shared" si="7"/>
        <v>-20.883478753226871</v>
      </c>
      <c r="X10" s="105">
        <f t="shared" si="8"/>
        <v>-7546163.1195676029</v>
      </c>
      <c r="Y10" s="106">
        <f t="shared" si="9"/>
        <v>7236972.6818192285</v>
      </c>
      <c r="Z10" s="105">
        <f>X10*'Baseline Given'!K11/'Baseline Given'!L11</f>
        <v>-45218756.63805864</v>
      </c>
      <c r="AA10" s="105">
        <f>Y10/'Baseline Given'!M11</f>
        <v>633388.25387386186</v>
      </c>
      <c r="AB10" s="105">
        <f t="shared" si="10"/>
        <v>-44.585368384184775</v>
      </c>
      <c r="AD10" s="105">
        <f t="shared" si="11"/>
        <v>-5455941.361160757</v>
      </c>
      <c r="AE10" s="106">
        <f t="shared" si="12"/>
        <v>3720409.6535738795</v>
      </c>
      <c r="AF10" s="105">
        <f>AD10*'Baseline Given'!K11/'Baseline Given'!L11</f>
        <v>-32693553.098807551</v>
      </c>
      <c r="AG10" s="105">
        <f>AE10/'Baseline Given'!M11</f>
        <v>325614.57363139465</v>
      </c>
      <c r="AH10" s="105">
        <f t="shared" si="13"/>
        <v>-32.367938525176157</v>
      </c>
      <c r="AJ10" s="105">
        <f t="shared" si="14"/>
        <v>-4585708.3831736315</v>
      </c>
      <c r="AK10" s="106">
        <f t="shared" si="15"/>
        <v>2544399.3865145431</v>
      </c>
      <c r="AL10" s="105">
        <f>AJ10*'Baseline Given'!K11/'Baseline Given'!L11</f>
        <v>-27478869.473963287</v>
      </c>
      <c r="AM10" s="105">
        <f>AK10/'Baseline Given'!M11</f>
        <v>222688.78928212979</v>
      </c>
      <c r="AN10" s="105">
        <f t="shared" si="16"/>
        <v>-27.256180684681159</v>
      </c>
      <c r="AP10" s="105">
        <f t="shared" si="17"/>
        <v>-3920609.9908041116</v>
      </c>
      <c r="AQ10" s="106">
        <f t="shared" si="18"/>
        <v>1923123.3504383261</v>
      </c>
      <c r="AR10" s="105">
        <f>AP10*'Baseline Given'!K11/'Baseline Given'!L11</f>
        <v>-23493410.656231735</v>
      </c>
      <c r="AS10" s="105">
        <f>AQ10/'Baseline Given'!M11</f>
        <v>168313.98907698801</v>
      </c>
      <c r="AT10" s="105">
        <f t="shared" si="19"/>
        <v>-23.325096667154749</v>
      </c>
      <c r="AV10" s="105">
        <f t="shared" si="20"/>
        <v>-3284983.5921548111</v>
      </c>
      <c r="AW10" s="106">
        <f t="shared" si="21"/>
        <v>1532818.7783588707</v>
      </c>
      <c r="AX10" s="105">
        <f>AV10*'Baseline Given'!K11/'Baseline Given'!L11</f>
        <v>-19684556.410990443</v>
      </c>
      <c r="AY10" s="105">
        <f>AW10/'Baseline Given'!M11</f>
        <v>134154.07964283405</v>
      </c>
      <c r="AZ10" s="105">
        <f t="shared" si="22"/>
        <v>-19.550402331347613</v>
      </c>
      <c r="BB10" s="105">
        <f t="shared" si="23"/>
        <v>-2633590.784573121</v>
      </c>
      <c r="BC10" s="106">
        <f t="shared" si="24"/>
        <v>1272424.0202596192</v>
      </c>
      <c r="BD10" s="105">
        <f>BB10*'Baseline Given'!K11/'Baseline Given'!L11</f>
        <v>-15781225.357167952</v>
      </c>
      <c r="BE10" s="105">
        <f>BC10/'Baseline Given'!M11</f>
        <v>111364.02800083571</v>
      </c>
      <c r="BF10" s="105">
        <f t="shared" si="25"/>
        <v>-15.669861329167116</v>
      </c>
      <c r="BH10" s="105">
        <f t="shared" si="26"/>
        <v>-1958832.6110473545</v>
      </c>
      <c r="BI10" s="107">
        <f t="shared" si="27"/>
        <v>1101935.2933340461</v>
      </c>
      <c r="BJ10" s="105">
        <f>BH10*'Baseline Given'!K11/'Baseline Given'!L11</f>
        <v>-11737882.38210238</v>
      </c>
      <c r="BK10" s="105">
        <f>BI10/'Baseline Given'!M11</f>
        <v>96442.656620804337</v>
      </c>
      <c r="BL10" s="105">
        <f t="shared" si="28"/>
        <v>-11.641439725481575</v>
      </c>
      <c r="BN10" s="105">
        <f t="shared" si="29"/>
        <v>-1268114.6281316131</v>
      </c>
      <c r="BO10" s="106">
        <f t="shared" si="30"/>
        <v>1003622.7233735612</v>
      </c>
      <c r="BP10" s="105">
        <f>BN10*'Baseline Given'!K11/'Baseline Given'!L11</f>
        <v>-7598903.6878825622</v>
      </c>
      <c r="BQ10" s="105">
        <f>BO10/'Baseline Given'!M11</f>
        <v>87838.226321162787</v>
      </c>
      <c r="BR10" s="105">
        <f t="shared" si="31"/>
        <v>-7.5110654615613992</v>
      </c>
      <c r="BT10" s="105">
        <f t="shared" si="32"/>
        <v>-576208.0860494083</v>
      </c>
      <c r="BU10" s="106">
        <f t="shared" si="33"/>
        <v>969600</v>
      </c>
      <c r="BV10" s="105">
        <f>BT10*'Baseline Given'!K11/'Baseline Given'!L11</f>
        <v>-3452802.8089383156</v>
      </c>
      <c r="BW10" s="105">
        <f>BU10/'Baseline Given'!M11</f>
        <v>84860.518058735557</v>
      </c>
      <c r="BX10" s="105">
        <f t="shared" si="34"/>
        <v>-3.3679422908795802</v>
      </c>
      <c r="BZ10" s="104">
        <v>150</v>
      </c>
      <c r="CA10" s="104">
        <v>-150</v>
      </c>
    </row>
    <row r="11" spans="1:79" ht="15" customHeight="1" x14ac:dyDescent="0.25">
      <c r="A11" s="18">
        <f>'Baseline Given'!E12</f>
        <v>9</v>
      </c>
      <c r="B11" s="18">
        <f t="shared" si="35"/>
        <v>59</v>
      </c>
      <c r="C11" s="18">
        <f t="shared" si="0"/>
        <v>29.5</v>
      </c>
      <c r="D11" s="18">
        <f t="shared" si="36"/>
        <v>9</v>
      </c>
      <c r="E11" s="18">
        <f t="shared" si="37"/>
        <v>18.75</v>
      </c>
      <c r="F11" s="18">
        <f t="shared" si="38"/>
        <v>31.75</v>
      </c>
      <c r="G11" s="18">
        <f t="shared" si="39"/>
        <v>44.75</v>
      </c>
      <c r="H11" s="18">
        <f t="shared" si="40"/>
        <v>59</v>
      </c>
      <c r="J11" s="104">
        <f t="shared" si="41"/>
        <v>8</v>
      </c>
      <c r="K11" s="104">
        <f t="shared" si="42"/>
        <v>0.13962634015954636</v>
      </c>
      <c r="L11" s="105">
        <f t="shared" si="1"/>
        <v>17.013911592368</v>
      </c>
      <c r="M11" s="104">
        <f t="shared" si="2"/>
        <v>40674944.037778005</v>
      </c>
      <c r="N11" s="104">
        <f t="shared" si="3"/>
        <v>7172062.1945673674</v>
      </c>
      <c r="O11" s="104">
        <f t="shared" si="43"/>
        <v>1072183.0433878731</v>
      </c>
      <c r="P11" s="104">
        <f t="shared" si="4"/>
        <v>7102264.1783086555</v>
      </c>
      <c r="R11" s="105">
        <f t="shared" si="5"/>
        <v>-3874130.0798392668</v>
      </c>
      <c r="S11" s="106">
        <f t="shared" si="6"/>
        <v>29800272.283234291</v>
      </c>
      <c r="T11" s="105">
        <f>R11*'Baseline Given'!K12/'Baseline Given'!L12</f>
        <v>-23373293.14619318</v>
      </c>
      <c r="U11" s="105">
        <f>S11/'Baseline Given'!M12</f>
        <v>2635348.9859453337</v>
      </c>
      <c r="V11" s="105">
        <f t="shared" si="7"/>
        <v>-20.737944160247846</v>
      </c>
      <c r="X11" s="105">
        <f t="shared" si="8"/>
        <v>-7387968.5682839993</v>
      </c>
      <c r="Y11" s="106">
        <f t="shared" si="9"/>
        <v>7220812.6818192285</v>
      </c>
      <c r="Z11" s="105">
        <f>X11*'Baseline Given'!K12/'Baseline Given'!L12</f>
        <v>-44572885.149103567</v>
      </c>
      <c r="AA11" s="105">
        <f>Y11/'Baseline Given'!M12</f>
        <v>638563.33921618154</v>
      </c>
      <c r="AB11" s="105">
        <f t="shared" si="10"/>
        <v>-43.934321809887386</v>
      </c>
      <c r="AD11" s="105">
        <f t="shared" si="11"/>
        <v>-5358261.77586581</v>
      </c>
      <c r="AE11" s="106">
        <f t="shared" si="12"/>
        <v>3704249.6535738795</v>
      </c>
      <c r="AF11" s="105">
        <f>AD11*'Baseline Given'!K12/'Baseline Given'!L12</f>
        <v>-32327314.94822428</v>
      </c>
      <c r="AG11" s="105">
        <f>AE11/'Baseline Given'!M12</f>
        <v>327580.58300448477</v>
      </c>
      <c r="AH11" s="105">
        <f t="shared" si="13"/>
        <v>-31.999734365219794</v>
      </c>
      <c r="AJ11" s="105">
        <f t="shared" si="14"/>
        <v>-4509198.2796966136</v>
      </c>
      <c r="AK11" s="106">
        <f t="shared" si="15"/>
        <v>2528239.3865145431</v>
      </c>
      <c r="AL11" s="105">
        <f>AJ11*'Baseline Given'!K12/'Baseline Given'!L12</f>
        <v>-27204768.831621591</v>
      </c>
      <c r="AM11" s="105">
        <f>AK11/'Baseline Given'!M12</f>
        <v>223581.61832053657</v>
      </c>
      <c r="AN11" s="105">
        <f t="shared" si="16"/>
        <v>-26.981187213301055</v>
      </c>
      <c r="AP11" s="105">
        <f t="shared" si="17"/>
        <v>-3857075.9520801473</v>
      </c>
      <c r="AQ11" s="106">
        <f t="shared" si="18"/>
        <v>1906963.3504383261</v>
      </c>
      <c r="AR11" s="105">
        <f>AP11*'Baseline Given'!K12/'Baseline Given'!L12</f>
        <v>-23270402.660006132</v>
      </c>
      <c r="AS11" s="105">
        <f>AQ11/'Baseline Given'!M12</f>
        <v>168639.86624175665</v>
      </c>
      <c r="AT11" s="105">
        <f t="shared" si="19"/>
        <v>-23.101762793764376</v>
      </c>
      <c r="AV11" s="105">
        <f t="shared" si="20"/>
        <v>-3231818.7320949035</v>
      </c>
      <c r="AW11" s="106">
        <f t="shared" si="21"/>
        <v>1516658.7783588707</v>
      </c>
      <c r="AX11" s="105">
        <f>AV11*'Baseline Given'!K12/'Baseline Given'!L12</f>
        <v>-19498118.303695817</v>
      </c>
      <c r="AY11" s="105">
        <f>AW11/'Baseline Given'!M12</f>
        <v>134123.78033276624</v>
      </c>
      <c r="AZ11" s="105">
        <f t="shared" si="22"/>
        <v>-19.363994523363051</v>
      </c>
      <c r="BB11" s="105">
        <f t="shared" si="23"/>
        <v>-2589844.195731191</v>
      </c>
      <c r="BC11" s="106">
        <f t="shared" si="24"/>
        <v>1256264.0202596192</v>
      </c>
      <c r="BD11" s="105">
        <f>BB11*'Baseline Given'!K12/'Baseline Given'!L12</f>
        <v>-15624975.502191577</v>
      </c>
      <c r="BE11" s="105">
        <f>BC11/'Baseline Given'!M12</f>
        <v>111096.10276055768</v>
      </c>
      <c r="BF11" s="105">
        <f t="shared" si="25"/>
        <v>-15.513879399431021</v>
      </c>
      <c r="BH11" s="105">
        <f t="shared" si="26"/>
        <v>-1924103.5890256539</v>
      </c>
      <c r="BI11" s="107">
        <f t="shared" si="27"/>
        <v>1085775.2933340461</v>
      </c>
      <c r="BJ11" s="105">
        <f>BH11*'Baseline Given'!K12/'Baseline Given'!L12</f>
        <v>-11608447.910402864</v>
      </c>
      <c r="BK11" s="105">
        <f>BI11/'Baseline Given'!M12</f>
        <v>96019.150129114932</v>
      </c>
      <c r="BL11" s="105">
        <f t="shared" si="28"/>
        <v>-11.51242876027375</v>
      </c>
      <c r="BN11" s="105">
        <f t="shared" si="29"/>
        <v>-1242128.3713995607</v>
      </c>
      <c r="BO11" s="106">
        <f t="shared" si="30"/>
        <v>987462.72337356117</v>
      </c>
      <c r="BP11" s="105">
        <f>BN11*'Baseline Given'!K12/'Baseline Given'!L12</f>
        <v>-7493974.1184761617</v>
      </c>
      <c r="BQ11" s="105">
        <f>BO11/'Baseline Given'!M12</f>
        <v>87325.003676741486</v>
      </c>
      <c r="BR11" s="105">
        <f t="shared" si="31"/>
        <v>-7.4066491147994205</v>
      </c>
      <c r="BT11" s="105">
        <f t="shared" si="32"/>
        <v>-558613.9460173652</v>
      </c>
      <c r="BU11" s="106">
        <f t="shared" si="33"/>
        <v>953440</v>
      </c>
      <c r="BV11" s="105">
        <f>BT11*'Baseline Given'!K12/'Baseline Given'!L12</f>
        <v>-3370214.0214035651</v>
      </c>
      <c r="BW11" s="105">
        <f>BU11/'Baseline Given'!M12</f>
        <v>84316.247626144701</v>
      </c>
      <c r="BX11" s="105">
        <f t="shared" si="34"/>
        <v>-3.2858977737774202</v>
      </c>
      <c r="BZ11" s="104">
        <v>150</v>
      </c>
      <c r="CA11" s="104">
        <v>-150</v>
      </c>
    </row>
    <row r="12" spans="1:79" ht="15" customHeight="1" x14ac:dyDescent="0.25">
      <c r="A12" s="18">
        <f>'Baseline Given'!E13</f>
        <v>10</v>
      </c>
      <c r="B12" s="18">
        <f t="shared" si="35"/>
        <v>58</v>
      </c>
      <c r="C12" s="18">
        <f t="shared" si="0"/>
        <v>29</v>
      </c>
      <c r="D12" s="18">
        <f t="shared" si="36"/>
        <v>10</v>
      </c>
      <c r="E12" s="18">
        <f t="shared" si="37"/>
        <v>17.75</v>
      </c>
      <c r="F12" s="18">
        <f t="shared" si="38"/>
        <v>30.75</v>
      </c>
      <c r="G12" s="18">
        <f t="shared" si="39"/>
        <v>43.75</v>
      </c>
      <c r="H12" s="18">
        <f t="shared" si="40"/>
        <v>58</v>
      </c>
      <c r="J12" s="104">
        <f t="shared" si="41"/>
        <v>9</v>
      </c>
      <c r="K12" s="104">
        <f t="shared" si="42"/>
        <v>0.15707963267948966</v>
      </c>
      <c r="L12" s="105">
        <f t="shared" si="1"/>
        <v>19.124113351168223</v>
      </c>
      <c r="M12" s="104">
        <f t="shared" si="2"/>
        <v>40568982.529676296</v>
      </c>
      <c r="N12" s="109">
        <f t="shared" si="3"/>
        <v>6364057.0077249752</v>
      </c>
      <c r="O12" s="104">
        <f t="shared" si="43"/>
        <v>1069389.9201291674</v>
      </c>
      <c r="P12" s="104">
        <f t="shared" si="4"/>
        <v>6285704.9054127382</v>
      </c>
      <c r="R12" s="105">
        <f t="shared" si="5"/>
        <v>-3811560.6113401111</v>
      </c>
      <c r="S12" s="106">
        <f t="shared" si="6"/>
        <v>29784112.283234291</v>
      </c>
      <c r="T12" s="105">
        <f>R12*'Baseline Given'!K13/'Baseline Given'!L13</f>
        <v>-23153787.197974432</v>
      </c>
      <c r="U12" s="105">
        <f>S12/'Baseline Given'!M13</f>
        <v>2661527.0186235388</v>
      </c>
      <c r="V12" s="105">
        <f t="shared" si="7"/>
        <v>-20.492260179350893</v>
      </c>
      <c r="X12" s="105">
        <f t="shared" si="8"/>
        <v>-7213859.5237117223</v>
      </c>
      <c r="Y12" s="106">
        <f t="shared" si="9"/>
        <v>7204652.6818192285</v>
      </c>
      <c r="Z12" s="105">
        <f>X12*'Baseline Given'!K13/'Baseline Given'!L13</f>
        <v>-43821464.570486464</v>
      </c>
      <c r="AA12" s="105">
        <f>Y12/'Baseline Given'!M13</f>
        <v>643812.29798325687</v>
      </c>
      <c r="AB12" s="105">
        <f t="shared" si="10"/>
        <v>-43.177652272503202</v>
      </c>
      <c r="AD12" s="105">
        <f t="shared" si="11"/>
        <v>-5245396.7578189578</v>
      </c>
      <c r="AE12" s="106">
        <f t="shared" si="12"/>
        <v>3688089.6535738795</v>
      </c>
      <c r="AF12" s="105">
        <f>AD12*'Baseline Given'!K13/'Baseline Given'!L13</f>
        <v>-31863798.764775287</v>
      </c>
      <c r="AG12" s="105">
        <f>AE12/'Baseline Given'!M13</f>
        <v>329570.0125874923</v>
      </c>
      <c r="AH12" s="105">
        <f t="shared" si="13"/>
        <v>-31.534228752187797</v>
      </c>
      <c r="AJ12" s="105">
        <f t="shared" si="14"/>
        <v>-4418693.2056944445</v>
      </c>
      <c r="AK12" s="106">
        <f t="shared" si="15"/>
        <v>2512079.3865145431</v>
      </c>
      <c r="AL12" s="105">
        <f>AJ12*'Baseline Given'!K13/'Baseline Given'!L13</f>
        <v>-26841887.775152951</v>
      </c>
      <c r="AM12" s="105">
        <f>AK12/'Baseline Given'!M13</f>
        <v>224480.99498668907</v>
      </c>
      <c r="AN12" s="105">
        <f t="shared" si="16"/>
        <v>-26.617406780166259</v>
      </c>
      <c r="AP12" s="105">
        <f t="shared" si="17"/>
        <v>-3781162.6351553844</v>
      </c>
      <c r="AQ12" s="106">
        <f t="shared" si="18"/>
        <v>1890803.3504383261</v>
      </c>
      <c r="AR12" s="105">
        <f>AP12*'Baseline Given'!K13/'Baseline Given'!L13</f>
        <v>-22969131.004987173</v>
      </c>
      <c r="AS12" s="105">
        <f>AQ12/'Baseline Given'!M13</f>
        <v>168963.37739528023</v>
      </c>
      <c r="AT12" s="105">
        <f t="shared" si="19"/>
        <v>-22.800167627591893</v>
      </c>
      <c r="AV12" s="105">
        <f t="shared" si="20"/>
        <v>-3168266.4242624668</v>
      </c>
      <c r="AW12" s="106">
        <f t="shared" si="21"/>
        <v>1500498.7783588707</v>
      </c>
      <c r="AX12" s="105">
        <f>AV12*'Baseline Given'!K13/'Baseline Given'!L13</f>
        <v>-19246018.640136156</v>
      </c>
      <c r="AY12" s="105">
        <f>AW12/'Baseline Given'!M13</f>
        <v>134085.51519132522</v>
      </c>
      <c r="AZ12" s="105">
        <f t="shared" si="22"/>
        <v>-19.111933124944834</v>
      </c>
      <c r="BB12" s="105">
        <f t="shared" si="23"/>
        <v>-2538017.6068892647</v>
      </c>
      <c r="BC12" s="106">
        <f t="shared" si="24"/>
        <v>1240104.0202596192</v>
      </c>
      <c r="BD12" s="105">
        <f>BB12*'Baseline Given'!K13/'Baseline Given'!L13</f>
        <v>-15417495.762704192</v>
      </c>
      <c r="BE12" s="105">
        <f>BC12/'Baseline Given'!M13</f>
        <v>110816.47572496448</v>
      </c>
      <c r="BF12" s="105">
        <f t="shared" si="25"/>
        <v>-15.306679286979227</v>
      </c>
      <c r="BH12" s="105">
        <f t="shared" si="26"/>
        <v>-1883847.5214878139</v>
      </c>
      <c r="BI12" s="107">
        <f t="shared" si="27"/>
        <v>1069615.2933340461</v>
      </c>
      <c r="BJ12" s="105">
        <f>BH12*'Baseline Given'!K13/'Baseline Given'!L13</f>
        <v>-11443660.241473801</v>
      </c>
      <c r="BK12" s="105">
        <f>BI12/'Baseline Given'!M13</f>
        <v>95581.49578773907</v>
      </c>
      <c r="BL12" s="105">
        <f t="shared" si="28"/>
        <v>-11.348078745686061</v>
      </c>
      <c r="BN12" s="105">
        <f t="shared" si="29"/>
        <v>-1213335.9601164102</v>
      </c>
      <c r="BO12" s="106">
        <f t="shared" si="30"/>
        <v>971302.72337356117</v>
      </c>
      <c r="BP12" s="105">
        <f>BN12*'Baseline Given'!K13/'Baseline Given'!L13</f>
        <v>-7370556.4425769392</v>
      </c>
      <c r="BQ12" s="105">
        <f>BO12/'Baseline Given'!M13</f>
        <v>86796.222661857159</v>
      </c>
      <c r="BR12" s="105">
        <f t="shared" si="31"/>
        <v>-7.2837602199150817</v>
      </c>
      <c r="BT12" s="105">
        <f t="shared" si="32"/>
        <v>-541019.80598532222</v>
      </c>
      <c r="BU12" s="106">
        <f t="shared" si="33"/>
        <v>937280</v>
      </c>
      <c r="BV12" s="105">
        <f>BT12*'Baseline Given'!K13/'Baseline Given'!L13</f>
        <v>-3286490.4261011612</v>
      </c>
      <c r="BW12" s="105">
        <f>BU12/'Baseline Given'!M13</f>
        <v>83755.930688580513</v>
      </c>
      <c r="BX12" s="105">
        <f t="shared" si="34"/>
        <v>-3.2027344954125807</v>
      </c>
      <c r="BZ12" s="104">
        <v>150</v>
      </c>
      <c r="CA12" s="104">
        <v>-150</v>
      </c>
    </row>
    <row r="13" spans="1:79" ht="15" customHeight="1" x14ac:dyDescent="0.25">
      <c r="A13" s="18">
        <f>'Baseline Given'!E14</f>
        <v>11</v>
      </c>
      <c r="B13" s="18">
        <f t="shared" si="35"/>
        <v>57</v>
      </c>
      <c r="C13" s="18">
        <f t="shared" si="0"/>
        <v>28.5</v>
      </c>
      <c r="D13" s="18">
        <f t="shared" si="36"/>
        <v>11</v>
      </c>
      <c r="E13" s="18">
        <f t="shared" si="37"/>
        <v>16.75</v>
      </c>
      <c r="F13" s="18">
        <f t="shared" si="38"/>
        <v>29.75</v>
      </c>
      <c r="G13" s="18">
        <f t="shared" si="39"/>
        <v>42.75</v>
      </c>
      <c r="H13" s="18">
        <f t="shared" si="40"/>
        <v>57</v>
      </c>
      <c r="J13" s="104">
        <f t="shared" si="41"/>
        <v>10</v>
      </c>
      <c r="K13" s="109">
        <f t="shared" si="42"/>
        <v>0.17453292519943295</v>
      </c>
      <c r="L13" s="105">
        <f t="shared" si="1"/>
        <v>21.228489719782232</v>
      </c>
      <c r="M13" s="104">
        <f t="shared" si="2"/>
        <v>40450663.316495478</v>
      </c>
      <c r="N13" s="104">
        <f t="shared" si="3"/>
        <v>5716468.3663954642</v>
      </c>
      <c r="O13" s="104">
        <f t="shared" si="43"/>
        <v>1066271.050341378</v>
      </c>
      <c r="P13" s="109">
        <f t="shared" si="4"/>
        <v>5629622.3670752849</v>
      </c>
      <c r="R13" s="105">
        <f t="shared" si="5"/>
        <v>-3732840.9870763216</v>
      </c>
      <c r="S13" s="106">
        <f t="shared" si="6"/>
        <v>29767952.283234291</v>
      </c>
      <c r="T13" s="105">
        <f>R13*'Baseline Given'!K14/'Baseline Given'!L14</f>
        <v>-22832459.519005843</v>
      </c>
      <c r="U13" s="105">
        <f>S13/'Baseline Given'!M14</f>
        <v>2688111.1837559724</v>
      </c>
      <c r="V13" s="105">
        <f t="shared" si="7"/>
        <v>-20.14434833524987</v>
      </c>
      <c r="X13" s="105">
        <f t="shared" si="8"/>
        <v>-7023835.9858507663</v>
      </c>
      <c r="Y13" s="106">
        <f t="shared" si="9"/>
        <v>7188492.6818192285</v>
      </c>
      <c r="Z13" s="105">
        <f>X13*'Baseline Given'!K14/'Baseline Given'!L14</f>
        <v>-42962304.413797721</v>
      </c>
      <c r="AA13" s="105">
        <f>Y13/'Baseline Given'!M14</f>
        <v>649136.6080034154</v>
      </c>
      <c r="AB13" s="105">
        <f t="shared" si="10"/>
        <v>-42.313167805794308</v>
      </c>
      <c r="AD13" s="105">
        <f t="shared" si="11"/>
        <v>-5117346.3070202097</v>
      </c>
      <c r="AE13" s="106">
        <f t="shared" si="12"/>
        <v>3671929.6535738795</v>
      </c>
      <c r="AF13" s="105">
        <f>AD13*'Baseline Given'!K14/'Baseline Given'!L14</f>
        <v>-31300985.711498789</v>
      </c>
      <c r="AG13" s="105">
        <f>AE13/'Baseline Given'!M14</f>
        <v>331583.2770027775</v>
      </c>
      <c r="AH13" s="105">
        <f t="shared" si="13"/>
        <v>-30.969402434496011</v>
      </c>
      <c r="AJ13" s="105">
        <f t="shared" si="14"/>
        <v>-4314193.1611671187</v>
      </c>
      <c r="AK13" s="106">
        <f t="shared" si="15"/>
        <v>2495919.3865145431</v>
      </c>
      <c r="AL13" s="105">
        <f>AJ13*'Baseline Given'!K14/'Baseline Given'!L14</f>
        <v>-26388383.820943639</v>
      </c>
      <c r="AM13" s="105">
        <f>AK13/'Baseline Given'!M14</f>
        <v>225386.97834522737</v>
      </c>
      <c r="AN13" s="105">
        <f t="shared" si="16"/>
        <v>-26.162996842598414</v>
      </c>
      <c r="AP13" s="105">
        <f t="shared" si="17"/>
        <v>-3692870.0400298126</v>
      </c>
      <c r="AQ13" s="106">
        <f t="shared" si="18"/>
        <v>1874643.3504383261</v>
      </c>
      <c r="AR13" s="105">
        <f>AP13*'Baseline Given'!K14/'Baseline Given'!L14</f>
        <v>-22587971.464589532</v>
      </c>
      <c r="AS13" s="105">
        <f>AQ13/'Baseline Given'!M14</f>
        <v>169284.39376413554</v>
      </c>
      <c r="AT13" s="105">
        <f t="shared" si="19"/>
        <v>-22.418687070825399</v>
      </c>
      <c r="AV13" s="105">
        <f t="shared" si="20"/>
        <v>-3094326.6686574928</v>
      </c>
      <c r="AW13" s="106">
        <f t="shared" si="21"/>
        <v>1484338.7783588707</v>
      </c>
      <c r="AX13" s="105">
        <f>AV13*'Baseline Given'!K14/'Baseline Given'!L14</f>
        <v>-18926894.72852112</v>
      </c>
      <c r="AY13" s="105">
        <f>AW13/'Baseline Given'!M14</f>
        <v>134039.03743948211</v>
      </c>
      <c r="AZ13" s="105">
        <f t="shared" si="22"/>
        <v>-18.792855691081641</v>
      </c>
      <c r="BB13" s="105">
        <f t="shared" si="23"/>
        <v>-2478111.0180473365</v>
      </c>
      <c r="BC13" s="106">
        <f t="shared" si="24"/>
        <v>1223944.0202596192</v>
      </c>
      <c r="BD13" s="105">
        <f>BB13*'Baseline Given'!K14/'Baseline Given'!L14</f>
        <v>-15157722.951248581</v>
      </c>
      <c r="BE13" s="105">
        <f>BC13/'Baseline Given'!M14</f>
        <v>110524.8213866614</v>
      </c>
      <c r="BF13" s="105">
        <f t="shared" si="25"/>
        <v>-15.047198129861918</v>
      </c>
      <c r="BH13" s="105">
        <f t="shared" si="26"/>
        <v>-1838064.4084338294</v>
      </c>
      <c r="BI13" s="107">
        <f t="shared" si="27"/>
        <v>1053455.2933340461</v>
      </c>
      <c r="BJ13" s="105">
        <f>BH13*'Baseline Given'!K14/'Baseline Given'!L14</f>
        <v>-11242785.680983726</v>
      </c>
      <c r="BK13" s="105">
        <f>BI13/'Baseline Given'!M14</f>
        <v>95129.316543317909</v>
      </c>
      <c r="BL13" s="105">
        <f t="shared" si="28"/>
        <v>-11.147656364440408</v>
      </c>
      <c r="BN13" s="105">
        <f t="shared" si="29"/>
        <v>-1181737.3942821615</v>
      </c>
      <c r="BO13" s="106">
        <f t="shared" si="30"/>
        <v>955142.72337356117</v>
      </c>
      <c r="BP13" s="105">
        <f>BN13*'Baseline Given'!K14/'Baseline Given'!L14</f>
        <v>-7228266.9715797417</v>
      </c>
      <c r="BQ13" s="105">
        <f>BO13/'Baseline Given'!M14</f>
        <v>86251.476499096447</v>
      </c>
      <c r="BR13" s="105">
        <f t="shared" si="31"/>
        <v>-7.1420154950806456</v>
      </c>
      <c r="BT13" s="105">
        <f t="shared" si="32"/>
        <v>-523425.6659532793</v>
      </c>
      <c r="BU13" s="106">
        <f t="shared" si="33"/>
        <v>921120</v>
      </c>
      <c r="BV13" s="105">
        <f>BT13*'Baseline Given'!K14/'Baseline Given'!L14</f>
        <v>-3201608.472062829</v>
      </c>
      <c r="BW13" s="105">
        <f>BU13/'Baseline Given'!M14</f>
        <v>83179.150182119134</v>
      </c>
      <c r="BX13" s="105">
        <f t="shared" si="34"/>
        <v>-3.11842932188071</v>
      </c>
      <c r="BZ13" s="104">
        <v>150</v>
      </c>
      <c r="CA13" s="104">
        <v>-150</v>
      </c>
    </row>
    <row r="14" spans="1:79" ht="15" customHeight="1" x14ac:dyDescent="0.25">
      <c r="A14" s="18">
        <f>'Baseline Given'!E15</f>
        <v>12</v>
      </c>
      <c r="B14" s="18">
        <f t="shared" si="35"/>
        <v>56</v>
      </c>
      <c r="C14" s="18">
        <f t="shared" si="0"/>
        <v>28</v>
      </c>
      <c r="D14" s="18">
        <f t="shared" si="36"/>
        <v>12</v>
      </c>
      <c r="E14" s="18">
        <f t="shared" si="37"/>
        <v>15.75</v>
      </c>
      <c r="F14" s="18">
        <f t="shared" si="38"/>
        <v>28.75</v>
      </c>
      <c r="G14" s="18">
        <f t="shared" si="39"/>
        <v>41.75</v>
      </c>
      <c r="H14" s="18">
        <f t="shared" si="40"/>
        <v>56</v>
      </c>
      <c r="J14" s="104">
        <f t="shared" si="41"/>
        <v>11</v>
      </c>
      <c r="K14" s="104">
        <f t="shared" si="42"/>
        <v>0.19198621771937624</v>
      </c>
      <c r="L14" s="105">
        <f t="shared" si="1"/>
        <v>23.326399684782601</v>
      </c>
      <c r="M14" s="104">
        <f t="shared" si="2"/>
        <v>40320022.439414091</v>
      </c>
      <c r="N14" s="104">
        <f t="shared" si="3"/>
        <v>5185543.8024219731</v>
      </c>
      <c r="O14" s="104">
        <f t="shared" si="43"/>
        <v>1062827.3840624548</v>
      </c>
      <c r="P14" s="104">
        <f t="shared" si="4"/>
        <v>5090270.7574159708</v>
      </c>
      <c r="R14" s="105">
        <f t="shared" si="5"/>
        <v>-3637971.2070479058</v>
      </c>
      <c r="S14" s="106">
        <f t="shared" si="6"/>
        <v>29751792.283234291</v>
      </c>
      <c r="T14" s="105">
        <f>R14*'Baseline Given'!K15/'Baseline Given'!L15</f>
        <v>-22407182.255781077</v>
      </c>
      <c r="U14" s="105">
        <f>S14/'Baseline Given'!M15</f>
        <v>2715110.0045557502</v>
      </c>
      <c r="V14" s="105">
        <f t="shared" si="7"/>
        <v>-19.692072251225326</v>
      </c>
      <c r="X14" s="105">
        <f t="shared" si="8"/>
        <v>-6817897.9547011312</v>
      </c>
      <c r="Y14" s="106">
        <f t="shared" si="9"/>
        <v>7172332.6818192285</v>
      </c>
      <c r="Z14" s="105">
        <f>X14*'Baseline Given'!K15/'Baseline Given'!L15</f>
        <v>-41993153.155346997</v>
      </c>
      <c r="AA14" s="105">
        <f>Y14/'Baseline Given'!M15</f>
        <v>654537.78498525452</v>
      </c>
      <c r="AB14" s="105">
        <f t="shared" si="10"/>
        <v>-41.338615370361744</v>
      </c>
      <c r="AD14" s="105">
        <f t="shared" si="11"/>
        <v>-4974110.4234695621</v>
      </c>
      <c r="AE14" s="106">
        <f t="shared" si="12"/>
        <v>3655769.6535738795</v>
      </c>
      <c r="AF14" s="105">
        <f>AD14*'Baseline Given'!K15/'Baseline Given'!L15</f>
        <v>-30636800.699009821</v>
      </c>
      <c r="AG14" s="105">
        <f>AE14/'Baseline Given'!M15</f>
        <v>333620.80059839418</v>
      </c>
      <c r="AH14" s="105">
        <f t="shared" si="13"/>
        <v>-30.303179898411425</v>
      </c>
      <c r="AJ14" s="105">
        <f t="shared" si="14"/>
        <v>-4195698.1461146343</v>
      </c>
      <c r="AK14" s="106">
        <f t="shared" si="15"/>
        <v>2479759.3865145431</v>
      </c>
      <c r="AL14" s="105">
        <f>AJ14*'Baseline Given'!K15/'Baseline Given'!L15</f>
        <v>-25842363.14682724</v>
      </c>
      <c r="AM14" s="105">
        <f>AK14/'Baseline Given'!M15</f>
        <v>226299.62777102136</v>
      </c>
      <c r="AN14" s="105">
        <f t="shared" si="16"/>
        <v>-25.616063519056219</v>
      </c>
      <c r="AP14" s="105">
        <f t="shared" si="17"/>
        <v>-3592198.1667034402</v>
      </c>
      <c r="AQ14" s="106">
        <f t="shared" si="18"/>
        <v>1858483.3504383261</v>
      </c>
      <c r="AR14" s="105">
        <f>AP14*'Baseline Given'!K15/'Baseline Given'!L15</f>
        <v>-22125254.555140495</v>
      </c>
      <c r="AS14" s="105">
        <f>AQ14/'Baseline Given'!M15</f>
        <v>169602.78191102121</v>
      </c>
      <c r="AT14" s="105">
        <f t="shared" si="19"/>
        <v>-21.955651773229473</v>
      </c>
      <c r="AV14" s="105">
        <f t="shared" si="20"/>
        <v>-3009999.4652799834</v>
      </c>
      <c r="AW14" s="106">
        <f t="shared" si="21"/>
        <v>1468178.7783588707</v>
      </c>
      <c r="AX14" s="105">
        <f>AV14*'Baseline Given'!K15/'Baseline Given'!L15</f>
        <v>-18539345.90732016</v>
      </c>
      <c r="AY14" s="105">
        <f>AW14/'Baseline Given'!M15</f>
        <v>133984.09250944346</v>
      </c>
      <c r="AZ14" s="105">
        <f t="shared" si="22"/>
        <v>-18.405361814810714</v>
      </c>
      <c r="BB14" s="105">
        <f t="shared" si="23"/>
        <v>-2410124.4292054102</v>
      </c>
      <c r="BC14" s="106">
        <f t="shared" si="24"/>
        <v>1207784.0202596192</v>
      </c>
      <c r="BD14" s="105">
        <f>BB14*'Baseline Given'!K15/'Baseline Given'!L15</f>
        <v>-14844564.25594927</v>
      </c>
      <c r="BE14" s="105">
        <f>BC14/'Baseline Given'!M15</f>
        <v>110220.80436469661</v>
      </c>
      <c r="BF14" s="105">
        <f t="shared" si="25"/>
        <v>-14.734343451584573</v>
      </c>
      <c r="BH14" s="105">
        <f t="shared" si="26"/>
        <v>-1786754.2498637023</v>
      </c>
      <c r="BI14" s="107">
        <f t="shared" si="27"/>
        <v>1037295.2933340461</v>
      </c>
      <c r="BJ14" s="105">
        <f>BH14*'Baseline Given'!K15/'Baseline Given'!L15</f>
        <v>-11005070.091105912</v>
      </c>
      <c r="BK14" s="105">
        <f>BI14/'Baseline Given'!M15</f>
        <v>94662.224103955567</v>
      </c>
      <c r="BL14" s="105">
        <f t="shared" si="28"/>
        <v>-10.910407867001956</v>
      </c>
      <c r="BN14" s="105">
        <f t="shared" si="29"/>
        <v>-1147332.6738968156</v>
      </c>
      <c r="BO14" s="106">
        <f t="shared" si="30"/>
        <v>938982.72337356117</v>
      </c>
      <c r="BP14" s="105">
        <f>BN14*'Baseline Given'!K15/'Baseline Given'!L15</f>
        <v>-7066711.3258656552</v>
      </c>
      <c r="BQ14" s="105">
        <f>BO14/'Baseline Given'!M15</f>
        <v>85690.346385391371</v>
      </c>
      <c r="BR14" s="105">
        <f t="shared" si="31"/>
        <v>-6.981020979480264</v>
      </c>
      <c r="BT14" s="105">
        <f t="shared" si="32"/>
        <v>-505831.52592123626</v>
      </c>
      <c r="BU14" s="106">
        <f t="shared" si="33"/>
        <v>904960</v>
      </c>
      <c r="BV14" s="105">
        <f>BT14*'Baseline Given'!K15/'Baseline Given'!L15</f>
        <v>-3115543.952101361</v>
      </c>
      <c r="BW14" s="105">
        <f>BU14/'Baseline Given'!M15</f>
        <v>82585.476744786763</v>
      </c>
      <c r="BX14" s="105">
        <f t="shared" si="34"/>
        <v>-3.0329584753565744</v>
      </c>
      <c r="BZ14" s="104">
        <v>150</v>
      </c>
      <c r="CA14" s="104">
        <v>-150</v>
      </c>
    </row>
    <row r="15" spans="1:79" ht="15" customHeight="1" x14ac:dyDescent="0.25">
      <c r="A15" s="18">
        <f>'Baseline Given'!E16</f>
        <v>13</v>
      </c>
      <c r="B15" s="18">
        <f t="shared" si="35"/>
        <v>55</v>
      </c>
      <c r="C15" s="18">
        <f t="shared" si="0"/>
        <v>27.5</v>
      </c>
      <c r="D15" s="18">
        <f t="shared" si="36"/>
        <v>13</v>
      </c>
      <c r="E15" s="18">
        <f t="shared" si="37"/>
        <v>14.75</v>
      </c>
      <c r="F15" s="18">
        <f t="shared" si="38"/>
        <v>27.75</v>
      </c>
      <c r="G15" s="18">
        <f t="shared" si="39"/>
        <v>40.75</v>
      </c>
      <c r="H15" s="18">
        <f t="shared" si="40"/>
        <v>55</v>
      </c>
      <c r="J15" s="104">
        <f t="shared" si="41"/>
        <v>12</v>
      </c>
      <c r="K15" s="104">
        <f t="shared" si="42"/>
        <v>0.20943951023931953</v>
      </c>
      <c r="L15" s="105">
        <f t="shared" si="1"/>
        <v>25.417204202471076</v>
      </c>
      <c r="M15" s="104">
        <f t="shared" si="2"/>
        <v>40177099.692908838</v>
      </c>
      <c r="N15" s="104">
        <f t="shared" si="3"/>
        <v>4742114.7549740495</v>
      </c>
      <c r="O15" s="104">
        <f t="shared" si="43"/>
        <v>1059059.9702665061</v>
      </c>
      <c r="P15" s="104">
        <f t="shared" si="4"/>
        <v>4638488.1699822452</v>
      </c>
      <c r="R15" s="105">
        <f t="shared" si="5"/>
        <v>-3526951.2712548599</v>
      </c>
      <c r="S15" s="106">
        <f t="shared" si="6"/>
        <v>29735632.283234291</v>
      </c>
      <c r="T15" s="105">
        <f>R15*'Baseline Given'!K16/'Baseline Given'!L16</f>
        <v>-21875767.848849677</v>
      </c>
      <c r="U15" s="105">
        <f>S15/'Baseline Given'!M16</f>
        <v>2742532.2298522126</v>
      </c>
      <c r="V15" s="105">
        <f t="shared" si="7"/>
        <v>-19.13323561899746</v>
      </c>
      <c r="X15" s="105">
        <f t="shared" si="8"/>
        <v>-6596045.4302628189</v>
      </c>
      <c r="Y15" s="106">
        <f t="shared" si="9"/>
        <v>7156172.6818192285</v>
      </c>
      <c r="Z15" s="105">
        <f>X15*'Baseline Given'!K16/'Baseline Given'!L16</f>
        <v>-40911696.095408991</v>
      </c>
      <c r="AA15" s="105">
        <f>Y15/'Baseline Given'!M16</f>
        <v>660017.38370106346</v>
      </c>
      <c r="AB15" s="105">
        <f t="shared" si="10"/>
        <v>-40.251678711707925</v>
      </c>
      <c r="AD15" s="105">
        <f t="shared" si="11"/>
        <v>-4815689.107167013</v>
      </c>
      <c r="AE15" s="106">
        <f t="shared" si="12"/>
        <v>3639609.6535738795</v>
      </c>
      <c r="AF15" s="105">
        <f>AD15*'Baseline Given'!K16/'Baseline Given'!L16</f>
        <v>-29869110.412500314</v>
      </c>
      <c r="AG15" s="105">
        <f>AE15/'Baseline Given'!M16</f>
        <v>335683.01773208217</v>
      </c>
      <c r="AH15" s="105">
        <f t="shared" si="13"/>
        <v>-29.533427394768232</v>
      </c>
      <c r="AJ15" s="105">
        <f t="shared" si="14"/>
        <v>-4063208.1605369877</v>
      </c>
      <c r="AK15" s="106">
        <f t="shared" si="15"/>
        <v>2463599.3865145431</v>
      </c>
      <c r="AL15" s="105">
        <f>AJ15*'Baseline Given'!K16/'Baseline Given'!L16</f>
        <v>-25201878.791433897</v>
      </c>
      <c r="AM15" s="105">
        <f>AK15/'Baseline Given'!M16</f>
        <v>227219.0029323762</v>
      </c>
      <c r="AN15" s="105">
        <f t="shared" si="16"/>
        <v>-24.974659788501519</v>
      </c>
      <c r="AP15" s="105">
        <f t="shared" si="17"/>
        <v>-3479147.0151762683</v>
      </c>
      <c r="AQ15" s="106">
        <f t="shared" si="18"/>
        <v>1842323.3504383261</v>
      </c>
      <c r="AR15" s="105">
        <f>AP15*'Baseline Given'!K16/'Baseline Given'!L16</f>
        <v>-21579263.948530648</v>
      </c>
      <c r="AS15" s="105">
        <f>AQ15/'Baseline Given'!M16</f>
        <v>169918.40355906016</v>
      </c>
      <c r="AT15" s="105">
        <f t="shared" si="19"/>
        <v>-21.40934554497159</v>
      </c>
      <c r="AV15" s="105">
        <f t="shared" si="20"/>
        <v>-2915284.8141299421</v>
      </c>
      <c r="AW15" s="106">
        <f t="shared" si="21"/>
        <v>1452018.7783588707</v>
      </c>
      <c r="AX15" s="105">
        <f>AV15*'Baseline Given'!K16/'Baseline Given'!L16</f>
        <v>-18081932.213510055</v>
      </c>
      <c r="AY15" s="105">
        <f>AW15/'Baseline Given'!M16</f>
        <v>133920.41776912575</v>
      </c>
      <c r="AZ15" s="105">
        <f t="shared" si="22"/>
        <v>-17.948011795740928</v>
      </c>
      <c r="BB15" s="105">
        <f t="shared" si="23"/>
        <v>-2334057.8403634848</v>
      </c>
      <c r="BC15" s="106">
        <f t="shared" si="24"/>
        <v>1191624.0202596192</v>
      </c>
      <c r="BD15" s="105">
        <f>BB15*'Baseline Given'!K16/'Baseline Given'!L16</f>
        <v>-14476896.201464262</v>
      </c>
      <c r="BE15" s="105">
        <f>BC15/'Baseline Given'!M16</f>
        <v>109904.07906243484</v>
      </c>
      <c r="BF15" s="105">
        <f t="shared" si="25"/>
        <v>-14.366992122401825</v>
      </c>
      <c r="BH15" s="105">
        <f t="shared" si="26"/>
        <v>-1729917.0457774317</v>
      </c>
      <c r="BI15" s="107">
        <f t="shared" si="27"/>
        <v>1021135.2933340461</v>
      </c>
      <c r="BJ15" s="105">
        <f>BH15*'Baseline Given'!K16/'Baseline Given'!L16</f>
        <v>-10729738.173482232</v>
      </c>
      <c r="BK15" s="105">
        <f>BI15/'Baseline Given'!M16</f>
        <v>94179.818553486955</v>
      </c>
      <c r="BL15" s="105">
        <f t="shared" si="28"/>
        <v>-10.635558354928746</v>
      </c>
      <c r="BN15" s="105">
        <f t="shared" si="29"/>
        <v>-1110121.798960373</v>
      </c>
      <c r="BO15" s="106">
        <f t="shared" si="30"/>
        <v>922822.72337356117</v>
      </c>
      <c r="BP15" s="105">
        <f>BN15*'Baseline Given'!K16/'Baseline Given'!L16</f>
        <v>-6885484.059824897</v>
      </c>
      <c r="BQ15" s="105">
        <f>BO15/'Baseline Given'!M16</f>
        <v>85112.401081141768</v>
      </c>
      <c r="BR15" s="105">
        <f t="shared" si="31"/>
        <v>-6.8003716587437548</v>
      </c>
      <c r="BT15" s="105">
        <f t="shared" si="32"/>
        <v>-488237.38588919328</v>
      </c>
      <c r="BU15" s="106">
        <f t="shared" si="33"/>
        <v>888800</v>
      </c>
      <c r="BV15" s="105">
        <f>BT15*'Baseline Given'!K16/'Baseline Given'!L16</f>
        <v>-3028271.9797943709</v>
      </c>
      <c r="BW15" s="105">
        <f>BU15/'Baseline Given'!M16</f>
        <v>81974.468296980078</v>
      </c>
      <c r="BX15" s="105">
        <f t="shared" si="34"/>
        <v>-2.9462975114973911</v>
      </c>
      <c r="BZ15" s="104">
        <v>150</v>
      </c>
      <c r="CA15" s="104">
        <v>-150</v>
      </c>
    </row>
    <row r="16" spans="1:79" ht="15" customHeight="1" x14ac:dyDescent="0.25">
      <c r="A16" s="18">
        <f>'Baseline Given'!E17</f>
        <v>14</v>
      </c>
      <c r="B16" s="18">
        <f t="shared" si="35"/>
        <v>54</v>
      </c>
      <c r="C16" s="18">
        <f t="shared" si="0"/>
        <v>27</v>
      </c>
      <c r="D16" s="18">
        <f t="shared" si="36"/>
        <v>14</v>
      </c>
      <c r="E16" s="18">
        <f t="shared" si="37"/>
        <v>13.75</v>
      </c>
      <c r="F16" s="18">
        <f t="shared" si="38"/>
        <v>26.75</v>
      </c>
      <c r="G16" s="18">
        <f t="shared" si="39"/>
        <v>39.75</v>
      </c>
      <c r="H16" s="18">
        <f t="shared" si="40"/>
        <v>54</v>
      </c>
      <c r="J16" s="104">
        <f t="shared" si="41"/>
        <v>13</v>
      </c>
      <c r="K16" s="104">
        <f t="shared" si="42"/>
        <v>0.22689280275926285</v>
      </c>
      <c r="L16" s="105">
        <f t="shared" si="1"/>
        <v>27.500266393537494</v>
      </c>
      <c r="M16" s="104">
        <f t="shared" si="2"/>
        <v>40021938.612632811</v>
      </c>
      <c r="N16" s="104">
        <f t="shared" si="3"/>
        <v>4365987.3733482687</v>
      </c>
      <c r="O16" s="104">
        <f t="shared" si="43"/>
        <v>1054969.9565442698</v>
      </c>
      <c r="P16" s="104">
        <f t="shared" si="4"/>
        <v>4254087.3998208717</v>
      </c>
      <c r="R16" s="105">
        <f t="shared" si="5"/>
        <v>-3399781.1796971858</v>
      </c>
      <c r="S16" s="106">
        <f t="shared" si="6"/>
        <v>29719472.283234291</v>
      </c>
      <c r="T16" s="105">
        <f>R16*'Baseline Given'!K17/'Baseline Given'!L17</f>
        <v>-21235966.923894472</v>
      </c>
      <c r="U16" s="105">
        <f>S16/'Baseline Given'!M17</f>
        <v>2770386.8413095037</v>
      </c>
      <c r="V16" s="105">
        <f t="shared" si="7"/>
        <v>-18.465580082584971</v>
      </c>
      <c r="X16" s="105">
        <f t="shared" si="8"/>
        <v>-6358278.4125358295</v>
      </c>
      <c r="Y16" s="106">
        <f t="shared" si="9"/>
        <v>7140012.6818192285</v>
      </c>
      <c r="Z16" s="105">
        <f>X16*'Baseline Given'!K17/'Baseline Given'!L17</f>
        <v>-39715553.126730815</v>
      </c>
      <c r="AA16" s="105">
        <f>Y16/'Baseline Given'!M17</f>
        <v>665576.99921387376</v>
      </c>
      <c r="AB16" s="105">
        <f t="shared" si="10"/>
        <v>-39.049976127516942</v>
      </c>
      <c r="AD16" s="105">
        <f t="shared" si="11"/>
        <v>-4642082.3581125606</v>
      </c>
      <c r="AE16" s="106">
        <f t="shared" si="12"/>
        <v>3623449.6535738795</v>
      </c>
      <c r="AF16" s="105">
        <f>AD16*'Baseline Given'!K17/'Baseline Given'!L17</f>
        <v>-28995721.255111102</v>
      </c>
      <c r="AG16" s="105">
        <f>AE16/'Baseline Given'!M17</f>
        <v>337770.37306518783</v>
      </c>
      <c r="AH16" s="105">
        <f t="shared" si="13"/>
        <v>-28.657950882045913</v>
      </c>
      <c r="AJ16" s="105">
        <f t="shared" si="14"/>
        <v>-3916723.2044341927</v>
      </c>
      <c r="AK16" s="106">
        <f t="shared" si="15"/>
        <v>2447439.3865145431</v>
      </c>
      <c r="AL16" s="105">
        <f>AJ16*'Baseline Given'!K17/'Baseline Given'!L17</f>
        <v>-24464928.777217012</v>
      </c>
      <c r="AM16" s="105">
        <f>AK16/'Baseline Given'!M17</f>
        <v>228145.1637728948</v>
      </c>
      <c r="AN16" s="105">
        <f t="shared" si="16"/>
        <v>-24.236783613444118</v>
      </c>
      <c r="AP16" s="105">
        <f t="shared" si="17"/>
        <v>-3353716.5854482884</v>
      </c>
      <c r="AQ16" s="106">
        <f t="shared" si="18"/>
        <v>1826163.3504383261</v>
      </c>
      <c r="AR16" s="105">
        <f>AP16*'Baseline Given'!K17/'Baseline Given'!L17</f>
        <v>-20948234.817583051</v>
      </c>
      <c r="AS16" s="105">
        <f>AQ16/'Baseline Given'!M17</f>
        <v>170231.11540880421</v>
      </c>
      <c r="AT16" s="105">
        <f t="shared" si="19"/>
        <v>-20.778003702174246</v>
      </c>
      <c r="AV16" s="105">
        <f t="shared" si="20"/>
        <v>-2810182.7152073663</v>
      </c>
      <c r="AW16" s="106">
        <f t="shared" si="21"/>
        <v>1435858.7783588707</v>
      </c>
      <c r="AX16" s="105">
        <f>AV16*'Baseline Given'!K17/'Baseline Given'!L17</f>
        <v>-17553172.994374581</v>
      </c>
      <c r="AY16" s="105">
        <f>AW16/'Baseline Given'!M17</f>
        <v>133847.74223559166</v>
      </c>
      <c r="AZ16" s="105">
        <f t="shared" si="22"/>
        <v>-17.419325252138986</v>
      </c>
      <c r="BB16" s="105">
        <f t="shared" si="23"/>
        <v>-2249911.2515215557</v>
      </c>
      <c r="BC16" s="106">
        <f t="shared" si="24"/>
        <v>1175464.0202596192</v>
      </c>
      <c r="BD16" s="105">
        <f>BB16*'Baseline Given'!K17/'Baseline Given'!L17</f>
        <v>-14053563.565895554</v>
      </c>
      <c r="BE16" s="105">
        <f>BC16/'Baseline Given'!M17</f>
        <v>109574.28931189697</v>
      </c>
      <c r="BF16" s="105">
        <f t="shared" si="25"/>
        <v>-13.943989276583657</v>
      </c>
      <c r="BH16" s="105">
        <f t="shared" si="26"/>
        <v>-1667552.7961750198</v>
      </c>
      <c r="BI16" s="107">
        <f t="shared" si="27"/>
        <v>1004975.2933340461</v>
      </c>
      <c r="BJ16" s="105">
        <f>BH16*'Baseline Given'!K17/'Baseline Given'!L17</f>
        <v>-10415992.721794693</v>
      </c>
      <c r="BK16" s="105">
        <f>BI16/'Baseline Given'!M17</f>
        <v>93681.687950577776</v>
      </c>
      <c r="BL16" s="105">
        <f t="shared" si="28"/>
        <v>-10.322311033844116</v>
      </c>
      <c r="BN16" s="105">
        <f t="shared" si="29"/>
        <v>-1070104.7694728319</v>
      </c>
      <c r="BO16" s="106">
        <f t="shared" si="30"/>
        <v>906662.72337356117</v>
      </c>
      <c r="BP16" s="105">
        <f>BN16*'Baseline Given'!K17/'Baseline Given'!L17</f>
        <v>-6684168.2709858511</v>
      </c>
      <c r="BQ16" s="105">
        <f>BO16/'Baseline Given'!M17</f>
        <v>84517.196483227715</v>
      </c>
      <c r="BR16" s="105">
        <f t="shared" si="31"/>
        <v>-6.5996510745026233</v>
      </c>
      <c r="BT16" s="105">
        <f t="shared" si="32"/>
        <v>-470643.24585715029</v>
      </c>
      <c r="BU16" s="106">
        <f t="shared" si="33"/>
        <v>872640</v>
      </c>
      <c r="BV16" s="105">
        <f>BT16*'Baseline Given'!K17/'Baseline Given'!L17</f>
        <v>-2939766.9654924618</v>
      </c>
      <c r="BW16" s="105">
        <f>BU16/'Baseline Given'!M17</f>
        <v>81345.669605450676</v>
      </c>
      <c r="BX16" s="105">
        <f t="shared" si="34"/>
        <v>-2.8584212958870112</v>
      </c>
      <c r="BZ16" s="104">
        <v>150</v>
      </c>
      <c r="CA16" s="104">
        <v>-150</v>
      </c>
    </row>
    <row r="17" spans="1:79" ht="15" customHeight="1" x14ac:dyDescent="0.25">
      <c r="A17" s="18">
        <f>'Baseline Given'!E18</f>
        <v>15</v>
      </c>
      <c r="B17" s="18">
        <f t="shared" si="35"/>
        <v>53</v>
      </c>
      <c r="C17" s="18">
        <f t="shared" si="0"/>
        <v>26.5</v>
      </c>
      <c r="D17" s="18">
        <f t="shared" si="36"/>
        <v>15</v>
      </c>
      <c r="E17" s="18">
        <f t="shared" si="37"/>
        <v>12.75</v>
      </c>
      <c r="F17" s="18">
        <f t="shared" si="38"/>
        <v>25.75</v>
      </c>
      <c r="G17" s="18">
        <f t="shared" si="39"/>
        <v>38.75</v>
      </c>
      <c r="H17" s="18">
        <f t="shared" si="40"/>
        <v>53</v>
      </c>
      <c r="J17" s="104">
        <f t="shared" si="41"/>
        <v>14</v>
      </c>
      <c r="K17" s="104">
        <f t="shared" si="42"/>
        <v>0.24434609527920614</v>
      </c>
      <c r="L17" s="105">
        <f t="shared" si="1"/>
        <v>29.574951737059379</v>
      </c>
      <c r="M17" s="104">
        <f t="shared" si="2"/>
        <v>39854586.46215415</v>
      </c>
      <c r="N17" s="104">
        <f t="shared" si="3"/>
        <v>4042737.2612291067</v>
      </c>
      <c r="O17" s="104">
        <f t="shared" si="43"/>
        <v>1050558.5887535471</v>
      </c>
      <c r="P17" s="104">
        <f t="shared" si="4"/>
        <v>3922650.6870273291</v>
      </c>
      <c r="R17" s="105">
        <f t="shared" si="5"/>
        <v>-3256460.9323748853</v>
      </c>
      <c r="S17" s="106">
        <f t="shared" si="6"/>
        <v>29703312.283234291</v>
      </c>
      <c r="T17" s="105">
        <f>R17*'Baseline Given'!K18/'Baseline Given'!L18</f>
        <v>-20485466.092783745</v>
      </c>
      <c r="U17" s="105">
        <f>S17/'Baseline Given'!M18</f>
        <v>2798683.0609163539</v>
      </c>
      <c r="V17" s="105">
        <f t="shared" si="7"/>
        <v>-17.686783031867392</v>
      </c>
      <c r="X17" s="105">
        <f t="shared" si="8"/>
        <v>-6104596.9015201684</v>
      </c>
      <c r="Y17" s="106">
        <f t="shared" si="9"/>
        <v>7123852.6818192285</v>
      </c>
      <c r="Z17" s="105">
        <f>X17*'Baseline Given'!K18/'Baseline Given'!L18</f>
        <v>-38402276.407782093</v>
      </c>
      <c r="AA17" s="105">
        <f>Y17/'Baseline Given'!M18</f>
        <v>671218.26814999571</v>
      </c>
      <c r="AB17" s="105">
        <f t="shared" si="10"/>
        <v>-37.731058139632097</v>
      </c>
      <c r="AD17" s="105">
        <f t="shared" si="11"/>
        <v>-4453290.1763062105</v>
      </c>
      <c r="AE17" s="106">
        <f t="shared" si="12"/>
        <v>3607289.6535738795</v>
      </c>
      <c r="AF17" s="105">
        <f>AD17*'Baseline Given'!K18/'Baseline Given'!L18</f>
        <v>-28014377.203511201</v>
      </c>
      <c r="AG17" s="105">
        <f>AE17/'Baseline Given'!M18</f>
        <v>339883.32186691603</v>
      </c>
      <c r="AH17" s="105">
        <f t="shared" si="13"/>
        <v>-27.674493881644285</v>
      </c>
      <c r="AJ17" s="105">
        <f t="shared" si="14"/>
        <v>-3756243.2778062373</v>
      </c>
      <c r="AK17" s="106">
        <f t="shared" si="15"/>
        <v>2431279.3865145431</v>
      </c>
      <c r="AL17" s="105">
        <f>AJ17*'Baseline Given'!K18/'Baseline Given'!L18</f>
        <v>-23629454.153355777</v>
      </c>
      <c r="AM17" s="105">
        <f>AK17/'Baseline Given'!M18</f>
        <v>229078.17049191566</v>
      </c>
      <c r="AN17" s="105">
        <f t="shared" si="16"/>
        <v>-23.400375982863864</v>
      </c>
      <c r="AP17" s="105">
        <f t="shared" si="17"/>
        <v>-3215906.8775195079</v>
      </c>
      <c r="AQ17" s="106">
        <f t="shared" si="18"/>
        <v>1810003.3504383261</v>
      </c>
      <c r="AR17" s="105">
        <f>AP17*'Baseline Given'!K18/'Baseline Given'!L18</f>
        <v>-20230352.110790156</v>
      </c>
      <c r="AS17" s="105">
        <f>AQ17/'Baseline Given'!M18</f>
        <v>170540.76894760414</v>
      </c>
      <c r="AT17" s="105">
        <f t="shared" si="19"/>
        <v>-20.059811341842551</v>
      </c>
      <c r="AV17" s="105">
        <f t="shared" si="20"/>
        <v>-2694693.1685122522</v>
      </c>
      <c r="AW17" s="106">
        <f t="shared" si="21"/>
        <v>1419698.7783588704</v>
      </c>
      <c r="AX17" s="105">
        <f>AV17*'Baseline Given'!K18/'Baseline Given'!L18</f>
        <v>-16951545.460045107</v>
      </c>
      <c r="AY17" s="105">
        <f>AW17/'Baseline Given'!M18</f>
        <v>133765.78627694969</v>
      </c>
      <c r="AZ17" s="105">
        <f t="shared" si="22"/>
        <v>-16.817779673768154</v>
      </c>
      <c r="BB17" s="105">
        <f t="shared" si="23"/>
        <v>-2157684.6626796294</v>
      </c>
      <c r="BC17" s="106">
        <f t="shared" si="24"/>
        <v>1159304.0202596192</v>
      </c>
      <c r="BD17" s="105">
        <f>BB17*'Baseline Given'!K18/'Baseline Given'!L18</f>
        <v>-13573378.251465118</v>
      </c>
      <c r="BE17" s="105">
        <f>BC17/'Baseline Given'!M18</f>
        <v>109231.06800396004</v>
      </c>
      <c r="BF17" s="105">
        <f t="shared" si="25"/>
        <v>-13.464147183461158</v>
      </c>
      <c r="BH17" s="105">
        <f t="shared" si="26"/>
        <v>-1599661.5010564639</v>
      </c>
      <c r="BI17" s="107">
        <f t="shared" si="27"/>
        <v>988815.29333404615</v>
      </c>
      <c r="BJ17" s="105">
        <f>BH17*'Baseline Given'!K18/'Baseline Given'!L18</f>
        <v>-10063013.842430849</v>
      </c>
      <c r="BK17" s="105">
        <f>BI17/'Baseline Given'!M18</f>
        <v>93167.407911980525</v>
      </c>
      <c r="BL17" s="105">
        <f t="shared" si="28"/>
        <v>-9.9698464345188675</v>
      </c>
      <c r="BN17" s="105">
        <f t="shared" si="29"/>
        <v>-1027281.585434194</v>
      </c>
      <c r="BO17" s="106">
        <f t="shared" si="30"/>
        <v>890502.72337356117</v>
      </c>
      <c r="BP17" s="105">
        <f>BN17*'Baseline Given'!K18/'Baseline Given'!L18</f>
        <v>-6462335.1924587665</v>
      </c>
      <c r="BQ17" s="105">
        <f>BO17/'Baseline Given'!M18</f>
        <v>83904.275181195277</v>
      </c>
      <c r="BR17" s="105">
        <f t="shared" si="31"/>
        <v>-6.3784309172775711</v>
      </c>
      <c r="BT17" s="105">
        <f t="shared" si="32"/>
        <v>-453049.10582510725</v>
      </c>
      <c r="BU17" s="106">
        <f t="shared" si="33"/>
        <v>856480</v>
      </c>
      <c r="BV17" s="105">
        <f>BT17*'Baseline Given'!K18/'Baseline Given'!L18</f>
        <v>-2850002.5913032526</v>
      </c>
      <c r="BW17" s="105">
        <f>BU17/'Baseline Given'!M18</f>
        <v>80698.611830122682</v>
      </c>
      <c r="BX17" s="105">
        <f t="shared" si="34"/>
        <v>-2.76930397947313</v>
      </c>
      <c r="BZ17" s="104">
        <v>150</v>
      </c>
      <c r="CA17" s="104">
        <v>-150</v>
      </c>
    </row>
    <row r="18" spans="1:79" ht="15" customHeight="1" x14ac:dyDescent="0.25">
      <c r="A18" s="18">
        <f>'Baseline Given'!E19</f>
        <v>16</v>
      </c>
      <c r="B18" s="18">
        <f t="shared" si="35"/>
        <v>52</v>
      </c>
      <c r="C18" s="18">
        <f t="shared" si="0"/>
        <v>26</v>
      </c>
      <c r="D18" s="18">
        <f t="shared" si="36"/>
        <v>16</v>
      </c>
      <c r="E18" s="18">
        <f t="shared" si="37"/>
        <v>11.75</v>
      </c>
      <c r="F18" s="18">
        <f t="shared" si="38"/>
        <v>24.75</v>
      </c>
      <c r="G18" s="18">
        <f t="shared" si="39"/>
        <v>37.75</v>
      </c>
      <c r="H18" s="18">
        <f t="shared" si="40"/>
        <v>52</v>
      </c>
      <c r="J18" s="104">
        <f t="shared" si="41"/>
        <v>15</v>
      </c>
      <c r="K18" s="104">
        <f t="shared" si="42"/>
        <v>0.26179938779914941</v>
      </c>
      <c r="L18" s="105">
        <f t="shared" si="1"/>
        <v>31.64062826378316</v>
      </c>
      <c r="M18" s="104">
        <f t="shared" si="2"/>
        <v>39675094.218559071</v>
      </c>
      <c r="N18" s="104">
        <f t="shared" si="3"/>
        <v>3761786.3230584846</v>
      </c>
      <c r="O18" s="104">
        <f t="shared" si="43"/>
        <v>1045827.2106396999</v>
      </c>
      <c r="P18" s="104">
        <f t="shared" si="4"/>
        <v>3633606.5624231827</v>
      </c>
      <c r="R18" s="105">
        <f t="shared" si="5"/>
        <v>-3096990.5292879548</v>
      </c>
      <c r="S18" s="106">
        <f t="shared" si="6"/>
        <v>29687152.283234291</v>
      </c>
      <c r="T18" s="105">
        <f>R18*'Baseline Given'!K19/'Baseline Given'!L19</f>
        <v>-19621885.660082605</v>
      </c>
      <c r="U18" s="105">
        <f>S18/'Baseline Given'!M19</f>
        <v>2827430.3587587452</v>
      </c>
      <c r="V18" s="105">
        <f t="shared" si="7"/>
        <v>-16.794455301323861</v>
      </c>
      <c r="X18" s="105">
        <f t="shared" si="8"/>
        <v>-5835000.8972158246</v>
      </c>
      <c r="Y18" s="106">
        <f t="shared" si="9"/>
        <v>7107692.6818192285</v>
      </c>
      <c r="Z18" s="105">
        <f>X18*'Baseline Given'!K19/'Baseline Given'!L19</f>
        <v>-36969347.93596936</v>
      </c>
      <c r="AA18" s="105">
        <f>Y18/'Baseline Given'!M19</f>
        <v>676942.87001897709</v>
      </c>
      <c r="AB18" s="105">
        <f t="shared" si="10"/>
        <v>-36.292405065950383</v>
      </c>
      <c r="AD18" s="105">
        <f t="shared" si="11"/>
        <v>-4249312.5617479598</v>
      </c>
      <c r="AE18" s="106">
        <f t="shared" si="12"/>
        <v>3591129.6535738795</v>
      </c>
      <c r="AF18" s="105">
        <f>AD18*'Baseline Given'!K19/'Baseline Given'!L19</f>
        <v>-26922757.571280461</v>
      </c>
      <c r="AG18" s="105">
        <f>AE18/'Baseline Given'!M19</f>
        <v>342022.33032933273</v>
      </c>
      <c r="AH18" s="105">
        <f t="shared" si="13"/>
        <v>-26.580735240951128</v>
      </c>
      <c r="AJ18" s="105">
        <f t="shared" si="14"/>
        <v>-3581768.3806531262</v>
      </c>
      <c r="AK18" s="106">
        <f t="shared" si="15"/>
        <v>2415119.3865145431</v>
      </c>
      <c r="AL18" s="105">
        <f>AJ18*'Baseline Given'!K19/'Baseline Given'!L19</f>
        <v>-22693336.954515502</v>
      </c>
      <c r="AM18" s="105">
        <f>AK18/'Baseline Given'!M19</f>
        <v>230018.08352343825</v>
      </c>
      <c r="AN18" s="105">
        <f t="shared" si="16"/>
        <v>-22.463318870992065</v>
      </c>
      <c r="AP18" s="105">
        <f t="shared" si="17"/>
        <v>-3065717.8913899269</v>
      </c>
      <c r="AQ18" s="106">
        <f t="shared" si="18"/>
        <v>1793843.3504383261</v>
      </c>
      <c r="AR18" s="105">
        <f>AP18*'Baseline Given'!K19/'Baseline Given'!L19</f>
        <v>-19423748.752875026</v>
      </c>
      <c r="AS18" s="105">
        <f>AQ18/'Baseline Given'!M19</f>
        <v>170847.21025098796</v>
      </c>
      <c r="AT18" s="105">
        <f t="shared" si="19"/>
        <v>-19.252901542624038</v>
      </c>
      <c r="AV18" s="105">
        <f t="shared" si="20"/>
        <v>-2568816.1740446081</v>
      </c>
      <c r="AW18" s="106">
        <f t="shared" si="21"/>
        <v>1403538.7783588704</v>
      </c>
      <c r="AX18" s="105">
        <f>AV18*'Baseline Given'!K19/'Baseline Given'!L19</f>
        <v>-16275483.173809715</v>
      </c>
      <c r="AY18" s="105">
        <f>AW18/'Baseline Given'!M19</f>
        <v>133674.2613021922</v>
      </c>
      <c r="AZ18" s="105">
        <f t="shared" si="22"/>
        <v>-16.141808912507521</v>
      </c>
      <c r="BB18" s="105">
        <f t="shared" si="23"/>
        <v>-2057378.0738377022</v>
      </c>
      <c r="BC18" s="106">
        <f t="shared" si="24"/>
        <v>1143144.0202596192</v>
      </c>
      <c r="BD18" s="105">
        <f>BB18*'Baseline Given'!K19/'Baseline Given'!L19</f>
        <v>-13035118.106636887</v>
      </c>
      <c r="BE18" s="105">
        <f>BC18/'Baseline Given'!M19</f>
        <v>108874.03670378044</v>
      </c>
      <c r="BF18" s="105">
        <f t="shared" si="25"/>
        <v>-12.926244069933107</v>
      </c>
      <c r="BH18" s="105">
        <f t="shared" si="26"/>
        <v>-1526243.1604217654</v>
      </c>
      <c r="BI18" s="107">
        <f t="shared" si="27"/>
        <v>972655.29333404615</v>
      </c>
      <c r="BJ18" s="105">
        <f>BH18*'Baseline Given'!K19/'Baseline Given'!L19</f>
        <v>-9669958.1416428946</v>
      </c>
      <c r="BK18" s="105">
        <f>BI18/'Baseline Given'!M19</f>
        <v>92636.541179235704</v>
      </c>
      <c r="BL18" s="105">
        <f t="shared" si="28"/>
        <v>-9.5773216004636588</v>
      </c>
      <c r="BN18" s="105">
        <f t="shared" si="29"/>
        <v>-981652.2468444577</v>
      </c>
      <c r="BO18" s="106">
        <f t="shared" si="30"/>
        <v>874342.72337356117</v>
      </c>
      <c r="BP18" s="105">
        <f>BN18*'Baseline Given'!K19/'Baseline Given'!L19</f>
        <v>-6219543.7678570263</v>
      </c>
      <c r="BQ18" s="105">
        <f>BO18/'Baseline Given'!M19</f>
        <v>83273.165995862131</v>
      </c>
      <c r="BR18" s="105">
        <f t="shared" si="31"/>
        <v>-6.1362706018611641</v>
      </c>
      <c r="BT18" s="105">
        <f t="shared" si="32"/>
        <v>-435454.96579306427</v>
      </c>
      <c r="BU18" s="106">
        <f t="shared" si="33"/>
        <v>840320</v>
      </c>
      <c r="BV18" s="105">
        <f>BT18*'Baseline Given'!K19/'Baseline Given'!L19</f>
        <v>-2758951.7849998679</v>
      </c>
      <c r="BW18" s="105">
        <f>BU18/'Baseline Given'!M19</f>
        <v>80032.81205297538</v>
      </c>
      <c r="BX18" s="105">
        <f t="shared" si="34"/>
        <v>-2.6789189729468923</v>
      </c>
      <c r="BZ18" s="104">
        <v>150</v>
      </c>
      <c r="CA18" s="104">
        <v>-150</v>
      </c>
    </row>
    <row r="19" spans="1:79" ht="15" customHeight="1" x14ac:dyDescent="0.25">
      <c r="A19" s="18">
        <f>'Baseline Given'!E20</f>
        <v>17</v>
      </c>
      <c r="B19" s="18">
        <f t="shared" si="35"/>
        <v>51</v>
      </c>
      <c r="C19" s="18">
        <f t="shared" si="0"/>
        <v>25.5</v>
      </c>
      <c r="D19" s="18">
        <f t="shared" si="36"/>
        <v>17</v>
      </c>
      <c r="E19" s="18">
        <f t="shared" si="37"/>
        <v>10.75</v>
      </c>
      <c r="F19" s="18">
        <f t="shared" si="38"/>
        <v>23.75</v>
      </c>
      <c r="G19" s="18">
        <f t="shared" si="39"/>
        <v>36.75</v>
      </c>
      <c r="H19" s="18">
        <f t="shared" si="40"/>
        <v>51</v>
      </c>
      <c r="J19" s="104">
        <f t="shared" si="41"/>
        <v>16</v>
      </c>
      <c r="K19" s="104">
        <f t="shared" si="42"/>
        <v>0.27925268031909273</v>
      </c>
      <c r="L19" s="105">
        <f t="shared" si="1"/>
        <v>33.696666748628147</v>
      </c>
      <c r="M19" s="104">
        <f t="shared" si="2"/>
        <v>39483516.556923747</v>
      </c>
      <c r="N19" s="104">
        <f t="shared" si="3"/>
        <v>3515200.7928378726</v>
      </c>
      <c r="O19" s="104">
        <f t="shared" si="43"/>
        <v>1040777.2634263366</v>
      </c>
      <c r="P19" s="104">
        <f t="shared" si="4"/>
        <v>3379027.8756870567</v>
      </c>
      <c r="R19" s="105">
        <f t="shared" si="5"/>
        <v>-2921369.9704363979</v>
      </c>
      <c r="S19" s="106">
        <f t="shared" si="6"/>
        <v>29670992.283234291</v>
      </c>
      <c r="T19" s="105">
        <f>R19*'Baseline Given'!K20/'Baseline Given'!L20</f>
        <v>-18642777.230247404</v>
      </c>
      <c r="U19" s="105">
        <f>S19/'Baseline Given'!M20</f>
        <v>2856638.4610878029</v>
      </c>
      <c r="V19" s="105">
        <f t="shared" si="7"/>
        <v>-15.786138769159601</v>
      </c>
      <c r="X19" s="105">
        <f t="shared" si="8"/>
        <v>-5549490.3996228054</v>
      </c>
      <c r="Y19" s="106">
        <f t="shared" si="9"/>
        <v>7091532.6818192285</v>
      </c>
      <c r="Z19" s="105">
        <f>X19*'Baseline Given'!K20/'Baseline Given'!L20</f>
        <v>-35414177.015761524</v>
      </c>
      <c r="AA19" s="105">
        <f>Y19/'Baseline Given'!M20</f>
        <v>682752.52858303534</v>
      </c>
      <c r="AB19" s="105">
        <f t="shared" si="10"/>
        <v>-34.731424487178487</v>
      </c>
      <c r="AD19" s="105">
        <f t="shared" si="11"/>
        <v>-4030149.5144378068</v>
      </c>
      <c r="AE19" s="106">
        <f t="shared" si="12"/>
        <v>3574969.6535738795</v>
      </c>
      <c r="AF19" s="105">
        <f>AD19*'Baseline Given'!K20/'Baseline Given'!L20</f>
        <v>-25718474.675438076</v>
      </c>
      <c r="AG19" s="105">
        <f>AE19/'Baseline Given'!M20</f>
        <v>344187.87589356885</v>
      </c>
      <c r="AH19" s="105">
        <f t="shared" si="13"/>
        <v>-25.374286799544507</v>
      </c>
      <c r="AJ19" s="105">
        <f t="shared" si="14"/>
        <v>-3393298.5129748592</v>
      </c>
      <c r="AK19" s="106">
        <f t="shared" si="15"/>
        <v>2398959.3865145431</v>
      </c>
      <c r="AL19" s="105">
        <f>AJ19*'Baseline Given'!K20/'Baseline Given'!L20</f>
        <v>-21654398.071213879</v>
      </c>
      <c r="AM19" s="105">
        <f>AK19/'Baseline Given'!M20</f>
        <v>230964.9635134493</v>
      </c>
      <c r="AN19" s="105">
        <f t="shared" si="16"/>
        <v>-21.423433107700429</v>
      </c>
      <c r="AP19" s="105">
        <f t="shared" si="17"/>
        <v>-2903149.6270595416</v>
      </c>
      <c r="AQ19" s="106">
        <f t="shared" si="18"/>
        <v>1777683.3504383261</v>
      </c>
      <c r="AR19" s="105">
        <f>AP19*'Baseline Given'!K20/'Baseline Given'!L20</f>
        <v>-18526503.767430026</v>
      </c>
      <c r="AS19" s="105">
        <f>AQ19/'Baseline Given'!M20</f>
        <v>171150.27977567859</v>
      </c>
      <c r="AT19" s="105">
        <f t="shared" si="19"/>
        <v>-18.355353487654348</v>
      </c>
      <c r="AV19" s="105">
        <f t="shared" si="20"/>
        <v>-2432551.7318044277</v>
      </c>
      <c r="AW19" s="106">
        <f t="shared" si="21"/>
        <v>1387378.7783588704</v>
      </c>
      <c r="AX19" s="105">
        <f>AV19*'Baseline Given'!K20/'Baseline Given'!L20</f>
        <v>-15523374.477046505</v>
      </c>
      <c r="AY19" s="105">
        <f>AW19/'Baseline Given'!M20</f>
        <v>133572.86943842465</v>
      </c>
      <c r="AZ19" s="105">
        <f t="shared" si="22"/>
        <v>-15.38980160760808</v>
      </c>
      <c r="BB19" s="105">
        <f t="shared" si="23"/>
        <v>-1948991.4849957759</v>
      </c>
      <c r="BC19" s="106">
        <f t="shared" si="24"/>
        <v>1126984.0202596192</v>
      </c>
      <c r="BD19" s="105">
        <f>BB19*'Baseline Given'!K20/'Baseline Given'!L20</f>
        <v>-12437525.697232252</v>
      </c>
      <c r="BE19" s="105">
        <f>BC19/'Baseline Given'!M20</f>
        <v>108502.80525077385</v>
      </c>
      <c r="BF19" s="105">
        <f t="shared" si="25"/>
        <v>-12.329022891981479</v>
      </c>
      <c r="BH19" s="105">
        <f t="shared" si="26"/>
        <v>-1447297.7742709243</v>
      </c>
      <c r="BI19" s="107">
        <f t="shared" si="27"/>
        <v>956495.29333404615</v>
      </c>
      <c r="BJ19" s="105">
        <f>BH19*'Baseline Given'!K20/'Baseline Given'!L20</f>
        <v>-9235957.8775074426</v>
      </c>
      <c r="BK19" s="105">
        <f>BI19/'Baseline Given'!M20</f>
        <v>92088.637168074332</v>
      </c>
      <c r="BL19" s="105">
        <f t="shared" si="28"/>
        <v>-9.1438692403393684</v>
      </c>
      <c r="BN19" s="105">
        <f t="shared" si="29"/>
        <v>-933216.75370362401</v>
      </c>
      <c r="BO19" s="106">
        <f t="shared" si="30"/>
        <v>858182.72337356117</v>
      </c>
      <c r="BP19" s="105">
        <f>BN19*'Baseline Given'!K20/'Baseline Given'!L20</f>
        <v>-5955340.2078109346</v>
      </c>
      <c r="BQ19" s="105">
        <f>BO19/'Baseline Given'!M20</f>
        <v>82623.383499554504</v>
      </c>
      <c r="BR19" s="105">
        <f t="shared" si="31"/>
        <v>-5.8727168243113805</v>
      </c>
      <c r="BT19" s="105">
        <f t="shared" si="32"/>
        <v>-417860.82576102123</v>
      </c>
      <c r="BU19" s="106">
        <f t="shared" si="33"/>
        <v>824160</v>
      </c>
      <c r="BV19" s="105">
        <f>BT19*'Baseline Given'!K20/'Baseline Given'!L20</f>
        <v>-2666586.6927995607</v>
      </c>
      <c r="BW19" s="105">
        <f>BU19/'Baseline Given'!M20</f>
        <v>79347.77278818698</v>
      </c>
      <c r="BX19" s="105">
        <f t="shared" si="34"/>
        <v>-2.5872389200113739</v>
      </c>
      <c r="BZ19" s="104">
        <v>150</v>
      </c>
      <c r="CA19" s="104">
        <v>-150</v>
      </c>
    </row>
    <row r="20" spans="1:79" ht="15" customHeight="1" x14ac:dyDescent="0.25">
      <c r="A20" s="18">
        <f>'Baseline Given'!E21</f>
        <v>18</v>
      </c>
      <c r="B20" s="18">
        <f t="shared" si="35"/>
        <v>50</v>
      </c>
      <c r="C20" s="18">
        <f t="shared" si="0"/>
        <v>25</v>
      </c>
      <c r="D20" s="18">
        <f t="shared" si="36"/>
        <v>18</v>
      </c>
      <c r="E20" s="18">
        <f t="shared" si="37"/>
        <v>9.75</v>
      </c>
      <c r="F20" s="18">
        <f t="shared" si="38"/>
        <v>22.75</v>
      </c>
      <c r="G20" s="18">
        <f t="shared" si="39"/>
        <v>35.75</v>
      </c>
      <c r="H20" s="18">
        <f t="shared" si="40"/>
        <v>50</v>
      </c>
      <c r="J20" s="104">
        <f t="shared" si="41"/>
        <v>17</v>
      </c>
      <c r="K20" s="104">
        <f t="shared" si="42"/>
        <v>0.29670597283903605</v>
      </c>
      <c r="L20" s="105">
        <f t="shared" si="1"/>
        <v>35.742440902354573</v>
      </c>
      <c r="M20" s="104">
        <f t="shared" si="2"/>
        <v>39279911.833659776</v>
      </c>
      <c r="N20" s="104">
        <f t="shared" si="3"/>
        <v>3296913.4878870714</v>
      </c>
      <c r="O20" s="104">
        <f t="shared" si="43"/>
        <v>1035410.2853762978</v>
      </c>
      <c r="P20" s="104">
        <f t="shared" si="4"/>
        <v>3152854.0484650857</v>
      </c>
      <c r="R20" s="105">
        <f t="shared" si="5"/>
        <v>-2729599.2558202092</v>
      </c>
      <c r="S20" s="106">
        <f t="shared" si="6"/>
        <v>29654832.283234291</v>
      </c>
      <c r="T20" s="105">
        <f>R20*'Baseline Given'!K21/'Baseline Given'!L21</f>
        <v>-17545621.210448861</v>
      </c>
      <c r="U20" s="105">
        <f>S20/'Baseline Given'!M21</f>
        <v>2886317.3586957469</v>
      </c>
      <c r="V20" s="105">
        <f t="shared" si="7"/>
        <v>-14.659303851753114</v>
      </c>
      <c r="X20" s="105">
        <f t="shared" si="8"/>
        <v>-5248065.4087411119</v>
      </c>
      <c r="Y20" s="106">
        <f t="shared" si="9"/>
        <v>7075372.6818192285</v>
      </c>
      <c r="Z20" s="105">
        <f>X20*'Baseline Given'!K21/'Baseline Given'!L21</f>
        <v>-33734097.616377763</v>
      </c>
      <c r="AA20" s="105">
        <f>Y20/'Baseline Given'!M21</f>
        <v>688649.01327808911</v>
      </c>
      <c r="AB20" s="105">
        <f t="shared" si="10"/>
        <v>-33.045448603099672</v>
      </c>
      <c r="AD20" s="105">
        <f t="shared" si="11"/>
        <v>-3795801.034375756</v>
      </c>
      <c r="AE20" s="106">
        <f t="shared" si="12"/>
        <v>3558809.6535738795</v>
      </c>
      <c r="AF20" s="105">
        <f>AD20*'Baseline Given'!K21/'Baseline Given'!L21</f>
        <v>-24399071.401188035</v>
      </c>
      <c r="AG20" s="105">
        <f>AE20/'Baseline Given'!M21</f>
        <v>346380.4475876803</v>
      </c>
      <c r="AH20" s="105">
        <f t="shared" si="13"/>
        <v>-24.052690953600354</v>
      </c>
      <c r="AJ20" s="105">
        <f t="shared" si="14"/>
        <v>-3190833.6747714365</v>
      </c>
      <c r="AK20" s="106">
        <f t="shared" si="15"/>
        <v>2382799.3865145431</v>
      </c>
      <c r="AL20" s="105">
        <f>AJ20*'Baseline Given'!K21/'Baseline Given'!L21</f>
        <v>-20510395.027295459</v>
      </c>
      <c r="AM20" s="105">
        <f>AK20/'Baseline Given'!M21</f>
        <v>231918.87129554889</v>
      </c>
      <c r="AN20" s="105">
        <f t="shared" si="16"/>
        <v>-20.278476155999911</v>
      </c>
      <c r="AP20" s="105">
        <f t="shared" si="17"/>
        <v>-2728202.0845283531</v>
      </c>
      <c r="AQ20" s="106">
        <f t="shared" si="18"/>
        <v>1761523.3504383261</v>
      </c>
      <c r="AR20" s="105">
        <f>AP20*'Baseline Given'!K21/'Baseline Given'!L21</f>
        <v>-17536640.31766735</v>
      </c>
      <c r="AS20" s="105">
        <f>AQ20/'Baseline Given'!M21</f>
        <v>171449.81214385453</v>
      </c>
      <c r="AT20" s="105">
        <f t="shared" si="19"/>
        <v>-17.365190505523497</v>
      </c>
      <c r="AV20" s="105">
        <f t="shared" si="20"/>
        <v>-2285899.8417917145</v>
      </c>
      <c r="AW20" s="106">
        <f t="shared" si="21"/>
        <v>1371218.7783588704</v>
      </c>
      <c r="AX20" s="105">
        <f>AV20*'Baseline Given'!K21/'Baseline Given'!L21</f>
        <v>-14693560.845454808</v>
      </c>
      <c r="AY20" s="105">
        <f>AW20/'Baseline Given'!M21</f>
        <v>133461.30319490482</v>
      </c>
      <c r="AZ20" s="105">
        <f t="shared" si="22"/>
        <v>-14.560099542259904</v>
      </c>
      <c r="BB20" s="105">
        <f t="shared" si="23"/>
        <v>-1832524.8961538458</v>
      </c>
      <c r="BC20" s="106">
        <f t="shared" si="24"/>
        <v>1110824.0202596192</v>
      </c>
      <c r="BD20" s="105">
        <f>BB20*'Baseline Given'!K21/'Baseline Given'!L21</f>
        <v>-11779307.023942979</v>
      </c>
      <c r="BE20" s="105">
        <f>BC20/'Baseline Given'!M21</f>
        <v>108116.97134244771</v>
      </c>
      <c r="BF20" s="105">
        <f t="shared" si="25"/>
        <v>-11.671190052600531</v>
      </c>
      <c r="BH20" s="105">
        <f t="shared" si="26"/>
        <v>-1362825.342603941</v>
      </c>
      <c r="BI20" s="107">
        <f t="shared" si="27"/>
        <v>940335.29333404615</v>
      </c>
      <c r="BJ20" s="105">
        <f>BH20*'Baseline Given'!K21/'Baseline Given'!L21</f>
        <v>-8760120.0748949554</v>
      </c>
      <c r="BK20" s="105">
        <f>BI20/'Baseline Given'!M21</f>
        <v>91523.23149973659</v>
      </c>
      <c r="BL20" s="105">
        <f t="shared" si="28"/>
        <v>-8.6685968433952176</v>
      </c>
      <c r="BN20" s="105">
        <f t="shared" si="29"/>
        <v>-881975.10601169313</v>
      </c>
      <c r="BO20" s="106">
        <f t="shared" si="30"/>
        <v>842022.72337356117</v>
      </c>
      <c r="BP20" s="105">
        <f>BN20*'Baseline Given'!K21/'Baseline Given'!L21</f>
        <v>-5669257.527137137</v>
      </c>
      <c r="BQ20" s="105">
        <f>BO20/'Baseline Given'!M21</f>
        <v>81954.42751714366</v>
      </c>
      <c r="BR20" s="105">
        <f t="shared" si="31"/>
        <v>-5.5873030996199926</v>
      </c>
      <c r="BT20" s="105">
        <f t="shared" si="32"/>
        <v>-400266.68572897825</v>
      </c>
      <c r="BU20" s="106">
        <f t="shared" si="33"/>
        <v>808000</v>
      </c>
      <c r="BV20" s="105">
        <f>BT20*'Baseline Given'!K21/'Baseline Given'!L21</f>
        <v>-2572878.6509549851</v>
      </c>
      <c r="BW20" s="105">
        <f>BU20/'Baseline Given'!M21</f>
        <v>78642.981472691346</v>
      </c>
      <c r="BX20" s="105">
        <f t="shared" si="34"/>
        <v>-2.4942356694822934</v>
      </c>
      <c r="BZ20" s="104">
        <v>150</v>
      </c>
      <c r="CA20" s="104">
        <v>-150</v>
      </c>
    </row>
    <row r="21" spans="1:79" ht="15" customHeight="1" x14ac:dyDescent="0.25">
      <c r="A21" s="18">
        <f>'Baseline Given'!E22</f>
        <v>19</v>
      </c>
      <c r="B21" s="18">
        <f t="shared" si="35"/>
        <v>49</v>
      </c>
      <c r="C21" s="18">
        <f t="shared" si="0"/>
        <v>24.5</v>
      </c>
      <c r="D21" s="18">
        <f t="shared" si="36"/>
        <v>19</v>
      </c>
      <c r="E21" s="18">
        <f t="shared" si="37"/>
        <v>8.75</v>
      </c>
      <c r="F21" s="18">
        <f t="shared" si="38"/>
        <v>21.75</v>
      </c>
      <c r="G21" s="18">
        <f t="shared" si="39"/>
        <v>34.75</v>
      </c>
      <c r="H21" s="18">
        <f t="shared" si="40"/>
        <v>49</v>
      </c>
      <c r="J21" s="104">
        <f t="shared" si="41"/>
        <v>18</v>
      </c>
      <c r="K21" s="104">
        <f t="shared" si="42"/>
        <v>0.31415926535897931</v>
      </c>
      <c r="L21" s="105">
        <f t="shared" si="1"/>
        <v>37.777327562337319</v>
      </c>
      <c r="M21" s="104">
        <f t="shared" si="2"/>
        <v>39064342.068738222</v>
      </c>
      <c r="N21" s="104">
        <f t="shared" si="3"/>
        <v>3102205.3111838442</v>
      </c>
      <c r="O21" s="104">
        <f t="shared" si="43"/>
        <v>1029727.9113230886</v>
      </c>
      <c r="P21" s="104">
        <f t="shared" si="4"/>
        <v>2950372.5760868294</v>
      </c>
      <c r="R21" s="105">
        <f t="shared" si="5"/>
        <v>-2521678.3854393922</v>
      </c>
      <c r="S21" s="106">
        <f t="shared" si="6"/>
        <v>29638672.283234291</v>
      </c>
      <c r="T21" s="105">
        <f>R21*'Baseline Given'!K22/'Baseline Given'!L22</f>
        <v>-16327824.203673972</v>
      </c>
      <c r="U21" s="105">
        <f>S21/'Baseline Given'!M22</f>
        <v>2916477.3156134784</v>
      </c>
      <c r="V21" s="105">
        <f t="shared" si="7"/>
        <v>-13.411346888060493</v>
      </c>
      <c r="X21" s="105">
        <f t="shared" si="8"/>
        <v>-4930725.9245707374</v>
      </c>
      <c r="Y21" s="106">
        <f t="shared" si="9"/>
        <v>7059212.6818192285</v>
      </c>
      <c r="Z21" s="105">
        <f>X21*'Baseline Given'!K22/'Baseline Given'!L22</f>
        <v>-31926365.613377225</v>
      </c>
      <c r="AA21" s="105">
        <f>Y21/'Baseline Given'!M22</f>
        <v>694634.14068864356</v>
      </c>
      <c r="AB21" s="105">
        <f t="shared" si="10"/>
        <v>-31.231731472688583</v>
      </c>
      <c r="AD21" s="105">
        <f t="shared" si="11"/>
        <v>-3546267.1215618029</v>
      </c>
      <c r="AE21" s="106">
        <f t="shared" si="12"/>
        <v>3542649.6535738795</v>
      </c>
      <c r="AF21" s="105">
        <f>AD21*'Baseline Given'!K22/'Baseline Given'!L22</f>
        <v>-22962018.659663733</v>
      </c>
      <c r="AG21" s="105">
        <f>AE21/'Baseline Given'!M22</f>
        <v>348600.5463766575</v>
      </c>
      <c r="AH21" s="105">
        <f t="shared" si="13"/>
        <v>-22.613418113287075</v>
      </c>
      <c r="AJ21" s="105">
        <f t="shared" si="14"/>
        <v>-2974373.866042858</v>
      </c>
      <c r="AK21" s="106">
        <f t="shared" si="15"/>
        <v>2366639.3865145431</v>
      </c>
      <c r="AL21" s="105">
        <f>AJ21*'Baseline Given'!K22/'Baseline Given'!L22</f>
        <v>-19259019.659752384</v>
      </c>
      <c r="AM21" s="105">
        <f>AK21/'Baseline Given'!M22</f>
        <v>232879.86786477815</v>
      </c>
      <c r="AN21" s="105">
        <f t="shared" si="16"/>
        <v>-19.026139791887609</v>
      </c>
      <c r="AP21" s="105">
        <f t="shared" si="17"/>
        <v>-2540875.263796364</v>
      </c>
      <c r="AQ21" s="106">
        <f t="shared" si="18"/>
        <v>1745363.3504383261</v>
      </c>
      <c r="AR21" s="105">
        <f>AP21*'Baseline Given'!K22/'Baseline Given'!L22</f>
        <v>-16452123.661083698</v>
      </c>
      <c r="AS21" s="105">
        <f>AQ21/'Baseline Given'!M22</f>
        <v>171745.63591824434</v>
      </c>
      <c r="AT21" s="105">
        <f t="shared" si="19"/>
        <v>-16.280378025165454</v>
      </c>
      <c r="AV21" s="105">
        <f t="shared" si="20"/>
        <v>-2128860.5040064622</v>
      </c>
      <c r="AW21" s="106">
        <f t="shared" si="21"/>
        <v>1355058.7783588704</v>
      </c>
      <c r="AX21" s="105">
        <f>AV21*'Baseline Given'!K22/'Baseline Given'!L22</f>
        <v>-13784335.173061952</v>
      </c>
      <c r="AY21" s="105">
        <f>AW21/'Baseline Given'!M22</f>
        <v>133339.24511328683</v>
      </c>
      <c r="AZ21" s="105">
        <f t="shared" si="22"/>
        <v>-13.650995927948665</v>
      </c>
      <c r="BB21" s="105">
        <f t="shared" si="23"/>
        <v>-1707978.3073119195</v>
      </c>
      <c r="BC21" s="106">
        <f t="shared" si="24"/>
        <v>1094664.0202596192</v>
      </c>
      <c r="BD21" s="105">
        <f>BB21*'Baseline Given'!K22/'Baseline Given'!L22</f>
        <v>-11059130.183494186</v>
      </c>
      <c r="BE21" s="105">
        <f>BC21/'Baseline Given'!M22</f>
        <v>107716.12010135049</v>
      </c>
      <c r="BF21" s="105">
        <f t="shared" si="25"/>
        <v>-10.951414063392834</v>
      </c>
      <c r="BH21" s="105">
        <f t="shared" si="26"/>
        <v>-1272825.8654208151</v>
      </c>
      <c r="BI21" s="107">
        <f t="shared" si="27"/>
        <v>924175.29333404615</v>
      </c>
      <c r="BJ21" s="105">
        <f>BH21*'Baseline Given'!K22/'Baseline Given'!L22</f>
        <v>-8241525.6015524743</v>
      </c>
      <c r="BK21" s="105">
        <f>BI21/'Baseline Given'!M22</f>
        <v>90939.845513385197</v>
      </c>
      <c r="BL21" s="105">
        <f t="shared" si="28"/>
        <v>-8.1505857560390886</v>
      </c>
      <c r="BN21" s="105">
        <f t="shared" si="29"/>
        <v>-827927.3037686632</v>
      </c>
      <c r="BO21" s="106">
        <f t="shared" si="30"/>
        <v>825862.72337356117</v>
      </c>
      <c r="BP21" s="105">
        <f>BN21*'Baseline Given'!K22/'Baseline Given'!L22</f>
        <v>-5360815.0616721148</v>
      </c>
      <c r="BQ21" s="105">
        <f>BO21/'Baseline Given'!M22</f>
        <v>81265.782607011002</v>
      </c>
      <c r="BR21" s="105">
        <f t="shared" si="31"/>
        <v>-5.2795492790651046</v>
      </c>
      <c r="BT21" s="105">
        <f t="shared" si="32"/>
        <v>-382672.54569693527</v>
      </c>
      <c r="BU21" s="106">
        <f t="shared" si="33"/>
        <v>791840</v>
      </c>
      <c r="BV21" s="105">
        <f>BT21*'Baseline Given'!K22/'Baseline Given'!L22</f>
        <v>-2477798.1560972254</v>
      </c>
      <c r="BW21" s="105">
        <f>BU21/'Baseline Given'!M22</f>
        <v>77917.909936260068</v>
      </c>
      <c r="BX21" s="105">
        <f t="shared" si="34"/>
        <v>-2.3998802461609654</v>
      </c>
      <c r="BZ21" s="104">
        <v>150</v>
      </c>
      <c r="CA21" s="104">
        <v>-150</v>
      </c>
    </row>
    <row r="22" spans="1:79" ht="15" customHeight="1" x14ac:dyDescent="0.25">
      <c r="A22" s="18">
        <f>'Baseline Given'!E23</f>
        <v>20</v>
      </c>
      <c r="B22" s="18">
        <f t="shared" si="35"/>
        <v>48</v>
      </c>
      <c r="C22" s="18">
        <f t="shared" si="0"/>
        <v>24</v>
      </c>
      <c r="D22" s="18">
        <f t="shared" si="36"/>
        <v>20</v>
      </c>
      <c r="E22" s="18">
        <f t="shared" si="37"/>
        <v>7.75</v>
      </c>
      <c r="F22" s="18">
        <f t="shared" si="38"/>
        <v>20.75</v>
      </c>
      <c r="G22" s="18">
        <f t="shared" si="39"/>
        <v>33.75</v>
      </c>
      <c r="H22" s="18">
        <f t="shared" si="40"/>
        <v>48</v>
      </c>
      <c r="J22" s="104">
        <f t="shared" si="41"/>
        <v>19</v>
      </c>
      <c r="K22" s="104">
        <f t="shared" si="42"/>
        <v>0.33161255787892258</v>
      </c>
      <c r="L22" s="105">
        <f t="shared" si="1"/>
        <v>39.800706882387402</v>
      </c>
      <c r="M22" s="104">
        <f t="shared" si="2"/>
        <v>38836872.926797748</v>
      </c>
      <c r="N22" s="109">
        <f t="shared" si="3"/>
        <v>2927350.4896454862</v>
      </c>
      <c r="O22" s="104">
        <f t="shared" si="43"/>
        <v>1023731.8721728923</v>
      </c>
      <c r="P22" s="104">
        <f t="shared" si="4"/>
        <v>2767864.2652495629</v>
      </c>
      <c r="R22" s="105">
        <f t="shared" si="5"/>
        <v>-2297607.359293947</v>
      </c>
      <c r="S22" s="106">
        <f t="shared" si="6"/>
        <v>29622512.283234291</v>
      </c>
      <c r="T22" s="105">
        <f>R22*'Baseline Given'!K23/'Baseline Given'!L23</f>
        <v>-14986716.286440473</v>
      </c>
      <c r="U22" s="105">
        <f>S22/'Baseline Given'!M23</f>
        <v>2947128.8781439727</v>
      </c>
      <c r="V22" s="105">
        <f t="shared" si="7"/>
        <v>-12.0395874082965</v>
      </c>
      <c r="X22" s="105">
        <f t="shared" si="8"/>
        <v>-4597471.9471116858</v>
      </c>
      <c r="Y22" s="106">
        <f t="shared" si="9"/>
        <v>7043052.6818192285</v>
      </c>
      <c r="Z22" s="105">
        <f>X22*'Baseline Given'!K23/'Baseline Given'!L23</f>
        <v>-29988155.908155311</v>
      </c>
      <c r="AA22" s="105">
        <f>Y22/'Baseline Given'!M23</f>
        <v>700709.77607887413</v>
      </c>
      <c r="AB22" s="105">
        <f t="shared" si="10"/>
        <v>-29.28744613207644</v>
      </c>
      <c r="AD22" s="105">
        <f t="shared" si="11"/>
        <v>-3281547.7759959511</v>
      </c>
      <c r="AE22" s="106">
        <f t="shared" si="12"/>
        <v>3526489.6535738795</v>
      </c>
      <c r="AF22" s="105">
        <f>AD22*'Baseline Given'!K23/'Baseline Given'!L23</f>
        <v>-21404712.733146839</v>
      </c>
      <c r="AG22" s="105">
        <f>AE22/'Baseline Given'!M23</f>
        <v>350848.68552508764</v>
      </c>
      <c r="AH22" s="105">
        <f t="shared" si="13"/>
        <v>-21.053864047621751</v>
      </c>
      <c r="AJ22" s="105">
        <f t="shared" si="14"/>
        <v>-2743919.0867891219</v>
      </c>
      <c r="AK22" s="106">
        <f t="shared" si="15"/>
        <v>2350479.3865145431</v>
      </c>
      <c r="AL22" s="105">
        <f>AJ22*'Baseline Given'!K23/'Baseline Given'!L23</f>
        <v>-17897895.695848685</v>
      </c>
      <c r="AM22" s="105">
        <f>AK22/'Baseline Given'!M23</f>
        <v>233848.01434953799</v>
      </c>
      <c r="AN22" s="105">
        <f t="shared" si="16"/>
        <v>-17.664047681499145</v>
      </c>
      <c r="AP22" s="105">
        <f t="shared" si="17"/>
        <v>-2341169.1648635706</v>
      </c>
      <c r="AQ22" s="106">
        <f t="shared" si="18"/>
        <v>1729203.3504383261</v>
      </c>
      <c r="AR22" s="105">
        <f>AP22*'Baseline Given'!K23/'Baseline Given'!L23</f>
        <v>-15270859.013593668</v>
      </c>
      <c r="AS22" s="105">
        <f>AQ22/'Baseline Given'!M23</f>
        <v>172037.57336761861</v>
      </c>
      <c r="AT22" s="105">
        <f t="shared" si="19"/>
        <v>-15.09882144022605</v>
      </c>
      <c r="AV22" s="105">
        <f t="shared" si="20"/>
        <v>-1961433.7184486799</v>
      </c>
      <c r="AW22" s="106">
        <f t="shared" si="21"/>
        <v>1338898.7783588704</v>
      </c>
      <c r="AX22" s="105">
        <f>AV22*'Baseline Given'!K23/'Baseline Given'!L23</f>
        <v>-12793939.980276493</v>
      </c>
      <c r="AY22" s="105">
        <f>AW22/'Baseline Given'!M23</f>
        <v>133206.36740342958</v>
      </c>
      <c r="AZ22" s="105">
        <f t="shared" si="22"/>
        <v>-12.660733612873065</v>
      </c>
      <c r="BB22" s="105">
        <f t="shared" si="23"/>
        <v>-1575351.7184699923</v>
      </c>
      <c r="BC22" s="106">
        <f t="shared" si="24"/>
        <v>1078504.0202596192</v>
      </c>
      <c r="BD22" s="105">
        <f>BB22*'Baseline Given'!K23/'Baseline Given'!L23</f>
        <v>-10275623.970547063</v>
      </c>
      <c r="BE22" s="105">
        <f>BC22/'Baseline Given'!M23</f>
        <v>107299.82362436064</v>
      </c>
      <c r="BF22" s="105">
        <f t="shared" si="25"/>
        <v>-10.168324146922702</v>
      </c>
      <c r="BH22" s="105">
        <f t="shared" si="26"/>
        <v>-1177299.3427215447</v>
      </c>
      <c r="BI22" s="107">
        <f t="shared" si="27"/>
        <v>908015.29333404615</v>
      </c>
      <c r="BJ22" s="105">
        <f>BH22*'Baseline Given'!K23/'Baseline Given'!L23</f>
        <v>-7679228.2032916965</v>
      </c>
      <c r="BK22" s="105">
        <f>BI22/'Baseline Given'!M23</f>
        <v>90337.985758747338</v>
      </c>
      <c r="BL22" s="105">
        <f t="shared" si="28"/>
        <v>-7.5888902175329491</v>
      </c>
      <c r="BN22" s="105">
        <f t="shared" si="29"/>
        <v>-771073.34697453701</v>
      </c>
      <c r="BO22" s="106">
        <f t="shared" si="30"/>
        <v>809702.72337356117</v>
      </c>
      <c r="BP22" s="105">
        <f>BN22*'Baseline Given'!K23/'Baseline Given'!L23</f>
        <v>-5029517.9637196874</v>
      </c>
      <c r="BQ22" s="105">
        <f>BO22/'Baseline Given'!M23</f>
        <v>80556.917521024588</v>
      </c>
      <c r="BR22" s="105">
        <f t="shared" si="31"/>
        <v>-4.9489610461986624</v>
      </c>
      <c r="BT22" s="105">
        <f t="shared" si="32"/>
        <v>-365078.40566489223</v>
      </c>
      <c r="BU22" s="106">
        <f t="shared" si="33"/>
        <v>775680</v>
      </c>
      <c r="BV22" s="105">
        <f>BT22*'Baseline Given'!K23/'Baseline Given'!L23</f>
        <v>-2381314.8342661541</v>
      </c>
      <c r="BW22" s="105">
        <f>BU22/'Baseline Given'!M23</f>
        <v>77172.013850174349</v>
      </c>
      <c r="BX22" s="105">
        <f t="shared" si="34"/>
        <v>-2.3041428204159797</v>
      </c>
      <c r="BZ22" s="104">
        <v>150</v>
      </c>
      <c r="CA22" s="104">
        <v>-150</v>
      </c>
    </row>
    <row r="23" spans="1:79" ht="15" customHeight="1" x14ac:dyDescent="0.25">
      <c r="A23" s="18">
        <f>'Baseline Given'!E24</f>
        <v>21</v>
      </c>
      <c r="B23" s="18">
        <f t="shared" si="35"/>
        <v>47</v>
      </c>
      <c r="C23" s="18">
        <f t="shared" si="0"/>
        <v>23.5</v>
      </c>
      <c r="D23" s="18">
        <f t="shared" si="36"/>
        <v>21</v>
      </c>
      <c r="E23" s="18">
        <f t="shared" si="37"/>
        <v>6.75</v>
      </c>
      <c r="F23" s="18">
        <f t="shared" si="38"/>
        <v>19.75</v>
      </c>
      <c r="G23" s="18">
        <f t="shared" si="39"/>
        <v>32.75</v>
      </c>
      <c r="H23" s="18">
        <f t="shared" si="40"/>
        <v>47</v>
      </c>
      <c r="J23" s="104">
        <f t="shared" si="41"/>
        <v>20</v>
      </c>
      <c r="K23" s="109">
        <f t="shared" si="42"/>
        <v>0.3490658503988659</v>
      </c>
      <c r="L23" s="105">
        <f t="shared" si="1"/>
        <v>41.811962521563004</v>
      </c>
      <c r="M23" s="104">
        <f t="shared" si="2"/>
        <v>38597573.697142534</v>
      </c>
      <c r="N23" s="104">
        <f t="shared" si="3"/>
        <v>2769368.2407686962</v>
      </c>
      <c r="O23" s="104">
        <f t="shared" si="43"/>
        <v>1017423.9943773188</v>
      </c>
      <c r="P23" s="109">
        <f t="shared" si="4"/>
        <v>2602354.9000891969</v>
      </c>
      <c r="R23" s="105">
        <f t="shared" si="5"/>
        <v>-2057386.1773838736</v>
      </c>
      <c r="S23" s="106">
        <f t="shared" si="6"/>
        <v>29606352.283234291</v>
      </c>
      <c r="T23" s="105">
        <f>R23*'Baseline Given'!K24/'Baseline Given'!L24</f>
        <v>-13519548.165121291</v>
      </c>
      <c r="U23" s="105">
        <f>S23/'Baseline Given'!M24</f>
        <v>2978282.8842463973</v>
      </c>
      <c r="V23" s="105">
        <f t="shared" si="7"/>
        <v>-10.541265280874892</v>
      </c>
      <c r="X23" s="105">
        <f t="shared" si="8"/>
        <v>-4248303.4763639569</v>
      </c>
      <c r="Y23" s="106">
        <f t="shared" si="9"/>
        <v>7026892.6818192285</v>
      </c>
      <c r="Z23" s="105">
        <f>X23*'Baseline Given'!K24/'Baseline Given'!L24</f>
        <v>-27916559.418994438</v>
      </c>
      <c r="AA23" s="105">
        <f>Y23/'Baseline Given'!M24</f>
        <v>706877.83498238586</v>
      </c>
      <c r="AB23" s="105">
        <f t="shared" si="10"/>
        <v>-27.209681584012053</v>
      </c>
      <c r="AD23" s="105">
        <f t="shared" si="11"/>
        <v>-3001642.9976781989</v>
      </c>
      <c r="AE23" s="106">
        <f t="shared" si="12"/>
        <v>3510329.6535738795</v>
      </c>
      <c r="AF23" s="105">
        <f>AD23*'Baseline Given'!K24/'Baseline Given'!L24</f>
        <v>-19724472.501905877</v>
      </c>
      <c r="AG23" s="105">
        <f>AE23/'Baseline Given'!M24</f>
        <v>353125.39097300643</v>
      </c>
      <c r="AH23" s="105">
        <f t="shared" si="13"/>
        <v>-19.37134711093287</v>
      </c>
      <c r="AJ23" s="105">
        <f t="shared" si="14"/>
        <v>-2499469.3370102262</v>
      </c>
      <c r="AK23" s="106">
        <f t="shared" si="15"/>
        <v>2334319.3865145431</v>
      </c>
      <c r="AL23" s="105">
        <f>AJ23*'Baseline Given'!K24/'Baseline Given'!L24</f>
        <v>-16424576.222205546</v>
      </c>
      <c r="AM23" s="105">
        <f>AK23/'Baseline Given'!M24</f>
        <v>234823.37198148499</v>
      </c>
      <c r="AN23" s="105">
        <f t="shared" si="16"/>
        <v>-16.18975285022406</v>
      </c>
      <c r="AP23" s="105">
        <f t="shared" si="17"/>
        <v>-2129083.7877299748</v>
      </c>
      <c r="AQ23" s="106">
        <f t="shared" si="18"/>
        <v>1713043.3504383261</v>
      </c>
      <c r="AR23" s="105">
        <f>AP23*'Baseline Given'!K24/'Baseline Given'!L24</f>
        <v>-13990689.31842231</v>
      </c>
      <c r="AS23" s="105">
        <f>AQ23/'Baseline Given'!M24</f>
        <v>172325.44022222311</v>
      </c>
      <c r="AT23" s="105">
        <f t="shared" si="19"/>
        <v>-13.818363878200088</v>
      </c>
      <c r="AV23" s="105">
        <f t="shared" si="20"/>
        <v>-1783619.4851183621</v>
      </c>
      <c r="AW23" s="106">
        <f t="shared" si="21"/>
        <v>1322738.7783588704</v>
      </c>
      <c r="AX23" s="105">
        <f>AV23*'Baseline Given'!K24/'Baseline Given'!L24</f>
        <v>-11720565.542035971</v>
      </c>
      <c r="AY23" s="105">
        <f>AW23/'Baseline Given'!M24</f>
        <v>133062.33156409804</v>
      </c>
      <c r="AZ23" s="105">
        <f t="shared" si="22"/>
        <v>-11.587503210471873</v>
      </c>
      <c r="BB23" s="105">
        <f t="shared" si="23"/>
        <v>-1434645.129628065</v>
      </c>
      <c r="BC23" s="106">
        <f t="shared" si="24"/>
        <v>1062344.0202596192</v>
      </c>
      <c r="BD23" s="105">
        <f>BB23*'Baseline Given'!K24/'Baseline Given'!L24</f>
        <v>-9427376.4172589667</v>
      </c>
      <c r="BE23" s="105">
        <f>BC23/'Baseline Given'!M24</f>
        <v>106867.64051350033</v>
      </c>
      <c r="BF23" s="105">
        <f t="shared" si="25"/>
        <v>-9.3205087767454664</v>
      </c>
      <c r="BH23" s="105">
        <f t="shared" si="26"/>
        <v>-1076245.7745061335</v>
      </c>
      <c r="BI23" s="107">
        <f t="shared" si="27"/>
        <v>891855.29333404615</v>
      </c>
      <c r="BJ23" s="105">
        <f>BH23*'Baseline Given'!K24/'Baseline Given'!L24</f>
        <v>-7072253.496154936</v>
      </c>
      <c r="BK23" s="105">
        <f>BI23/'Baseline Given'!M24</f>
        <v>89717.143468076305</v>
      </c>
      <c r="BL23" s="105">
        <f t="shared" si="28"/>
        <v>-6.9825363526868598</v>
      </c>
      <c r="BN23" s="105">
        <f t="shared" si="29"/>
        <v>-711413.23562931269</v>
      </c>
      <c r="BO23" s="106">
        <f t="shared" si="30"/>
        <v>793542.72337356117</v>
      </c>
      <c r="BP23" s="105">
        <f>BN23*'Baseline Given'!K24/'Baseline Given'!L24</f>
        <v>-4674856.6749997763</v>
      </c>
      <c r="BQ23" s="105">
        <f>BO23/'Baseline Given'!M24</f>
        <v>79827.284642563405</v>
      </c>
      <c r="BR23" s="105">
        <f t="shared" si="31"/>
        <v>-4.5950293903572135</v>
      </c>
      <c r="BT23" s="105">
        <f t="shared" si="32"/>
        <v>-347484.26563284924</v>
      </c>
      <c r="BU23" s="106">
        <f t="shared" si="33"/>
        <v>759520</v>
      </c>
      <c r="BV23" s="105">
        <f>BT23*'Baseline Given'!K24/'Baseline Given'!L24</f>
        <v>-2283397.408559808</v>
      </c>
      <c r="BW23" s="105">
        <f>BU23/'Baseline Given'!M24</f>
        <v>76404.732153504883</v>
      </c>
      <c r="BX23" s="105">
        <f t="shared" si="34"/>
        <v>-2.206992676406303</v>
      </c>
      <c r="BZ23" s="104">
        <v>150</v>
      </c>
      <c r="CA23" s="104">
        <v>-150</v>
      </c>
    </row>
    <row r="24" spans="1:79" ht="15" customHeight="1" x14ac:dyDescent="0.25">
      <c r="A24" s="18">
        <f>'Baseline Given'!E25</f>
        <v>22</v>
      </c>
      <c r="B24" s="18">
        <f t="shared" si="35"/>
        <v>46</v>
      </c>
      <c r="C24" s="18">
        <f t="shared" si="0"/>
        <v>23</v>
      </c>
      <c r="D24" s="18">
        <f t="shared" si="36"/>
        <v>22</v>
      </c>
      <c r="E24" s="18">
        <f t="shared" si="37"/>
        <v>5.75</v>
      </c>
      <c r="F24" s="18">
        <f t="shared" si="38"/>
        <v>18.75</v>
      </c>
      <c r="G24" s="18">
        <f t="shared" si="39"/>
        <v>31.75</v>
      </c>
      <c r="H24" s="18">
        <f t="shared" si="40"/>
        <v>46</v>
      </c>
      <c r="J24" s="104">
        <f t="shared" si="41"/>
        <v>21</v>
      </c>
      <c r="K24" s="104">
        <f t="shared" si="42"/>
        <v>0.36651914291880922</v>
      </c>
      <c r="L24" s="105">
        <f t="shared" si="1"/>
        <v>43.810481831912952</v>
      </c>
      <c r="M24" s="104">
        <f t="shared" si="2"/>
        <v>38346517.272636086</v>
      </c>
      <c r="N24" s="104">
        <f t="shared" si="3"/>
        <v>2625845.3915042263</v>
      </c>
      <c r="O24" s="104">
        <f t="shared" si="43"/>
        <v>1010806.1993770504</v>
      </c>
      <c r="P24" s="104">
        <f t="shared" si="4"/>
        <v>2451437.8605162273</v>
      </c>
      <c r="R24" s="105">
        <f t="shared" si="5"/>
        <v>-1801014.8397091683</v>
      </c>
      <c r="S24" s="106">
        <f t="shared" si="6"/>
        <v>29590192.283234291</v>
      </c>
      <c r="T24" s="105">
        <f>R24*'Baseline Given'!K25/'Baseline Given'!L25</f>
        <v>-11923488.204516476</v>
      </c>
      <c r="U24" s="105">
        <f>S24/'Baseline Given'!M25</f>
        <v>3009950.4732866241</v>
      </c>
      <c r="V24" s="105">
        <f t="shared" si="7"/>
        <v>-8.9135377312298534</v>
      </c>
      <c r="X24" s="105">
        <f t="shared" si="8"/>
        <v>-3883220.5123275509</v>
      </c>
      <c r="Y24" s="106">
        <f t="shared" si="9"/>
        <v>7010732.6818192285</v>
      </c>
      <c r="Z24" s="106">
        <f>X24*'Baseline Given'!K25/'Baseline Given'!L25</f>
        <v>-25708579.936937582</v>
      </c>
      <c r="AA24" s="105">
        <f>Y24/'Baseline Given'!M25</f>
        <v>713140.28485323803</v>
      </c>
      <c r="AB24" s="105">
        <f t="shared" si="10"/>
        <v>-24.995439652084343</v>
      </c>
      <c r="AD24" s="105">
        <f t="shared" si="11"/>
        <v>-2706552.786608546</v>
      </c>
      <c r="AE24" s="106">
        <f t="shared" si="12"/>
        <v>3494169.6535738795</v>
      </c>
      <c r="AF24" s="105">
        <f>AD24*'Baseline Given'!K25/'Baseline Given'!L25</f>
        <v>-17918536.546450373</v>
      </c>
      <c r="AG24" s="105">
        <f>AE24/'Baseline Given'!M25</f>
        <v>355431.2017254958</v>
      </c>
      <c r="AH24" s="105">
        <f t="shared" si="13"/>
        <v>-17.563105344724878</v>
      </c>
      <c r="AJ24" s="105">
        <f t="shared" si="14"/>
        <v>-2241024.6167061767</v>
      </c>
      <c r="AK24" s="106">
        <f t="shared" si="15"/>
        <v>2318159.3865145431</v>
      </c>
      <c r="AL24" s="105">
        <f>AJ24*'Baseline Given'!K25/'Baseline Given'!L25</f>
        <v>-14836541.040184926</v>
      </c>
      <c r="AM24" s="105">
        <f>AK24/'Baseline Given'!M25</f>
        <v>235806.00206328277</v>
      </c>
      <c r="AN24" s="105">
        <f t="shared" si="16"/>
        <v>-14.600735038121645</v>
      </c>
      <c r="AP24" s="105">
        <f t="shared" si="17"/>
        <v>-1904619.1323955739</v>
      </c>
      <c r="AQ24" s="106">
        <f t="shared" si="18"/>
        <v>1696883.3504383261</v>
      </c>
      <c r="AR24" s="105">
        <f>AP24*'Baseline Given'!K25/'Baseline Given'!L25</f>
        <v>-12609392.914764788</v>
      </c>
      <c r="AS24" s="105">
        <f>AQ24/'Baseline Given'!M25</f>
        <v>172609.04541867221</v>
      </c>
      <c r="AT24" s="105">
        <f t="shared" si="19"/>
        <v>-12.436783869346115</v>
      </c>
      <c r="AV24" s="105">
        <f t="shared" si="20"/>
        <v>-1595417.8040155079</v>
      </c>
      <c r="AW24" s="106">
        <f t="shared" si="21"/>
        <v>1306578.7783588704</v>
      </c>
      <c r="AX24" s="105">
        <f>AV24*'Baseline Given'!K25/'Baseline Given'!L25</f>
        <v>-10562347.931861768</v>
      </c>
      <c r="AY24" s="105">
        <f>AW24/'Baseline Given'!M25</f>
        <v>132906.7879878502</v>
      </c>
      <c r="AZ24" s="105">
        <f t="shared" si="22"/>
        <v>-10.429441143873916</v>
      </c>
      <c r="BB24" s="105">
        <f t="shared" si="23"/>
        <v>-1285858.5407861378</v>
      </c>
      <c r="BC24" s="106">
        <f t="shared" si="24"/>
        <v>1046184.0202596192</v>
      </c>
      <c r="BD24" s="105">
        <f>BB24*'Baseline Given'!K25/'Baseline Given'!L25</f>
        <v>-8512933.2672328856</v>
      </c>
      <c r="BE24" s="105">
        <f>BC24/'Baseline Given'!M25</f>
        <v>106419.11538741624</v>
      </c>
      <c r="BF24" s="105">
        <f t="shared" si="25"/>
        <v>-8.4065141518454709</v>
      </c>
      <c r="BH24" s="105">
        <f t="shared" si="26"/>
        <v>-969665.16077457741</v>
      </c>
      <c r="BI24" s="107">
        <f t="shared" si="27"/>
        <v>875695.29333404615</v>
      </c>
      <c r="BJ24" s="105">
        <f>BH24*'Baseline Given'!K25/'Baseline Given'!L25</f>
        <v>-6419597.9133038502</v>
      </c>
      <c r="BK24" s="105">
        <f>BI24/'Baseline Given'!M25</f>
        <v>89076.79400647615</v>
      </c>
      <c r="BL24" s="105">
        <f t="shared" si="28"/>
        <v>-6.3305211192973738</v>
      </c>
      <c r="BN24" s="105">
        <f t="shared" si="29"/>
        <v>-648946.96973299165</v>
      </c>
      <c r="BO24" s="106">
        <f t="shared" si="30"/>
        <v>777382.72337356117</v>
      </c>
      <c r="BP24" s="105">
        <f>BN24*'Baseline Given'!K25/'Baseline Given'!L25</f>
        <v>-4296306.3759194445</v>
      </c>
      <c r="BQ24" s="105">
        <f>BO24/'Baseline Given'!M25</f>
        <v>79076.319401576373</v>
      </c>
      <c r="BR24" s="105">
        <f t="shared" si="31"/>
        <v>-4.2172300565178684</v>
      </c>
      <c r="BT24" s="105">
        <f t="shared" si="32"/>
        <v>-329890.1256008062</v>
      </c>
      <c r="BU24" s="106">
        <f t="shared" si="33"/>
        <v>743360</v>
      </c>
      <c r="BV24" s="105">
        <f>BT24*'Baseline Given'!K25/'Baseline Given'!L25</f>
        <v>-2184013.6653304044</v>
      </c>
      <c r="BW24" s="105">
        <f>BU24/'Baseline Given'!M25</f>
        <v>75615.486455966427</v>
      </c>
      <c r="BX24" s="105">
        <f t="shared" si="34"/>
        <v>-2.1083981788744381</v>
      </c>
      <c r="BZ24" s="104">
        <v>150</v>
      </c>
      <c r="CA24" s="104">
        <v>-150</v>
      </c>
    </row>
    <row r="25" spans="1:79" ht="15" customHeight="1" x14ac:dyDescent="0.25">
      <c r="A25" s="18">
        <f>'Baseline Given'!E26</f>
        <v>23</v>
      </c>
      <c r="B25" s="18">
        <f t="shared" si="35"/>
        <v>45</v>
      </c>
      <c r="C25" s="18">
        <f t="shared" si="0"/>
        <v>22.5</v>
      </c>
      <c r="D25" s="18">
        <f t="shared" si="36"/>
        <v>23</v>
      </c>
      <c r="E25" s="18">
        <f t="shared" si="37"/>
        <v>4.75</v>
      </c>
      <c r="F25" s="18">
        <f t="shared" si="38"/>
        <v>17.75</v>
      </c>
      <c r="G25" s="18">
        <f t="shared" si="39"/>
        <v>30.75</v>
      </c>
      <c r="H25" s="18">
        <f t="shared" si="40"/>
        <v>45</v>
      </c>
      <c r="J25" s="104">
        <f t="shared" si="41"/>
        <v>22</v>
      </c>
      <c r="K25" s="104">
        <f t="shared" si="42"/>
        <v>0.38397243543875248</v>
      </c>
      <c r="L25" s="105">
        <f t="shared" si="1"/>
        <v>45.795656045095242</v>
      </c>
      <c r="M25" s="104">
        <f t="shared" si="2"/>
        <v>38083780.12749733</v>
      </c>
      <c r="N25" s="104">
        <f t="shared" si="3"/>
        <v>2494807.3736510738</v>
      </c>
      <c r="O25" s="104">
        <f t="shared" si="43"/>
        <v>1003880.5030165521</v>
      </c>
      <c r="P25" s="104">
        <f t="shared" si="4"/>
        <v>2313145.1171034463</v>
      </c>
      <c r="R25" s="105">
        <f t="shared" si="5"/>
        <v>-1528493.3462698385</v>
      </c>
      <c r="S25" s="106">
        <f t="shared" si="6"/>
        <v>29574032.283234291</v>
      </c>
      <c r="T25" s="105">
        <f>R25*'Baseline Given'!K26/'Baseline Given'!L26</f>
        <v>-10195619.321926398</v>
      </c>
      <c r="U25" s="105">
        <f>S25/'Baseline Given'!M26</f>
        <v>3042143.0961705749</v>
      </c>
      <c r="V25" s="105">
        <f t="shared" si="7"/>
        <v>-7.1534762257558242</v>
      </c>
      <c r="X25" s="105">
        <f t="shared" si="8"/>
        <v>-3502223.0550024686</v>
      </c>
      <c r="Y25" s="106">
        <f t="shared" si="9"/>
        <v>6994572.6818192285</v>
      </c>
      <c r="Z25" s="106">
        <f>X25*'Baseline Given'!K26/'Baseline Given'!L26</f>
        <v>-23361130.839345858</v>
      </c>
      <c r="AA25" s="105">
        <f>Y25/'Baseline Given'!M26</f>
        <v>719499.14678096108</v>
      </c>
      <c r="AB25" s="105">
        <f t="shared" si="10"/>
        <v>-22.641631692564896</v>
      </c>
      <c r="AD25" s="105">
        <f t="shared" si="11"/>
        <v>-2396277.1427869955</v>
      </c>
      <c r="AE25" s="106">
        <f t="shared" si="12"/>
        <v>3478009.6535738795</v>
      </c>
      <c r="AF25" s="105">
        <f>AD25*'Baseline Given'!K26/'Baseline Given'!L26</f>
        <v>-15984060.118621258</v>
      </c>
      <c r="AG25" s="105">
        <f>AE25/'Baseline Given'!M26</f>
        <v>357766.67025661573</v>
      </c>
      <c r="AH25" s="105">
        <f t="shared" si="13"/>
        <v>-15.626293448364642</v>
      </c>
      <c r="AJ25" s="105">
        <f t="shared" si="14"/>
        <v>-1968584.9258769695</v>
      </c>
      <c r="AK25" s="106">
        <f t="shared" si="15"/>
        <v>2301999.3865145431</v>
      </c>
      <c r="AL25" s="105">
        <f>AJ25*'Baseline Given'!K26/'Baseline Given'!L26</f>
        <v>-13131193.901567025</v>
      </c>
      <c r="AM25" s="105">
        <f>AK25/'Baseline Given'!M26</f>
        <v>236795.96593407955</v>
      </c>
      <c r="AN25" s="105">
        <f t="shared" si="16"/>
        <v>-12.894397935632947</v>
      </c>
      <c r="AP25" s="105">
        <f t="shared" si="17"/>
        <v>-1667775.1988603743</v>
      </c>
      <c r="AQ25" s="106">
        <f t="shared" si="18"/>
        <v>1680723.3504383261</v>
      </c>
      <c r="AR25" s="105">
        <f>AP25*'Baseline Given'!K26/'Baseline Given'!L26</f>
        <v>-11124681.100920284</v>
      </c>
      <c r="AS25" s="105">
        <f>AQ25/'Baseline Given'!M26</f>
        <v>172888.19083379526</v>
      </c>
      <c r="AT25" s="105">
        <f t="shared" si="19"/>
        <v>-10.951792910086489</v>
      </c>
      <c r="AV25" s="105">
        <f t="shared" si="20"/>
        <v>-1396828.675140121</v>
      </c>
      <c r="AW25" s="106">
        <f t="shared" si="21"/>
        <v>1290418.7783588704</v>
      </c>
      <c r="AX25" s="105">
        <f>AV25*'Baseline Given'!K26/'Baseline Given'!L26</f>
        <v>-9317366.9773798846</v>
      </c>
      <c r="AY25" s="105">
        <f>AW25/'Baseline Given'!M26</f>
        <v>132739.37554936582</v>
      </c>
      <c r="AZ25" s="105">
        <f t="shared" si="22"/>
        <v>-9.1846276018305186</v>
      </c>
      <c r="BB25" s="105">
        <f t="shared" si="23"/>
        <v>-1128991.9519442096</v>
      </c>
      <c r="BC25" s="106">
        <f t="shared" si="24"/>
        <v>1030024.0202596192</v>
      </c>
      <c r="BD25" s="105">
        <f>BB25*'Baseline Given'!K26/'Baseline Given'!L26</f>
        <v>-7530796.380391757</v>
      </c>
      <c r="BE25" s="105">
        <f>BC25/'Baseline Given'!M26</f>
        <v>105953.77837262493</v>
      </c>
      <c r="BF25" s="105">
        <f t="shared" si="25"/>
        <v>-7.4248426020191323</v>
      </c>
      <c r="BH25" s="105">
        <f t="shared" si="26"/>
        <v>-857557.50152687961</v>
      </c>
      <c r="BI25" s="107">
        <f t="shared" si="27"/>
        <v>859535.29333404615</v>
      </c>
      <c r="BJ25" s="105">
        <f>BH25*'Baseline Given'!K26/'Baseline Given'!L26</f>
        <v>-5720227.604240316</v>
      </c>
      <c r="BK25" s="105">
        <f>BI25/'Baseline Given'!M26</f>
        <v>88416.396299583474</v>
      </c>
      <c r="BL25" s="105">
        <f t="shared" si="28"/>
        <v>-5.6318112079407321</v>
      </c>
      <c r="BN25" s="105">
        <f t="shared" si="29"/>
        <v>-583674.54928557226</v>
      </c>
      <c r="BO25" s="106">
        <f t="shared" si="30"/>
        <v>761222.72337356117</v>
      </c>
      <c r="BP25" s="105">
        <f>BN25*'Baseline Given'!K26/'Baseline Given'!L26</f>
        <v>-3893326.40991562</v>
      </c>
      <c r="BQ25" s="105">
        <f>BO25/'Baseline Given'!M26</f>
        <v>78303.439665610131</v>
      </c>
      <c r="BR25" s="105">
        <f t="shared" si="31"/>
        <v>-3.81502297025001</v>
      </c>
      <c r="BT25" s="105">
        <f t="shared" si="32"/>
        <v>-312295.98556876322</v>
      </c>
      <c r="BU25" s="106">
        <f t="shared" si="33"/>
        <v>727200</v>
      </c>
      <c r="BV25" s="105">
        <f>BT25*'Baseline Given'!K26/'Baseline Given'!L26</f>
        <v>-2083130.418850264</v>
      </c>
      <c r="BW25" s="105">
        <f>BU25/'Baseline Given'!M26</f>
        <v>74803.680416260948</v>
      </c>
      <c r="BX25" s="105">
        <f t="shared" si="34"/>
        <v>-2.0083267384340031</v>
      </c>
      <c r="BZ25" s="104">
        <v>150</v>
      </c>
      <c r="CA25" s="104">
        <v>-150</v>
      </c>
    </row>
    <row r="26" spans="1:79" ht="15" customHeight="1" x14ac:dyDescent="0.25">
      <c r="A26" s="18">
        <f>'Baseline Given'!E27</f>
        <v>24</v>
      </c>
      <c r="B26" s="18">
        <f t="shared" si="35"/>
        <v>44</v>
      </c>
      <c r="C26" s="18">
        <f t="shared" si="0"/>
        <v>22</v>
      </c>
      <c r="D26" s="18">
        <f t="shared" si="36"/>
        <v>24</v>
      </c>
      <c r="E26" s="18">
        <f t="shared" si="37"/>
        <v>3.75</v>
      </c>
      <c r="F26" s="18">
        <f t="shared" si="38"/>
        <v>16.75</v>
      </c>
      <c r="G26" s="18">
        <f t="shared" si="39"/>
        <v>29.75</v>
      </c>
      <c r="H26" s="18">
        <f t="shared" si="40"/>
        <v>44</v>
      </c>
      <c r="J26" s="104">
        <f t="shared" si="41"/>
        <v>23</v>
      </c>
      <c r="K26" s="104">
        <f t="shared" si="42"/>
        <v>0.40142572795869574</v>
      </c>
      <c r="L26" s="105">
        <f t="shared" si="1"/>
        <v>47.766880457813713</v>
      </c>
      <c r="M26" s="104">
        <f t="shared" si="2"/>
        <v>37809442.294005886</v>
      </c>
      <c r="N26" s="104">
        <f t="shared" si="3"/>
        <v>2374622.8724773889</v>
      </c>
      <c r="O26" s="104">
        <f t="shared" si="43"/>
        <v>996649.01493002614</v>
      </c>
      <c r="P26" s="104">
        <f t="shared" si="4"/>
        <v>2185851.879234612</v>
      </c>
      <c r="R26" s="105">
        <f t="shared" si="5"/>
        <v>-1239821.6970658824</v>
      </c>
      <c r="S26" s="106">
        <f t="shared" si="6"/>
        <v>29557872.283234291</v>
      </c>
      <c r="T26" s="106">
        <f>R26*'Baseline Given'!K27/'Baseline Given'!L27</f>
        <v>-8332935.7395692933</v>
      </c>
      <c r="U26" s="105">
        <f>S26/'Baseline Given'!M27</f>
        <v>3074872.5258776881</v>
      </c>
      <c r="V26" s="105">
        <f t="shared" si="7"/>
        <v>-5.2580632136916057</v>
      </c>
      <c r="X26" s="105">
        <f t="shared" si="8"/>
        <v>-3105311.1043887064</v>
      </c>
      <c r="Y26" s="106">
        <f t="shared" si="9"/>
        <v>6978412.6818192285</v>
      </c>
      <c r="Z26" s="106">
        <f>X26*'Baseline Given'!K27/'Baseline Given'!L27</f>
        <v>-20871031.65356769</v>
      </c>
      <c r="AA26" s="105">
        <f>Y26/'Baseline Given'!M27</f>
        <v>725956.4972724223</v>
      </c>
      <c r="AB26" s="105">
        <f t="shared" si="10"/>
        <v>-20.14507515629527</v>
      </c>
      <c r="AD26" s="105">
        <f t="shared" si="11"/>
        <v>-2070816.0662135407</v>
      </c>
      <c r="AE26" s="106">
        <f t="shared" si="12"/>
        <v>3461849.6535738795</v>
      </c>
      <c r="AF26" s="105">
        <f>AD26*'Baseline Given'!K27/'Baseline Given'!L27</f>
        <v>-13918111.974538341</v>
      </c>
      <c r="AG26" s="105">
        <f>AE26/'Baseline Given'!M27</f>
        <v>360132.36292828119</v>
      </c>
      <c r="AH26" s="105">
        <f t="shared" si="13"/>
        <v>-13.55797961161006</v>
      </c>
      <c r="AJ26" s="105">
        <f t="shared" si="14"/>
        <v>-1682150.2645226056</v>
      </c>
      <c r="AK26" s="106">
        <f t="shared" si="15"/>
        <v>2285839.3865145431</v>
      </c>
      <c r="AL26" s="105">
        <f>AJ26*'Baseline Given'!K27/'Baseline Given'!L27</f>
        <v>-11305859.618152417</v>
      </c>
      <c r="AM26" s="105">
        <f>AK26/'Baseline Given'!M27</f>
        <v>237793.32493257479</v>
      </c>
      <c r="AN26" s="105">
        <f t="shared" si="16"/>
        <v>-11.068066293219841</v>
      </c>
      <c r="AP26" s="105">
        <f t="shared" si="17"/>
        <v>-1418551.9871243704</v>
      </c>
      <c r="AQ26" s="106">
        <f t="shared" si="18"/>
        <v>1664563.3504383261</v>
      </c>
      <c r="AR26" s="105">
        <f>AP26*'Baseline Given'!K27/'Baseline Given'!L27</f>
        <v>-9534195.5862848312</v>
      </c>
      <c r="AS26" s="105">
        <f>AQ26/'Baseline Given'!M27</f>
        <v>173162.67100690189</v>
      </c>
      <c r="AT26" s="105">
        <f t="shared" si="19"/>
        <v>-9.3610329152779297</v>
      </c>
      <c r="AV26" s="105">
        <f t="shared" si="20"/>
        <v>-1187852.0984921996</v>
      </c>
      <c r="AW26" s="106">
        <f t="shared" si="21"/>
        <v>1274258.7783588704</v>
      </c>
      <c r="AX26" s="105">
        <f>AV26*'Baseline Given'!K27/'Baseline Given'!L27</f>
        <v>-7983644.1225968096</v>
      </c>
      <c r="AY26" s="105">
        <f>AW26/'Baseline Given'!M27</f>
        <v>132559.72117643309</v>
      </c>
      <c r="AZ26" s="105">
        <f t="shared" si="22"/>
        <v>-7.8510844014203762</v>
      </c>
      <c r="BB26" s="105">
        <f t="shared" si="23"/>
        <v>-964045.3631022824</v>
      </c>
      <c r="BC26" s="106">
        <f t="shared" si="24"/>
        <v>1013864.0202596192</v>
      </c>
      <c r="BD26" s="105">
        <f>BB26*'Baseline Given'!K27/'Baseline Given'!L27</f>
        <v>-6479422.0651021451</v>
      </c>
      <c r="BE26" s="105">
        <f>BC26/'Baseline Given'!M27</f>
        <v>105471.14457357276</v>
      </c>
      <c r="BF26" s="105">
        <f t="shared" si="25"/>
        <v>-6.3739509205285723</v>
      </c>
      <c r="BH26" s="105">
        <f t="shared" si="26"/>
        <v>-739922.79676303873</v>
      </c>
      <c r="BI26" s="107">
        <f t="shared" si="27"/>
        <v>843375.29333404615</v>
      </c>
      <c r="BJ26" s="105">
        <f>BH26*'Baseline Given'!K27/'Baseline Given'!L27</f>
        <v>-4973077.2838226538</v>
      </c>
      <c r="BK26" s="105">
        <f>BI26/'Baseline Given'!M27</f>
        <v>87735.392237547509</v>
      </c>
      <c r="BL26" s="105">
        <f t="shared" si="28"/>
        <v>-4.8853418915851057</v>
      </c>
      <c r="BN26" s="105">
        <f t="shared" si="29"/>
        <v>-515595.97428705543</v>
      </c>
      <c r="BO26" s="106">
        <f t="shared" si="30"/>
        <v>745062.72337356117</v>
      </c>
      <c r="BP26" s="105">
        <f>BN26*'Baseline Given'!K27/'Baseline Given'!L27</f>
        <v>-3465359.6815432631</v>
      </c>
      <c r="BQ26" s="105">
        <f>BO26/'Baseline Given'!M27</f>
        <v>77508.045105684025</v>
      </c>
      <c r="BR26" s="105">
        <f t="shared" si="31"/>
        <v>-3.387851636437579</v>
      </c>
      <c r="BT26" s="105">
        <f t="shared" si="32"/>
        <v>-294701.84553672024</v>
      </c>
      <c r="BU26" s="106">
        <f t="shared" si="33"/>
        <v>711040</v>
      </c>
      <c r="BV26" s="105">
        <f>BT26*'Baseline Given'!K27/'Baseline Given'!L27</f>
        <v>-1980713.4743662025</v>
      </c>
      <c r="BW26" s="105">
        <f>BU26/'Baseline Given'!M27</f>
        <v>73968.69909476566</v>
      </c>
      <c r="BX26" s="105">
        <f t="shared" si="34"/>
        <v>-1.9067447752714368</v>
      </c>
      <c r="BZ26" s="104">
        <v>150</v>
      </c>
      <c r="CA26" s="104">
        <v>-150</v>
      </c>
    </row>
    <row r="27" spans="1:79" ht="15" customHeight="1" x14ac:dyDescent="0.25">
      <c r="A27" s="18">
        <f>'Baseline Given'!E28</f>
        <v>25</v>
      </c>
      <c r="B27" s="18">
        <f t="shared" si="35"/>
        <v>43</v>
      </c>
      <c r="C27" s="18">
        <f t="shared" si="0"/>
        <v>21.5</v>
      </c>
      <c r="D27" s="18">
        <f t="shared" si="36"/>
        <v>25</v>
      </c>
      <c r="E27" s="18">
        <f t="shared" si="37"/>
        <v>2.75</v>
      </c>
      <c r="F27" s="18">
        <f t="shared" si="38"/>
        <v>15.75</v>
      </c>
      <c r="G27" s="18">
        <f t="shared" si="39"/>
        <v>28.75</v>
      </c>
      <c r="H27" s="18">
        <f t="shared" si="40"/>
        <v>43</v>
      </c>
      <c r="J27" s="104">
        <f t="shared" si="41"/>
        <v>24</v>
      </c>
      <c r="K27" s="104">
        <f t="shared" si="42"/>
        <v>0.41887902047863906</v>
      </c>
      <c r="L27" s="105">
        <f t="shared" si="1"/>
        <v>49.723554616016571</v>
      </c>
      <c r="M27" s="104">
        <f t="shared" si="2"/>
        <v>37523587.338123389</v>
      </c>
      <c r="N27" s="104">
        <f t="shared" si="3"/>
        <v>2263932.3130392157</v>
      </c>
      <c r="O27" s="104">
        <f t="shared" si="43"/>
        <v>989113.93789879675</v>
      </c>
      <c r="P27" s="104">
        <f t="shared" si="4"/>
        <v>2068205.0809872823</v>
      </c>
      <c r="R27" s="105">
        <f t="shared" si="5"/>
        <v>-934999.89209729247</v>
      </c>
      <c r="S27" s="106">
        <f t="shared" si="6"/>
        <v>29541712.283234291</v>
      </c>
      <c r="T27" s="106">
        <f>R27*'Baseline Given'!K28/'Baseline Given'!L28</f>
        <v>-6332339.587748331</v>
      </c>
      <c r="U27" s="105">
        <f>S27/'Baseline Given'!M28</f>
        <v>3108150.8684126874</v>
      </c>
      <c r="V27" s="105">
        <f t="shared" si="7"/>
        <v>-3.2241887193356438</v>
      </c>
      <c r="X27" s="105">
        <f t="shared" si="8"/>
        <v>-2692484.6604862688</v>
      </c>
      <c r="Y27" s="106">
        <f t="shared" si="9"/>
        <v>6962252.6818192285</v>
      </c>
      <c r="Z27" s="106">
        <f>X27*'Baseline Given'!K28/'Baseline Given'!L28</f>
        <v>-18235004.462683078</v>
      </c>
      <c r="AA27" s="105">
        <f>Y27/'Baseline Given'!M28</f>
        <v>732514.47010355326</v>
      </c>
      <c r="AB27" s="105">
        <f t="shared" si="10"/>
        <v>-17.502489992579523</v>
      </c>
      <c r="AD27" s="105">
        <f t="shared" si="11"/>
        <v>-1730169.5568881892</v>
      </c>
      <c r="AE27" s="106">
        <f t="shared" si="12"/>
        <v>3445689.6535738795</v>
      </c>
      <c r="AF27" s="105">
        <f>AD27*'Baseline Given'!K28/'Baseline Given'!L28</f>
        <v>-11717671.061998399</v>
      </c>
      <c r="AG27" s="105">
        <f>AE27/'Baseline Given'!M28</f>
        <v>362528.86042473302</v>
      </c>
      <c r="AH27" s="105">
        <f t="shared" si="13"/>
        <v>-11.355142201573667</v>
      </c>
      <c r="AJ27" s="105">
        <f t="shared" si="14"/>
        <v>-1381720.6326430878</v>
      </c>
      <c r="AK27" s="106">
        <f t="shared" si="15"/>
        <v>2269679.3865145431</v>
      </c>
      <c r="AL27" s="105">
        <f>AJ27*'Baseline Given'!K28/'Baseline Given'!L28</f>
        <v>-9357781.0385287739</v>
      </c>
      <c r="AM27" s="105">
        <f>AK27/'Baseline Given'!M28</f>
        <v>238798.14035753006</v>
      </c>
      <c r="AN27" s="105">
        <f t="shared" si="16"/>
        <v>-9.1189828981712449</v>
      </c>
      <c r="AP27" s="105">
        <f t="shared" si="17"/>
        <v>-1156949.4971875632</v>
      </c>
      <c r="AQ27" s="106">
        <f t="shared" si="18"/>
        <v>1648403.3504383261</v>
      </c>
      <c r="AR27" s="105">
        <f>AP27*'Baseline Given'!K28/'Baseline Given'!L28</f>
        <v>-7835505.82624452</v>
      </c>
      <c r="AS27" s="105">
        <f>AQ27/'Baseline Given'!M28</f>
        <v>173432.27284990458</v>
      </c>
      <c r="AT27" s="105">
        <f t="shared" si="19"/>
        <v>-7.6620735533946158</v>
      </c>
      <c r="AV27" s="105">
        <f t="shared" si="20"/>
        <v>-968488.07407174353</v>
      </c>
      <c r="AW27" s="106">
        <f t="shared" si="21"/>
        <v>1258098.7783588704</v>
      </c>
      <c r="AX27" s="105">
        <f>AV27*'Baseline Given'!K28/'Baseline Given'!L28</f>
        <v>-6559140.1919311499</v>
      </c>
      <c r="AY27" s="105">
        <f>AW27/'Baseline Given'!M28</f>
        <v>132367.43940276941</v>
      </c>
      <c r="AZ27" s="105">
        <f t="shared" si="22"/>
        <v>-6.4267727525283807</v>
      </c>
      <c r="BB27" s="105">
        <f t="shared" si="23"/>
        <v>-791018.77426035516</v>
      </c>
      <c r="BC27" s="106">
        <f t="shared" si="24"/>
        <v>997704.02025961922</v>
      </c>
      <c r="BD27" s="105">
        <f>BB27*'Baseline Given'!K28/'Baseline Given'!L28</f>
        <v>-5357219.3336465014</v>
      </c>
      <c r="BE27" s="105">
        <f>BC27/'Baseline Given'!M28</f>
        <v>104970.71352051158</v>
      </c>
      <c r="BF27" s="105">
        <f t="shared" si="25"/>
        <v>-5.2522486201259895</v>
      </c>
      <c r="BH27" s="105">
        <f t="shared" si="26"/>
        <v>-616761.04648305615</v>
      </c>
      <c r="BI27" s="107">
        <f t="shared" si="27"/>
        <v>827215.29333404615</v>
      </c>
      <c r="BJ27" s="105">
        <f>BH27*'Baseline Given'!K28/'Baseline Given'!L28</f>
        <v>-4177049.0283857156</v>
      </c>
      <c r="BK27" s="105">
        <f>BI27/'Baseline Given'!M28</f>
        <v>87033.206054194932</v>
      </c>
      <c r="BL27" s="105">
        <f t="shared" si="28"/>
        <v>-4.0900158223315204</v>
      </c>
      <c r="BN27" s="105">
        <f t="shared" si="29"/>
        <v>-444711.24473744119</v>
      </c>
      <c r="BO27" s="106">
        <f t="shared" si="30"/>
        <v>728902.72337356117</v>
      </c>
      <c r="BP27" s="105">
        <f>BN27*'Baseline Given'!K28/'Baseline Given'!L28</f>
        <v>-3011832.0269011399</v>
      </c>
      <c r="BQ27" s="105">
        <f>BO27/'Baseline Given'!M28</f>
        <v>76689.516535832663</v>
      </c>
      <c r="BR27" s="105">
        <f t="shared" si="31"/>
        <v>-2.9351425103653073</v>
      </c>
      <c r="BT27" s="105">
        <f t="shared" si="32"/>
        <v>-277107.7055046772</v>
      </c>
      <c r="BU27" s="106">
        <f t="shared" si="33"/>
        <v>694880</v>
      </c>
      <c r="BV27" s="105">
        <f>BT27*'Baseline Given'!K28/'Baseline Given'!L28</f>
        <v>-1876727.5894560018</v>
      </c>
      <c r="BW27" s="105">
        <f>BU27/'Baseline Given'!M28</f>
        <v>73109.908279363604</v>
      </c>
      <c r="BX27" s="105">
        <f t="shared" si="34"/>
        <v>-1.8036176811766382</v>
      </c>
      <c r="BZ27" s="104">
        <v>150</v>
      </c>
      <c r="CA27" s="104">
        <v>-150</v>
      </c>
    </row>
    <row r="28" spans="1:79" ht="15" customHeight="1" x14ac:dyDescent="0.25">
      <c r="A28" s="18">
        <f>'Baseline Given'!E29</f>
        <v>26</v>
      </c>
      <c r="B28" s="18">
        <f t="shared" si="35"/>
        <v>42</v>
      </c>
      <c r="C28" s="18">
        <f t="shared" si="0"/>
        <v>21</v>
      </c>
      <c r="D28" s="18">
        <f t="shared" si="36"/>
        <v>26</v>
      </c>
      <c r="E28" s="18">
        <f t="shared" si="37"/>
        <v>1.75</v>
      </c>
      <c r="F28" s="18">
        <f t="shared" si="38"/>
        <v>14.75</v>
      </c>
      <c r="G28" s="18">
        <f t="shared" si="39"/>
        <v>27.75</v>
      </c>
      <c r="H28" s="18">
        <f t="shared" si="40"/>
        <v>42</v>
      </c>
      <c r="J28" s="104">
        <f t="shared" si="41"/>
        <v>25</v>
      </c>
      <c r="K28" s="104">
        <f t="shared" si="42"/>
        <v>0.43633231299858238</v>
      </c>
      <c r="L28" s="105">
        <f t="shared" si="1"/>
        <v>51.665082497800512</v>
      </c>
      <c r="M28" s="104">
        <f t="shared" si="2"/>
        <v>37226302.334038541</v>
      </c>
      <c r="N28" s="104">
        <f t="shared" si="3"/>
        <v>2161593.509637191</v>
      </c>
      <c r="O28" s="104">
        <f t="shared" si="43"/>
        <v>981277.56718032155</v>
      </c>
      <c r="P28" s="104">
        <f t="shared" si="4"/>
        <v>1959069.0301920681</v>
      </c>
      <c r="R28" s="105">
        <f t="shared" si="5"/>
        <v>-614027.93136407435</v>
      </c>
      <c r="S28" s="106">
        <f t="shared" si="6"/>
        <v>29525552.283234291</v>
      </c>
      <c r="T28" s="106">
        <f>R28*'Baseline Given'!K29/'Baseline Given'!L29</f>
        <v>-4190637.3507040981</v>
      </c>
      <c r="U28" s="105">
        <f>S28/'Baseline Given'!M29</f>
        <v>3141990.5741947489</v>
      </c>
      <c r="V28" s="105">
        <f t="shared" si="7"/>
        <v>-1.0486467765093492</v>
      </c>
      <c r="X28" s="105">
        <f t="shared" si="8"/>
        <v>-2263743.723295154</v>
      </c>
      <c r="Y28" s="106">
        <f t="shared" si="9"/>
        <v>6946092.6818192285</v>
      </c>
      <c r="Z28" s="106">
        <f>X28*'Baseline Given'!K29/'Baseline Given'!L29</f>
        <v>-15449670.144789888</v>
      </c>
      <c r="AA28" s="105">
        <f>Y28/'Baseline Given'!M29</f>
        <v>739175.25824409176</v>
      </c>
      <c r="AB28" s="105">
        <f t="shared" si="10"/>
        <v>-14.710494886545796</v>
      </c>
      <c r="AD28" s="105">
        <f t="shared" si="11"/>
        <v>-1374337.6148109343</v>
      </c>
      <c r="AE28" s="106">
        <f t="shared" si="12"/>
        <v>3429529.6535738795</v>
      </c>
      <c r="AF28" s="105">
        <f>AD28*'Baseline Given'!K29/'Baseline Given'!L29</f>
        <v>-9379623.0544590689</v>
      </c>
      <c r="AG28" s="105">
        <f>AE28/'Baseline Given'!M29</f>
        <v>364956.75820327568</v>
      </c>
      <c r="AH28" s="105">
        <f t="shared" si="13"/>
        <v>-9.0146662962557933</v>
      </c>
      <c r="AJ28" s="105">
        <f t="shared" si="14"/>
        <v>-1067296.0302384105</v>
      </c>
      <c r="AK28" s="106">
        <f t="shared" si="15"/>
        <v>2253519.3865145431</v>
      </c>
      <c r="AL28" s="105">
        <f>AJ28*'Baseline Given'!K29/'Baseline Given'!L29</f>
        <v>-7284115.8848250071</v>
      </c>
      <c r="AM28" s="105">
        <f>AK28/'Baseline Given'!M29</f>
        <v>239810.47342556974</v>
      </c>
      <c r="AN28" s="105">
        <f t="shared" si="16"/>
        <v>-7.0443054113994368</v>
      </c>
      <c r="AP28" s="105">
        <f t="shared" si="17"/>
        <v>-882967.72904995456</v>
      </c>
      <c r="AQ28" s="106">
        <f t="shared" si="18"/>
        <v>1632243.3504383261</v>
      </c>
      <c r="AR28" s="105">
        <f>AP28*'Baseline Given'!K29/'Baseline Given'!L29</f>
        <v>-6026106.233641617</v>
      </c>
      <c r="AS28" s="105">
        <f>AQ28/'Baseline Given'!M29</f>
        <v>173696.7753447046</v>
      </c>
      <c r="AT28" s="105">
        <f t="shared" si="19"/>
        <v>-5.8524094582969131</v>
      </c>
      <c r="AV28" s="105">
        <f t="shared" si="20"/>
        <v>-738736.60187875386</v>
      </c>
      <c r="AW28" s="106">
        <f t="shared" si="21"/>
        <v>1241938.7783588704</v>
      </c>
      <c r="AX28" s="105">
        <f>AV28*'Baseline Given'!K29/'Baseline Given'!L29</f>
        <v>-5041753.0506926663</v>
      </c>
      <c r="AY28" s="105">
        <f>AW28/'Baseline Given'!M29</f>
        <v>132162.13190180709</v>
      </c>
      <c r="AZ28" s="105">
        <f t="shared" si="22"/>
        <v>-4.9095909187908591</v>
      </c>
      <c r="BB28" s="105">
        <f t="shared" si="23"/>
        <v>-609912.18541842792</v>
      </c>
      <c r="BC28" s="106">
        <f t="shared" si="24"/>
        <v>981544.02025961922</v>
      </c>
      <c r="BD28" s="105">
        <f>BB28*'Baseline Given'!K29/'Baseline Given'!L29</f>
        <v>-4162548.0769026289</v>
      </c>
      <c r="BE28" s="105">
        <f>BC28/'Baseline Given'!M29</f>
        <v>104451.96859413717</v>
      </c>
      <c r="BF28" s="105">
        <f t="shared" si="25"/>
        <v>-4.0580961083084919</v>
      </c>
      <c r="BH28" s="105">
        <f t="shared" si="26"/>
        <v>-488072.25068692863</v>
      </c>
      <c r="BI28" s="107">
        <f t="shared" si="27"/>
        <v>811055.29333404615</v>
      </c>
      <c r="BJ28" s="105">
        <f>BH28*'Baseline Given'!K29/'Baseline Given'!L29</f>
        <v>-3331011.0161065641</v>
      </c>
      <c r="BK28" s="105">
        <f>BI28/'Baseline Given'!M29</f>
        <v>86309.243680205967</v>
      </c>
      <c r="BL28" s="105">
        <f t="shared" si="28"/>
        <v>-3.244701772426358</v>
      </c>
      <c r="BN28" s="105">
        <f t="shared" si="29"/>
        <v>-371020.36063672812</v>
      </c>
      <c r="BO28" s="106">
        <f t="shared" si="30"/>
        <v>712742.72337356117</v>
      </c>
      <c r="BP28" s="105">
        <f>BN28*'Baseline Given'!K29/'Baseline Given'!L29</f>
        <v>-2532151.5549006611</v>
      </c>
      <c r="BQ28" s="105">
        <f>BO28/'Baseline Given'!M29</f>
        <v>75847.215225073262</v>
      </c>
      <c r="BR28" s="105">
        <f t="shared" si="31"/>
        <v>-2.4563043396755879</v>
      </c>
      <c r="BT28" s="105">
        <f t="shared" si="32"/>
        <v>-259513.56547263416</v>
      </c>
      <c r="BU28" s="106">
        <f t="shared" si="33"/>
        <v>678720</v>
      </c>
      <c r="BV28" s="105">
        <f>BT28*'Baseline Given'!K29/'Baseline Given'!L29</f>
        <v>-1771136.433595215</v>
      </c>
      <c r="BW28" s="105">
        <f>BU28/'Baseline Given'!M29</f>
        <v>72226.65378315009</v>
      </c>
      <c r="BX28" s="105">
        <f t="shared" si="34"/>
        <v>-1.6989097798120649</v>
      </c>
      <c r="BZ28" s="104">
        <v>150</v>
      </c>
      <c r="CA28" s="104">
        <v>-150</v>
      </c>
    </row>
    <row r="29" spans="1:79" ht="15" customHeight="1" x14ac:dyDescent="0.25">
      <c r="A29" s="18">
        <f>'Baseline Given'!E30</f>
        <v>27</v>
      </c>
      <c r="B29" s="18">
        <f t="shared" si="35"/>
        <v>41</v>
      </c>
      <c r="C29" s="18">
        <f t="shared" si="0"/>
        <v>20.5</v>
      </c>
      <c r="D29" s="18">
        <f t="shared" si="36"/>
        <v>27</v>
      </c>
      <c r="E29" s="18">
        <f t="shared" si="37"/>
        <v>0.75</v>
      </c>
      <c r="F29" s="18">
        <f t="shared" si="38"/>
        <v>13.75</v>
      </c>
      <c r="G29" s="18">
        <f t="shared" si="39"/>
        <v>26.75</v>
      </c>
      <c r="H29" s="18">
        <f t="shared" si="40"/>
        <v>41</v>
      </c>
      <c r="J29" s="104">
        <f t="shared" si="41"/>
        <v>26</v>
      </c>
      <c r="K29" s="104">
        <f t="shared" si="42"/>
        <v>0.4537856055185257</v>
      </c>
      <c r="L29" s="105">
        <f t="shared" si="1"/>
        <v>53.590872694964716</v>
      </c>
      <c r="M29" s="104">
        <f t="shared" si="2"/>
        <v>36917677.837643474</v>
      </c>
      <c r="N29" s="104">
        <f t="shared" si="3"/>
        <v>2066639.8575617252</v>
      </c>
      <c r="O29" s="104">
        <f t="shared" si="43"/>
        <v>973142.28980903409</v>
      </c>
      <c r="P29" s="104">
        <f t="shared" si="4"/>
        <v>1857483.5998210371</v>
      </c>
      <c r="R29" s="105">
        <f t="shared" si="5"/>
        <v>-276905.81486622803</v>
      </c>
      <c r="S29" s="106">
        <f t="shared" si="6"/>
        <v>29509392.283234291</v>
      </c>
      <c r="T29" s="106">
        <f>R29*'Baseline Given'!K30/'Baseline Given'!L30</f>
        <v>-1904536.1465860936</v>
      </c>
      <c r="U29" s="105">
        <f>S29/'Baseline Given'!M30</f>
        <v>3176404.4499041541</v>
      </c>
      <c r="V29" s="105">
        <f t="shared" si="7"/>
        <v>1.2718683033180604</v>
      </c>
      <c r="X29" s="105">
        <f t="shared" si="8"/>
        <v>-1819088.2928153612</v>
      </c>
      <c r="Y29" s="106">
        <f t="shared" si="9"/>
        <v>6929932.6818192285</v>
      </c>
      <c r="Z29" s="106">
        <f>X29*'Baseline Given'!K30/'Baseline Given'!L30</f>
        <v>-12511544.436768644</v>
      </c>
      <c r="AA29" s="105">
        <f>Y29/'Baseline Given'!M30</f>
        <v>745941.11585866357</v>
      </c>
      <c r="AB29" s="105">
        <f t="shared" si="10"/>
        <v>-11.76560332090998</v>
      </c>
      <c r="AD29" s="105">
        <f t="shared" si="11"/>
        <v>-1003320.2399817798</v>
      </c>
      <c r="AE29" s="106">
        <f t="shared" si="12"/>
        <v>3413369.6535738795</v>
      </c>
      <c r="AF29" s="105">
        <f>AD29*'Baseline Given'!K30/'Baseline Given'!L30</f>
        <v>-6900756.7232557442</v>
      </c>
      <c r="AG29" s="105">
        <f>AE29/'Baseline Given'!M30</f>
        <v>367416.66696199204</v>
      </c>
      <c r="AH29" s="105">
        <f t="shared" si="13"/>
        <v>-6.5333400562937518</v>
      </c>
      <c r="AJ29" s="105">
        <f t="shared" si="14"/>
        <v>-738876.45730858017</v>
      </c>
      <c r="AK29" s="106">
        <f t="shared" si="15"/>
        <v>2237359.3865145431</v>
      </c>
      <c r="AL29" s="105">
        <f>AJ29*'Baseline Given'!K30/'Baseline Given'!L30</f>
        <v>-5081933.4418292651</v>
      </c>
      <c r="AM29" s="105">
        <f>AK29/'Baseline Given'!M30</f>
        <v>240830.38522610697</v>
      </c>
      <c r="AN29" s="105">
        <f t="shared" si="16"/>
        <v>-4.8411030566031581</v>
      </c>
      <c r="AP29" s="105">
        <f t="shared" si="17"/>
        <v>-596606.68271154165</v>
      </c>
      <c r="AQ29" s="106">
        <f t="shared" si="18"/>
        <v>1616083.3504383261</v>
      </c>
      <c r="AR29" s="105">
        <f>AP29*'Baseline Given'!K30/'Baseline Given'!L30</f>
        <v>-4103413.2600930515</v>
      </c>
      <c r="AS29" s="105">
        <f>AQ29/'Baseline Given'!M30</f>
        <v>173955.9492272163</v>
      </c>
      <c r="AT29" s="105">
        <f t="shared" si="19"/>
        <v>-3.9294573108658355</v>
      </c>
      <c r="AV29" s="105">
        <f t="shared" si="20"/>
        <v>-498597.68191322871</v>
      </c>
      <c r="AW29" s="106">
        <f t="shared" si="21"/>
        <v>1225778.7783588704</v>
      </c>
      <c r="AX29" s="105">
        <f>AV29*'Baseline Given'!K30/'Baseline Given'!L30</f>
        <v>-3429315.1563701383</v>
      </c>
      <c r="AY29" s="105">
        <f>AW29/'Baseline Given'!M30</f>
        <v>131943.38700052857</v>
      </c>
      <c r="AZ29" s="105">
        <f t="shared" si="22"/>
        <v>-3.2973717693696099</v>
      </c>
      <c r="BB29" s="105">
        <f t="shared" si="23"/>
        <v>-420725.59657649975</v>
      </c>
      <c r="BC29" s="106">
        <f t="shared" si="24"/>
        <v>965384.02025961922</v>
      </c>
      <c r="BD29" s="105">
        <f>BB29*'Baseline Given'!K30/'Baseline Given'!L30</f>
        <v>-2893717.1538309529</v>
      </c>
      <c r="BE29" s="105">
        <f>BC29/'Baseline Given'!M30</f>
        <v>103914.37642588168</v>
      </c>
      <c r="BF29" s="105">
        <f t="shared" si="25"/>
        <v>-2.7898027774050709</v>
      </c>
      <c r="BH29" s="105">
        <f t="shared" si="26"/>
        <v>-353856.40937465988</v>
      </c>
      <c r="BI29" s="107">
        <f t="shared" si="27"/>
        <v>794895.29333404615</v>
      </c>
      <c r="BJ29" s="105">
        <f>BH29*'Baseline Given'!K30/'Baseline Given'!L30</f>
        <v>-2433796.2085800897</v>
      </c>
      <c r="BK29" s="105">
        <f>BI29/'Baseline Given'!M30</f>
        <v>85562.892069066918</v>
      </c>
      <c r="BL29" s="105">
        <f t="shared" si="28"/>
        <v>-2.3482333165110227</v>
      </c>
      <c r="BN29" s="105">
        <f t="shared" si="29"/>
        <v>-294523.32198491879</v>
      </c>
      <c r="BO29" s="106">
        <f t="shared" si="30"/>
        <v>696582.72337356117</v>
      </c>
      <c r="BP29" s="105">
        <f>BN29*'Baseline Given'!K30/'Baseline Given'!L30</f>
        <v>-2025707.9577901803</v>
      </c>
      <c r="BQ29" s="105">
        <f>BO29/'Baseline Given'!M30</f>
        <v>74980.482180489867</v>
      </c>
      <c r="BR29" s="105">
        <f t="shared" si="31"/>
        <v>-1.9507274756096904</v>
      </c>
      <c r="BT29" s="105">
        <f t="shared" si="32"/>
        <v>-241919.42544059118</v>
      </c>
      <c r="BU29" s="106">
        <f t="shared" si="33"/>
        <v>662560</v>
      </c>
      <c r="BV29" s="105">
        <f>BT29*'Baseline Given'!K30/'Baseline Given'!L30</f>
        <v>-1663902.5458368536</v>
      </c>
      <c r="BW29" s="105">
        <f>BU29/'Baseline Given'!M30</f>
        <v>71318.260712681556</v>
      </c>
      <c r="BX29" s="105">
        <f t="shared" si="34"/>
        <v>-1.592584285124172</v>
      </c>
      <c r="BZ29" s="104">
        <v>150</v>
      </c>
      <c r="CA29" s="104">
        <v>-150</v>
      </c>
    </row>
    <row r="30" spans="1:79" ht="15" customHeight="1" x14ac:dyDescent="0.25">
      <c r="A30" s="18">
        <f>'Baseline Given'!E31</f>
        <v>28</v>
      </c>
      <c r="B30" s="18">
        <f t="shared" si="35"/>
        <v>40</v>
      </c>
      <c r="C30" s="18">
        <f t="shared" si="0"/>
        <v>20</v>
      </c>
      <c r="D30" s="18">
        <f t="shared" si="36"/>
        <v>28</v>
      </c>
      <c r="E30" s="18">
        <v>0</v>
      </c>
      <c r="F30" s="18">
        <f t="shared" ref="F30:F42" si="44">F29-1</f>
        <v>12.75</v>
      </c>
      <c r="G30" s="18">
        <f t="shared" ref="G30:G42" si="45">G29-1</f>
        <v>25.75</v>
      </c>
      <c r="H30" s="18">
        <f t="shared" ref="H30:H42" si="46">H29-1</f>
        <v>40</v>
      </c>
      <c r="J30" s="104">
        <f t="shared" si="41"/>
        <v>27</v>
      </c>
      <c r="K30" s="104">
        <f t="shared" si="42"/>
        <v>0.47123889803846897</v>
      </c>
      <c r="L30" s="105">
        <f t="shared" si="1"/>
        <v>55.50033859315959</v>
      </c>
      <c r="M30" s="104">
        <f t="shared" si="2"/>
        <v>36597807.858949468</v>
      </c>
      <c r="N30" s="104">
        <f t="shared" si="3"/>
        <v>1978247.8154174797</v>
      </c>
      <c r="O30" s="104">
        <f t="shared" si="43"/>
        <v>964710.58386922965</v>
      </c>
      <c r="P30" s="104">
        <f t="shared" si="4"/>
        <v>1762631.7099983606</v>
      </c>
      <c r="R30" s="105">
        <f t="shared" si="5"/>
        <v>-7579.6743312515318</v>
      </c>
      <c r="S30" s="106">
        <f t="shared" si="6"/>
        <v>29493232.283234291</v>
      </c>
      <c r="T30" s="106">
        <f>R30*'Baseline Given'!K31/'Baseline Given'!L31</f>
        <v>-52541.099991303592</v>
      </c>
      <c r="U30" s="105">
        <f>S30/'Baseline Given'!M31</f>
        <v>3211405.6708075879</v>
      </c>
      <c r="V30" s="105">
        <f t="shared" si="7"/>
        <v>3.1588645708162844</v>
      </c>
      <c r="X30" s="105">
        <f t="shared" si="8"/>
        <v>-1450610.6108768852</v>
      </c>
      <c r="Y30" s="106">
        <f t="shared" si="9"/>
        <v>6913772.6818192285</v>
      </c>
      <c r="Z30" s="106">
        <f>X30*'Baseline Given'!K31/'Baseline Given'!L31</f>
        <v>-10055402.623339854</v>
      </c>
      <c r="AA30" s="105">
        <f>Y30/'Baseline Given'!M31</f>
        <v>752814.36038769898</v>
      </c>
      <c r="AB30" s="105">
        <f t="shared" si="10"/>
        <v>-9.3025882629521544</v>
      </c>
      <c r="AD30" s="105">
        <f t="shared" si="11"/>
        <v>-700551.83523680922</v>
      </c>
      <c r="AE30" s="106">
        <f t="shared" si="12"/>
        <v>3397209.6535738795</v>
      </c>
      <c r="AF30" s="105">
        <f>AD30*'Baseline Given'!K31/'Baseline Given'!L31</f>
        <v>-4856114.1832317812</v>
      </c>
      <c r="AG30" s="105">
        <f>AE30/'Baseline Given'!M31</f>
        <v>369909.2131251829</v>
      </c>
      <c r="AH30" s="105">
        <f t="shared" si="13"/>
        <v>-4.4862049701065976</v>
      </c>
      <c r="AJ30" s="105">
        <f t="shared" si="14"/>
        <v>-472229.4846639093</v>
      </c>
      <c r="AK30" s="106">
        <f t="shared" si="15"/>
        <v>2221199.3865145431</v>
      </c>
      <c r="AL30" s="105">
        <f>AJ30*'Baseline Given'!K31/'Baseline Given'!L31</f>
        <v>-3273419.8711241242</v>
      </c>
      <c r="AM30" s="105">
        <f>AK30/'Baseline Given'!M31</f>
        <v>241857.93667322313</v>
      </c>
      <c r="AN30" s="105">
        <f t="shared" si="16"/>
        <v>-3.0315619344509011</v>
      </c>
      <c r="AP30" s="105">
        <f t="shared" si="17"/>
        <v>-364541.44914497156</v>
      </c>
      <c r="AQ30" s="106">
        <f t="shared" si="18"/>
        <v>1599923.3504383261</v>
      </c>
      <c r="AR30" s="105">
        <f>AP30*'Baseline Given'!K31/'Baseline Given'!L31</f>
        <v>-2526943.4930112772</v>
      </c>
      <c r="AS30" s="105">
        <f>AQ30/'Baseline Given'!M31</f>
        <v>174209.55665737131</v>
      </c>
      <c r="AT30" s="105">
        <f t="shared" si="19"/>
        <v>-2.3527339363539062</v>
      </c>
      <c r="AV30" s="105">
        <f t="shared" si="20"/>
        <v>-304006.14771897718</v>
      </c>
      <c r="AW30" s="106">
        <f t="shared" si="21"/>
        <v>1209618.7783588704</v>
      </c>
      <c r="AX30" s="105">
        <f>AV30*'Baseline Given'!K31/'Baseline Given'!L31</f>
        <v>-2107322.3871132215</v>
      </c>
      <c r="AY30" s="105">
        <f>AW30/'Baseline Given'!M31</f>
        <v>131710.77917238825</v>
      </c>
      <c r="AZ30" s="105">
        <f t="shared" si="22"/>
        <v>-1.975611607940833</v>
      </c>
      <c r="BB30" s="105">
        <f t="shared" si="23"/>
        <v>-267167.89013806637</v>
      </c>
      <c r="BC30" s="106">
        <f t="shared" si="24"/>
        <v>949224.02025961922</v>
      </c>
      <c r="BD30" s="105">
        <f>BB30*'Baseline Given'!K31/'Baseline Given'!L31</f>
        <v>-1851965.4297458404</v>
      </c>
      <c r="BE30" s="105">
        <f>BC30/'Baseline Given'!M31</f>
        <v>103357.38627269342</v>
      </c>
      <c r="BF30" s="105">
        <f t="shared" si="25"/>
        <v>-1.7486080434731468</v>
      </c>
      <c r="BH30" s="105">
        <f t="shared" si="26"/>
        <v>-244412.54173226422</v>
      </c>
      <c r="BI30" s="107">
        <f t="shared" si="27"/>
        <v>778735.29333404615</v>
      </c>
      <c r="BJ30" s="105">
        <f>BH30*'Baseline Given'!K31/'Baseline Given'!L31</f>
        <v>-1694228.964605551</v>
      </c>
      <c r="BK30" s="105">
        <f>BI30/'Baseline Given'!M31</f>
        <v>84793.518494498479</v>
      </c>
      <c r="BL30" s="105">
        <f t="shared" si="28"/>
        <v>-1.6094354461110525</v>
      </c>
      <c r="BN30" s="105">
        <f t="shared" si="29"/>
        <v>-231299.49982554209</v>
      </c>
      <c r="BO30" s="106">
        <f t="shared" si="30"/>
        <v>680422.72337356117</v>
      </c>
      <c r="BP30" s="105">
        <f>BN30*'Baseline Given'!K31/'Baseline Given'!L31</f>
        <v>-1603331.4384188976</v>
      </c>
      <c r="BQ30" s="105">
        <f>BO30/'Baseline Given'!M31</f>
        <v>74088.63740005689</v>
      </c>
      <c r="BR30" s="105">
        <f t="shared" si="31"/>
        <v>-1.5292428010188406</v>
      </c>
      <c r="BT30" s="105">
        <f t="shared" si="32"/>
        <v>-225791.46374455176</v>
      </c>
      <c r="BU30" s="106">
        <f t="shared" si="33"/>
        <v>646400</v>
      </c>
      <c r="BV30" s="105">
        <f>BT30*'Baseline Given'!K31/'Baseline Given'!L31</f>
        <v>-1565150.6061245848</v>
      </c>
      <c r="BW30" s="105">
        <f>BU30/'Baseline Given'!M31</f>
        <v>70384.032705362828</v>
      </c>
      <c r="BX30" s="105">
        <f t="shared" si="34"/>
        <v>-1.4947665734192219</v>
      </c>
      <c r="BZ30" s="104">
        <v>150</v>
      </c>
      <c r="CA30" s="104">
        <v>-150</v>
      </c>
    </row>
    <row r="31" spans="1:79" ht="15" customHeight="1" x14ac:dyDescent="0.25">
      <c r="A31" s="18">
        <f>'Baseline Given'!E32</f>
        <v>29</v>
      </c>
      <c r="B31" s="18">
        <f t="shared" si="35"/>
        <v>39</v>
      </c>
      <c r="C31" s="18">
        <f t="shared" si="0"/>
        <v>19.5</v>
      </c>
      <c r="D31" s="18">
        <f t="shared" si="36"/>
        <v>29</v>
      </c>
      <c r="E31" s="10">
        <v>0</v>
      </c>
      <c r="F31" s="18">
        <f t="shared" si="44"/>
        <v>11.75</v>
      </c>
      <c r="G31" s="18">
        <f t="shared" si="45"/>
        <v>24.75</v>
      </c>
      <c r="H31" s="18">
        <f t="shared" si="46"/>
        <v>39</v>
      </c>
      <c r="J31" s="104">
        <f t="shared" si="41"/>
        <v>28</v>
      </c>
      <c r="K31" s="104">
        <f t="shared" si="42"/>
        <v>0.48869219055841229</v>
      </c>
      <c r="L31" s="105">
        <f t="shared" si="1"/>
        <v>57.392898550575154</v>
      </c>
      <c r="M31" s="104">
        <f t="shared" si="2"/>
        <v>36266789.833450705</v>
      </c>
      <c r="N31" s="104">
        <f t="shared" si="3"/>
        <v>1895711.3553774641</v>
      </c>
      <c r="O31" s="104">
        <f t="shared" si="43"/>
        <v>955985.01774021739</v>
      </c>
      <c r="P31" s="104">
        <f t="shared" si="4"/>
        <v>1673813.7779858657</v>
      </c>
      <c r="R31" s="105">
        <f t="shared" si="5"/>
        <v>26058.226785874926</v>
      </c>
      <c r="S31" s="106">
        <f t="shared" ref="S31:S43" si="47">16160*H31+($N$5/3)*COS($K$5)+($N$5/3)*COS($K$5)</f>
        <v>19861461.522156194</v>
      </c>
      <c r="T31" s="106">
        <f>R31*'Baseline Given'!K32/'Baseline Given'!L32</f>
        <v>182058.78420787145</v>
      </c>
      <c r="U31" s="105">
        <f>S31/'Baseline Given'!M32</f>
        <v>2187812.9461010243</v>
      </c>
      <c r="V31" s="105">
        <f t="shared" si="7"/>
        <v>2.3698717303088959</v>
      </c>
      <c r="X31" s="105">
        <f t="shared" si="8"/>
        <v>-1342495.1611397043</v>
      </c>
      <c r="Y31" s="106">
        <f t="shared" ref="Y31:Y43" si="48">16160*H31+($N$12/3)*COS($K$13)+($N$12/3)*COS($K$13)</f>
        <v>4808488.4545461526</v>
      </c>
      <c r="Z31" s="106">
        <f>X31*'Baseline Given'!K32/'Baseline Given'!L32</f>
        <v>-9379496.1127029229</v>
      </c>
      <c r="AA31" s="105">
        <f>Y31/'Baseline Given'!M32</f>
        <v>529672.66685273137</v>
      </c>
      <c r="AB31" s="105">
        <f t="shared" si="10"/>
        <v>-8.8498234458501912</v>
      </c>
      <c r="AD31" s="105">
        <f t="shared" si="11"/>
        <v>-632901.20624819491</v>
      </c>
      <c r="AE31" s="106">
        <f t="shared" ref="AE31:AE43" si="49">16160*H31+($N$22/3)*COS($K$23)+($N$22/3)*COS($K$23)</f>
        <v>2464113.1023825863</v>
      </c>
      <c r="AF31" s="105">
        <f>AD31*'Baseline Given'!K32/'Baseline Given'!L32</f>
        <v>-4421836.7228157073</v>
      </c>
      <c r="AG31" s="105">
        <f>AE31/'Baseline Given'!M32</f>
        <v>271431.10994303721</v>
      </c>
      <c r="AH31" s="105">
        <f t="shared" si="13"/>
        <v>-4.1504056128726701</v>
      </c>
      <c r="AJ31" s="105">
        <f t="shared" si="14"/>
        <v>-418890.25392503943</v>
      </c>
      <c r="AK31" s="106">
        <f t="shared" ref="AK31:AK43" si="50">16160*H31+($N$32/3)*COS($K$33)+($N$32/3)*COS($K$33)</f>
        <v>1680106.2576763621</v>
      </c>
      <c r="AL31" s="105">
        <f>AJ31*'Baseline Given'!K32/'Baseline Given'!L32</f>
        <v>-2926624.7075360487</v>
      </c>
      <c r="AM31" s="105">
        <f>AK31/'Baseline Given'!M32</f>
        <v>185069.87601437309</v>
      </c>
      <c r="AN31" s="105">
        <f t="shared" si="16"/>
        <v>-2.7415548315216753</v>
      </c>
      <c r="AP31" s="105">
        <f t="shared" si="17"/>
        <v>-320122.21029552817</v>
      </c>
      <c r="AQ31" s="106">
        <f t="shared" ref="AQ31:AQ43" si="51">16160*H31+($N$42/3)*COS($K$43)+($N$42/3)*COS($K$43)</f>
        <v>1265922.2336255508</v>
      </c>
      <c r="AR31" s="105">
        <f>AP31*'Baseline Given'!K32/'Baseline Given'!L32</f>
        <v>-2236570.4651834606</v>
      </c>
      <c r="AS31" s="105">
        <f>AQ31/'Baseline Given'!M32</f>
        <v>139445.98429443437</v>
      </c>
      <c r="AT31" s="105">
        <f t="shared" si="19"/>
        <v>-2.0971244808890264</v>
      </c>
      <c r="AV31" s="105">
        <f t="shared" si="20"/>
        <v>-266831.66638361849</v>
      </c>
      <c r="AW31" s="106">
        <f t="shared" ref="AW31:AW43" si="52">16160*H31+($N$52/3)*COS($K$53)+($N$52/3)*COS($K$53)</f>
        <v>1005719.1855725802</v>
      </c>
      <c r="AX31" s="105">
        <f>AV31*'Baseline Given'!K32/'Baseline Given'!L32</f>
        <v>-1864249.9802133357</v>
      </c>
      <c r="AY31" s="105">
        <f>AW31/'Baseline Given'!M32</f>
        <v>110783.66271703244</v>
      </c>
      <c r="AZ31" s="105">
        <f t="shared" si="22"/>
        <v>-1.7534663174963032</v>
      </c>
      <c r="BB31" s="105">
        <f t="shared" si="23"/>
        <v>-236656.83091011643</v>
      </c>
      <c r="BC31" s="106">
        <f t="shared" ref="BC31:BC43" si="53">16160*H31+($N$62/3)*COS($K$63)+($N$62/3)*COS($K$63)</f>
        <v>832122.68017307948</v>
      </c>
      <c r="BD31" s="105">
        <f>BB31*'Baseline Given'!K32/'Baseline Given'!L32</f>
        <v>-1653430.0381996224</v>
      </c>
      <c r="BE31" s="105">
        <f>BC31/'Baseline Given'!M32</f>
        <v>91661.36995487861</v>
      </c>
      <c r="BF31" s="105">
        <f t="shared" si="25"/>
        <v>-1.5617686682447438</v>
      </c>
      <c r="BH31" s="105">
        <f t="shared" si="26"/>
        <v>-220338.68613177538</v>
      </c>
      <c r="BI31" s="107">
        <f t="shared" ref="BI31:BI43" si="54">16160*H31+($N$72/3)*COS($K$73)+($N$72/3)*COS($K$73)</f>
        <v>718463.5288893641</v>
      </c>
      <c r="BJ31" s="105">
        <f>BH31*'Baseline Given'!K32/'Baseline Given'!L32</f>
        <v>-1539421.4518408924</v>
      </c>
      <c r="BK31" s="105">
        <f>BI31/'Baseline Given'!M32</f>
        <v>79141.396923489534</v>
      </c>
      <c r="BL31" s="105">
        <f t="shared" si="28"/>
        <v>-1.4602800549174029</v>
      </c>
      <c r="BN31" s="105">
        <f t="shared" si="29"/>
        <v>-213507.63624565699</v>
      </c>
      <c r="BO31" s="106">
        <f t="shared" ref="BO31:BO43" si="55">16160*H31+($N$82/3)*COS($K$83)+($N$82/3)*COS($K$83)</f>
        <v>652921.81558237411</v>
      </c>
      <c r="BP31" s="105">
        <f>BN31*'Baseline Given'!K32/'Baseline Given'!L32</f>
        <v>-1491695.5398918812</v>
      </c>
      <c r="BQ31" s="105">
        <f>BO31/'Baseline Given'!M32</f>
        <v>71921.736440663823</v>
      </c>
      <c r="BR31" s="105">
        <f t="shared" si="31"/>
        <v>-1.4197738034512173</v>
      </c>
      <c r="BT31" s="105">
        <f t="shared" si="32"/>
        <v>-214062.03705652308</v>
      </c>
      <c r="BU31" s="106">
        <f t="shared" ref="BU31:BU43" si="56">16160*H31+($N$92/3)*COS($K$93)+($N$92/3)*COS($K$93)</f>
        <v>630240</v>
      </c>
      <c r="BV31" s="105">
        <f>BT31*'Baseline Given'!K32/'Baseline Given'!L32</f>
        <v>-1495568.9246167718</v>
      </c>
      <c r="BW31" s="105">
        <f>BU31/'Baseline Given'!M32</f>
        <v>69423.25113449253</v>
      </c>
      <c r="BX31" s="105">
        <f t="shared" si="34"/>
        <v>-1.4261456734822793</v>
      </c>
      <c r="BZ31" s="104">
        <v>150</v>
      </c>
      <c r="CA31" s="104">
        <v>-150</v>
      </c>
    </row>
    <row r="32" spans="1:79" ht="15" customHeight="1" x14ac:dyDescent="0.25">
      <c r="A32" s="18">
        <f>'Baseline Given'!E33</f>
        <v>30</v>
      </c>
      <c r="B32" s="18">
        <f t="shared" si="35"/>
        <v>38</v>
      </c>
      <c r="C32" s="18">
        <f t="shared" si="0"/>
        <v>19</v>
      </c>
      <c r="D32" s="18">
        <f t="shared" si="36"/>
        <v>30</v>
      </c>
      <c r="E32" s="10">
        <v>0</v>
      </c>
      <c r="F32" s="18">
        <f t="shared" si="44"/>
        <v>10.75</v>
      </c>
      <c r="G32" s="18">
        <f t="shared" si="45"/>
        <v>23.75</v>
      </c>
      <c r="H32" s="18">
        <f t="shared" si="46"/>
        <v>38</v>
      </c>
      <c r="J32" s="104">
        <f t="shared" si="41"/>
        <v>29</v>
      </c>
      <c r="K32" s="104">
        <f t="shared" si="42"/>
        <v>0.50614548307835561</v>
      </c>
      <c r="L32" s="105">
        <f t="shared" si="1"/>
        <v>59.267976075114703</v>
      </c>
      <c r="M32" s="104">
        <f t="shared" si="2"/>
        <v>35924724.59244439</v>
      </c>
      <c r="N32" s="109">
        <f t="shared" si="3"/>
        <v>1818421.6994476572</v>
      </c>
      <c r="O32" s="104">
        <f t="shared" si="43"/>
        <v>946968.24931396649</v>
      </c>
      <c r="P32" s="104">
        <f t="shared" si="4"/>
        <v>1590427.4542268324</v>
      </c>
      <c r="R32" s="105">
        <f t="shared" si="5"/>
        <v>75846.283667628653</v>
      </c>
      <c r="S32" s="106">
        <f t="shared" si="47"/>
        <v>19845301.522156194</v>
      </c>
      <c r="T32" s="106">
        <f>R32*'Baseline Given'!K33/'Baseline Given'!L33</f>
        <v>534129.2547372547</v>
      </c>
      <c r="U32" s="105">
        <f>S32/'Baseline Given'!M33</f>
        <v>2211628.2378778099</v>
      </c>
      <c r="V32" s="105">
        <f t="shared" si="7"/>
        <v>2.7457574926150645</v>
      </c>
      <c r="X32" s="105">
        <f t="shared" si="8"/>
        <v>-1218465.2181138461</v>
      </c>
      <c r="Y32" s="106">
        <f t="shared" si="48"/>
        <v>4792328.4545461526</v>
      </c>
      <c r="Z32" s="106">
        <f>X32*'Baseline Given'!K33/'Baseline Given'!L33</f>
        <v>-8580748.9491035603</v>
      </c>
      <c r="AA32" s="105">
        <f>Y32/'Baseline Given'!M33</f>
        <v>534073.46436266345</v>
      </c>
      <c r="AB32" s="105">
        <f t="shared" si="10"/>
        <v>-8.0466754847408968</v>
      </c>
      <c r="AD32" s="105">
        <f t="shared" si="11"/>
        <v>-550065.14450767729</v>
      </c>
      <c r="AE32" s="106">
        <f t="shared" si="49"/>
        <v>2447953.1023825863</v>
      </c>
      <c r="AF32" s="105">
        <f>AD32*'Baseline Given'!K33/'Baseline Given'!L33</f>
        <v>-3873701.8016641848</v>
      </c>
      <c r="AG32" s="105">
        <f>AE32/'Baseline Given'!M33</f>
        <v>272808.26145097998</v>
      </c>
      <c r="AH32" s="105">
        <f t="shared" si="13"/>
        <v>-3.600893540213205</v>
      </c>
      <c r="AJ32" s="105">
        <f t="shared" si="14"/>
        <v>-351556.05266101379</v>
      </c>
      <c r="AK32" s="106">
        <f t="shared" si="50"/>
        <v>1663946.2576763621</v>
      </c>
      <c r="AL32" s="105">
        <f>AJ32*'Baseline Given'!K33/'Baseline Given'!L33</f>
        <v>-2475749.1511260648</v>
      </c>
      <c r="AM32" s="105">
        <f>AK32/'Baseline Given'!M33</f>
        <v>185435.85874367272</v>
      </c>
      <c r="AN32" s="105">
        <f t="shared" si="16"/>
        <v>-2.2903132923823919</v>
      </c>
      <c r="AP32" s="105">
        <f t="shared" si="17"/>
        <v>-263323.69324528147</v>
      </c>
      <c r="AQ32" s="106">
        <f t="shared" si="51"/>
        <v>1249762.2336255508</v>
      </c>
      <c r="AR32" s="105">
        <f>AP32*'Baseline Given'!K33/'Baseline Given'!L33</f>
        <v>-1854393.9297554914</v>
      </c>
      <c r="AS32" s="105">
        <f>AQ32/'Baseline Given'!M33</f>
        <v>139277.77531793344</v>
      </c>
      <c r="AT32" s="105">
        <f t="shared" si="19"/>
        <v>-1.7151161544375579</v>
      </c>
      <c r="AV32" s="105">
        <f t="shared" si="20"/>
        <v>-219269.73727572523</v>
      </c>
      <c r="AW32" s="106">
        <f t="shared" si="52"/>
        <v>989559.1855725802</v>
      </c>
      <c r="AX32" s="105">
        <f>AV32*'Baseline Given'!K33/'Baseline Given'!L33</f>
        <v>-1544154.5148177524</v>
      </c>
      <c r="AY32" s="105">
        <f>AW32/'Baseline Given'!M33</f>
        <v>110279.85820322784</v>
      </c>
      <c r="AZ32" s="105">
        <f t="shared" si="22"/>
        <v>-1.4338746566145246</v>
      </c>
      <c r="BB32" s="105">
        <f t="shared" si="23"/>
        <v>-198065.7716821651</v>
      </c>
      <c r="BC32" s="106">
        <f t="shared" si="53"/>
        <v>815962.68017307948</v>
      </c>
      <c r="BD32" s="105">
        <f>BB32*'Baseline Given'!K33/'Baseline Given'!L33</f>
        <v>-1394830.6746465764</v>
      </c>
      <c r="BE32" s="105">
        <f>BC32/'Baseline Given'!M33</f>
        <v>90933.670244843539</v>
      </c>
      <c r="BF32" s="105">
        <f t="shared" si="25"/>
        <v>-1.3038970044017328</v>
      </c>
      <c r="BH32" s="105">
        <f t="shared" si="26"/>
        <v>-190737.78501514299</v>
      </c>
      <c r="BI32" s="107">
        <f t="shared" si="54"/>
        <v>702303.5288893641</v>
      </c>
      <c r="BJ32" s="105">
        <f>BH32*'Baseline Given'!K33/'Baseline Given'!L33</f>
        <v>-1343225.0867665785</v>
      </c>
      <c r="BK32" s="105">
        <f>BI32/'Baseline Given'!M33</f>
        <v>78267.105910124417</v>
      </c>
      <c r="BL32" s="105">
        <f t="shared" si="28"/>
        <v>-1.2649579808564539</v>
      </c>
      <c r="BN32" s="105">
        <f t="shared" si="29"/>
        <v>-192909.61811467446</v>
      </c>
      <c r="BO32" s="106">
        <f t="shared" si="55"/>
        <v>636761.81558237411</v>
      </c>
      <c r="BP32" s="105">
        <f>BN32*'Baseline Given'!K33/'Baseline Given'!L33</f>
        <v>-1358519.7002765816</v>
      </c>
      <c r="BQ32" s="105">
        <f>BO32/'Baseline Given'!M33</f>
        <v>70962.913341077394</v>
      </c>
      <c r="BR32" s="105">
        <f t="shared" si="31"/>
        <v>-1.287556786935504</v>
      </c>
      <c r="BT32" s="105">
        <f t="shared" si="32"/>
        <v>-202332.61036849441</v>
      </c>
      <c r="BU32" s="106">
        <f t="shared" si="56"/>
        <v>614080</v>
      </c>
      <c r="BV32" s="105">
        <f>BT32*'Baseline Given'!K33/'Baseline Given'!L33</f>
        <v>-1424878.8623415772</v>
      </c>
      <c r="BW32" s="105">
        <f>BU32/'Baseline Given'!M33</f>
        <v>68435.174280408013</v>
      </c>
      <c r="BX32" s="105">
        <f t="shared" si="34"/>
        <v>-1.3564436880611692</v>
      </c>
      <c r="BZ32" s="104">
        <v>150</v>
      </c>
      <c r="CA32" s="104">
        <v>-150</v>
      </c>
    </row>
    <row r="33" spans="1:79" ht="15" customHeight="1" x14ac:dyDescent="0.25">
      <c r="A33" s="18">
        <f>'Baseline Given'!E34</f>
        <v>31</v>
      </c>
      <c r="B33" s="18">
        <f t="shared" si="35"/>
        <v>37</v>
      </c>
      <c r="C33" s="18">
        <f t="shared" si="0"/>
        <v>18.5</v>
      </c>
      <c r="D33" s="18">
        <f t="shared" si="36"/>
        <v>31</v>
      </c>
      <c r="E33" s="10">
        <v>0</v>
      </c>
      <c r="F33" s="18">
        <f t="shared" si="44"/>
        <v>9.75</v>
      </c>
      <c r="G33" s="18">
        <f t="shared" si="45"/>
        <v>22.75</v>
      </c>
      <c r="H33" s="18">
        <f t="shared" si="46"/>
        <v>37</v>
      </c>
      <c r="J33" s="104">
        <f t="shared" si="41"/>
        <v>30</v>
      </c>
      <c r="K33" s="109">
        <f t="shared" si="42"/>
        <v>0.52359877559829882</v>
      </c>
      <c r="L33" s="105">
        <f t="shared" si="1"/>
        <v>61.124999999999986</v>
      </c>
      <c r="M33" s="104">
        <f t="shared" si="2"/>
        <v>35571716.332316607</v>
      </c>
      <c r="N33" s="104">
        <f t="shared" si="3"/>
        <v>1745851.1083345579</v>
      </c>
      <c r="O33" s="104">
        <f t="shared" si="43"/>
        <v>937663.02518548747</v>
      </c>
      <c r="P33" s="109">
        <f t="shared" si="4"/>
        <v>1511951.4110429452</v>
      </c>
      <c r="R33" s="105">
        <f t="shared" si="5"/>
        <v>141784.49631401058</v>
      </c>
      <c r="S33" s="106">
        <f t="shared" si="47"/>
        <v>19829141.522156194</v>
      </c>
      <c r="T33" s="106">
        <f>R33*'Baseline Given'!K34/'Baseline Given'!L34</f>
        <v>1006499.6655941012</v>
      </c>
      <c r="U33" s="105">
        <f>S33/'Baseline Given'!M34</f>
        <v>2235853.651614625</v>
      </c>
      <c r="V33" s="105">
        <f t="shared" si="7"/>
        <v>3.242353317208726</v>
      </c>
      <c r="X33" s="105">
        <f t="shared" si="8"/>
        <v>-1078520.7817993117</v>
      </c>
      <c r="Y33" s="106">
        <f t="shared" si="48"/>
        <v>4776168.4545461526</v>
      </c>
      <c r="Z33" s="106">
        <f>X33*'Baseline Given'!K34/'Baseline Given'!L34</f>
        <v>-7656202.4370645378</v>
      </c>
      <c r="AA33" s="105">
        <f>Y33/'Baseline Given'!M34</f>
        <v>538541.4022029934</v>
      </c>
      <c r="AB33" s="105">
        <f t="shared" si="10"/>
        <v>-7.1176610348615439</v>
      </c>
      <c r="AD33" s="105">
        <f t="shared" si="11"/>
        <v>-452043.65001526196</v>
      </c>
      <c r="AE33" s="106">
        <f t="shared" si="49"/>
        <v>2431793.1023825863</v>
      </c>
      <c r="AF33" s="105">
        <f>AD33*'Baseline Given'!K34/'Baseline Given'!L34</f>
        <v>-3208967.0902144932</v>
      </c>
      <c r="AG33" s="105">
        <f>AE33/'Baseline Given'!M34</f>
        <v>274199.1367532555</v>
      </c>
      <c r="AH33" s="105">
        <f t="shared" si="13"/>
        <v>-2.9347679534612379</v>
      </c>
      <c r="AJ33" s="105">
        <f t="shared" si="14"/>
        <v>-270226.88087183144</v>
      </c>
      <c r="AK33" s="106">
        <f t="shared" si="50"/>
        <v>1647786.2576763621</v>
      </c>
      <c r="AL33" s="105">
        <f>AJ33*'Baseline Given'!K34/'Baseline Given'!L34</f>
        <v>-1918286.3592481448</v>
      </c>
      <c r="AM33" s="105">
        <f>AK33/'Baseline Given'!M34</f>
        <v>185797.70169018774</v>
      </c>
      <c r="AN33" s="105">
        <f t="shared" si="16"/>
        <v>-1.732488657557957</v>
      </c>
      <c r="AP33" s="105">
        <f t="shared" si="17"/>
        <v>-194145.89799423516</v>
      </c>
      <c r="AQ33" s="106">
        <f t="shared" si="51"/>
        <v>1233602.2336255508</v>
      </c>
      <c r="AR33" s="105">
        <f>AP33*'Baseline Given'!K34/'Baseline Given'!L34</f>
        <v>-1378202.7406924232</v>
      </c>
      <c r="AS33" s="105">
        <f>AQ33/'Baseline Given'!M34</f>
        <v>139095.98938561248</v>
      </c>
      <c r="AT33" s="105">
        <f t="shared" si="19"/>
        <v>-1.2391067513068106</v>
      </c>
      <c r="AV33" s="105">
        <f t="shared" si="20"/>
        <v>-161320.36039529834</v>
      </c>
      <c r="AW33" s="106">
        <f t="shared" si="52"/>
        <v>973399.1855725802</v>
      </c>
      <c r="AX33" s="105">
        <f>AV33*'Baseline Given'!K34/'Baseline Given'!L34</f>
        <v>-1145180.8414355034</v>
      </c>
      <c r="AY33" s="105">
        <f>AW33/'Baseline Given'!M34</f>
        <v>109756.54801340585</v>
      </c>
      <c r="AZ33" s="105">
        <f t="shared" si="22"/>
        <v>-1.0354242934220976</v>
      </c>
      <c r="BB33" s="105">
        <f t="shared" si="23"/>
        <v>-151394.7124542133</v>
      </c>
      <c r="BC33" s="106">
        <f t="shared" si="53"/>
        <v>799802.68017307948</v>
      </c>
      <c r="BD33" s="105">
        <f>BB33*'Baseline Given'!K34/'Baseline Given'!L34</f>
        <v>-1074720.660010719</v>
      </c>
      <c r="BE33" s="105">
        <f>BC33/'Baseline Given'!M34</f>
        <v>90182.509466586984</v>
      </c>
      <c r="BF33" s="105">
        <f t="shared" si="25"/>
        <v>-0.98453815054413196</v>
      </c>
      <c r="BH33" s="105">
        <f t="shared" si="26"/>
        <v>-155609.83838236704</v>
      </c>
      <c r="BI33" s="107">
        <f t="shared" si="54"/>
        <v>686143.5288893641</v>
      </c>
      <c r="BJ33" s="105">
        <f>BH33*'Baseline Given'!K34/'Baseline Given'!L34</f>
        <v>-1104642.9924759544</v>
      </c>
      <c r="BK33" s="105">
        <f>BI33/'Baseline Given'!M34</f>
        <v>77366.764107506955</v>
      </c>
      <c r="BL33" s="105">
        <f t="shared" si="28"/>
        <v>-1.0272762283684473</v>
      </c>
      <c r="BN33" s="105">
        <f t="shared" si="29"/>
        <v>-169505.44543259428</v>
      </c>
      <c r="BO33" s="106">
        <f t="shared" si="55"/>
        <v>620601.81558237411</v>
      </c>
      <c r="BP33" s="105">
        <f>BN33*'Baseline Given'!K34/'Baseline Given'!L34</f>
        <v>-1203285.1163532087</v>
      </c>
      <c r="BQ33" s="105">
        <f>BO33/'Baseline Given'!M34</f>
        <v>69976.546085875845</v>
      </c>
      <c r="BR33" s="105">
        <f t="shared" si="31"/>
        <v>-1.1333085702673327</v>
      </c>
      <c r="BT33" s="105">
        <f t="shared" si="32"/>
        <v>-190603.18368046577</v>
      </c>
      <c r="BU33" s="106">
        <f t="shared" si="56"/>
        <v>597920</v>
      </c>
      <c r="BV33" s="105">
        <f>BT33*'Baseline Given'!K34/'Baseline Given'!L34</f>
        <v>-1353053.723241268</v>
      </c>
      <c r="BW33" s="105">
        <f>BU33/'Baseline Given'!M34</f>
        <v>67419.03646608541</v>
      </c>
      <c r="BX33" s="105">
        <f t="shared" si="34"/>
        <v>-1.2856346867751827</v>
      </c>
      <c r="BZ33" s="104">
        <v>150</v>
      </c>
      <c r="CA33" s="104">
        <v>-150</v>
      </c>
    </row>
    <row r="34" spans="1:79" ht="15" customHeight="1" x14ac:dyDescent="0.25">
      <c r="A34" s="18">
        <f>'Baseline Given'!E35</f>
        <v>32</v>
      </c>
      <c r="B34" s="18">
        <f t="shared" si="35"/>
        <v>36</v>
      </c>
      <c r="C34" s="18">
        <f t="shared" si="0"/>
        <v>18</v>
      </c>
      <c r="D34" s="18">
        <f t="shared" si="36"/>
        <v>32</v>
      </c>
      <c r="E34" s="10">
        <v>0</v>
      </c>
      <c r="F34" s="18">
        <f t="shared" si="44"/>
        <v>8.75</v>
      </c>
      <c r="G34" s="18">
        <f t="shared" si="45"/>
        <v>21.75</v>
      </c>
      <c r="H34" s="18">
        <f t="shared" si="46"/>
        <v>36</v>
      </c>
      <c r="J34" s="104">
        <f t="shared" si="41"/>
        <v>31</v>
      </c>
      <c r="K34" s="104">
        <f t="shared" si="42"/>
        <v>0.54105206811824214</v>
      </c>
      <c r="L34" s="105">
        <f t="shared" si="1"/>
        <v>62.963404657754118</v>
      </c>
      <c r="M34" s="104">
        <f t="shared" si="2"/>
        <v>35207872.582803041</v>
      </c>
      <c r="N34" s="104">
        <f t="shared" si="3"/>
        <v>1677539.8078064586</v>
      </c>
      <c r="O34" s="104">
        <f t="shared" si="43"/>
        <v>928072.17981619108</v>
      </c>
      <c r="P34" s="104">
        <f t="shared" si="4"/>
        <v>1437932.2688778024</v>
      </c>
      <c r="R34" s="105">
        <f t="shared" si="5"/>
        <v>223872.86472502071</v>
      </c>
      <c r="S34" s="106">
        <f t="shared" si="47"/>
        <v>19812981.522156194</v>
      </c>
      <c r="T34" s="106">
        <f>R34*'Baseline Given'!K35/'Baseline Given'!L35</f>
        <v>1602090.9685669378</v>
      </c>
      <c r="U34" s="105">
        <f>S34/'Baseline Given'!M35</f>
        <v>2260498.7792936629</v>
      </c>
      <c r="V34" s="105">
        <f t="shared" si="7"/>
        <v>3.8625897478606008</v>
      </c>
      <c r="X34" s="105">
        <f t="shared" si="8"/>
        <v>-922661.85219609924</v>
      </c>
      <c r="Y34" s="106">
        <f t="shared" si="48"/>
        <v>4760008.4545461526</v>
      </c>
      <c r="Z34" s="106">
        <f>X34*'Baseline Given'!K35/'Baseline Given'!L35</f>
        <v>-6602802.0960032251</v>
      </c>
      <c r="AA34" s="105">
        <f>Y34/'Baseline Given'!M35</f>
        <v>543077.94558312953</v>
      </c>
      <c r="AB34" s="105">
        <f t="shared" si="10"/>
        <v>-6.059724150420096</v>
      </c>
      <c r="AD34" s="105">
        <f t="shared" si="11"/>
        <v>-338836.72277094424</v>
      </c>
      <c r="AE34" s="106">
        <f t="shared" si="49"/>
        <v>2415633.1023825863</v>
      </c>
      <c r="AF34" s="105">
        <f>AD34*'Baseline Given'!K35/'Baseline Given'!L35</f>
        <v>-2424801.4784503658</v>
      </c>
      <c r="AG34" s="105">
        <f>AE34/'Baseline Given'!M35</f>
        <v>275603.93538200529</v>
      </c>
      <c r="AH34" s="105">
        <f t="shared" si="13"/>
        <v>-2.1491975430683605</v>
      </c>
      <c r="AJ34" s="105">
        <f t="shared" si="14"/>
        <v>-174902.73855749331</v>
      </c>
      <c r="AK34" s="106">
        <f t="shared" si="50"/>
        <v>1631626.2576763621</v>
      </c>
      <c r="AL34" s="105">
        <f>AJ34*'Baseline Given'!K35/'Baseline Given'!L35</f>
        <v>-1251648.3324799624</v>
      </c>
      <c r="AM34" s="105">
        <f>AK34/'Baseline Given'!M35</f>
        <v>186155.18111781479</v>
      </c>
      <c r="AN34" s="105">
        <f t="shared" si="16"/>
        <v>-1.0654931513621477</v>
      </c>
      <c r="AP34" s="105">
        <f t="shared" si="17"/>
        <v>-112588.82454238366</v>
      </c>
      <c r="AQ34" s="106">
        <f t="shared" si="51"/>
        <v>1217442.2336255508</v>
      </c>
      <c r="AR34" s="105">
        <f>AP34*'Baseline Given'!K35/'Baseline Given'!L35</f>
        <v>-805714.16809480311</v>
      </c>
      <c r="AS34" s="105">
        <f>AQ34/'Baseline Given'!M35</f>
        <v>138900.17915242127</v>
      </c>
      <c r="AT34" s="105">
        <f t="shared" si="19"/>
        <v>-0.66681398894238186</v>
      </c>
      <c r="AV34" s="105">
        <f t="shared" si="20"/>
        <v>-92983.535742335953</v>
      </c>
      <c r="AW34" s="106">
        <f t="shared" si="52"/>
        <v>957239.1855725802</v>
      </c>
      <c r="AX34" s="105">
        <f>AV34*'Baseline Given'!K35/'Baseline Given'!L35</f>
        <v>-665413.75177912915</v>
      </c>
      <c r="AY34" s="105">
        <f>AW34/'Baseline Given'!M35</f>
        <v>109213.14432454953</v>
      </c>
      <c r="AZ34" s="105">
        <f t="shared" si="22"/>
        <v>-0.55620060745457955</v>
      </c>
      <c r="BB34" s="105">
        <f t="shared" si="23"/>
        <v>-96643.653226261493</v>
      </c>
      <c r="BC34" s="106">
        <f t="shared" si="53"/>
        <v>783642.68017307948</v>
      </c>
      <c r="BD34" s="105">
        <f>BB34*'Baseline Given'!K35/'Baseline Given'!L35</f>
        <v>-691606.48028194928</v>
      </c>
      <c r="BE34" s="105">
        <f>BC34/'Baseline Given'!M35</f>
        <v>89407.206076114147</v>
      </c>
      <c r="BF34" s="105">
        <f t="shared" si="25"/>
        <v>-0.60219927420583508</v>
      </c>
      <c r="BH34" s="105">
        <f t="shared" si="26"/>
        <v>-114954.84623344941</v>
      </c>
      <c r="BI34" s="107">
        <f t="shared" si="54"/>
        <v>669983.5288893641</v>
      </c>
      <c r="BJ34" s="105">
        <f>BH34*'Baseline Given'!K35/'Baseline Given'!L35</f>
        <v>-822646.019068997</v>
      </c>
      <c r="BK34" s="105">
        <f>BI34/'Baseline Given'!M35</f>
        <v>76439.628609538486</v>
      </c>
      <c r="BL34" s="105">
        <f t="shared" si="28"/>
        <v>-0.74620639045945858</v>
      </c>
      <c r="BN34" s="105">
        <f t="shared" si="29"/>
        <v>-143295.11819941667</v>
      </c>
      <c r="BO34" s="106">
        <f t="shared" si="55"/>
        <v>604441.81558237411</v>
      </c>
      <c r="BP34" s="105">
        <f>BN34*'Baseline Given'!K35/'Baseline Given'!L35</f>
        <v>-1025456.1891142837</v>
      </c>
      <c r="BQ34" s="105">
        <f>BO34/'Baseline Given'!M35</f>
        <v>68961.856384414918</v>
      </c>
      <c r="BR34" s="105">
        <f t="shared" si="31"/>
        <v>-0.95649433272986872</v>
      </c>
      <c r="BT34" s="105">
        <f t="shared" si="32"/>
        <v>-178873.75699243706</v>
      </c>
      <c r="BU34" s="106">
        <f t="shared" si="56"/>
        <v>581760</v>
      </c>
      <c r="BV34" s="105">
        <f>BT34*'Baseline Given'!K35/'Baseline Given'!L35</f>
        <v>-1280065.9469972486</v>
      </c>
      <c r="BW34" s="105">
        <f>BU34/'Baseline Given'!M35</f>
        <v>66374.047155461434</v>
      </c>
      <c r="BX34" s="105">
        <f t="shared" si="34"/>
        <v>-1.2136918998417872</v>
      </c>
      <c r="BZ34" s="104">
        <v>150</v>
      </c>
      <c r="CA34" s="104">
        <v>-150</v>
      </c>
    </row>
    <row r="35" spans="1:79" ht="15" customHeight="1" x14ac:dyDescent="0.25">
      <c r="A35" s="18">
        <f>'Baseline Given'!E36</f>
        <v>33</v>
      </c>
      <c r="B35" s="18">
        <f t="shared" si="35"/>
        <v>35</v>
      </c>
      <c r="C35" s="18">
        <f t="shared" ref="C35:C68" si="57">C36+0.5</f>
        <v>17.5</v>
      </c>
      <c r="D35" s="18">
        <f t="shared" si="36"/>
        <v>33</v>
      </c>
      <c r="E35" s="10">
        <v>0</v>
      </c>
      <c r="F35" s="18">
        <f t="shared" si="44"/>
        <v>7.75</v>
      </c>
      <c r="G35" s="18">
        <f t="shared" si="45"/>
        <v>20.75</v>
      </c>
      <c r="H35" s="18">
        <f t="shared" si="46"/>
        <v>35</v>
      </c>
      <c r="J35" s="104">
        <f t="shared" si="41"/>
        <v>32</v>
      </c>
      <c r="K35" s="104">
        <f t="shared" si="42"/>
        <v>0.55850536063818546</v>
      </c>
      <c r="L35" s="105">
        <f t="shared" ref="L35:L66" si="58">27.75*SIN(K35)+40.75*SIN(K35)+53.75*SIN(K35)</f>
        <v>64.782630052509305</v>
      </c>
      <c r="M35" s="104">
        <f t="shared" ref="M35:M66" si="59">27.75*553480*COS(K35)+40.75*210080*COS(K35)+53.75*319160*COS(K35)</f>
        <v>34833304.174234428</v>
      </c>
      <c r="N35" s="104">
        <f t="shared" ref="N35:N66" si="60">M35*3/L35</f>
        <v>1613085.3662162418</v>
      </c>
      <c r="O35" s="104">
        <f t="shared" si="43"/>
        <v>918198.63467048551</v>
      </c>
      <c r="P35" s="104">
        <f t="shared" ref="P35:P66" si="61">N35*COS(K35)</f>
        <v>1367973.9737574751</v>
      </c>
      <c r="R35" s="105">
        <f t="shared" ref="R35:R69" si="62">16160*B35*C35*COS($K$5)-($N$5/3)*E35*SIN($K$5)-($N$5/3)*F35*SIN($K$5)-($N$5/3)*G35*SIN($K$5)</f>
        <v>322111.38890066091</v>
      </c>
      <c r="S35" s="106">
        <f t="shared" si="47"/>
        <v>19796821.522156194</v>
      </c>
      <c r="T35" s="106">
        <f>R35*'Baseline Given'!K36/'Baseline Given'!L36</f>
        <v>2323919.4502261598</v>
      </c>
      <c r="U35" s="105">
        <f>S35/'Baseline Given'!M36</f>
        <v>2285573.496439327</v>
      </c>
      <c r="V35" s="105">
        <f t="shared" ref="V35:V66" si="63">(T35+U35)/1000000</f>
        <v>4.6094929466654859</v>
      </c>
      <c r="X35" s="105">
        <f t="shared" ref="X35:X69" si="64">16160*B35*C35*COS($K$13)-($N$12/3)*E35*SIN($K$13)-($N$12/3)*F35*SIN($K$13)-($N$12/3)*G35*SIN($K$13)</f>
        <v>-750888.42930420954</v>
      </c>
      <c r="Y35" s="106">
        <f t="shared" si="48"/>
        <v>4743848.4545461526</v>
      </c>
      <c r="Z35" s="106">
        <f>X35*'Baseline Given'!K36/'Baseline Given'!L36</f>
        <v>-5417393.7524077501</v>
      </c>
      <c r="AA35" s="105">
        <f>Y35/'Baseline Given'!M36</f>
        <v>547684.60112148523</v>
      </c>
      <c r="AB35" s="105">
        <f t="shared" ref="AB35:AB66" si="65">(Z35+AA35)/1000000</f>
        <v>-4.8697091512862647</v>
      </c>
      <c r="AD35" s="105">
        <f t="shared" ref="AD35:AD69" si="66">16160*B35*C35*COS($K$23)-($N$22/3)*E35*SIN($K$23)-($N$22/3)*F35*SIN($K$23)-($N$22/3)*G35*SIN($K$23)</f>
        <v>-210444.36277472693</v>
      </c>
      <c r="AE35" s="106">
        <f t="shared" si="49"/>
        <v>2399473.1023825863</v>
      </c>
      <c r="AF35" s="105">
        <f>AD35*'Baseline Given'!K36/'Baseline Given'!L36</f>
        <v>-1518281.4538527934</v>
      </c>
      <c r="AG35" s="105">
        <f>AE35/'Baseline Given'!M36</f>
        <v>277022.86056814296</v>
      </c>
      <c r="AH35" s="105">
        <f t="shared" ref="AH35:AH66" si="67">(AF35+AG35)/1000000</f>
        <v>-1.2412585932846505</v>
      </c>
      <c r="AJ35" s="105">
        <f t="shared" ref="AJ35:AJ69" si="68">16160*B35*C35*COS($K$33)-($N$32/3)*E35*SIN($K$33)-($N$32/3)*F35*SIN($K$33)-($N$32/3)*G35*SIN($K$33)</f>
        <v>-65583.62571799662</v>
      </c>
      <c r="AK35" s="106">
        <f t="shared" si="50"/>
        <v>1615466.2576763621</v>
      </c>
      <c r="AL35" s="105">
        <f>AJ35*'Baseline Given'!K36/'Baseline Given'!L36</f>
        <v>-473162.60360296816</v>
      </c>
      <c r="AM35" s="105">
        <f>AK35/'Baseline Given'!M36</f>
        <v>186508.06437815327</v>
      </c>
      <c r="AN35" s="105">
        <f t="shared" ref="AN35:AN66" si="69">(AL35+AM35)/1000000</f>
        <v>-0.28665453922481487</v>
      </c>
      <c r="AP35" s="105">
        <f t="shared" ref="AP35:AP69" si="70">16160*B35*C35*COS($K$43)-($N$42/3)*E35*SIN($K$43)-($N$42/3)*F35*SIN($K$43)-($N$42/3)*G35*SIN($K$43)</f>
        <v>-18652.472889729775</v>
      </c>
      <c r="AQ35" s="106">
        <f t="shared" si="51"/>
        <v>1201282.2336255508</v>
      </c>
      <c r="AR35" s="105">
        <f>AP35*'Baseline Given'!K36/'Baseline Given'!L36</f>
        <v>-134570.97773288397</v>
      </c>
      <c r="AS35" s="105">
        <f>AQ35/'Baseline Given'!M36</f>
        <v>138689.88169869364</v>
      </c>
      <c r="AT35" s="105">
        <f t="shared" ref="AT35:AT66" si="71">(AR35+AS35)/1000000</f>
        <v>4.1189039658096737E-3</v>
      </c>
      <c r="AV35" s="105">
        <f t="shared" ref="AV35:AV69" si="72">16160*B35*C35*COS($K$53)-($N$52/3)*E35*SIN($K$53)-($N$52/3)*F35*SIN($K$53)-($N$52/3)*G35*SIN($K$53)</f>
        <v>-14259.263316839933</v>
      </c>
      <c r="AW35" s="106">
        <f t="shared" si="52"/>
        <v>941079.1855725802</v>
      </c>
      <c r="AX35" s="105">
        <f>AV35*'Baseline Given'!K36/'Baseline Given'!L36</f>
        <v>-102875.52849651108</v>
      </c>
      <c r="AY35" s="105">
        <f>AW35/'Baseline Given'!M36</f>
        <v>108649.03955355396</v>
      </c>
      <c r="AZ35" s="105">
        <f t="shared" ref="AZ35:AZ66" si="73">(AX35+AY35)/1000000</f>
        <v>5.7735110570428802E-3</v>
      </c>
      <c r="BB35" s="105">
        <f t="shared" ref="BB35:BB69" si="74">16160*B35*C35*COS($K$63)-($N$62/3)*E35*SIN($K$63)-($N$62/3)*F35*SIN($K$63)-($N$62/3)*G35*SIN($K$63)</f>
        <v>-33812.593998309691</v>
      </c>
      <c r="BC35" s="106">
        <f t="shared" si="53"/>
        <v>767482.68017307948</v>
      </c>
      <c r="BD35" s="105">
        <f>BB35*'Baseline Given'!K36/'Baseline Given'!L36</f>
        <v>-243945.87575264397</v>
      </c>
      <c r="BE35" s="105">
        <f>BC35/'Baseline Given'!M36</f>
        <v>88607.055976971664</v>
      </c>
      <c r="BF35" s="105">
        <f t="shared" ref="BF35:BF66" si="75">(BD35+BE35)/1000000</f>
        <v>-0.15533881977567232</v>
      </c>
      <c r="BH35" s="105">
        <f t="shared" ref="BH35:BH69" si="76">16160*B35*C35*COS($K$73)-($N$72/3)*E35*SIN($K$73)-($N$72/3)*F35*SIN($K$73)-($N$72/3)*G35*SIN($K$73)</f>
        <v>-68772.808568389155</v>
      </c>
      <c r="BI35" s="107">
        <f t="shared" si="54"/>
        <v>653823.5288893641</v>
      </c>
      <c r="BJ35" s="105">
        <f>BH35*'Baseline Given'!K36/'Baseline Given'!L36</f>
        <v>-496171.42698437488</v>
      </c>
      <c r="BK35" s="105">
        <f>BI35/'Baseline Given'!M36</f>
        <v>75484.932129407971</v>
      </c>
      <c r="BL35" s="105">
        <f t="shared" ref="BL35:BL66" si="77">(BJ35+BK35)/1000000</f>
        <v>-0.4206864948549669</v>
      </c>
      <c r="BN35" s="105">
        <f t="shared" ref="BN35:BN69" si="78">16160*B35*C35*COS($K$83)-($N$82/3)*E35*SIN($K$83)-($N$82/3)*F35*SIN($K$83)-($N$82/3)*G35*SIN($K$83)</f>
        <v>-114278.6364151414</v>
      </c>
      <c r="BO35" s="106">
        <f t="shared" si="55"/>
        <v>588281.81558237411</v>
      </c>
      <c r="BP35" s="105">
        <f>BN35*'Baseline Given'!K36/'Baseline Given'!L36</f>
        <v>-824479.83853304142</v>
      </c>
      <c r="BQ35" s="105">
        <f>BO35/'Baseline Given'!M36</f>
        <v>67918.040511072802</v>
      </c>
      <c r="BR35" s="105">
        <f t="shared" ref="BR35:BR66" si="79">(BP35+BQ35)/1000000</f>
        <v>-0.75656179802196855</v>
      </c>
      <c r="BT35" s="105">
        <f t="shared" ref="BT35:BT69" si="80">16160*B35*C35*COS($K$93)-($N$92/3)*E35*SIN($K$93)-($N$92/3)*F35*SIN($K$93)-($N$92/3)*G35*SIN($K$93)</f>
        <v>-167144.33030440842</v>
      </c>
      <c r="BU35" s="106">
        <f t="shared" si="56"/>
        <v>565600</v>
      </c>
      <c r="BV35" s="105">
        <f>BT35*'Baseline Given'!K36/'Baseline Given'!L36</f>
        <v>-1205887.0737700996</v>
      </c>
      <c r="BW35" s="105">
        <f>BU35/'Baseline Given'!M36</f>
        <v>65299.390012649128</v>
      </c>
      <c r="BX35" s="105">
        <f t="shared" ref="BX35:BX66" si="81">(BV35+BW35)/1000000</f>
        <v>-1.1405876837574505</v>
      </c>
      <c r="BZ35" s="104">
        <v>150</v>
      </c>
      <c r="CA35" s="104">
        <v>-150</v>
      </c>
    </row>
    <row r="36" spans="1:79" ht="15" customHeight="1" x14ac:dyDescent="0.25">
      <c r="A36" s="18">
        <f>'Baseline Given'!E37</f>
        <v>34</v>
      </c>
      <c r="B36" s="18">
        <f t="shared" ref="B36:B69" si="82">B35-1</f>
        <v>34</v>
      </c>
      <c r="C36" s="18">
        <f t="shared" si="57"/>
        <v>17</v>
      </c>
      <c r="D36" s="18">
        <f t="shared" ref="D36:D68" si="83">D35+1</f>
        <v>34</v>
      </c>
      <c r="E36" s="10">
        <v>0</v>
      </c>
      <c r="F36" s="18">
        <f t="shared" si="44"/>
        <v>6.75</v>
      </c>
      <c r="G36" s="18">
        <f t="shared" si="45"/>
        <v>19.75</v>
      </c>
      <c r="H36" s="18">
        <f t="shared" si="46"/>
        <v>34</v>
      </c>
      <c r="J36" s="104">
        <f t="shared" ref="J36:J67" si="84">J35+1</f>
        <v>33</v>
      </c>
      <c r="K36" s="104">
        <f t="shared" ref="K36:K67" si="85">J36*PI()/180</f>
        <v>0.57595865315812877</v>
      </c>
      <c r="L36" s="105">
        <f t="shared" si="58"/>
        <v>66.582122030587058</v>
      </c>
      <c r="M36" s="104">
        <f t="shared" si="59"/>
        <v>34448125.203776553</v>
      </c>
      <c r="N36" s="104">
        <f t="shared" si="60"/>
        <v>1552134.0032367015</v>
      </c>
      <c r="O36" s="104">
        <f t="shared" si="43"/>
        <v>908045.39732586953</v>
      </c>
      <c r="P36" s="104">
        <f t="shared" si="61"/>
        <v>1301729.1060219291</v>
      </c>
      <c r="R36" s="105">
        <f t="shared" si="62"/>
        <v>436500.06884092931</v>
      </c>
      <c r="S36" s="106">
        <f t="shared" si="47"/>
        <v>19780661.522156194</v>
      </c>
      <c r="T36" s="106">
        <f>R36*'Baseline Given'!K37/'Baseline Given'!L37</f>
        <v>3175100.6533729718</v>
      </c>
      <c r="U36" s="105">
        <f>S36/'Baseline Given'!M37</f>
        <v>2311087.9722627131</v>
      </c>
      <c r="V36" s="105">
        <f t="shared" si="63"/>
        <v>5.4861886256356858</v>
      </c>
      <c r="X36" s="105">
        <f t="shared" si="64"/>
        <v>-563200.51312364265</v>
      </c>
      <c r="Y36" s="106">
        <f t="shared" si="48"/>
        <v>4727688.4545461526</v>
      </c>
      <c r="Z36" s="106">
        <f>X36*'Baseline Given'!K37/'Baseline Given'!L37</f>
        <v>-4096719.4391223309</v>
      </c>
      <c r="AA36" s="105">
        <f>Y36/'Baseline Given'!M37</f>
        <v>552362.91828100127</v>
      </c>
      <c r="AB36" s="105">
        <f t="shared" si="65"/>
        <v>-3.5443565208413292</v>
      </c>
      <c r="AD36" s="105">
        <f t="shared" si="66"/>
        <v>-66866.570026609115</v>
      </c>
      <c r="AE36" s="106">
        <f t="shared" si="49"/>
        <v>2383313.1023825863</v>
      </c>
      <c r="AF36" s="105">
        <f>AD36*'Baseline Given'!K37/'Baseline Given'!L37</f>
        <v>-486387.30056573288</v>
      </c>
      <c r="AG36" s="105">
        <f>AE36/'Baseline Given'!M37</f>
        <v>278456.11932052928</v>
      </c>
      <c r="AH36" s="105">
        <f t="shared" si="67"/>
        <v>-0.2079311812452036</v>
      </c>
      <c r="AJ36" s="105">
        <f t="shared" si="68"/>
        <v>57730.45764665585</v>
      </c>
      <c r="AK36" s="106">
        <f t="shared" si="50"/>
        <v>1599306.2576763621</v>
      </c>
      <c r="AL36" s="105">
        <f>AJ36*'Baseline Given'!K37/'Baseline Given'!L37</f>
        <v>419931.23684985359</v>
      </c>
      <c r="AM36" s="105">
        <f>AK36/'Baseline Given'!M37</f>
        <v>186856.10953608964</v>
      </c>
      <c r="AN36" s="105">
        <f t="shared" si="69"/>
        <v>0.60678734638594323</v>
      </c>
      <c r="AP36" s="105">
        <f t="shared" si="70"/>
        <v>87663.156963727437</v>
      </c>
      <c r="AQ36" s="106">
        <f t="shared" si="51"/>
        <v>1185122.2336255508</v>
      </c>
      <c r="AR36" s="105">
        <f>AP36*'Baseline Given'!K37/'Baseline Given'!L37</f>
        <v>637661.6335739952</v>
      </c>
      <c r="AS36" s="105">
        <f>AQ36/'Baseline Given'!M37</f>
        <v>138464.61791610369</v>
      </c>
      <c r="AT36" s="105">
        <f t="shared" si="71"/>
        <v>0.77612625149009884</v>
      </c>
      <c r="AV36" s="105">
        <f t="shared" si="72"/>
        <v>74852.456881191581</v>
      </c>
      <c r="AW36" s="106">
        <f t="shared" si="52"/>
        <v>924919.1855725802</v>
      </c>
      <c r="AX36" s="105">
        <f>AV36*'Baseline Given'!K37/'Baseline Given'!L37</f>
        <v>544476.62604299351</v>
      </c>
      <c r="AY36" s="105">
        <f>AW36/'Baseline Given'!M37</f>
        <v>108063.60559264087</v>
      </c>
      <c r="AZ36" s="105">
        <f t="shared" si="73"/>
        <v>0.65254023163563435</v>
      </c>
      <c r="BB36" s="105">
        <f t="shared" si="74"/>
        <v>37098.465229641646</v>
      </c>
      <c r="BC36" s="106">
        <f t="shared" si="53"/>
        <v>751322.68017307948</v>
      </c>
      <c r="BD36" s="105">
        <f>BB36*'Baseline Given'!K37/'Baseline Given'!L37</f>
        <v>269854.1640613018</v>
      </c>
      <c r="BE36" s="105">
        <f>BC36/'Baseline Given'!M37</f>
        <v>87781.331655227448</v>
      </c>
      <c r="BF36" s="105">
        <f t="shared" si="75"/>
        <v>0.35763549571652925</v>
      </c>
      <c r="BH36" s="105">
        <f t="shared" si="76"/>
        <v>-17063.725387185346</v>
      </c>
      <c r="BI36" s="107">
        <f t="shared" si="54"/>
        <v>637663.5288893641</v>
      </c>
      <c r="BJ36" s="105">
        <f>BH36*'Baseline Given'!K37/'Baseline Given'!L37</f>
        <v>-124121.50534064005</v>
      </c>
      <c r="BK36" s="105">
        <f>BI36/'Baseline Given'!M37</f>
        <v>74501.882068813939</v>
      </c>
      <c r="BL36" s="105">
        <f t="shared" si="77"/>
        <v>-4.9619623271826119E-2</v>
      </c>
      <c r="BN36" s="105">
        <f t="shared" si="78"/>
        <v>-82456.000079768477</v>
      </c>
      <c r="BO36" s="106">
        <f t="shared" si="55"/>
        <v>572121.81558237411</v>
      </c>
      <c r="BP36" s="105">
        <f>BN36*'Baseline Given'!K37/'Baseline Given'!L37</f>
        <v>-599784.78450871201</v>
      </c>
      <c r="BQ36" s="105">
        <f>BO36/'Baseline Given'!M37</f>
        <v>66844.268336552661</v>
      </c>
      <c r="BR36" s="105">
        <f t="shared" si="79"/>
        <v>-0.53294051617215932</v>
      </c>
      <c r="BT36" s="105">
        <f t="shared" si="80"/>
        <v>-155414.90361637974</v>
      </c>
      <c r="BU36" s="106">
        <f t="shared" si="56"/>
        <v>549440</v>
      </c>
      <c r="BV36" s="105">
        <f>BT36*'Baseline Given'!K37/'Baseline Given'!L37</f>
        <v>-1130487.7071991763</v>
      </c>
      <c r="BW36" s="105">
        <f>BU36/'Baseline Given'!M37</f>
        <v>64194.221920117554</v>
      </c>
      <c r="BX36" s="105">
        <f t="shared" si="81"/>
        <v>-1.0662934852790589</v>
      </c>
      <c r="BZ36" s="104">
        <v>150</v>
      </c>
      <c r="CA36" s="104">
        <v>-150</v>
      </c>
    </row>
    <row r="37" spans="1:79" ht="15" customHeight="1" x14ac:dyDescent="0.25">
      <c r="A37" s="18">
        <f>'Baseline Given'!E38</f>
        <v>35</v>
      </c>
      <c r="B37" s="18">
        <f t="shared" si="82"/>
        <v>33</v>
      </c>
      <c r="C37" s="18">
        <f t="shared" si="57"/>
        <v>16.5</v>
      </c>
      <c r="D37" s="18">
        <f t="shared" si="83"/>
        <v>35</v>
      </c>
      <c r="E37" s="10">
        <v>0</v>
      </c>
      <c r="F37" s="18">
        <f t="shared" si="44"/>
        <v>5.75</v>
      </c>
      <c r="G37" s="18">
        <f t="shared" si="45"/>
        <v>18.75</v>
      </c>
      <c r="H37" s="18">
        <f t="shared" si="46"/>
        <v>33</v>
      </c>
      <c r="J37" s="104">
        <f t="shared" si="84"/>
        <v>34</v>
      </c>
      <c r="K37" s="104">
        <f t="shared" si="85"/>
        <v>0.59341194567807209</v>
      </c>
      <c r="L37" s="105">
        <f t="shared" si="58"/>
        <v>68.3613324492988</v>
      </c>
      <c r="M37" s="104">
        <f t="shared" si="59"/>
        <v>34052453.000675119</v>
      </c>
      <c r="N37" s="104">
        <f t="shared" si="60"/>
        <v>1494373.4322000218</v>
      </c>
      <c r="O37" s="104">
        <f t="shared" si="43"/>
        <v>897615.56055679475</v>
      </c>
      <c r="P37" s="104">
        <f t="shared" si="61"/>
        <v>1238891.7227218521</v>
      </c>
      <c r="R37" s="105">
        <f t="shared" si="62"/>
        <v>567038.90454582591</v>
      </c>
      <c r="S37" s="106">
        <f t="shared" si="47"/>
        <v>19764501.522156194</v>
      </c>
      <c r="T37" s="106">
        <f>R37*'Baseline Given'!K38/'Baseline Given'!L38</f>
        <v>4158853.4936572961</v>
      </c>
      <c r="U37" s="105">
        <f>S37/'Baseline Given'!M38</f>
        <v>2337052.680232706</v>
      </c>
      <c r="V37" s="105">
        <f t="shared" si="63"/>
        <v>6.4959061738900017</v>
      </c>
      <c r="X37" s="105">
        <f t="shared" si="64"/>
        <v>-359598.10365439951</v>
      </c>
      <c r="Y37" s="106">
        <f t="shared" si="48"/>
        <v>4711528.4545461526</v>
      </c>
      <c r="Z37" s="106">
        <f>X37*'Baseline Given'!K38/'Baseline Given'!L38</f>
        <v>-2637413.0905417902</v>
      </c>
      <c r="AA37" s="105">
        <f>Y37/'Baseline Given'!M38</f>
        <v>557114.490863643</v>
      </c>
      <c r="AB37" s="105">
        <f t="shared" si="65"/>
        <v>-2.0802985996781471</v>
      </c>
      <c r="AD37" s="105">
        <f t="shared" si="66"/>
        <v>91896.655473408289</v>
      </c>
      <c r="AE37" s="106">
        <f t="shared" si="49"/>
        <v>2367153.1023825863</v>
      </c>
      <c r="AF37" s="105">
        <f>AD37*'Baseline Given'!K38/'Baseline Given'!L38</f>
        <v>674000.8906040031</v>
      </c>
      <c r="AG37" s="105">
        <f>AE37/'Baseline Given'!M38</f>
        <v>279903.92250686325</v>
      </c>
      <c r="AH37" s="105">
        <f t="shared" si="67"/>
        <v>0.95390481311086639</v>
      </c>
      <c r="AJ37" s="105">
        <f t="shared" si="68"/>
        <v>195039.51153646316</v>
      </c>
      <c r="AK37" s="106">
        <f t="shared" si="50"/>
        <v>1583146.2576763621</v>
      </c>
      <c r="AL37" s="105">
        <f>AJ37*'Baseline Given'!K38/'Baseline Given'!L38</f>
        <v>1430485.1879684017</v>
      </c>
      <c r="AM37" s="105">
        <f>AK37/'Baseline Given'!M38</f>
        <v>187199.06497795056</v>
      </c>
      <c r="AN37" s="105">
        <f t="shared" si="69"/>
        <v>1.6176842529463524</v>
      </c>
      <c r="AP37" s="105">
        <f t="shared" si="70"/>
        <v>206358.06501798611</v>
      </c>
      <c r="AQ37" s="106">
        <f t="shared" si="51"/>
        <v>1168962.2336255508</v>
      </c>
      <c r="AR37" s="105">
        <f>AP37*'Baseline Given'!K38/'Baseline Given'!L38</f>
        <v>1513499.2551027925</v>
      </c>
      <c r="AS37" s="105">
        <f>AQ37/'Baseline Given'!M38</f>
        <v>138223.89186607557</v>
      </c>
      <c r="AT37" s="105">
        <f t="shared" si="71"/>
        <v>1.651723146968868</v>
      </c>
      <c r="AV37" s="105">
        <f t="shared" si="72"/>
        <v>174351.62485175859</v>
      </c>
      <c r="AW37" s="106">
        <f t="shared" si="52"/>
        <v>908759.1855725802</v>
      </c>
      <c r="AX37" s="105">
        <f>AV37*'Baseline Given'!K38/'Baseline Given'!L38</f>
        <v>1278753.28893057</v>
      </c>
      <c r="AY37" s="105">
        <f>AW37/'Baseline Given'!M38</f>
        <v>107456.19301087201</v>
      </c>
      <c r="AZ37" s="105">
        <f t="shared" si="73"/>
        <v>1.3862094819414421</v>
      </c>
      <c r="BB37" s="105">
        <f t="shared" si="74"/>
        <v>116089.52445759391</v>
      </c>
      <c r="BC37" s="106">
        <f t="shared" si="53"/>
        <v>735162.68017307948</v>
      </c>
      <c r="BD37" s="105">
        <f>BB37*'Baseline Given'!K38/'Baseline Given'!L38</f>
        <v>851439.50529140548</v>
      </c>
      <c r="BE37" s="105">
        <f>BC37/'Baseline Given'!M38</f>
        <v>86929.281276309091</v>
      </c>
      <c r="BF37" s="105">
        <f t="shared" si="75"/>
        <v>0.9383687865677145</v>
      </c>
      <c r="BH37" s="105">
        <f t="shared" si="76"/>
        <v>40172.403310161084</v>
      </c>
      <c r="BI37" s="107">
        <f t="shared" si="54"/>
        <v>621503.5288893641</v>
      </c>
      <c r="BJ37" s="105">
        <f>BH37*'Baseline Given'!K38/'Baseline Given'!L38</f>
        <v>294637.87848717405</v>
      </c>
      <c r="BK37" s="105">
        <f>BI37/'Baseline Given'!M38</f>
        <v>73489.659546268958</v>
      </c>
      <c r="BL37" s="105">
        <f t="shared" si="77"/>
        <v>0.36812753803344306</v>
      </c>
      <c r="BN37" s="105">
        <f t="shared" si="78"/>
        <v>-47827.209193298128</v>
      </c>
      <c r="BO37" s="106">
        <f t="shared" si="55"/>
        <v>555961.81558237411</v>
      </c>
      <c r="BP37" s="105">
        <f>BN37*'Baseline Given'!K38/'Baseline Given'!L38</f>
        <v>-350780.79202474083</v>
      </c>
      <c r="BQ37" s="105">
        <f>BO37/'Baseline Given'!M38</f>
        <v>65739.682316666964</v>
      </c>
      <c r="BR37" s="105">
        <f t="shared" si="79"/>
        <v>-0.28504110970807389</v>
      </c>
      <c r="BT37" s="105">
        <f t="shared" si="80"/>
        <v>-143685.47692835107</v>
      </c>
      <c r="BU37" s="106">
        <f t="shared" si="56"/>
        <v>533280</v>
      </c>
      <c r="BV37" s="105">
        <f>BT37*'Baseline Given'!K38/'Baseline Given'!L38</f>
        <v>-1053837.4755607171</v>
      </c>
      <c r="BW37" s="105">
        <f>BU37/'Baseline Given'!M38</f>
        <v>63057.671953799567</v>
      </c>
      <c r="BX37" s="105">
        <f t="shared" si="81"/>
        <v>-0.99077980360691753</v>
      </c>
      <c r="BZ37" s="104">
        <v>150</v>
      </c>
      <c r="CA37" s="104">
        <v>-150</v>
      </c>
    </row>
    <row r="38" spans="1:79" ht="15" customHeight="1" x14ac:dyDescent="0.25">
      <c r="A38" s="18">
        <f>'Baseline Given'!E39</f>
        <v>36</v>
      </c>
      <c r="B38" s="18">
        <f t="shared" si="82"/>
        <v>32</v>
      </c>
      <c r="C38" s="18">
        <f t="shared" si="57"/>
        <v>16</v>
      </c>
      <c r="D38" s="18">
        <f t="shared" si="83"/>
        <v>36</v>
      </c>
      <c r="E38" s="10">
        <v>0</v>
      </c>
      <c r="F38" s="18">
        <f t="shared" si="44"/>
        <v>4.75</v>
      </c>
      <c r="G38" s="18">
        <f t="shared" si="45"/>
        <v>17.75</v>
      </c>
      <c r="H38" s="18">
        <f t="shared" si="46"/>
        <v>32</v>
      </c>
      <c r="J38" s="104">
        <f t="shared" si="84"/>
        <v>35</v>
      </c>
      <c r="K38" s="104">
        <f t="shared" si="85"/>
        <v>0.6108652381980153</v>
      </c>
      <c r="L38" s="105">
        <f t="shared" si="58"/>
        <v>70.119719343915378</v>
      </c>
      <c r="M38" s="104">
        <f t="shared" si="59"/>
        <v>33646408.090516165</v>
      </c>
      <c r="N38" s="104">
        <f t="shared" si="60"/>
        <v>1439526.9293146061</v>
      </c>
      <c r="O38" s="104">
        <f t="shared" si="43"/>
        <v>886912.30139257712</v>
      </c>
      <c r="P38" s="104">
        <f t="shared" si="61"/>
        <v>1179191.4269571146</v>
      </c>
      <c r="R38" s="105">
        <f t="shared" si="62"/>
        <v>713727.89601534978</v>
      </c>
      <c r="S38" s="106">
        <f t="shared" si="47"/>
        <v>19748341.522156194</v>
      </c>
      <c r="T38" s="106">
        <f>R38*'Baseline Given'!K39/'Baseline Given'!L39</f>
        <v>5278504.5827916823</v>
      </c>
      <c r="U38" s="105">
        <f>S38/'Baseline Given'!M39</f>
        <v>2363478.409094377</v>
      </c>
      <c r="V38" s="105">
        <f t="shared" si="63"/>
        <v>7.6419829918860591</v>
      </c>
      <c r="X38" s="105">
        <f t="shared" si="64"/>
        <v>-140081.20089647733</v>
      </c>
      <c r="Y38" s="106">
        <f t="shared" si="48"/>
        <v>4695368.4545461526</v>
      </c>
      <c r="Z38" s="106">
        <f>X38*'Baseline Given'!K39/'Baseline Given'!L39</f>
        <v>-1035996.0217655771</v>
      </c>
      <c r="AA38" s="105">
        <f>Y38/'Baseline Given'!M39</f>
        <v>561940.9585666823</v>
      </c>
      <c r="AB38" s="105">
        <f t="shared" si="65"/>
        <v>-0.47405506319889484</v>
      </c>
      <c r="AD38" s="105">
        <f t="shared" si="66"/>
        <v>265845.31372532528</v>
      </c>
      <c r="AE38" s="106">
        <f t="shared" si="49"/>
        <v>2350993.1023825863</v>
      </c>
      <c r="AF38" s="105">
        <f>AD38*'Baseline Given'!K39/'Baseline Given'!L39</f>
        <v>1966107.4124285635</v>
      </c>
      <c r="AG38" s="105">
        <f>AE38/'Baseline Given'!M39</f>
        <v>281366.48493631929</v>
      </c>
      <c r="AH38" s="105">
        <f t="shared" si="67"/>
        <v>2.2474738973648827</v>
      </c>
      <c r="AJ38" s="105">
        <f t="shared" si="68"/>
        <v>346343.53595142998</v>
      </c>
      <c r="AK38" s="106">
        <f t="shared" si="50"/>
        <v>1566986.2576763618</v>
      </c>
      <c r="AL38" s="105">
        <f>AJ38*'Baseline Given'!K39/'Baseline Given'!L39</f>
        <v>2561446.6688865158</v>
      </c>
      <c r="AM38" s="105">
        <f>AK38/'Baseline Given'!M39</f>
        <v>187536.6690013225</v>
      </c>
      <c r="AN38" s="105">
        <f t="shared" si="69"/>
        <v>2.7489833378878386</v>
      </c>
      <c r="AP38" s="105">
        <f t="shared" si="70"/>
        <v>337432.25127304718</v>
      </c>
      <c r="AQ38" s="106">
        <f t="shared" si="51"/>
        <v>1152802.2336255508</v>
      </c>
      <c r="AR38" s="105">
        <f>AP38*'Baseline Given'!K39/'Baseline Given'!L39</f>
        <v>2495541.6408274844</v>
      </c>
      <c r="AS38" s="105">
        <f>AQ38/'Baseline Given'!M39</f>
        <v>137967.19010925211</v>
      </c>
      <c r="AT38" s="105">
        <f t="shared" si="71"/>
        <v>2.6335088309367363</v>
      </c>
      <c r="AV38" s="105">
        <f t="shared" si="72"/>
        <v>284238.24059485784</v>
      </c>
      <c r="AW38" s="106">
        <f t="shared" si="52"/>
        <v>892599.1855725802</v>
      </c>
      <c r="AX38" s="105">
        <f>AV38*'Baseline Given'!K39/'Baseline Given'!L39</f>
        <v>2102135.6513608019</v>
      </c>
      <c r="AY38" s="105">
        <f>AW38/'Baseline Given'!M39</f>
        <v>106826.13022005712</v>
      </c>
      <c r="AZ38" s="105">
        <f t="shared" si="73"/>
        <v>2.2089617815808587</v>
      </c>
      <c r="BB38" s="105">
        <f t="shared" si="74"/>
        <v>203160.58368554525</v>
      </c>
      <c r="BC38" s="106">
        <f t="shared" si="53"/>
        <v>719002.68017307948</v>
      </c>
      <c r="BD38" s="105">
        <f>BB38*'Baseline Given'!K39/'Baseline Given'!L39</f>
        <v>1502511.0802222597</v>
      </c>
      <c r="BE38" s="105">
        <f>BC38/'Baseline Given'!M39</f>
        <v>86050.127741791366</v>
      </c>
      <c r="BF38" s="105">
        <f t="shared" si="75"/>
        <v>1.588561207964051</v>
      </c>
      <c r="BH38" s="105">
        <f t="shared" si="76"/>
        <v>102935.5775236506</v>
      </c>
      <c r="BI38" s="107">
        <f t="shared" si="54"/>
        <v>605343.5288893641</v>
      </c>
      <c r="BJ38" s="105">
        <f>BH38*'Baseline Given'!K39/'Baseline Given'!L39</f>
        <v>761278.80208175699</v>
      </c>
      <c r="BK38" s="105">
        <f>BI38/'Baseline Given'!M39</f>
        <v>72447.418382442454</v>
      </c>
      <c r="BL38" s="105">
        <f t="shared" si="77"/>
        <v>0.83372622046419942</v>
      </c>
      <c r="BN38" s="105">
        <f t="shared" si="78"/>
        <v>-10392.263755729888</v>
      </c>
      <c r="BO38" s="106">
        <f t="shared" si="55"/>
        <v>539801.81558237411</v>
      </c>
      <c r="BP38" s="105">
        <f>BN38*'Baseline Given'!K39/'Baseline Given'!L39</f>
        <v>-76857.878424609546</v>
      </c>
      <c r="BQ38" s="105">
        <f>BO38/'Baseline Given'!M39</f>
        <v>64603.39643648154</v>
      </c>
      <c r="BR38" s="105">
        <f t="shared" si="79"/>
        <v>-1.2254481988128006E-2</v>
      </c>
      <c r="BT38" s="105">
        <f t="shared" si="80"/>
        <v>-131956.05024032239</v>
      </c>
      <c r="BU38" s="106">
        <f t="shared" si="56"/>
        <v>517120</v>
      </c>
      <c r="BV38" s="105">
        <f>BT38*'Baseline Given'!K39/'Baseline Given'!L39</f>
        <v>-975904.99097663315</v>
      </c>
      <c r="BW38" s="105">
        <f>BU38/'Baseline Given'!M39</f>
        <v>61888.84031297834</v>
      </c>
      <c r="BX38" s="105">
        <f t="shared" si="81"/>
        <v>-0.91401615066365482</v>
      </c>
      <c r="BZ38" s="104">
        <v>150</v>
      </c>
      <c r="CA38" s="104">
        <v>-150</v>
      </c>
    </row>
    <row r="39" spans="1:79" ht="15" customHeight="1" x14ac:dyDescent="0.25">
      <c r="A39" s="18">
        <f>'Baseline Given'!E40</f>
        <v>37</v>
      </c>
      <c r="B39" s="18">
        <f t="shared" si="82"/>
        <v>31</v>
      </c>
      <c r="C39" s="18">
        <f t="shared" si="57"/>
        <v>15.5</v>
      </c>
      <c r="D39" s="18">
        <f t="shared" si="83"/>
        <v>37</v>
      </c>
      <c r="E39" s="10">
        <v>0</v>
      </c>
      <c r="F39" s="18">
        <f t="shared" si="44"/>
        <v>3.75</v>
      </c>
      <c r="G39" s="18">
        <f t="shared" si="45"/>
        <v>16.75</v>
      </c>
      <c r="H39" s="18">
        <f t="shared" si="46"/>
        <v>31</v>
      </c>
      <c r="J39" s="104">
        <f t="shared" si="84"/>
        <v>36</v>
      </c>
      <c r="K39" s="104">
        <f t="shared" si="85"/>
        <v>0.62831853071795862</v>
      </c>
      <c r="L39" s="105">
        <f t="shared" si="58"/>
        <v>71.856747092754844</v>
      </c>
      <c r="M39" s="104">
        <f t="shared" si="59"/>
        <v>33230114.158512764</v>
      </c>
      <c r="N39" s="104">
        <f t="shared" si="60"/>
        <v>1387348.3911935925</v>
      </c>
      <c r="O39" s="104">
        <f t="shared" si="43"/>
        <v>875938.88014964305</v>
      </c>
      <c r="P39" s="104">
        <f t="shared" si="61"/>
        <v>1122388.4255943589</v>
      </c>
      <c r="R39" s="105">
        <f t="shared" si="62"/>
        <v>876567.04324950371</v>
      </c>
      <c r="S39" s="106">
        <f t="shared" si="47"/>
        <v>19732181.522156194</v>
      </c>
      <c r="T39" s="106">
        <f>R39*'Baseline Given'!K40/'Baseline Given'!L40</f>
        <v>6537492.7705596145</v>
      </c>
      <c r="U39" s="105">
        <f>S39/'Baseline Given'!M40</f>
        <v>2390376.274356408</v>
      </c>
      <c r="V39" s="105">
        <f t="shared" si="63"/>
        <v>8.9278690449160223</v>
      </c>
      <c r="X39" s="105">
        <f t="shared" si="64"/>
        <v>95350.195150120184</v>
      </c>
      <c r="Y39" s="106">
        <f t="shared" si="48"/>
        <v>4679208.4545461526</v>
      </c>
      <c r="Z39" s="106">
        <f>X39*'Baseline Given'!K40/'Baseline Given'!L40</f>
        <v>711127.82104440802</v>
      </c>
      <c r="AA39" s="105">
        <f>Y39/'Baseline Given'!M40</f>
        <v>566844.00860370824</v>
      </c>
      <c r="AB39" s="105">
        <f t="shared" si="65"/>
        <v>1.2779718296481162</v>
      </c>
      <c r="AD39" s="105">
        <f t="shared" si="66"/>
        <v>454979.40472914465</v>
      </c>
      <c r="AE39" s="106">
        <f t="shared" si="49"/>
        <v>2334833.1023825863</v>
      </c>
      <c r="AF39" s="105">
        <f>AD39*'Baseline Given'!K40/'Baseline Given'!L40</f>
        <v>3393265.3435655888</v>
      </c>
      <c r="AG39" s="105">
        <f>AE39/'Baseline Given'!M40</f>
        <v>282844.0254439456</v>
      </c>
      <c r="AH39" s="105">
        <f t="shared" si="67"/>
        <v>3.6761093690095343</v>
      </c>
      <c r="AJ39" s="105">
        <f t="shared" si="68"/>
        <v>511642.53089155164</v>
      </c>
      <c r="AK39" s="106">
        <f t="shared" si="50"/>
        <v>1550826.2576763618</v>
      </c>
      <c r="AL39" s="105">
        <f>AJ39*'Baseline Given'!K40/'Baseline Given'!L40</f>
        <v>3815862.5430573835</v>
      </c>
      <c r="AM39" s="105">
        <f>AK39/'Baseline Given'!M40</f>
        <v>187868.64938557646</v>
      </c>
      <c r="AN39" s="105">
        <f t="shared" si="69"/>
        <v>4.0037311924429604</v>
      </c>
      <c r="AP39" s="105">
        <f t="shared" si="70"/>
        <v>480885.7157289125</v>
      </c>
      <c r="AQ39" s="106">
        <f t="shared" si="51"/>
        <v>1136642.2336255508</v>
      </c>
      <c r="AR39" s="105">
        <f>AP39*'Baseline Given'!K40/'Baseline Given'!L40</f>
        <v>3586476.2590079629</v>
      </c>
      <c r="AS39" s="105">
        <f>AQ39/'Baseline Given'!M40</f>
        <v>137693.98100454404</v>
      </c>
      <c r="AT39" s="105">
        <f t="shared" si="71"/>
        <v>3.7241702400125067</v>
      </c>
      <c r="AV39" s="105">
        <f t="shared" si="72"/>
        <v>404512.30411049305</v>
      </c>
      <c r="AW39" s="106">
        <f t="shared" si="52"/>
        <v>876439.1855725802</v>
      </c>
      <c r="AX39" s="105">
        <f>AV39*'Baseline Given'!K40/'Baseline Given'!L40</f>
        <v>3016878.4967335784</v>
      </c>
      <c r="AY39" s="105">
        <f>AW39/'Baseline Given'!M40</f>
        <v>106172.72260325424</v>
      </c>
      <c r="AZ39" s="105">
        <f t="shared" si="73"/>
        <v>3.1230512193368325</v>
      </c>
      <c r="BB39" s="105">
        <f t="shared" si="74"/>
        <v>298311.64291349705</v>
      </c>
      <c r="BC39" s="106">
        <f t="shared" si="53"/>
        <v>702842.68017307948</v>
      </c>
      <c r="BD39" s="105">
        <f>BB39*'Baseline Given'!K40/'Baseline Given'!L40</f>
        <v>2224827.20966917</v>
      </c>
      <c r="BE39" s="105">
        <f>BC39/'Baseline Given'!M40</f>
        <v>85143.067704113288</v>
      </c>
      <c r="BF39" s="105">
        <f t="shared" si="75"/>
        <v>2.3099702773732833</v>
      </c>
      <c r="BH39" s="105">
        <f t="shared" si="76"/>
        <v>171225.79725328274</v>
      </c>
      <c r="BI39" s="107">
        <f t="shared" si="54"/>
        <v>589183.5288893641</v>
      </c>
      <c r="BJ39" s="105">
        <f>BH39*'Baseline Given'!K40/'Baseline Given'!L40</f>
        <v>1277012.888286313</v>
      </c>
      <c r="BK39" s="105">
        <f>BI39/'Baseline Given'!M40</f>
        <v>71374.284040380269</v>
      </c>
      <c r="BL39" s="105">
        <f t="shared" si="77"/>
        <v>1.3483871723266934</v>
      </c>
      <c r="BN39" s="105">
        <f t="shared" si="78"/>
        <v>29848.836232935544</v>
      </c>
      <c r="BO39" s="106">
        <f t="shared" si="55"/>
        <v>523641.81558237411</v>
      </c>
      <c r="BP39" s="105">
        <f>BN39*'Baseline Given'!K40/'Baseline Given'!L40</f>
        <v>222614.51943144845</v>
      </c>
      <c r="BQ39" s="105">
        <f>BO39/'Baseline Given'!M40</f>
        <v>63434.495107576106</v>
      </c>
      <c r="BR39" s="105">
        <f t="shared" si="79"/>
        <v>0.28604901453902454</v>
      </c>
      <c r="BT39" s="105">
        <f t="shared" si="80"/>
        <v>-120226.62355229372</v>
      </c>
      <c r="BU39" s="106">
        <f t="shared" si="56"/>
        <v>500960</v>
      </c>
      <c r="BV39" s="105">
        <f>BT39*'Baseline Given'!K40/'Baseline Given'!L40</f>
        <v>-896657.80655889085</v>
      </c>
      <c r="BW39" s="105">
        <f>BU39/'Baseline Given'!M40</f>
        <v>60686.797202681199</v>
      </c>
      <c r="BX39" s="105">
        <f t="shared" si="81"/>
        <v>-0.8359710093562096</v>
      </c>
      <c r="BZ39" s="104">
        <v>150</v>
      </c>
      <c r="CA39" s="104">
        <v>-150</v>
      </c>
    </row>
    <row r="40" spans="1:79" ht="15" customHeight="1" x14ac:dyDescent="0.25">
      <c r="A40" s="18">
        <f>'Baseline Given'!E41</f>
        <v>38</v>
      </c>
      <c r="B40" s="18">
        <f t="shared" si="82"/>
        <v>30</v>
      </c>
      <c r="C40" s="18">
        <f t="shared" si="57"/>
        <v>15</v>
      </c>
      <c r="D40" s="18">
        <f t="shared" si="83"/>
        <v>38</v>
      </c>
      <c r="E40" s="10">
        <v>0</v>
      </c>
      <c r="F40" s="18">
        <f t="shared" si="44"/>
        <v>2.75</v>
      </c>
      <c r="G40" s="18">
        <f t="shared" si="45"/>
        <v>15.75</v>
      </c>
      <c r="H40" s="18">
        <f t="shared" si="46"/>
        <v>30</v>
      </c>
      <c r="J40" s="104">
        <f t="shared" si="84"/>
        <v>37</v>
      </c>
      <c r="K40" s="104">
        <f t="shared" si="85"/>
        <v>0.64577182323790194</v>
      </c>
      <c r="L40" s="105">
        <f t="shared" si="58"/>
        <v>73.571886580337903</v>
      </c>
      <c r="M40" s="104">
        <f t="shared" si="59"/>
        <v>32803698.011829339</v>
      </c>
      <c r="N40" s="104">
        <f t="shared" si="60"/>
        <v>1337618.1937108079</v>
      </c>
      <c r="O40" s="104">
        <f t="shared" si="43"/>
        <v>864698.63943840482</v>
      </c>
      <c r="P40" s="104">
        <f t="shared" si="61"/>
        <v>1068269.3883827697</v>
      </c>
      <c r="R40" s="105">
        <f t="shared" si="62"/>
        <v>1055556.3462482858</v>
      </c>
      <c r="S40" s="106">
        <f t="shared" si="47"/>
        <v>19716021.522156194</v>
      </c>
      <c r="T40" s="106">
        <f>R40*'Baseline Given'!K41/'Baseline Given'!L41</f>
        <v>7939373.9186464278</v>
      </c>
      <c r="U40" s="105">
        <f>S40/'Baseline Given'!M41</f>
        <v>2417757.7302705729</v>
      </c>
      <c r="V40" s="105">
        <f t="shared" si="63"/>
        <v>10.357131648917001</v>
      </c>
      <c r="X40" s="105">
        <f t="shared" si="64"/>
        <v>346696.08448539674</v>
      </c>
      <c r="Y40" s="106">
        <f t="shared" si="48"/>
        <v>4663048.4545461526</v>
      </c>
      <c r="Z40" s="106">
        <f>X40*'Baseline Given'!K41/'Baseline Given'!L41</f>
        <v>2607676.8527264846</v>
      </c>
      <c r="AA40" s="105">
        <f>Y40/'Baseline Given'!M41</f>
        <v>571825.37739349366</v>
      </c>
      <c r="AB40" s="105">
        <f t="shared" si="65"/>
        <v>3.179502230119978</v>
      </c>
      <c r="AD40" s="105">
        <f t="shared" si="66"/>
        <v>659298.9284848636</v>
      </c>
      <c r="AE40" s="106">
        <f t="shared" si="49"/>
        <v>2318673.1023825863</v>
      </c>
      <c r="AF40" s="105">
        <f>AD40*'Baseline Given'!K41/'Baseline Given'!L41</f>
        <v>4958921.1755570583</v>
      </c>
      <c r="AG40" s="105">
        <f>AE40/'Baseline Given'!M41</f>
        <v>284336.76697685325</v>
      </c>
      <c r="AH40" s="105">
        <f t="shared" si="67"/>
        <v>5.2432579425339112</v>
      </c>
      <c r="AJ40" s="105">
        <f t="shared" si="68"/>
        <v>690936.49635682907</v>
      </c>
      <c r="AK40" s="106">
        <f t="shared" si="50"/>
        <v>1534666.2576763618</v>
      </c>
      <c r="AL40" s="105">
        <f>AJ40*'Baseline Given'!K41/'Baseline Given'!L41</f>
        <v>5196883.3479269696</v>
      </c>
      <c r="AM40" s="105">
        <f>AK40/'Baseline Given'!M41</f>
        <v>188194.72294208829</v>
      </c>
      <c r="AN40" s="105">
        <f t="shared" si="69"/>
        <v>5.3850780708690582</v>
      </c>
      <c r="AP40" s="105">
        <f t="shared" si="70"/>
        <v>636718.45838558022</v>
      </c>
      <c r="AQ40" s="106">
        <f t="shared" si="51"/>
        <v>1120482.2336255508</v>
      </c>
      <c r="AR40" s="105">
        <f>AP40*'Baseline Given'!K41/'Baseline Given'!L41</f>
        <v>4789082.022948849</v>
      </c>
      <c r="AS40" s="105">
        <f>AQ40/'Baseline Given'!M41</f>
        <v>137403.71397620306</v>
      </c>
      <c r="AT40" s="105">
        <f t="shared" si="71"/>
        <v>4.9264857369250521</v>
      </c>
      <c r="AV40" s="105">
        <f t="shared" si="72"/>
        <v>535173.81539866142</v>
      </c>
      <c r="AW40" s="106">
        <f t="shared" si="52"/>
        <v>860279.1855725802</v>
      </c>
      <c r="AX40" s="105">
        <f>AV40*'Baseline Given'!K41/'Baseline Given'!L41</f>
        <v>4025313.3307572408</v>
      </c>
      <c r="AY40" s="105">
        <f>AW40/'Baseline Given'!M41</f>
        <v>105495.25160396103</v>
      </c>
      <c r="AZ40" s="105">
        <f t="shared" si="73"/>
        <v>4.130808582361202</v>
      </c>
      <c r="BB40" s="105">
        <f t="shared" si="74"/>
        <v>401542.70214144839</v>
      </c>
      <c r="BC40" s="106">
        <f t="shared" si="53"/>
        <v>686682.68017307948</v>
      </c>
      <c r="BD40" s="105">
        <f>BB40*'Baseline Given'!K41/'Baseline Given'!L41</f>
        <v>3020206.0438891551</v>
      </c>
      <c r="BE40" s="105">
        <f>BC40/'Baseline Given'!M41</f>
        <v>84207.270537094199</v>
      </c>
      <c r="BF40" s="105">
        <f t="shared" si="75"/>
        <v>3.1044133144262496</v>
      </c>
      <c r="BH40" s="105">
        <f t="shared" si="76"/>
        <v>245043.06249905704</v>
      </c>
      <c r="BI40" s="107">
        <f t="shared" si="54"/>
        <v>573023.5288893641</v>
      </c>
      <c r="BJ40" s="105">
        <f>BH40*'Baseline Given'!K41/'Baseline Given'!L41</f>
        <v>1843092.9871863481</v>
      </c>
      <c r="BK40" s="105">
        <f>BI40/'Baseline Given'!M41</f>
        <v>70269.352518320273</v>
      </c>
      <c r="BL40" s="105">
        <f t="shared" si="77"/>
        <v>1.9133623397046684</v>
      </c>
      <c r="BN40" s="105">
        <f t="shared" si="78"/>
        <v>72896.09077269875</v>
      </c>
      <c r="BO40" s="106">
        <f t="shared" si="55"/>
        <v>507481.81558237411</v>
      </c>
      <c r="BP40" s="105">
        <f>BN40*'Baseline Given'!K41/'Baseline Given'!L41</f>
        <v>548288.42051783262</v>
      </c>
      <c r="BQ40" s="105">
        <f>BO40/'Baseline Given'!M41</f>
        <v>62232.03201605381</v>
      </c>
      <c r="BR40" s="105">
        <f t="shared" si="79"/>
        <v>0.61052045253388643</v>
      </c>
      <c r="BT40" s="105">
        <f t="shared" si="80"/>
        <v>-108497.19686426506</v>
      </c>
      <c r="BU40" s="106">
        <f t="shared" si="56"/>
        <v>484800</v>
      </c>
      <c r="BV40" s="105">
        <f>BT40*'Baseline Given'!K41/'Baseline Given'!L41</f>
        <v>-816062.37136655545</v>
      </c>
      <c r="BW40" s="105">
        <f>BU40/'Baseline Given'!M41</f>
        <v>59450.581666183272</v>
      </c>
      <c r="BX40" s="105">
        <f t="shared" si="81"/>
        <v>-0.75661178970037213</v>
      </c>
      <c r="BZ40" s="104">
        <v>150</v>
      </c>
      <c r="CA40" s="104">
        <v>-150</v>
      </c>
    </row>
    <row r="41" spans="1:79" ht="15" customHeight="1" x14ac:dyDescent="0.25">
      <c r="A41" s="18">
        <f>'Baseline Given'!E42</f>
        <v>39</v>
      </c>
      <c r="B41" s="18">
        <f t="shared" si="82"/>
        <v>29</v>
      </c>
      <c r="C41" s="18">
        <f t="shared" si="57"/>
        <v>14.5</v>
      </c>
      <c r="D41" s="18">
        <f t="shared" si="83"/>
        <v>39</v>
      </c>
      <c r="E41" s="10">
        <v>0</v>
      </c>
      <c r="F41" s="18">
        <f t="shared" si="44"/>
        <v>1.75</v>
      </c>
      <c r="G41" s="18">
        <f t="shared" si="45"/>
        <v>14.75</v>
      </c>
      <c r="H41" s="18">
        <f t="shared" si="46"/>
        <v>29</v>
      </c>
      <c r="J41" s="104">
        <f t="shared" si="84"/>
        <v>38</v>
      </c>
      <c r="K41" s="104">
        <f t="shared" si="85"/>
        <v>0.66322511575784515</v>
      </c>
      <c r="L41" s="105">
        <f t="shared" si="58"/>
        <v>75.264615358561713</v>
      </c>
      <c r="M41" s="104">
        <f t="shared" si="59"/>
        <v>32367289.540954955</v>
      </c>
      <c r="N41" s="104">
        <f t="shared" si="60"/>
        <v>1290139.704564624</v>
      </c>
      <c r="O41" s="104">
        <f t="shared" si="43"/>
        <v>853195.00314507005</v>
      </c>
      <c r="P41" s="104">
        <f t="shared" si="61"/>
        <v>1016643.9608519231</v>
      </c>
      <c r="R41" s="105">
        <f t="shared" si="62"/>
        <v>1250695.8050116971</v>
      </c>
      <c r="S41" s="106">
        <f t="shared" si="47"/>
        <v>19699861.522156194</v>
      </c>
      <c r="T41" s="106">
        <f>R41*'Baseline Given'!K42/'Baseline Given'!L42</f>
        <v>9487825.9202157278</v>
      </c>
      <c r="U41" s="105">
        <f>S41/'Baseline Given'!M42</f>
        <v>2445634.5823275149</v>
      </c>
      <c r="V41" s="105">
        <f t="shared" si="63"/>
        <v>11.933460502543243</v>
      </c>
      <c r="X41" s="105">
        <f t="shared" si="64"/>
        <v>613956.46710934956</v>
      </c>
      <c r="Y41" s="106">
        <f t="shared" si="48"/>
        <v>4646888.4545461526</v>
      </c>
      <c r="Z41" s="106">
        <f>X41*'Baseline Given'!K42/'Baseline Given'!L42</f>
        <v>4657497.098161038</v>
      </c>
      <c r="AA41" s="105">
        <f>Y41/'Baseline Given'!M42</f>
        <v>576886.85231999797</v>
      </c>
      <c r="AB41" s="105">
        <f t="shared" si="65"/>
        <v>5.2343839504810354</v>
      </c>
      <c r="AD41" s="105">
        <f t="shared" si="66"/>
        <v>878803.88499248121</v>
      </c>
      <c r="AE41" s="106">
        <f t="shared" si="49"/>
        <v>2302513.1023825863</v>
      </c>
      <c r="AF41" s="105">
        <f>AD41*'Baseline Given'!K42/'Baseline Given'!L42</f>
        <v>6666639.678015043</v>
      </c>
      <c r="AG41" s="105">
        <f>AE41/'Baseline Given'!M42</f>
        <v>285844.93668221124</v>
      </c>
      <c r="AH41" s="105">
        <f t="shared" si="67"/>
        <v>6.9524846146972541</v>
      </c>
      <c r="AJ41" s="105">
        <f t="shared" si="68"/>
        <v>884225.43234726414</v>
      </c>
      <c r="AK41" s="106">
        <f t="shared" si="50"/>
        <v>1518506.2576763618</v>
      </c>
      <c r="AL41" s="105">
        <f>AJ41*'Baseline Given'!K42/'Baseline Given'!L42</f>
        <v>6707767.7423407286</v>
      </c>
      <c r="AM41" s="105">
        <f>AK41/'Baseline Given'!M42</f>
        <v>188514.59504308095</v>
      </c>
      <c r="AN41" s="105">
        <f t="shared" si="69"/>
        <v>6.8962823373838091</v>
      </c>
      <c r="AP41" s="105">
        <f t="shared" si="70"/>
        <v>804930.47924304986</v>
      </c>
      <c r="AQ41" s="106">
        <f t="shared" si="51"/>
        <v>1104322.2336255508</v>
      </c>
      <c r="AR41" s="105">
        <f>AP41*'Baseline Given'!K42/'Baseline Given'!L42</f>
        <v>6106233.2138088942</v>
      </c>
      <c r="AS41" s="105">
        <f>AQ41/'Baseline Given'!M42</f>
        <v>137095.81874726838</v>
      </c>
      <c r="AT41" s="105">
        <f t="shared" si="71"/>
        <v>6.2433290325561623</v>
      </c>
      <c r="AV41" s="105">
        <f t="shared" si="72"/>
        <v>676222.77445936529</v>
      </c>
      <c r="AW41" s="106">
        <f t="shared" si="52"/>
        <v>844119.1855725802</v>
      </c>
      <c r="AX41" s="105">
        <f>AV41*'Baseline Given'!K42/'Baseline Given'!L42</f>
        <v>5129851.6726821167</v>
      </c>
      <c r="AY41" s="105">
        <f>AW41/'Baseline Given'!M42</f>
        <v>104792.97377398444</v>
      </c>
      <c r="AZ41" s="105">
        <f t="shared" si="73"/>
        <v>5.2346446464561014</v>
      </c>
      <c r="BB41" s="105">
        <f t="shared" si="74"/>
        <v>512853.76136940019</v>
      </c>
      <c r="BC41" s="106">
        <f t="shared" si="53"/>
        <v>670522.68017307948</v>
      </c>
      <c r="BD41" s="105">
        <f>BB41*'Baseline Given'!K42/'Baseline Given'!L42</f>
        <v>3890528.129144256</v>
      </c>
      <c r="BE41" s="105">
        <f>BC41/'Baseline Given'!M42</f>
        <v>83241.877259994537</v>
      </c>
      <c r="BF41" s="105">
        <f t="shared" si="75"/>
        <v>3.9737700064042505</v>
      </c>
      <c r="BH41" s="105">
        <f t="shared" si="76"/>
        <v>324387.37326097465</v>
      </c>
      <c r="BI41" s="107">
        <f t="shared" si="54"/>
        <v>556863.5288893641</v>
      </c>
      <c r="BJ41" s="105">
        <f>BH41*'Baseline Given'!K42/'Baseline Given'!L42</f>
        <v>2460814.9446758442</v>
      </c>
      <c r="BK41" s="105">
        <f>BI41/'Baseline Given'!M42</f>
        <v>69131.68919269157</v>
      </c>
      <c r="BL41" s="105">
        <f t="shared" si="77"/>
        <v>2.5299466338685357</v>
      </c>
      <c r="BN41" s="105">
        <f t="shared" si="78"/>
        <v>118749.49986355973</v>
      </c>
      <c r="BO41" s="106">
        <f t="shared" si="55"/>
        <v>491321.81558237411</v>
      </c>
      <c r="BP41" s="105">
        <f>BN41*'Baseline Given'!K42/'Baseline Given'!L42</f>
        <v>900838.22005591425</v>
      </c>
      <c r="BQ41" s="105">
        <f>BO41/'Baseline Given'!M42</f>
        <v>60995.02891879611</v>
      </c>
      <c r="BR41" s="105">
        <f t="shared" si="79"/>
        <v>0.96183324897471034</v>
      </c>
      <c r="BT41" s="105">
        <f t="shared" si="80"/>
        <v>-96767.770176236387</v>
      </c>
      <c r="BU41" s="106">
        <f t="shared" si="56"/>
        <v>468640</v>
      </c>
      <c r="BV41" s="105">
        <f>BT41*'Baseline Given'!K42/'Baseline Given'!L42</f>
        <v>-734083.98304413236</v>
      </c>
      <c r="BW41" s="105">
        <f>BU41/'Baseline Given'!M42</f>
        <v>58179.200365085657</v>
      </c>
      <c r="BX41" s="105">
        <f t="shared" si="81"/>
        <v>-0.67590478267904675</v>
      </c>
      <c r="BZ41" s="104">
        <v>150</v>
      </c>
      <c r="CA41" s="104">
        <v>-150</v>
      </c>
    </row>
    <row r="42" spans="1:79" ht="15" customHeight="1" x14ac:dyDescent="0.25">
      <c r="A42" s="18">
        <f>'Baseline Given'!E43</f>
        <v>40</v>
      </c>
      <c r="B42" s="18">
        <f t="shared" si="82"/>
        <v>28</v>
      </c>
      <c r="C42" s="18">
        <f t="shared" si="57"/>
        <v>14</v>
      </c>
      <c r="D42" s="18">
        <f t="shared" si="83"/>
        <v>40</v>
      </c>
      <c r="E42" s="10">
        <v>0</v>
      </c>
      <c r="F42" s="18">
        <f t="shared" si="44"/>
        <v>0.75</v>
      </c>
      <c r="G42" s="18">
        <f t="shared" si="45"/>
        <v>13.75</v>
      </c>
      <c r="H42" s="18">
        <f t="shared" si="46"/>
        <v>28</v>
      </c>
      <c r="J42" s="104">
        <f t="shared" si="84"/>
        <v>39</v>
      </c>
      <c r="K42" s="104">
        <f t="shared" si="85"/>
        <v>0.68067840827778847</v>
      </c>
      <c r="L42" s="105">
        <f t="shared" si="58"/>
        <v>76.934417805842628</v>
      </c>
      <c r="M42" s="104">
        <f t="shared" si="59"/>
        <v>31921021.680137414</v>
      </c>
      <c r="N42" s="109">
        <f t="shared" si="60"/>
        <v>1244736.3322107275</v>
      </c>
      <c r="O42" s="104">
        <f t="shared" si="43"/>
        <v>841431.47538869153</v>
      </c>
      <c r="P42" s="104">
        <f t="shared" si="61"/>
        <v>967341.81365632941</v>
      </c>
      <c r="R42" s="105">
        <f t="shared" si="62"/>
        <v>1461985.4195397375</v>
      </c>
      <c r="S42" s="106">
        <f t="shared" si="47"/>
        <v>19683701.522156194</v>
      </c>
      <c r="T42" s="106">
        <f>R42*'Baseline Given'!K43/'Baseline Given'!L43</f>
        <v>11186653.980117543</v>
      </c>
      <c r="U42" s="105">
        <f>S42/'Baseline Given'!M43</f>
        <v>2474019.0002944153</v>
      </c>
      <c r="V42" s="105">
        <f t="shared" si="63"/>
        <v>13.660672980411958</v>
      </c>
      <c r="X42" s="105">
        <f t="shared" si="64"/>
        <v>897131.34302198049</v>
      </c>
      <c r="Y42" s="106">
        <f t="shared" si="48"/>
        <v>4630728.4545461526</v>
      </c>
      <c r="Z42" s="106">
        <f>X42*'Baseline Given'!K43/'Baseline Given'!L43</f>
        <v>6864567.7138589639</v>
      </c>
      <c r="AA42" s="105">
        <f>Y42/'Baseline Given'!M43</f>
        <v>582030.27356697107</v>
      </c>
      <c r="AB42" s="105">
        <f t="shared" si="65"/>
        <v>7.4465979874259345</v>
      </c>
      <c r="AD42" s="105">
        <f t="shared" si="66"/>
        <v>1113494.2742520012</v>
      </c>
      <c r="AE42" s="106">
        <f t="shared" si="49"/>
        <v>2286353.1023825863</v>
      </c>
      <c r="AF42" s="105">
        <f>AD42*'Baseline Given'!K43/'Baseline Given'!L43</f>
        <v>8520109.016422838</v>
      </c>
      <c r="AG42" s="105">
        <f>AE42/'Baseline Given'!M43</f>
        <v>287368.76599706628</v>
      </c>
      <c r="AH42" s="105">
        <f t="shared" si="67"/>
        <v>8.8074777824199053</v>
      </c>
      <c r="AJ42" s="105">
        <f t="shared" si="68"/>
        <v>1091509.338862855</v>
      </c>
      <c r="AK42" s="106">
        <f t="shared" si="50"/>
        <v>1502346.2576763618</v>
      </c>
      <c r="AL42" s="105">
        <f>AJ42*'Baseline Given'!K43/'Baseline Given'!L43</f>
        <v>8351887.1848733509</v>
      </c>
      <c r="AM42" s="105">
        <f>AK42/'Baseline Given'!M43</f>
        <v>188827.95912795261</v>
      </c>
      <c r="AN42" s="105">
        <f t="shared" si="69"/>
        <v>8.5407151440013038</v>
      </c>
      <c r="AP42" s="105">
        <f t="shared" si="70"/>
        <v>985521.7783013219</v>
      </c>
      <c r="AQ42" s="106">
        <f t="shared" si="51"/>
        <v>1088162.2336255508</v>
      </c>
      <c r="AR42" s="105">
        <f>AP42*'Baseline Given'!K43/'Baseline Given'!L43</f>
        <v>7540903.6070946557</v>
      </c>
      <c r="AS42" s="105">
        <f>AQ42/'Baseline Given'!M43</f>
        <v>136769.70453764129</v>
      </c>
      <c r="AT42" s="105">
        <f t="shared" si="71"/>
        <v>7.6776733116322973</v>
      </c>
      <c r="AV42" s="105">
        <f t="shared" si="72"/>
        <v>827659.18129260326</v>
      </c>
      <c r="AW42" s="106">
        <f t="shared" si="52"/>
        <v>827959.1855725802</v>
      </c>
      <c r="AX42" s="105">
        <f>AV42*'Baseline Given'!K43/'Baseline Given'!L43</f>
        <v>6332988.5174248619</v>
      </c>
      <c r="AY42" s="105">
        <f>AW42/'Baseline Given'!M43</f>
        <v>104065.1197778612</v>
      </c>
      <c r="AZ42" s="105">
        <f t="shared" si="73"/>
        <v>6.4370536372027232</v>
      </c>
      <c r="BB42" s="105">
        <f t="shared" si="74"/>
        <v>632244.82059735153</v>
      </c>
      <c r="BC42" s="106">
        <f t="shared" si="53"/>
        <v>654362.68017307948</v>
      </c>
      <c r="BD42" s="105">
        <f>BB42*'Baseline Given'!K43/'Baseline Given'!L43</f>
        <v>4837739.1075286465</v>
      </c>
      <c r="BE42" s="105">
        <f>BC42/'Baseline Given'!M43</f>
        <v>82245.999412738398</v>
      </c>
      <c r="BF42" s="105">
        <f t="shared" si="75"/>
        <v>4.9199851069413851</v>
      </c>
      <c r="BH42" s="105">
        <f t="shared" si="76"/>
        <v>409258.72953903512</v>
      </c>
      <c r="BI42" s="107">
        <f t="shared" si="54"/>
        <v>540703.5288893641</v>
      </c>
      <c r="BJ42" s="105">
        <f>BH42*'Baseline Given'!K43/'Baseline Given'!L43</f>
        <v>3131519.4628527942</v>
      </c>
      <c r="BK42" s="105">
        <f>BI42/'Baseline Given'!M43</f>
        <v>67960.327608747</v>
      </c>
      <c r="BL42" s="105">
        <f t="shared" si="77"/>
        <v>3.1994797904615413</v>
      </c>
      <c r="BN42" s="105">
        <f t="shared" si="78"/>
        <v>167409.06350551813</v>
      </c>
      <c r="BO42" s="106">
        <f t="shared" si="55"/>
        <v>475161.81558237411</v>
      </c>
      <c r="BP42" s="105">
        <f>BN42*'Baseline Given'!K43/'Baseline Given'!L43</f>
        <v>1280961.6577170335</v>
      </c>
      <c r="BQ42" s="105">
        <f>BO42/'Baseline Given'!M43</f>
        <v>59722.474385316287</v>
      </c>
      <c r="BR42" s="105">
        <f t="shared" si="79"/>
        <v>1.3406841321023497</v>
      </c>
      <c r="BT42" s="105">
        <f t="shared" si="80"/>
        <v>-85038.343488207713</v>
      </c>
      <c r="BU42" s="106">
        <f t="shared" si="56"/>
        <v>452480</v>
      </c>
      <c r="BV42" s="105">
        <f>BT42*'Baseline Given'!K43/'Baseline Given'!L43</f>
        <v>-650686.73800074426</v>
      </c>
      <c r="BW42" s="105">
        <f>BU42/'Baseline Given'!M43</f>
        <v>56871.626304288257</v>
      </c>
      <c r="BX42" s="105">
        <f t="shared" si="81"/>
        <v>-0.59381511169645596</v>
      </c>
      <c r="BZ42" s="104">
        <v>150</v>
      </c>
      <c r="CA42" s="104">
        <v>-150</v>
      </c>
    </row>
    <row r="43" spans="1:79" ht="15" customHeight="1" x14ac:dyDescent="0.25">
      <c r="A43" s="18">
        <f>'Baseline Given'!E44</f>
        <v>41</v>
      </c>
      <c r="B43" s="18">
        <f t="shared" si="82"/>
        <v>27</v>
      </c>
      <c r="C43" s="18">
        <f t="shared" si="57"/>
        <v>13.5</v>
      </c>
      <c r="D43" s="18">
        <f t="shared" si="83"/>
        <v>41</v>
      </c>
      <c r="E43" s="10">
        <v>0</v>
      </c>
      <c r="F43" s="10">
        <v>0</v>
      </c>
      <c r="G43" s="18">
        <f t="shared" ref="G43:G55" si="86">G42-1</f>
        <v>12.75</v>
      </c>
      <c r="H43" s="18">
        <f t="shared" ref="H43:H55" si="87">H42-1</f>
        <v>27</v>
      </c>
      <c r="J43" s="104">
        <f t="shared" si="84"/>
        <v>40</v>
      </c>
      <c r="K43" s="109">
        <f t="shared" si="85"/>
        <v>0.69813170079773179</v>
      </c>
      <c r="L43" s="105">
        <f t="shared" si="58"/>
        <v>78.580785284179427</v>
      </c>
      <c r="M43" s="104">
        <f t="shared" si="59"/>
        <v>31465030.366890226</v>
      </c>
      <c r="N43" s="104">
        <f t="shared" si="60"/>
        <v>1201249.0172922099</v>
      </c>
      <c r="O43" s="104">
        <f t="shared" si="43"/>
        <v>829411.63945377991</v>
      </c>
      <c r="P43" s="109">
        <f t="shared" si="61"/>
        <v>920210.13449883054</v>
      </c>
      <c r="R43" s="105">
        <f t="shared" si="62"/>
        <v>1605479.0581049118</v>
      </c>
      <c r="S43" s="106">
        <f t="shared" si="47"/>
        <v>19667541.522156194</v>
      </c>
      <c r="T43" s="106">
        <f>R43*'Baseline Given'!K44/'Baseline Given'!L44</f>
        <v>12391859.551723998</v>
      </c>
      <c r="U43" s="105">
        <f>S43/'Baseline Given'!M44</f>
        <v>2502923.5318216346</v>
      </c>
      <c r="V43" s="105">
        <f t="shared" si="63"/>
        <v>14.894783083545633</v>
      </c>
      <c r="X43" s="105">
        <f t="shared" si="64"/>
        <v>1104128.4703932973</v>
      </c>
      <c r="Y43" s="106">
        <f t="shared" si="48"/>
        <v>4614568.4545461526</v>
      </c>
      <c r="Z43" s="106">
        <f>X43*'Baseline Given'!K44/'Baseline Given'!L44</f>
        <v>8522194.5830448251</v>
      </c>
      <c r="AA43" s="105">
        <f>Y43/'Baseline Given'!M44</f>
        <v>587257.5360308236</v>
      </c>
      <c r="AB43" s="105">
        <f t="shared" si="65"/>
        <v>9.1094521190756481</v>
      </c>
      <c r="AD43" s="105">
        <f t="shared" si="66"/>
        <v>1279935.6934273355</v>
      </c>
      <c r="AE43" s="106">
        <f t="shared" si="49"/>
        <v>2270193.1023825863</v>
      </c>
      <c r="AF43" s="105">
        <f>AD43*'Baseline Given'!K44/'Baseline Given'!L44</f>
        <v>9879159.2877654117</v>
      </c>
      <c r="AG43" s="105">
        <f>AE43/'Baseline Given'!M44</f>
        <v>288908.49074000557</v>
      </c>
      <c r="AH43" s="105">
        <f t="shared" si="67"/>
        <v>10.168067778505417</v>
      </c>
      <c r="AJ43" s="105">
        <f t="shared" si="68"/>
        <v>1237020.6450932841</v>
      </c>
      <c r="AK43" s="106">
        <f t="shared" si="50"/>
        <v>1486186.2576763618</v>
      </c>
      <c r="AL43" s="105">
        <f>AJ43*'Baseline Given'!K44/'Baseline Given'!L44</f>
        <v>9547920.3040325828</v>
      </c>
      <c r="AM43" s="105">
        <f>AK43/'Baseline Given'!M44</f>
        <v>189134.49618589072</v>
      </c>
      <c r="AN43" s="105">
        <f t="shared" si="69"/>
        <v>9.7370548002184734</v>
      </c>
      <c r="AP43" s="105">
        <f t="shared" si="70"/>
        <v>1111817.2645877539</v>
      </c>
      <c r="AQ43" s="106">
        <f t="shared" si="51"/>
        <v>1072002.2336255508</v>
      </c>
      <c r="AR43" s="105">
        <f>AP43*'Baseline Given'!K44/'Baseline Given'!L44</f>
        <v>8581540.3946882877</v>
      </c>
      <c r="AS43" s="105">
        <f>AQ43/'Baseline Given'!M44</f>
        <v>136424.75922494387</v>
      </c>
      <c r="AT43" s="105">
        <f t="shared" si="71"/>
        <v>8.7179651539132319</v>
      </c>
      <c r="AV43" s="105">
        <f t="shared" si="72"/>
        <v>933548.20235456666</v>
      </c>
      <c r="AW43" s="106">
        <f t="shared" si="52"/>
        <v>811799.1855725802</v>
      </c>
      <c r="AX43" s="105">
        <f>AV43*'Baseline Given'!K44/'Baseline Given'!L44</f>
        <v>7205574.0309670577</v>
      </c>
      <c r="AY43" s="105">
        <f>AW43/'Baseline Given'!M44</f>
        <v>103310.89335157996</v>
      </c>
      <c r="AZ43" s="105">
        <f t="shared" si="73"/>
        <v>7.3088849243186376</v>
      </c>
      <c r="BB43" s="105">
        <f t="shared" si="74"/>
        <v>716006.99742180854</v>
      </c>
      <c r="BC43" s="106">
        <f t="shared" si="53"/>
        <v>638202.68017307948</v>
      </c>
      <c r="BD43" s="105">
        <f>BB43*'Baseline Given'!K44/'Baseline Given'!L44</f>
        <v>5526486.3813146437</v>
      </c>
      <c r="BE43" s="105">
        <f>BC43/'Baseline Given'!M44</f>
        <v>81218.717879778706</v>
      </c>
      <c r="BF43" s="105">
        <f t="shared" si="75"/>
        <v>5.6077050991944226</v>
      </c>
      <c r="BH43" s="105">
        <f t="shared" si="76"/>
        <v>469358.11214722204</v>
      </c>
      <c r="BI43" s="107">
        <f t="shared" si="54"/>
        <v>524543.5288893641</v>
      </c>
      <c r="BJ43" s="105">
        <f>BH43*'Baseline Given'!K44/'Baseline Given'!L44</f>
        <v>3622731.6549716275</v>
      </c>
      <c r="BK43" s="105">
        <f>BI43/'Baseline Given'!M44</f>
        <v>66754.26821613319</v>
      </c>
      <c r="BL43" s="105">
        <f t="shared" si="77"/>
        <v>3.6894859231877608</v>
      </c>
      <c r="BN43" s="105">
        <f t="shared" si="78"/>
        <v>202795.41065504414</v>
      </c>
      <c r="BO43" s="106">
        <f t="shared" si="55"/>
        <v>459001.81558237411</v>
      </c>
      <c r="BP43" s="105">
        <f>BN43*'Baseline Given'!K44/'Baseline Given'!L44</f>
        <v>1565272.51718738</v>
      </c>
      <c r="BQ43" s="105">
        <f>BO43/'Baseline Given'!M44</f>
        <v>58413.322482414063</v>
      </c>
      <c r="BR43" s="105">
        <f t="shared" si="79"/>
        <v>1.6236858396697942</v>
      </c>
      <c r="BT43" s="105">
        <f t="shared" si="80"/>
        <v>-74775.095136182616</v>
      </c>
      <c r="BU43" s="106">
        <f t="shared" si="56"/>
        <v>436320</v>
      </c>
      <c r="BV43" s="105">
        <f>BT43*'Baseline Given'!K44/'Baseline Given'!L44</f>
        <v>-577150.14855947462</v>
      </c>
      <c r="BW43" s="105">
        <f>BU43/'Baseline Given'!M44</f>
        <v>55526.797499024127</v>
      </c>
      <c r="BX43" s="105">
        <f t="shared" si="81"/>
        <v>-0.52162335106045044</v>
      </c>
      <c r="BZ43" s="104">
        <v>150</v>
      </c>
      <c r="CA43" s="104">
        <v>-150</v>
      </c>
    </row>
    <row r="44" spans="1:79" ht="15" customHeight="1" x14ac:dyDescent="0.25">
      <c r="A44" s="18">
        <f>'Baseline Given'!E45</f>
        <v>42</v>
      </c>
      <c r="B44" s="18">
        <f t="shared" si="82"/>
        <v>26</v>
      </c>
      <c r="C44" s="18">
        <f t="shared" si="57"/>
        <v>13</v>
      </c>
      <c r="D44" s="18">
        <f t="shared" si="83"/>
        <v>42</v>
      </c>
      <c r="E44" s="10">
        <v>0</v>
      </c>
      <c r="F44" s="10">
        <v>0</v>
      </c>
      <c r="G44" s="18">
        <f t="shared" si="86"/>
        <v>11.75</v>
      </c>
      <c r="H44" s="18">
        <f t="shared" si="87"/>
        <v>26</v>
      </c>
      <c r="J44" s="104">
        <f t="shared" si="84"/>
        <v>41</v>
      </c>
      <c r="K44" s="104">
        <f t="shared" si="85"/>
        <v>0.715584993317675</v>
      </c>
      <c r="L44" s="105">
        <f t="shared" si="58"/>
        <v>80.203216294089501</v>
      </c>
      <c r="M44" s="104">
        <f t="shared" si="59"/>
        <v>30999454.500584692</v>
      </c>
      <c r="N44" s="104">
        <f t="shared" si="60"/>
        <v>1159534.0910113538</v>
      </c>
      <c r="O44" s="104">
        <f t="shared" si="43"/>
        <v>817139.15669879981</v>
      </c>
      <c r="P44" s="104">
        <f t="shared" si="61"/>
        <v>875111.48708117241</v>
      </c>
      <c r="R44" s="105">
        <f t="shared" si="62"/>
        <v>1513284.4572522305</v>
      </c>
      <c r="S44" s="106">
        <f t="shared" ref="S44:S56" si="88">16160*H44+($N$5/3)*COS($K$5)</f>
        <v>10035770.761078097</v>
      </c>
      <c r="T44" s="106">
        <f>R44*'Baseline Given'!K45/'Baseline Given'!L45</f>
        <v>11783116.688380908</v>
      </c>
      <c r="U44" s="105">
        <f>S44/'Baseline Given'!M45</f>
        <v>1293252.3661139226</v>
      </c>
      <c r="V44" s="105">
        <f t="shared" si="63"/>
        <v>13.076369054494831</v>
      </c>
      <c r="X44" s="105">
        <f t="shared" si="64"/>
        <v>1050763.3655633153</v>
      </c>
      <c r="Y44" s="106">
        <f t="shared" ref="Y44:Y56" si="89">16160*H44+($N$12/3)*COS($K$13)</f>
        <v>2509284.2272730763</v>
      </c>
      <c r="Z44" s="106">
        <f>X44*'Baseline Given'!K45/'Baseline Given'!L45</f>
        <v>8181718.4396315459</v>
      </c>
      <c r="AA44" s="105">
        <f>Y44/'Baseline Given'!M45</f>
        <v>323357.1034482898</v>
      </c>
      <c r="AB44" s="105">
        <f t="shared" si="65"/>
        <v>8.5050755430798368</v>
      </c>
      <c r="AD44" s="105">
        <f t="shared" si="66"/>
        <v>1211259.3368463162</v>
      </c>
      <c r="AE44" s="106">
        <f t="shared" ref="AE44:AE56" si="90">16160*H44+($N$22/3)*COS($K$23)</f>
        <v>1337096.5511912932</v>
      </c>
      <c r="AF44" s="105">
        <f>AD44*'Baseline Given'!K45/'Baseline Given'!L45</f>
        <v>9431412.6055760644</v>
      </c>
      <c r="AG44" s="105">
        <f>AE44/'Baseline Given'!M45</f>
        <v>172303.98339281569</v>
      </c>
      <c r="AH44" s="105">
        <f t="shared" si="67"/>
        <v>9.6037165889688811</v>
      </c>
      <c r="AJ44" s="105">
        <f t="shared" si="68"/>
        <v>1169224.2094179122</v>
      </c>
      <c r="AK44" s="106">
        <f t="shared" ref="AK44:AK56" si="91">16160*H44+($N$32/3)*COS($K$33)</f>
        <v>945093.12883818091</v>
      </c>
      <c r="AL44" s="105">
        <f>AJ44*'Baseline Given'!K45/'Baseline Given'!L45</f>
        <v>9104108.1063286439</v>
      </c>
      <c r="AM44" s="105">
        <f>AK44/'Baseline Given'!M45</f>
        <v>121788.74489722679</v>
      </c>
      <c r="AN44" s="105">
        <f t="shared" si="69"/>
        <v>9.225896851225869</v>
      </c>
      <c r="AP44" s="105">
        <f t="shared" si="70"/>
        <v>1050466.7561570574</v>
      </c>
      <c r="AQ44" s="106">
        <f t="shared" ref="AQ44:AQ56" si="92">16160*H44+($N$42/3)*COS($K$43)</f>
        <v>738001.11681277538</v>
      </c>
      <c r="AR44" s="105">
        <f>AP44*'Baseline Given'!K45/'Baseline Given'!L45</f>
        <v>8179408.9047466405</v>
      </c>
      <c r="AS44" s="105">
        <f>AQ44/'Baseline Given'!M45</f>
        <v>95101.982023582023</v>
      </c>
      <c r="AT44" s="105">
        <f t="shared" si="71"/>
        <v>8.2745108867702228</v>
      </c>
      <c r="AV44" s="105">
        <f t="shared" si="72"/>
        <v>882020.17055763863</v>
      </c>
      <c r="AW44" s="106">
        <f t="shared" ref="AW44:AW56" si="93">16160*H44+($N$52/3)*COS($K$53)</f>
        <v>607899.5927862901</v>
      </c>
      <c r="AX44" s="105">
        <f>AV44*'Baseline Given'!K45/'Baseline Given'!L45</f>
        <v>6867807.6625840981</v>
      </c>
      <c r="AY44" s="105">
        <f>AW44/'Baseline Given'!M45</f>
        <v>78336.542897090389</v>
      </c>
      <c r="AZ44" s="105">
        <f t="shared" si="73"/>
        <v>6.9461442054811879</v>
      </c>
      <c r="BB44" s="105">
        <f t="shared" si="74"/>
        <v>676722.52703578467</v>
      </c>
      <c r="BC44" s="106">
        <f t="shared" ref="BC44:BC56" si="94">16160*H44+($N$62/3)*COS($K$63)</f>
        <v>521101.34008653974</v>
      </c>
      <c r="BD44" s="105">
        <f>BB44*'Baseline Given'!K45/'Baseline Given'!L45</f>
        <v>5269267.4292032225</v>
      </c>
      <c r="BE44" s="105">
        <f>BC44/'Baseline Given'!M45</f>
        <v>67151.348620447941</v>
      </c>
      <c r="BF44" s="105">
        <f t="shared" si="75"/>
        <v>5.3364187778236705</v>
      </c>
      <c r="BH44" s="105">
        <f t="shared" si="76"/>
        <v>444087.48271350283</v>
      </c>
      <c r="BI44" s="107">
        <f t="shared" ref="BI44:BI56" si="95">16160*H44+($N$72/3)*COS($K$73)</f>
        <v>464271.76444468205</v>
      </c>
      <c r="BJ44" s="105">
        <f>BH44*'Baseline Given'!K45/'Baseline Given'!L45</f>
        <v>3457865.8384980452</v>
      </c>
      <c r="BK44" s="105">
        <f>BI44/'Baseline Given'!M45</f>
        <v>59828.046313751227</v>
      </c>
      <c r="BL44" s="105">
        <f t="shared" si="77"/>
        <v>3.5176938848117962</v>
      </c>
      <c r="BN44" s="105">
        <f t="shared" si="78"/>
        <v>192749.79922507785</v>
      </c>
      <c r="BO44" s="106">
        <f t="shared" ref="BO44:BO56" si="96">16160*H44+($N$82/3)*COS($K$83)</f>
        <v>431500.90779118706</v>
      </c>
      <c r="BP44" s="105">
        <f>BN44*'Baseline Given'!K45/'Baseline Given'!L45</f>
        <v>1500837.0468927161</v>
      </c>
      <c r="BQ44" s="105">
        <f>BO44/'Baseline Given'!M45</f>
        <v>55605.05348981393</v>
      </c>
      <c r="BR44" s="105">
        <f t="shared" si="79"/>
        <v>1.5564421003825302</v>
      </c>
      <c r="BT44" s="105">
        <f t="shared" si="80"/>
        <v>-68910.381792168293</v>
      </c>
      <c r="BU44" s="106">
        <f t="shared" ref="BU44:BU56" si="97">16160*H44+($N$92/3)*COS($K$93)</f>
        <v>420160</v>
      </c>
      <c r="BV44" s="105">
        <f>BT44*'Baseline Given'!K45/'Baseline Given'!L45</f>
        <v>-536567.37555631914</v>
      </c>
      <c r="BW44" s="105">
        <f>BU44/'Baseline Given'!M45</f>
        <v>54143.615580957499</v>
      </c>
      <c r="BX44" s="105">
        <f t="shared" si="81"/>
        <v>-0.48242375997536163</v>
      </c>
      <c r="BZ44" s="104">
        <v>150</v>
      </c>
      <c r="CA44" s="104">
        <v>-150</v>
      </c>
    </row>
    <row r="45" spans="1:79" ht="15" customHeight="1" x14ac:dyDescent="0.25">
      <c r="A45" s="18">
        <f>'Baseline Given'!E46</f>
        <v>43</v>
      </c>
      <c r="B45" s="18">
        <f t="shared" si="82"/>
        <v>25</v>
      </c>
      <c r="C45" s="18">
        <f t="shared" si="57"/>
        <v>12.5</v>
      </c>
      <c r="D45" s="18">
        <f t="shared" si="83"/>
        <v>43</v>
      </c>
      <c r="E45" s="10">
        <v>0</v>
      </c>
      <c r="F45" s="10">
        <v>0</v>
      </c>
      <c r="G45" s="18">
        <f t="shared" si="86"/>
        <v>10.75</v>
      </c>
      <c r="H45" s="18">
        <f t="shared" si="87"/>
        <v>25</v>
      </c>
      <c r="J45" s="104">
        <f t="shared" si="84"/>
        <v>42</v>
      </c>
      <c r="K45" s="104">
        <f t="shared" si="85"/>
        <v>0.73303828583761843</v>
      </c>
      <c r="L45" s="105">
        <f t="shared" si="58"/>
        <v>81.801216627370422</v>
      </c>
      <c r="M45" s="104">
        <f t="shared" si="59"/>
        <v>30524435.900139816</v>
      </c>
      <c r="N45" s="104">
        <f t="shared" si="60"/>
        <v>1119461.4392786345</v>
      </c>
      <c r="O45" s="104">
        <f t="shared" si="43"/>
        <v>804617.76544088428</v>
      </c>
      <c r="P45" s="104">
        <f t="shared" si="61"/>
        <v>831921.97592139337</v>
      </c>
      <c r="R45" s="105">
        <f t="shared" si="62"/>
        <v>1437240.0121641788</v>
      </c>
      <c r="S45" s="106">
        <f t="shared" si="88"/>
        <v>10019610.761078097</v>
      </c>
      <c r="T45" s="106">
        <f>R45*'Baseline Given'!K46/'Baseline Given'!L46</f>
        <v>11290426.730365941</v>
      </c>
      <c r="U45" s="105">
        <f>S45/'Baseline Given'!M46</f>
        <v>1307533.0228836695</v>
      </c>
      <c r="V45" s="105">
        <f t="shared" si="63"/>
        <v>12.597959753249611</v>
      </c>
      <c r="X45" s="105">
        <f t="shared" si="64"/>
        <v>1013312.7540220106</v>
      </c>
      <c r="Y45" s="106">
        <f t="shared" si="89"/>
        <v>2493124.2272730763</v>
      </c>
      <c r="Z45" s="106">
        <f>X45*'Baseline Given'!K46/'Baseline Given'!L46</f>
        <v>7960210.7563116886</v>
      </c>
      <c r="AA45" s="105">
        <f>Y45/'Baseline Given'!M46</f>
        <v>325346.19707723288</v>
      </c>
      <c r="AB45" s="105">
        <f t="shared" si="65"/>
        <v>8.2855569533889213</v>
      </c>
      <c r="AD45" s="105">
        <f t="shared" si="66"/>
        <v>1157768.413017198</v>
      </c>
      <c r="AE45" s="106">
        <f t="shared" si="90"/>
        <v>1320936.5511912932</v>
      </c>
      <c r="AF45" s="105">
        <f>AD45*'Baseline Given'!K46/'Baseline Given'!L46</f>
        <v>9095001.0626405552</v>
      </c>
      <c r="AG45" s="105">
        <f>AE45/'Baseline Given'!M46</f>
        <v>172378.76829766584</v>
      </c>
      <c r="AH45" s="105">
        <f t="shared" si="67"/>
        <v>9.2673798309382214</v>
      </c>
      <c r="AJ45" s="105">
        <f t="shared" si="68"/>
        <v>1115422.744267697</v>
      </c>
      <c r="AK45" s="106">
        <f t="shared" si="91"/>
        <v>928933.12883818091</v>
      </c>
      <c r="AL45" s="105">
        <f>AJ45*'Baseline Given'!K46/'Baseline Given'!L46</f>
        <v>8762349.1281562988</v>
      </c>
      <c r="AM45" s="105">
        <f>AK45/'Baseline Given'!M46</f>
        <v>121223.34599312131</v>
      </c>
      <c r="AN45" s="105">
        <f t="shared" si="69"/>
        <v>8.8835724741494211</v>
      </c>
      <c r="AP45" s="105">
        <f t="shared" si="70"/>
        <v>1001495.5259271632</v>
      </c>
      <c r="AQ45" s="106">
        <f t="shared" si="92"/>
        <v>721841.11681277538</v>
      </c>
      <c r="AR45" s="105">
        <f>AP45*'Baseline Given'!K46/'Baseline Given'!L46</f>
        <v>7867378.9767677896</v>
      </c>
      <c r="AS45" s="105">
        <f>AQ45/'Baseline Given'!M46</f>
        <v>94198.379559245179</v>
      </c>
      <c r="AT45" s="105">
        <f t="shared" si="71"/>
        <v>7.9615773563270347</v>
      </c>
      <c r="AV45" s="105">
        <f t="shared" si="72"/>
        <v>840879.5865332447</v>
      </c>
      <c r="AW45" s="106">
        <f t="shared" si="93"/>
        <v>591739.5927862901</v>
      </c>
      <c r="AX45" s="105">
        <f>AV45*'Baseline Given'!K46/'Baseline Given'!L46</f>
        <v>6605639.4759830143</v>
      </c>
      <c r="AY45" s="105">
        <f>AW45/'Baseline Given'!M46</f>
        <v>77220.47063159151</v>
      </c>
      <c r="AZ45" s="105">
        <f t="shared" si="73"/>
        <v>6.6828599466146059</v>
      </c>
      <c r="BB45" s="105">
        <f t="shared" si="74"/>
        <v>645518.05664976034</v>
      </c>
      <c r="BC45" s="106">
        <f t="shared" si="94"/>
        <v>504941.34008653974</v>
      </c>
      <c r="BD45" s="105">
        <f>BB45*'Baseline Given'!K46/'Baseline Given'!L46</f>
        <v>5070951.4486434907</v>
      </c>
      <c r="BE45" s="105">
        <f>BC45/'Baseline Given'!M46</f>
        <v>65893.525459789875</v>
      </c>
      <c r="BF45" s="105">
        <f t="shared" si="75"/>
        <v>5.1368449741032807</v>
      </c>
      <c r="BH45" s="105">
        <f t="shared" si="76"/>
        <v>424343.89879592624</v>
      </c>
      <c r="BI45" s="107">
        <f t="shared" si="95"/>
        <v>448111.76444468205</v>
      </c>
      <c r="BJ45" s="105">
        <f>BH45*'Baseline Given'!K46/'Baseline Given'!L46</f>
        <v>3333488.9491553744</v>
      </c>
      <c r="BK45" s="105">
        <f>BI45/'Baseline Given'!M46</f>
        <v>58477.414335309528</v>
      </c>
      <c r="BL45" s="105">
        <f t="shared" si="77"/>
        <v>3.3919663634906838</v>
      </c>
      <c r="BN45" s="105">
        <f t="shared" si="78"/>
        <v>185510.34234620898</v>
      </c>
      <c r="BO45" s="106">
        <f t="shared" si="96"/>
        <v>415340.90779118706</v>
      </c>
      <c r="BP45" s="105">
        <f>BN45*'Baseline Given'!K46/'Baseline Given'!L46</f>
        <v>1457300.7363127302</v>
      </c>
      <c r="BQ45" s="105">
        <f>BO45/'Baseline Given'!M46</f>
        <v>54200.903172911712</v>
      </c>
      <c r="BR45" s="105">
        <f t="shared" si="79"/>
        <v>1.5115016394856418</v>
      </c>
      <c r="BT45" s="105">
        <f t="shared" si="80"/>
        <v>-63045.668448153963</v>
      </c>
      <c r="BU45" s="106">
        <f t="shared" si="97"/>
        <v>404000</v>
      </c>
      <c r="BV45" s="105">
        <f>BT45*'Baseline Given'!K46/'Baseline Given'!L46</f>
        <v>-495263.4871394845</v>
      </c>
      <c r="BW45" s="105">
        <f>BU45/'Baseline Given'!M46</f>
        <v>52720.944340173563</v>
      </c>
      <c r="BX45" s="105">
        <f t="shared" si="81"/>
        <v>-0.44254254279931093</v>
      </c>
      <c r="BZ45" s="104">
        <v>150</v>
      </c>
      <c r="CA45" s="104">
        <v>-150</v>
      </c>
    </row>
    <row r="46" spans="1:79" ht="15" customHeight="1" x14ac:dyDescent="0.25">
      <c r="A46" s="18">
        <f>'Baseline Given'!E47</f>
        <v>44</v>
      </c>
      <c r="B46" s="18">
        <f t="shared" si="82"/>
        <v>24</v>
      </c>
      <c r="C46" s="18">
        <f t="shared" si="57"/>
        <v>12</v>
      </c>
      <c r="D46" s="18">
        <f t="shared" si="83"/>
        <v>44</v>
      </c>
      <c r="E46" s="10">
        <v>0</v>
      </c>
      <c r="F46" s="10">
        <v>0</v>
      </c>
      <c r="G46" s="18">
        <f t="shared" si="86"/>
        <v>9.75</v>
      </c>
      <c r="H46" s="18">
        <f t="shared" si="87"/>
        <v>24</v>
      </c>
      <c r="J46" s="104">
        <f t="shared" si="84"/>
        <v>43</v>
      </c>
      <c r="K46" s="104">
        <f t="shared" si="85"/>
        <v>0.75049157835756164</v>
      </c>
      <c r="L46" s="105">
        <f t="shared" si="58"/>
        <v>83.374299517640438</v>
      </c>
      <c r="M46" s="104">
        <f t="shared" si="59"/>
        <v>30040119.260822915</v>
      </c>
      <c r="N46" s="104">
        <f t="shared" si="60"/>
        <v>1080912.9228534142</v>
      </c>
      <c r="O46" s="104">
        <f t="shared" si="43"/>
        <v>791851.2798171083</v>
      </c>
      <c r="P46" s="104">
        <f t="shared" si="61"/>
        <v>790529.66725684144</v>
      </c>
      <c r="R46" s="105">
        <f t="shared" si="62"/>
        <v>1377345.7228407557</v>
      </c>
      <c r="S46" s="106">
        <f t="shared" si="88"/>
        <v>10003450.761078097</v>
      </c>
      <c r="T46" s="106">
        <f>R46*'Baseline Given'!K47/'Baseline Given'!L47</f>
        <v>10916910.622344296</v>
      </c>
      <c r="U46" s="105">
        <f>S46/'Baseline Given'!M47</f>
        <v>1322073.4317150167</v>
      </c>
      <c r="V46" s="105">
        <f t="shared" si="63"/>
        <v>12.238984054059314</v>
      </c>
      <c r="X46" s="105">
        <f t="shared" si="64"/>
        <v>991776.63576938398</v>
      </c>
      <c r="Y46" s="106">
        <f t="shared" si="89"/>
        <v>2476964.2272730763</v>
      </c>
      <c r="Z46" s="106">
        <f>X46*'Baseline Given'!K47/'Baseline Given'!L47</f>
        <v>7860870.8841037126</v>
      </c>
      <c r="AA46" s="105">
        <f>Y46/'Baseline Given'!M47</f>
        <v>327359.89554001909</v>
      </c>
      <c r="AB46" s="105">
        <f t="shared" si="65"/>
        <v>8.1882307796437317</v>
      </c>
      <c r="AD46" s="105">
        <f t="shared" si="66"/>
        <v>1119462.9219399798</v>
      </c>
      <c r="AE46" s="106">
        <f t="shared" si="90"/>
        <v>1304776.5511912932</v>
      </c>
      <c r="AF46" s="105">
        <f>AD46*'Baseline Given'!K47/'Baseline Given'!L47</f>
        <v>8872918.7314288504</v>
      </c>
      <c r="AG46" s="105">
        <f>AE46/'Baseline Given'!M47</f>
        <v>172441.53581147315</v>
      </c>
      <c r="AH46" s="105">
        <f t="shared" si="67"/>
        <v>9.0453602672403228</v>
      </c>
      <c r="AJ46" s="105">
        <f t="shared" si="68"/>
        <v>1075616.2496426376</v>
      </c>
      <c r="AK46" s="106">
        <f t="shared" si="91"/>
        <v>912773.12883818091</v>
      </c>
      <c r="AL46" s="105">
        <f>AJ46*'Baseline Given'!K47/'Baseline Given'!L47</f>
        <v>8525387.8286065329</v>
      </c>
      <c r="AM46" s="105">
        <f>AK46/'Baseline Given'!M47</f>
        <v>120633.6824804136</v>
      </c>
      <c r="AN46" s="105">
        <f t="shared" si="69"/>
        <v>8.6460215110869463</v>
      </c>
      <c r="AP46" s="105">
        <f t="shared" si="70"/>
        <v>964903.57389807142</v>
      </c>
      <c r="AQ46" s="106">
        <f t="shared" si="92"/>
        <v>705681.11681277538</v>
      </c>
      <c r="AR46" s="105">
        <f>AP46*'Baseline Given'!K47/'Baseline Given'!L47</f>
        <v>7647873.6607248401</v>
      </c>
      <c r="AS46" s="105">
        <f>AQ46/'Baseline Given'!M47</f>
        <v>93264.042387369511</v>
      </c>
      <c r="AT46" s="105">
        <f t="shared" si="71"/>
        <v>7.7411377031122095</v>
      </c>
      <c r="AV46" s="105">
        <f t="shared" si="72"/>
        <v>810126.45028138533</v>
      </c>
      <c r="AW46" s="106">
        <f t="shared" si="93"/>
        <v>575579.5927862901</v>
      </c>
      <c r="AX46" s="105">
        <f>AV46*'Baseline Given'!K47/'Baseline Given'!L47</f>
        <v>6421102.4899965934</v>
      </c>
      <c r="AY46" s="105">
        <f>AW46/'Baseline Given'!M47</f>
        <v>76069.598944883692</v>
      </c>
      <c r="AZ46" s="105">
        <f t="shared" si="73"/>
        <v>6.4971720889414772</v>
      </c>
      <c r="BB46" s="105">
        <f t="shared" si="74"/>
        <v>622393.58626373624</v>
      </c>
      <c r="BC46" s="106">
        <f t="shared" si="94"/>
        <v>488781.34008653974</v>
      </c>
      <c r="BD46" s="105">
        <f>BB46*'Baseline Given'!K47/'Baseline Given'!L47</f>
        <v>4933122.4836911298</v>
      </c>
      <c r="BE46" s="105">
        <f>BC46/'Baseline Given'!M47</f>
        <v>64598.191072300848</v>
      </c>
      <c r="BF46" s="105">
        <f t="shared" si="75"/>
        <v>4.9977206747634311</v>
      </c>
      <c r="BH46" s="105">
        <f t="shared" si="76"/>
        <v>410127.36039449298</v>
      </c>
      <c r="BI46" s="107">
        <f t="shared" si="95"/>
        <v>431951.76444468205</v>
      </c>
      <c r="BJ46" s="105">
        <f>BH46*'Baseline Given'!K47/'Baseline Given'!L47</f>
        <v>3250689.8325935574</v>
      </c>
      <c r="BK46" s="105">
        <f>BI46/'Baseline Given'!M47</f>
        <v>57087.495624678966</v>
      </c>
      <c r="BL46" s="105">
        <f t="shared" si="77"/>
        <v>3.3077773282182368</v>
      </c>
      <c r="BN46" s="105">
        <f t="shared" si="78"/>
        <v>181077.04001843801</v>
      </c>
      <c r="BO46" s="106">
        <f t="shared" si="96"/>
        <v>399180.90779118706</v>
      </c>
      <c r="BP46" s="105">
        <f>BN46*'Baseline Given'!K47/'Baseline Given'!L47</f>
        <v>1435225.6146429409</v>
      </c>
      <c r="BQ46" s="105">
        <f>BO46/'Baseline Given'!M47</f>
        <v>52756.442276098511</v>
      </c>
      <c r="BR46" s="105">
        <f t="shared" si="79"/>
        <v>1.4879820569190394</v>
      </c>
      <c r="BT46" s="105">
        <f t="shared" si="80"/>
        <v>-57180.955104139641</v>
      </c>
      <c r="BU46" s="106">
        <f t="shared" si="97"/>
        <v>387840</v>
      </c>
      <c r="BV46" s="105">
        <f>BT46*'Baseline Given'!K47/'Baseline Given'!L47</f>
        <v>-453219.09076298552</v>
      </c>
      <c r="BW46" s="105">
        <f>BU46/'Baseline Given'!M47</f>
        <v>51257.608199702016</v>
      </c>
      <c r="BX46" s="105">
        <f t="shared" si="81"/>
        <v>-0.40196148256328351</v>
      </c>
      <c r="BZ46" s="104">
        <v>150</v>
      </c>
      <c r="CA46" s="104">
        <v>-150</v>
      </c>
    </row>
    <row r="47" spans="1:79" ht="15" customHeight="1" x14ac:dyDescent="0.25">
      <c r="A47" s="18">
        <f>'Baseline Given'!E48</f>
        <v>45</v>
      </c>
      <c r="B47" s="18">
        <f t="shared" si="82"/>
        <v>23</v>
      </c>
      <c r="C47" s="18">
        <f t="shared" si="57"/>
        <v>11.5</v>
      </c>
      <c r="D47" s="18">
        <f t="shared" si="83"/>
        <v>45</v>
      </c>
      <c r="E47" s="10">
        <v>0</v>
      </c>
      <c r="F47" s="10">
        <v>0</v>
      </c>
      <c r="G47" s="18">
        <f t="shared" si="86"/>
        <v>8.75</v>
      </c>
      <c r="H47" s="18">
        <f t="shared" si="87"/>
        <v>23</v>
      </c>
      <c r="J47" s="104">
        <f t="shared" si="84"/>
        <v>44</v>
      </c>
      <c r="K47" s="104">
        <f t="shared" si="85"/>
        <v>0.76794487087750496</v>
      </c>
      <c r="L47" s="105">
        <f t="shared" si="58"/>
        <v>84.921985788612403</v>
      </c>
      <c r="M47" s="104">
        <f t="shared" si="59"/>
        <v>29546652.110173993</v>
      </c>
      <c r="N47" s="104">
        <f t="shared" si="60"/>
        <v>1043781.0127422636</v>
      </c>
      <c r="O47" s="104">
        <f t="shared" si="43"/>
        <v>778843.58862266445</v>
      </c>
      <c r="P47" s="104">
        <f t="shared" si="61"/>
        <v>750833.22530329507</v>
      </c>
      <c r="R47" s="105">
        <f t="shared" si="62"/>
        <v>1333601.5892819618</v>
      </c>
      <c r="S47" s="106">
        <f t="shared" si="88"/>
        <v>9987290.7610780969</v>
      </c>
      <c r="T47" s="106">
        <f>R47*'Baseline Given'!K48/'Baseline Given'!L48</f>
        <v>10665802.227582123</v>
      </c>
      <c r="U47" s="105">
        <f>S47/'Baseline Given'!M48</f>
        <v>1336880.0881696045</v>
      </c>
      <c r="V47" s="105">
        <f t="shared" si="63"/>
        <v>12.002682315751727</v>
      </c>
      <c r="X47" s="105">
        <f t="shared" si="64"/>
        <v>986155.01080543408</v>
      </c>
      <c r="Y47" s="106">
        <f t="shared" si="89"/>
        <v>2460804.2272730763</v>
      </c>
      <c r="Z47" s="106">
        <f>X47*'Baseline Given'!K48/'Baseline Given'!L48</f>
        <v>7887013.9294397878</v>
      </c>
      <c r="AA47" s="105">
        <f>Y47/'Baseline Given'!M48</f>
        <v>329398.65785682225</v>
      </c>
      <c r="AB47" s="105">
        <f t="shared" si="65"/>
        <v>8.2164125872966096</v>
      </c>
      <c r="AD47" s="105">
        <f t="shared" si="66"/>
        <v>1096342.8636146621</v>
      </c>
      <c r="AE47" s="106">
        <f t="shared" si="90"/>
        <v>1288616.5511912932</v>
      </c>
      <c r="AF47" s="105">
        <f>AD47*'Baseline Given'!K48/'Baseline Given'!L48</f>
        <v>8768268.0126610976</v>
      </c>
      <c r="AG47" s="105">
        <f>AE47/'Baseline Given'!M48</f>
        <v>172491.80481328702</v>
      </c>
      <c r="AH47" s="105">
        <f t="shared" si="67"/>
        <v>8.9407598174743832</v>
      </c>
      <c r="AJ47" s="105">
        <f t="shared" si="68"/>
        <v>1049804.7255427353</v>
      </c>
      <c r="AK47" s="106">
        <f t="shared" si="91"/>
        <v>896613.12883818091</v>
      </c>
      <c r="AL47" s="105">
        <f>AJ47*'Baseline Given'!K48/'Baseline Given'!L48</f>
        <v>8396067.9637826793</v>
      </c>
      <c r="AM47" s="105">
        <f>AK47/'Baseline Given'!M48</f>
        <v>120018.95883582148</v>
      </c>
      <c r="AN47" s="105">
        <f t="shared" si="69"/>
        <v>8.5160869226185003</v>
      </c>
      <c r="AP47" s="105">
        <f t="shared" si="70"/>
        <v>940690.90006978344</v>
      </c>
      <c r="AQ47" s="106">
        <f t="shared" si="92"/>
        <v>689521.11681277538</v>
      </c>
      <c r="AR47" s="105">
        <f>AP47*'Baseline Given'!K48/'Baseline Given'!L48</f>
        <v>7523403.6747306362</v>
      </c>
      <c r="AS47" s="105">
        <f>AQ47/'Baseline Given'!M48</f>
        <v>92298.008888644908</v>
      </c>
      <c r="AT47" s="105">
        <f t="shared" si="71"/>
        <v>7.6157016836192817</v>
      </c>
      <c r="AV47" s="105">
        <f t="shared" si="72"/>
        <v>789760.76180206006</v>
      </c>
      <c r="AW47" s="106">
        <f t="shared" si="93"/>
        <v>559419.5927862901</v>
      </c>
      <c r="AX47" s="105">
        <f>AV47*'Baseline Given'!K48/'Baseline Given'!L48</f>
        <v>6316303.2799178902</v>
      </c>
      <c r="AY47" s="105">
        <f>AW47/'Baseline Given'!M48</f>
        <v>74882.861871061497</v>
      </c>
      <c r="AZ47" s="105">
        <f t="shared" si="73"/>
        <v>6.3911861417889524</v>
      </c>
      <c r="BB47" s="105">
        <f t="shared" si="74"/>
        <v>607349.11587771215</v>
      </c>
      <c r="BC47" s="106">
        <f t="shared" si="94"/>
        <v>472621.34008653974</v>
      </c>
      <c r="BD47" s="105">
        <f>BB47*'Baseline Given'!K48/'Baseline Given'!L48</f>
        <v>4857421.8905485487</v>
      </c>
      <c r="BE47" s="105">
        <f>BC47/'Baseline Given'!M48</f>
        <v>63264.209876425477</v>
      </c>
      <c r="BF47" s="105">
        <f t="shared" si="75"/>
        <v>4.920686100424974</v>
      </c>
      <c r="BH47" s="105">
        <f t="shared" si="76"/>
        <v>401437.8675092021</v>
      </c>
      <c r="BI47" s="107">
        <f t="shared" si="95"/>
        <v>415791.76444468205</v>
      </c>
      <c r="BJ47" s="105">
        <f>BH47*'Baseline Given'!K48/'Baseline Given'!L48</f>
        <v>3210596.7298830203</v>
      </c>
      <c r="BK47" s="105">
        <f>BI47/'Baseline Given'!M48</f>
        <v>55657.109020724878</v>
      </c>
      <c r="BL47" s="105">
        <f t="shared" si="77"/>
        <v>3.266253838903745</v>
      </c>
      <c r="BN47" s="105">
        <f t="shared" si="78"/>
        <v>179449.89224176446</v>
      </c>
      <c r="BO47" s="106">
        <f t="shared" si="96"/>
        <v>383020.90779118706</v>
      </c>
      <c r="BP47" s="105">
        <f>BN47*'Baseline Given'!K48/'Baseline Given'!L48</f>
        <v>1435194.0458035204</v>
      </c>
      <c r="BQ47" s="105">
        <f>BO47/'Baseline Given'!M48</f>
        <v>51270.46335470958</v>
      </c>
      <c r="BR47" s="105">
        <f t="shared" si="79"/>
        <v>1.48646450915823</v>
      </c>
      <c r="BT47" s="105">
        <f t="shared" si="80"/>
        <v>-51316.241760125311</v>
      </c>
      <c r="BU47" s="106">
        <f t="shared" si="97"/>
        <v>371680</v>
      </c>
      <c r="BV47" s="105">
        <f>BT47*'Baseline Given'!K48/'Baseline Given'!L48</f>
        <v>-410414.09224098205</v>
      </c>
      <c r="BW47" s="105">
        <f>BU47/'Baseline Given'!M48</f>
        <v>49752.390619019156</v>
      </c>
      <c r="BX47" s="105">
        <f t="shared" si="81"/>
        <v>-0.36066170162196287</v>
      </c>
      <c r="BZ47" s="104">
        <v>150</v>
      </c>
      <c r="CA47" s="104">
        <v>-150</v>
      </c>
    </row>
    <row r="48" spans="1:79" ht="15" customHeight="1" x14ac:dyDescent="0.25">
      <c r="A48" s="18">
        <f>'Baseline Given'!E49</f>
        <v>46</v>
      </c>
      <c r="B48" s="18">
        <f t="shared" si="82"/>
        <v>22</v>
      </c>
      <c r="C48" s="18">
        <f t="shared" si="57"/>
        <v>11</v>
      </c>
      <c r="D48" s="18">
        <f t="shared" si="83"/>
        <v>46</v>
      </c>
      <c r="E48" s="10">
        <v>0</v>
      </c>
      <c r="F48" s="10">
        <v>0</v>
      </c>
      <c r="G48" s="18">
        <f t="shared" si="86"/>
        <v>7.75</v>
      </c>
      <c r="H48" s="18">
        <f t="shared" si="87"/>
        <v>22</v>
      </c>
      <c r="J48" s="104">
        <f t="shared" si="84"/>
        <v>45</v>
      </c>
      <c r="K48" s="104">
        <f t="shared" si="85"/>
        <v>0.78539816339744828</v>
      </c>
      <c r="L48" s="105">
        <f t="shared" si="58"/>
        <v>86.443804000055422</v>
      </c>
      <c r="M48" s="104">
        <f t="shared" si="59"/>
        <v>29044184.763067462</v>
      </c>
      <c r="N48" s="104">
        <f t="shared" si="60"/>
        <v>1007967.6073619635</v>
      </c>
      <c r="O48" s="104">
        <f t="shared" si="43"/>
        <v>765598.65412629873</v>
      </c>
      <c r="P48" s="104">
        <f t="shared" si="61"/>
        <v>712740.73038202384</v>
      </c>
      <c r="R48" s="105">
        <f t="shared" si="62"/>
        <v>1306007.6114877947</v>
      </c>
      <c r="S48" s="106">
        <f t="shared" si="88"/>
        <v>9971130.7610780969</v>
      </c>
      <c r="T48" s="106">
        <f>R48*'Baseline Given'!K49/'Baseline Given'!L49</f>
        <v>10540453.48143235</v>
      </c>
      <c r="U48" s="105">
        <f>S48/'Baseline Given'!M49</f>
        <v>1351959.6942467552</v>
      </c>
      <c r="V48" s="105">
        <f t="shared" si="63"/>
        <v>11.892413175679106</v>
      </c>
      <c r="X48" s="105">
        <f t="shared" si="64"/>
        <v>996447.87913016183</v>
      </c>
      <c r="Y48" s="106">
        <f t="shared" si="89"/>
        <v>2444644.2272730763</v>
      </c>
      <c r="Z48" s="106">
        <f>X48*'Baseline Given'!K49/'Baseline Given'!L49</f>
        <v>8042076.0371208237</v>
      </c>
      <c r="AA48" s="105">
        <f>Y48/'Baseline Given'!M49</f>
        <v>331462.95452742151</v>
      </c>
      <c r="AB48" s="105">
        <f t="shared" si="65"/>
        <v>8.3735389916482461</v>
      </c>
      <c r="AD48" s="105">
        <f t="shared" si="66"/>
        <v>1088408.238041244</v>
      </c>
      <c r="AE48" s="106">
        <f t="shared" si="90"/>
        <v>1272456.5511912932</v>
      </c>
      <c r="AF48" s="105">
        <f>AD48*'Baseline Given'!K49/'Baseline Given'!L49</f>
        <v>8784264.5792946778</v>
      </c>
      <c r="AG48" s="105">
        <f>AE48/'Baseline Given'!M49</f>
        <v>172529.07529866335</v>
      </c>
      <c r="AH48" s="105">
        <f t="shared" si="67"/>
        <v>8.9567936545933406</v>
      </c>
      <c r="AJ48" s="105">
        <f t="shared" si="68"/>
        <v>1037988.1719679898</v>
      </c>
      <c r="AK48" s="106">
        <f t="shared" si="91"/>
        <v>880453.12883818091</v>
      </c>
      <c r="AL48" s="105">
        <f>AJ48*'Baseline Given'!K49/'Baseline Given'!L49</f>
        <v>8377337.1186113087</v>
      </c>
      <c r="AM48" s="105">
        <f>AK48/'Baseline Given'!M49</f>
        <v>119378.35049853107</v>
      </c>
      <c r="AN48" s="105">
        <f t="shared" si="69"/>
        <v>8.4967154691098408</v>
      </c>
      <c r="AP48" s="105">
        <f t="shared" si="70"/>
        <v>928857.50444229692</v>
      </c>
      <c r="AQ48" s="106">
        <f t="shared" si="92"/>
        <v>673361.11681277538</v>
      </c>
      <c r="AR48" s="105">
        <f>AP48*'Baseline Given'!K49/'Baseline Given'!L49</f>
        <v>7496571.4061191529</v>
      </c>
      <c r="AS48" s="105">
        <f>AQ48/'Baseline Given'!M49</f>
        <v>91299.28304193895</v>
      </c>
      <c r="AT48" s="105">
        <f t="shared" si="71"/>
        <v>7.5878706891610923</v>
      </c>
      <c r="AV48" s="105">
        <f t="shared" si="72"/>
        <v>779782.52109526959</v>
      </c>
      <c r="AW48" s="106">
        <f t="shared" si="93"/>
        <v>543259.5927862901</v>
      </c>
      <c r="AX48" s="105">
        <f>AV48*'Baseline Given'!K49/'Baseline Given'!L49</f>
        <v>6293425.3345395168</v>
      </c>
      <c r="AY48" s="105">
        <f>AW48/'Baseline Given'!M49</f>
        <v>73659.155672386129</v>
      </c>
      <c r="AZ48" s="105">
        <f t="shared" si="73"/>
        <v>6.3670844902119033</v>
      </c>
      <c r="BB48" s="105">
        <f t="shared" si="74"/>
        <v>600384.64549168805</v>
      </c>
      <c r="BC48" s="106">
        <f t="shared" si="94"/>
        <v>456461.34008653974</v>
      </c>
      <c r="BD48" s="105">
        <f>BB48*'Baseline Given'!K49/'Baseline Given'!L49</f>
        <v>4845550.9532308206</v>
      </c>
      <c r="BE48" s="105">
        <f>BC48/'Baseline Given'!M49</f>
        <v>61890.406270445754</v>
      </c>
      <c r="BF48" s="105">
        <f t="shared" si="75"/>
        <v>4.9074413595012656</v>
      </c>
      <c r="BH48" s="105">
        <f t="shared" si="76"/>
        <v>398275.42014005419</v>
      </c>
      <c r="BI48" s="107">
        <f t="shared" si="95"/>
        <v>399631.76444468205</v>
      </c>
      <c r="BJ48" s="105">
        <f>BH48*'Baseline Given'!K49/'Baseline Given'!L49</f>
        <v>3214379.0754801426</v>
      </c>
      <c r="BK48" s="105">
        <f>BI48/'Baseline Given'!M49</f>
        <v>54185.031870097242</v>
      </c>
      <c r="BL48" s="105">
        <f t="shared" si="77"/>
        <v>3.2685641073502398</v>
      </c>
      <c r="BN48" s="105">
        <f t="shared" si="78"/>
        <v>180628.89901618846</v>
      </c>
      <c r="BO48" s="106">
        <f t="shared" si="96"/>
        <v>366860.90779118706</v>
      </c>
      <c r="BP48" s="105">
        <f>BN48*'Baseline Given'!K49/'Baseline Given'!L49</f>
        <v>1457809.6564946929</v>
      </c>
      <c r="BQ48" s="105">
        <f>BO48/'Baseline Given'!M49</f>
        <v>49741.716623003536</v>
      </c>
      <c r="BR48" s="105">
        <f t="shared" si="79"/>
        <v>1.5075513731176966</v>
      </c>
      <c r="BT48" s="105">
        <f t="shared" si="80"/>
        <v>-45451.528416110981</v>
      </c>
      <c r="BU48" s="106">
        <f t="shared" si="97"/>
        <v>355520</v>
      </c>
      <c r="BV48" s="105">
        <f>BT48*'Baseline Given'!K49/'Baseline Given'!L49</f>
        <v>-366827.66372567631</v>
      </c>
      <c r="BW48" s="105">
        <f>BU48/'Baseline Given'!M49</f>
        <v>48204.032422761826</v>
      </c>
      <c r="BX48" s="105">
        <f t="shared" si="81"/>
        <v>-0.31862363130291449</v>
      </c>
      <c r="BZ48" s="104">
        <v>150</v>
      </c>
      <c r="CA48" s="104">
        <v>-150</v>
      </c>
    </row>
    <row r="49" spans="1:79" ht="15" customHeight="1" x14ac:dyDescent="0.25">
      <c r="A49" s="18">
        <f>'Baseline Given'!E50</f>
        <v>47</v>
      </c>
      <c r="B49" s="18">
        <f t="shared" si="82"/>
        <v>21</v>
      </c>
      <c r="C49" s="18">
        <f t="shared" si="57"/>
        <v>10.5</v>
      </c>
      <c r="D49" s="18">
        <f t="shared" si="83"/>
        <v>47</v>
      </c>
      <c r="E49" s="10">
        <v>0</v>
      </c>
      <c r="F49" s="10">
        <v>0</v>
      </c>
      <c r="G49" s="18">
        <f t="shared" si="86"/>
        <v>6.75</v>
      </c>
      <c r="H49" s="18">
        <f t="shared" si="87"/>
        <v>21</v>
      </c>
      <c r="J49" s="104">
        <f t="shared" si="84"/>
        <v>46</v>
      </c>
      <c r="K49" s="104">
        <f t="shared" si="85"/>
        <v>0.80285145591739149</v>
      </c>
      <c r="L49" s="105">
        <f t="shared" si="58"/>
        <v>87.939290591400095</v>
      </c>
      <c r="M49" s="104">
        <f t="shared" si="59"/>
        <v>28532870.275924772</v>
      </c>
      <c r="N49" s="104">
        <f t="shared" si="60"/>
        <v>973383.00379859237</v>
      </c>
      <c r="O49" s="104">
        <f t="shared" si="43"/>
        <v>752120.51086336561</v>
      </c>
      <c r="P49" s="104">
        <f t="shared" si="61"/>
        <v>676168.65125121421</v>
      </c>
      <c r="R49" s="105">
        <f t="shared" si="62"/>
        <v>1294563.7894582576</v>
      </c>
      <c r="S49" s="106">
        <f t="shared" si="88"/>
        <v>9954970.7610780969</v>
      </c>
      <c r="T49" s="106">
        <f>R49*'Baseline Given'!K50/'Baseline Given'!L50</f>
        <v>10544339.829660138</v>
      </c>
      <c r="U49" s="105">
        <f>S49/'Baseline Given'!M50</f>
        <v>1367319.166349076</v>
      </c>
      <c r="V49" s="105">
        <f t="shared" si="63"/>
        <v>11.911658996009214</v>
      </c>
      <c r="X49" s="105">
        <f t="shared" si="64"/>
        <v>1022655.2407435668</v>
      </c>
      <c r="Y49" s="106">
        <f t="shared" si="89"/>
        <v>2428484.2272730763</v>
      </c>
      <c r="Z49" s="106">
        <f>X49*'Baseline Given'!K50/'Baseline Given'!L50</f>
        <v>8329619.9652668927</v>
      </c>
      <c r="AA49" s="105">
        <f>Y49/'Baseline Given'!M50</f>
        <v>333553.26789199928</v>
      </c>
      <c r="AB49" s="105">
        <f t="shared" si="65"/>
        <v>8.6631732331588918</v>
      </c>
      <c r="AD49" s="105">
        <f t="shared" si="66"/>
        <v>1095659.0452197264</v>
      </c>
      <c r="AE49" s="106">
        <f t="shared" si="90"/>
        <v>1256296.5511912932</v>
      </c>
      <c r="AF49" s="105">
        <f>AD49*'Baseline Given'!K50/'Baseline Given'!L50</f>
        <v>8924242.5937716067</v>
      </c>
      <c r="AG49" s="105">
        <f>AE49/'Baseline Given'!M50</f>
        <v>172552.82755607707</v>
      </c>
      <c r="AH49" s="105">
        <f t="shared" si="67"/>
        <v>9.096795421327684</v>
      </c>
      <c r="AJ49" s="105">
        <f t="shared" si="68"/>
        <v>1040166.5889184005</v>
      </c>
      <c r="AK49" s="106">
        <f t="shared" si="91"/>
        <v>864293.12883818091</v>
      </c>
      <c r="AL49" s="105">
        <f>AJ49*'Baseline Given'!K50/'Baseline Given'!L50</f>
        <v>8472251.4891319424</v>
      </c>
      <c r="AM49" s="105">
        <f>AK49/'Baseline Given'!M50</f>
        <v>118711.00265052653</v>
      </c>
      <c r="AN49" s="105">
        <f t="shared" si="69"/>
        <v>8.5909624917824701</v>
      </c>
      <c r="AP49" s="105">
        <f t="shared" si="70"/>
        <v>929403.38701561396</v>
      </c>
      <c r="AQ49" s="106">
        <f t="shared" si="92"/>
        <v>657201.11681277538</v>
      </c>
      <c r="AR49" s="105">
        <f>AP49*'Baseline Given'!K50/'Baseline Given'!L50</f>
        <v>7570075.1336717093</v>
      </c>
      <c r="AS49" s="105">
        <f>AQ49/'Baseline Given'!M50</f>
        <v>90266.832995379824</v>
      </c>
      <c r="AT49" s="105">
        <f t="shared" si="71"/>
        <v>7.6603419666670893</v>
      </c>
      <c r="AV49" s="105">
        <f t="shared" si="72"/>
        <v>780191.72816101369</v>
      </c>
      <c r="AW49" s="106">
        <f t="shared" si="93"/>
        <v>527099.5927862901</v>
      </c>
      <c r="AX49" s="105">
        <f>AV49*'Baseline Given'!K50/'Baseline Given'!L50</f>
        <v>6354732.5987406</v>
      </c>
      <c r="AY49" s="105">
        <f>AW49/'Baseline Given'!M50</f>
        <v>72397.337278912935</v>
      </c>
      <c r="AZ49" s="105">
        <f t="shared" si="73"/>
        <v>6.4271299360195124</v>
      </c>
      <c r="BB49" s="105">
        <f t="shared" si="74"/>
        <v>601500.17510566371</v>
      </c>
      <c r="BC49" s="106">
        <f t="shared" si="94"/>
        <v>440301.34008653974</v>
      </c>
      <c r="BD49" s="105">
        <f>BB49*'Baseline Given'!K50/'Baseline Given'!L50</f>
        <v>4899273.6438027062</v>
      </c>
      <c r="BE49" s="105">
        <f>BC49/'Baseline Given'!M50</f>
        <v>60475.562984406992</v>
      </c>
      <c r="BF49" s="105">
        <f t="shared" si="75"/>
        <v>4.9597492067871132</v>
      </c>
      <c r="BH49" s="105">
        <f t="shared" si="76"/>
        <v>400640.01828704902</v>
      </c>
      <c r="BI49" s="107">
        <f t="shared" si="95"/>
        <v>383471.76444468205</v>
      </c>
      <c r="BJ49" s="105">
        <f>BH49*'Baseline Given'!K50/'Baseline Given'!L50</f>
        <v>3263249.3945684503</v>
      </c>
      <c r="BK49" s="105">
        <f>BI49/'Baseline Given'!M50</f>
        <v>52669.998321735751</v>
      </c>
      <c r="BL49" s="105">
        <f t="shared" si="77"/>
        <v>3.3159193928901862</v>
      </c>
      <c r="BN49" s="105">
        <f t="shared" si="78"/>
        <v>184614.06034171017</v>
      </c>
      <c r="BO49" s="106">
        <f t="shared" si="96"/>
        <v>350700.90779118706</v>
      </c>
      <c r="BP49" s="105">
        <f>BN49*'Baseline Given'!K50/'Baseline Given'!L50</f>
        <v>1503698.3155468854</v>
      </c>
      <c r="BQ49" s="105">
        <f>BO49/'Baseline Given'!M50</f>
        <v>48168.908215555552</v>
      </c>
      <c r="BR49" s="105">
        <f t="shared" si="79"/>
        <v>1.5518672237624409</v>
      </c>
      <c r="BT49" s="105">
        <f t="shared" si="80"/>
        <v>-39586.815072096651</v>
      </c>
      <c r="BU49" s="106">
        <f t="shared" si="97"/>
        <v>339360</v>
      </c>
      <c r="BV49" s="105">
        <f>BT49*'Baseline Given'!K50/'Baseline Given'!L50</f>
        <v>-322438.20991530857</v>
      </c>
      <c r="BW49" s="105">
        <f>BU49/'Baseline Given'!M50</f>
        <v>46611.230050661747</v>
      </c>
      <c r="BX49" s="105">
        <f t="shared" si="81"/>
        <v>-0.27582697986464677</v>
      </c>
      <c r="BZ49" s="104">
        <v>150</v>
      </c>
      <c r="CA49" s="104">
        <v>-150</v>
      </c>
    </row>
    <row r="50" spans="1:79" ht="15" customHeight="1" x14ac:dyDescent="0.25">
      <c r="A50" s="18">
        <f>'Baseline Given'!E51</f>
        <v>48</v>
      </c>
      <c r="B50" s="18">
        <f t="shared" si="82"/>
        <v>20</v>
      </c>
      <c r="C50" s="18">
        <f t="shared" si="57"/>
        <v>10</v>
      </c>
      <c r="D50" s="18">
        <f t="shared" si="83"/>
        <v>48</v>
      </c>
      <c r="E50" s="10">
        <v>0</v>
      </c>
      <c r="F50" s="10">
        <v>0</v>
      </c>
      <c r="G50" s="18">
        <f t="shared" si="86"/>
        <v>5.75</v>
      </c>
      <c r="H50" s="18">
        <f t="shared" si="87"/>
        <v>20</v>
      </c>
      <c r="J50" s="104">
        <f t="shared" si="84"/>
        <v>47</v>
      </c>
      <c r="K50" s="104">
        <f t="shared" si="85"/>
        <v>0.82030474843733492</v>
      </c>
      <c r="L50" s="105">
        <f t="shared" si="58"/>
        <v>89.407990022943594</v>
      </c>
      <c r="M50" s="104">
        <f t="shared" si="59"/>
        <v>28012864.400091901</v>
      </c>
      <c r="N50" s="104">
        <f t="shared" si="60"/>
        <v>939945.00020311365</v>
      </c>
      <c r="O50" s="104">
        <f t="shared" si="43"/>
        <v>738413.26440686826</v>
      </c>
      <c r="P50" s="104">
        <f t="shared" si="61"/>
        <v>641040.94868746831</v>
      </c>
      <c r="R50" s="105">
        <f t="shared" si="62"/>
        <v>1299270.123193349</v>
      </c>
      <c r="S50" s="106">
        <f t="shared" si="88"/>
        <v>9938810.7610780969</v>
      </c>
      <c r="T50" s="106">
        <f>R50*'Baseline Given'!K51/'Baseline Given'!L51</f>
        <v>10681065.97014584</v>
      </c>
      <c r="U50" s="105">
        <f>S50/'Baseline Given'!M51</f>
        <v>1382965.6436100982</v>
      </c>
      <c r="V50" s="105">
        <f t="shared" si="63"/>
        <v>12.064031613755938</v>
      </c>
      <c r="X50" s="105">
        <f t="shared" si="64"/>
        <v>1064777.0956456489</v>
      </c>
      <c r="Y50" s="106">
        <f t="shared" si="89"/>
        <v>2412324.2272730763</v>
      </c>
      <c r="Z50" s="106">
        <f>X50*'Baseline Given'!K51/'Baseline Given'!L51</f>
        <v>8753340.971266998</v>
      </c>
      <c r="AA50" s="105">
        <f>Y50/'Baseline Given'!M51</f>
        <v>335670.09250562068</v>
      </c>
      <c r="AB50" s="105">
        <f t="shared" si="65"/>
        <v>9.0890110637726185</v>
      </c>
      <c r="AD50" s="105">
        <f t="shared" si="66"/>
        <v>1118095.2851501096</v>
      </c>
      <c r="AE50" s="106">
        <f t="shared" si="90"/>
        <v>1240136.5511912932</v>
      </c>
      <c r="AF50" s="105">
        <f>AD50*'Baseline Given'!K51/'Baseline Given'!L51</f>
        <v>9191660.2163106501</v>
      </c>
      <c r="AG50" s="105">
        <f>AE50/'Baseline Given'!M51</f>
        <v>172562.52130276352</v>
      </c>
      <c r="AH50" s="105">
        <f t="shared" si="67"/>
        <v>9.3642227376134137</v>
      </c>
      <c r="AJ50" s="105">
        <f t="shared" si="68"/>
        <v>1056339.9763939679</v>
      </c>
      <c r="AK50" s="106">
        <f t="shared" si="91"/>
        <v>848133.12883818091</v>
      </c>
      <c r="AL50" s="105">
        <f>AJ50*'Baseline Given'!K51/'Baseline Given'!L51</f>
        <v>8683980.9315674007</v>
      </c>
      <c r="AM50" s="105">
        <f>AK50/'Baseline Given'!M51</f>
        <v>118016.02893820553</v>
      </c>
      <c r="AN50" s="105">
        <f t="shared" si="69"/>
        <v>8.8019969605056065</v>
      </c>
      <c r="AP50" s="105">
        <f t="shared" si="70"/>
        <v>942328.54778973362</v>
      </c>
      <c r="AQ50" s="106">
        <f t="shared" si="92"/>
        <v>641041.11681277538</v>
      </c>
      <c r="AR50" s="105">
        <f>AP50*'Baseline Given'!K51/'Baseline Given'!L51</f>
        <v>7746713.4853804782</v>
      </c>
      <c r="AS50" s="105">
        <f>AQ50/'Baseline Given'!M51</f>
        <v>89199.589569139789</v>
      </c>
      <c r="AT50" s="105">
        <f t="shared" si="71"/>
        <v>7.8359130749496186</v>
      </c>
      <c r="AV50" s="105">
        <f t="shared" si="72"/>
        <v>790988.38299929234</v>
      </c>
      <c r="AW50" s="106">
        <f t="shared" si="93"/>
        <v>510939.5927862901</v>
      </c>
      <c r="AX50" s="105">
        <f>AV50*'Baseline Given'!K51/'Baseline Given'!L51</f>
        <v>6502573.213697426</v>
      </c>
      <c r="AY50" s="105">
        <f>AW50/'Baseline Given'!M51</f>
        <v>71096.222653798133</v>
      </c>
      <c r="AZ50" s="105">
        <f t="shared" si="73"/>
        <v>6.5736694363512242</v>
      </c>
      <c r="BB50" s="105">
        <f t="shared" si="74"/>
        <v>610695.70471963962</v>
      </c>
      <c r="BC50" s="106">
        <f t="shared" si="94"/>
        <v>424141.34008653974</v>
      </c>
      <c r="BD50" s="105">
        <f>BB50*'Baseline Given'!K51/'Baseline Given'!L51</f>
        <v>5020419.5365958419</v>
      </c>
      <c r="BE50" s="105">
        <f>BC50/'Baseline Given'!M51</f>
        <v>59018.419353705794</v>
      </c>
      <c r="BF50" s="105">
        <f t="shared" si="75"/>
        <v>5.0794379559495475</v>
      </c>
      <c r="BH50" s="105">
        <f t="shared" si="76"/>
        <v>408531.66195018659</v>
      </c>
      <c r="BI50" s="107">
        <f t="shared" si="95"/>
        <v>367311.76444468205</v>
      </c>
      <c r="BJ50" s="105">
        <f>BH50*'Baseline Given'!K51/'Baseline Given'!L51</f>
        <v>3358465.3062432548</v>
      </c>
      <c r="BK50" s="105">
        <f>BI50/'Baseline Given'!M51</f>
        <v>51110.69754040656</v>
      </c>
      <c r="BL50" s="105">
        <f t="shared" si="77"/>
        <v>3.4095760037836613</v>
      </c>
      <c r="BN50" s="105">
        <f t="shared" si="78"/>
        <v>191405.37621832936</v>
      </c>
      <c r="BO50" s="106">
        <f t="shared" si="96"/>
        <v>334540.90779118706</v>
      </c>
      <c r="BP50" s="105">
        <f>BN50*'Baseline Given'!K51/'Baseline Given'!L51</f>
        <v>1573509.1679040503</v>
      </c>
      <c r="BQ50" s="105">
        <f>BO50/'Baseline Given'!M51</f>
        <v>46550.69836616543</v>
      </c>
      <c r="BR50" s="105">
        <f t="shared" si="79"/>
        <v>1.6200598662702157</v>
      </c>
      <c r="BT50" s="105">
        <f t="shared" si="80"/>
        <v>-33722.101728082322</v>
      </c>
      <c r="BU50" s="106">
        <f t="shared" si="97"/>
        <v>323200</v>
      </c>
      <c r="BV50" s="105">
        <f>BT50*'Baseline Given'!K51/'Baseline Given'!L51</f>
        <v>-277223.33237706218</v>
      </c>
      <c r="BW50" s="105">
        <f>BU50/'Baseline Given'!M51</f>
        <v>44972.633724469757</v>
      </c>
      <c r="BX50" s="105">
        <f t="shared" si="81"/>
        <v>-0.23225069865259243</v>
      </c>
      <c r="BZ50" s="104">
        <v>150</v>
      </c>
      <c r="CA50" s="104">
        <v>-150</v>
      </c>
    </row>
    <row r="51" spans="1:79" ht="15" customHeight="1" x14ac:dyDescent="0.25">
      <c r="A51" s="18">
        <f>'Baseline Given'!E52</f>
        <v>49</v>
      </c>
      <c r="B51" s="18">
        <f t="shared" si="82"/>
        <v>19</v>
      </c>
      <c r="C51" s="18">
        <f t="shared" si="57"/>
        <v>9.5</v>
      </c>
      <c r="D51" s="18">
        <f t="shared" si="83"/>
        <v>49</v>
      </c>
      <c r="E51" s="10">
        <v>0</v>
      </c>
      <c r="F51" s="10">
        <v>0</v>
      </c>
      <c r="G51" s="18">
        <f t="shared" si="86"/>
        <v>4.75</v>
      </c>
      <c r="H51" s="18">
        <f t="shared" si="87"/>
        <v>19</v>
      </c>
      <c r="J51" s="104">
        <f t="shared" si="84"/>
        <v>48</v>
      </c>
      <c r="K51" s="104">
        <f t="shared" si="85"/>
        <v>0.83775804095727813</v>
      </c>
      <c r="L51" s="105">
        <f t="shared" si="58"/>
        <v>90.849454914611428</v>
      </c>
      <c r="M51" s="104">
        <f t="shared" si="59"/>
        <v>27484325.534396067</v>
      </c>
      <c r="N51" s="104">
        <f t="shared" si="60"/>
        <v>907578.11018992902</v>
      </c>
      <c r="O51" s="104">
        <f t="shared" si="43"/>
        <v>724481.09011686302</v>
      </c>
      <c r="P51" s="104">
        <f t="shared" si="61"/>
        <v>607288.29118941387</v>
      </c>
      <c r="R51" s="105">
        <f t="shared" si="62"/>
        <v>1320126.6126930686</v>
      </c>
      <c r="S51" s="106">
        <f t="shared" si="88"/>
        <v>9922650.7610780969</v>
      </c>
      <c r="T51" s="106">
        <f>R51*'Baseline Given'!K52/'Baseline Given'!L52</f>
        <v>10954371.917895671</v>
      </c>
      <c r="U51" s="105">
        <f>S51/'Baseline Given'!M52</f>
        <v>1398906.4966029082</v>
      </c>
      <c r="V51" s="105">
        <f t="shared" si="63"/>
        <v>12.353278414498579</v>
      </c>
      <c r="X51" s="105">
        <f t="shared" si="64"/>
        <v>1122813.4438364084</v>
      </c>
      <c r="Y51" s="106">
        <f t="shared" si="89"/>
        <v>2396164.2272730763</v>
      </c>
      <c r="Z51" s="106">
        <f>X51*'Baseline Given'!K52/'Baseline Given'!L52</f>
        <v>9317073.0291587431</v>
      </c>
      <c r="AA51" s="105">
        <f>Y51/'Baseline Given'!M52</f>
        <v>337813.93552700203</v>
      </c>
      <c r="AB51" s="105">
        <f t="shared" si="65"/>
        <v>9.6548869646857458</v>
      </c>
      <c r="AD51" s="105">
        <f t="shared" si="66"/>
        <v>1155716.9578323923</v>
      </c>
      <c r="AE51" s="106">
        <f t="shared" si="90"/>
        <v>1223976.5511912932</v>
      </c>
      <c r="AF51" s="105">
        <f>AD51*'Baseline Given'!K52/'Baseline Given'!L52</f>
        <v>9590105.4233640227</v>
      </c>
      <c r="AG51" s="105">
        <f>AE51/'Baseline Given'!M52</f>
        <v>172557.59477773742</v>
      </c>
      <c r="AH51" s="105">
        <f t="shared" si="67"/>
        <v>9.76266301814176</v>
      </c>
      <c r="AJ51" s="105">
        <f t="shared" si="68"/>
        <v>1086508.3343946915</v>
      </c>
      <c r="AK51" s="106">
        <f t="shared" si="91"/>
        <v>831973.12883818091</v>
      </c>
      <c r="AL51" s="105">
        <f>AJ51*'Baseline Given'!K52/'Baseline Given'!L52</f>
        <v>9015814.2957004718</v>
      </c>
      <c r="AM51" s="105">
        <f>AK51/'Baseline Given'!M52</f>
        <v>117292.51013207351</v>
      </c>
      <c r="AN51" s="105">
        <f t="shared" si="69"/>
        <v>9.1331068058325471</v>
      </c>
      <c r="AP51" s="105">
        <f t="shared" si="70"/>
        <v>967632.98676465568</v>
      </c>
      <c r="AQ51" s="106">
        <f t="shared" si="92"/>
        <v>624881.11681277538</v>
      </c>
      <c r="AR51" s="105">
        <f>AP51*'Baseline Given'!K52/'Baseline Given'!L52</f>
        <v>8029390.1472227415</v>
      </c>
      <c r="AS51" s="105">
        <f>AQ51/'Baseline Given'!M52</f>
        <v>88096.444686207586</v>
      </c>
      <c r="AT51" s="105">
        <f t="shared" si="71"/>
        <v>8.1174865919089498</v>
      </c>
      <c r="AV51" s="105">
        <f t="shared" si="72"/>
        <v>812172.48561010533</v>
      </c>
      <c r="AW51" s="106">
        <f t="shared" si="93"/>
        <v>494779.5927862901</v>
      </c>
      <c r="AX51" s="105">
        <f>AV51*'Baseline Given'!K52/'Baseline Given'!L52</f>
        <v>6739383.4677002998</v>
      </c>
      <c r="AY51" s="105">
        <f>AW51/'Baseline Given'!M52</f>
        <v>69754.585080255347</v>
      </c>
      <c r="AZ51" s="105">
        <f t="shared" si="73"/>
        <v>6.8091380527805558</v>
      </c>
      <c r="BB51" s="105">
        <f t="shared" si="74"/>
        <v>627971.23433361517</v>
      </c>
      <c r="BC51" s="106">
        <f t="shared" si="94"/>
        <v>407981.34008653974</v>
      </c>
      <c r="BD51" s="105">
        <f>BB51*'Baseline Given'!K52/'Baseline Given'!L52</f>
        <v>5210886.8865215583</v>
      </c>
      <c r="BE51" s="105">
        <f>BC51/'Baseline Given'!M52</f>
        <v>57517.669510098858</v>
      </c>
      <c r="BF51" s="105">
        <f t="shared" si="75"/>
        <v>5.2684045560316575</v>
      </c>
      <c r="BH51" s="105">
        <f t="shared" si="76"/>
        <v>421950.35112946713</v>
      </c>
      <c r="BI51" s="107">
        <f t="shared" si="95"/>
        <v>351151.76444468205</v>
      </c>
      <c r="BJ51" s="105">
        <f>BH51*'Baseline Given'!K52/'Baseline Given'!L52</f>
        <v>3501331.6394929164</v>
      </c>
      <c r="BK51" s="105">
        <f>BI51/'Baseline Given'!M52</f>
        <v>49505.771834890998</v>
      </c>
      <c r="BL51" s="105">
        <f t="shared" si="77"/>
        <v>3.5508374113278074</v>
      </c>
      <c r="BN51" s="105">
        <f t="shared" si="78"/>
        <v>201002.84664604621</v>
      </c>
      <c r="BO51" s="106">
        <f t="shared" si="96"/>
        <v>318380.90779118706</v>
      </c>
      <c r="BP51" s="105">
        <f>BN51*'Baseline Given'!K52/'Baseline Given'!L52</f>
        <v>1667915.726829207</v>
      </c>
      <c r="BQ51" s="105">
        <f>BO51/'Baseline Given'!M52</f>
        <v>44885.699499821145</v>
      </c>
      <c r="BR51" s="105">
        <f t="shared" si="79"/>
        <v>1.7128014263290281</v>
      </c>
      <c r="BT51" s="105">
        <f t="shared" si="80"/>
        <v>-27857.388384067992</v>
      </c>
      <c r="BU51" s="106">
        <f t="shared" si="97"/>
        <v>307040</v>
      </c>
      <c r="BV51" s="105">
        <f>BT51*'Baseline Given'!K52/'Baseline Given'!L52</f>
        <v>-231159.79186103848</v>
      </c>
      <c r="BW51" s="105">
        <f>BU51/'Baseline Given'!M52</f>
        <v>43286.845527382997</v>
      </c>
      <c r="BX51" s="105">
        <f t="shared" si="81"/>
        <v>-0.18787294633365548</v>
      </c>
      <c r="BZ51" s="104">
        <v>150</v>
      </c>
      <c r="CA51" s="104">
        <v>-150</v>
      </c>
    </row>
    <row r="52" spans="1:79" ht="15" customHeight="1" x14ac:dyDescent="0.25">
      <c r="A52" s="18">
        <f>'Baseline Given'!E53</f>
        <v>50</v>
      </c>
      <c r="B52" s="18">
        <f t="shared" si="82"/>
        <v>18</v>
      </c>
      <c r="C52" s="18">
        <f t="shared" si="57"/>
        <v>9</v>
      </c>
      <c r="D52" s="18">
        <f t="shared" si="83"/>
        <v>50</v>
      </c>
      <c r="E52" s="10">
        <v>0</v>
      </c>
      <c r="F52" s="10">
        <v>0</v>
      </c>
      <c r="G52" s="18">
        <f t="shared" si="86"/>
        <v>3.75</v>
      </c>
      <c r="H52" s="18">
        <f t="shared" si="87"/>
        <v>18</v>
      </c>
      <c r="J52" s="104">
        <f t="shared" si="84"/>
        <v>49</v>
      </c>
      <c r="K52" s="104">
        <f t="shared" si="85"/>
        <v>0.85521133347722145</v>
      </c>
      <c r="L52" s="105">
        <f t="shared" si="58"/>
        <v>92.263246182233871</v>
      </c>
      <c r="M52" s="104">
        <f t="shared" si="59"/>
        <v>26947414.676895808</v>
      </c>
      <c r="N52" s="109">
        <f t="shared" si="60"/>
        <v>876212.87322810816</v>
      </c>
      <c r="O52" s="104">
        <f t="shared" si="43"/>
        <v>710328.23186860199</v>
      </c>
      <c r="P52" s="104">
        <f t="shared" si="61"/>
        <v>574847.36679901509</v>
      </c>
      <c r="R52" s="105">
        <f t="shared" si="62"/>
        <v>1357133.2579574168</v>
      </c>
      <c r="S52" s="106">
        <f t="shared" si="88"/>
        <v>9906490.7610780969</v>
      </c>
      <c r="T52" s="106">
        <f>R52*'Baseline Given'!K53/'Baseline Given'!L53</f>
        <v>11368139.414800297</v>
      </c>
      <c r="U52" s="105">
        <f>S52/'Baseline Given'!M53</f>
        <v>1415149.3364498541</v>
      </c>
      <c r="V52" s="105">
        <f t="shared" si="63"/>
        <v>12.783288751250151</v>
      </c>
      <c r="X52" s="105">
        <f t="shared" si="64"/>
        <v>1196764.2853158452</v>
      </c>
      <c r="Y52" s="106">
        <f t="shared" si="89"/>
        <v>2380004.2272730763</v>
      </c>
      <c r="Z52" s="106">
        <f>X52*'Baseline Given'!K53/'Baseline Given'!L53</f>
        <v>10024795.40041694</v>
      </c>
      <c r="AA52" s="105">
        <f>Y52/'Baseline Given'!M53</f>
        <v>339985.31712220609</v>
      </c>
      <c r="AB52" s="105">
        <f t="shared" si="65"/>
        <v>10.364780717539146</v>
      </c>
      <c r="AD52" s="105">
        <f t="shared" si="66"/>
        <v>1208524.063266576</v>
      </c>
      <c r="AE52" s="106">
        <f t="shared" si="90"/>
        <v>1207816.5511912932</v>
      </c>
      <c r="AF52" s="105">
        <f>AD52*'Baseline Given'!K53/'Baseline Given'!L53</f>
        <v>10123302.1568074</v>
      </c>
      <c r="AG52" s="105">
        <f>AE52/'Baseline Given'!M53</f>
        <v>172537.46378959905</v>
      </c>
      <c r="AH52" s="105">
        <f t="shared" si="67"/>
        <v>10.295839620596999</v>
      </c>
      <c r="AJ52" s="105">
        <f t="shared" si="68"/>
        <v>1130671.6629205721</v>
      </c>
      <c r="AK52" s="106">
        <f t="shared" si="91"/>
        <v>815813.12883818091</v>
      </c>
      <c r="AL52" s="105">
        <f>AJ52*'Baseline Given'!K53/'Baseline Given'!L53</f>
        <v>9471165.0614109877</v>
      </c>
      <c r="AM52" s="105">
        <f>AK52/'Baseline Given'!M53</f>
        <v>116539.49272111269</v>
      </c>
      <c r="AN52" s="105">
        <f t="shared" si="69"/>
        <v>9.5877045541321007</v>
      </c>
      <c r="AP52" s="105">
        <f t="shared" si="70"/>
        <v>1005316.7039403806</v>
      </c>
      <c r="AQ52" s="106">
        <f t="shared" si="92"/>
        <v>608721.11681277538</v>
      </c>
      <c r="AR52" s="105">
        <f>AP52*'Baseline Given'!K53/'Baseline Given'!L53</f>
        <v>8421118.8395917714</v>
      </c>
      <c r="AS52" s="105">
        <f>AQ52/'Baseline Given'!M53</f>
        <v>86956.249727210758</v>
      </c>
      <c r="AT52" s="105">
        <f t="shared" si="71"/>
        <v>8.5080750893189823</v>
      </c>
      <c r="AV52" s="105">
        <f t="shared" si="72"/>
        <v>843744.035993453</v>
      </c>
      <c r="AW52" s="106">
        <f t="shared" si="93"/>
        <v>478619.5927862901</v>
      </c>
      <c r="AX52" s="105">
        <f>AV52*'Baseline Given'!K53/'Baseline Given'!L53</f>
        <v>7067691.971543164</v>
      </c>
      <c r="AY52" s="105">
        <f>AW52/'Baseline Given'!M53</f>
        <v>68371.153365887454</v>
      </c>
      <c r="AZ52" s="105">
        <f t="shared" si="73"/>
        <v>7.136063124909052</v>
      </c>
      <c r="BB52" s="105">
        <f t="shared" si="74"/>
        <v>653326.76394759095</v>
      </c>
      <c r="BC52" s="106">
        <f t="shared" si="94"/>
        <v>391821.34008653974</v>
      </c>
      <c r="BD52" s="105">
        <f>BB52*'Baseline Given'!K53/'Baseline Given'!L53</f>
        <v>5472645.8823615247</v>
      </c>
      <c r="BE52" s="105">
        <f>BC52/'Baseline Given'!M53</f>
        <v>55971.960485633776</v>
      </c>
      <c r="BF52" s="105">
        <f t="shared" si="75"/>
        <v>5.528617842847158</v>
      </c>
      <c r="BH52" s="105">
        <f t="shared" si="76"/>
        <v>440896.08582489035</v>
      </c>
      <c r="BI52" s="107">
        <f t="shared" si="95"/>
        <v>334991.76444468205</v>
      </c>
      <c r="BJ52" s="105">
        <f>BH52*'Baseline Given'!K53/'Baseline Given'!L53</f>
        <v>3693202.6694569285</v>
      </c>
      <c r="BK52" s="105">
        <f>BI52/'Baseline Given'!M53</f>
        <v>47853.814696180722</v>
      </c>
      <c r="BL52" s="105">
        <f t="shared" si="77"/>
        <v>3.7410564841531091</v>
      </c>
      <c r="BN52" s="105">
        <f t="shared" si="78"/>
        <v>213406.47162486063</v>
      </c>
      <c r="BO52" s="106">
        <f t="shared" si="96"/>
        <v>302220.90779118706</v>
      </c>
      <c r="BP52" s="105">
        <f>BN52*'Baseline Given'!K53/'Baseline Given'!L53</f>
        <v>1787617.0281932342</v>
      </c>
      <c r="BQ52" s="105">
        <f>BO52/'Baseline Given'!M53</f>
        <v>43172.474232987297</v>
      </c>
      <c r="BR52" s="105">
        <f t="shared" si="79"/>
        <v>1.8307895024262215</v>
      </c>
      <c r="BT52" s="105">
        <f t="shared" si="80"/>
        <v>-21992.675040053658</v>
      </c>
      <c r="BU52" s="106">
        <f t="shared" si="97"/>
        <v>290880</v>
      </c>
      <c r="BV52" s="105">
        <f>BT52*'Baseline Given'!K53/'Baseline Given'!L53</f>
        <v>-184223.46847207949</v>
      </c>
      <c r="BW52" s="105">
        <f>BU52/'Baseline Given'!M53</f>
        <v>41552.417391215131</v>
      </c>
      <c r="BX52" s="105">
        <f t="shared" si="81"/>
        <v>-0.14267105108086436</v>
      </c>
      <c r="BZ52" s="104">
        <v>150</v>
      </c>
      <c r="CA52" s="104">
        <v>-150</v>
      </c>
    </row>
    <row r="53" spans="1:79" ht="15" customHeight="1" x14ac:dyDescent="0.25">
      <c r="A53" s="18">
        <f>'Baseline Given'!E54</f>
        <v>51</v>
      </c>
      <c r="B53" s="18">
        <f t="shared" si="82"/>
        <v>17</v>
      </c>
      <c r="C53" s="18">
        <f t="shared" si="57"/>
        <v>8.5</v>
      </c>
      <c r="D53" s="18">
        <f t="shared" si="83"/>
        <v>51</v>
      </c>
      <c r="E53" s="10">
        <v>0</v>
      </c>
      <c r="F53" s="10">
        <v>0</v>
      </c>
      <c r="G53" s="18">
        <f t="shared" si="86"/>
        <v>2.75</v>
      </c>
      <c r="H53" s="18">
        <f t="shared" si="87"/>
        <v>17</v>
      </c>
      <c r="J53" s="104">
        <f t="shared" si="84"/>
        <v>50</v>
      </c>
      <c r="K53" s="109">
        <f t="shared" si="85"/>
        <v>0.87266462599716477</v>
      </c>
      <c r="L53" s="105">
        <f t="shared" si="58"/>
        <v>93.648933171295056</v>
      </c>
      <c r="M53" s="104">
        <f t="shared" si="59"/>
        <v>26402295.375839505</v>
      </c>
      <c r="N53" s="104">
        <f t="shared" si="60"/>
        <v>845785.24757606885</v>
      </c>
      <c r="O53" s="104">
        <f t="shared" si="43"/>
        <v>695959.00075980986</v>
      </c>
      <c r="P53" s="109">
        <f t="shared" si="61"/>
        <v>543660.27759755927</v>
      </c>
      <c r="R53" s="105">
        <f t="shared" si="62"/>
        <v>1410290.0589863937</v>
      </c>
      <c r="S53" s="106">
        <f t="shared" si="88"/>
        <v>9890330.7610780969</v>
      </c>
      <c r="T53" s="106">
        <f>R53*'Baseline Given'!K54/'Baseline Given'!L54</f>
        <v>11926398.707222294</v>
      </c>
      <c r="U53" s="105">
        <f>S53/'Baseline Given'!M54</f>
        <v>1431702.0243546409</v>
      </c>
      <c r="V53" s="105">
        <f t="shared" si="63"/>
        <v>13.358100731576934</v>
      </c>
      <c r="X53" s="105">
        <f t="shared" si="64"/>
        <v>1286629.6200839595</v>
      </c>
      <c r="Y53" s="106">
        <f t="shared" si="89"/>
        <v>2363844.2272730763</v>
      </c>
      <c r="Z53" s="106">
        <f>X53*'Baseline Given'!K54/'Baseline Given'!L54</f>
        <v>10880639.581811937</v>
      </c>
      <c r="AA53" s="105">
        <f>Y53/'Baseline Given'!M54</f>
        <v>342184.77088394028</v>
      </c>
      <c r="AB53" s="105">
        <f t="shared" si="65"/>
        <v>11.222824352695877</v>
      </c>
      <c r="AD53" s="105">
        <f t="shared" si="66"/>
        <v>1276516.6014526598</v>
      </c>
      <c r="AE53" s="106">
        <f t="shared" si="90"/>
        <v>1191656.5511912932</v>
      </c>
      <c r="AF53" s="105">
        <f>AD53*'Baseline Given'!K54/'Baseline Given'!L54</f>
        <v>10795116.826005848</v>
      </c>
      <c r="AG53" s="105">
        <f>AE53/'Baseline Given'!M54</f>
        <v>172501.52071659034</v>
      </c>
      <c r="AH53" s="105">
        <f t="shared" si="67"/>
        <v>10.967618346722439</v>
      </c>
      <c r="AJ53" s="105">
        <f t="shared" si="68"/>
        <v>1188829.9619716089</v>
      </c>
      <c r="AK53" s="106">
        <f t="shared" si="91"/>
        <v>799653.12883818091</v>
      </c>
      <c r="AL53" s="105">
        <f>AJ53*'Baseline Given'!K54/'Baseline Given'!L54</f>
        <v>10053577.298669817</v>
      </c>
      <c r="AM53" s="105">
        <f>AK53/'Baseline Given'!M54</f>
        <v>115755.98743821484</v>
      </c>
      <c r="AN53" s="105">
        <f t="shared" si="69"/>
        <v>10.169333286108031</v>
      </c>
      <c r="AP53" s="105">
        <f t="shared" si="70"/>
        <v>1055379.6993169081</v>
      </c>
      <c r="AQ53" s="106">
        <f t="shared" si="92"/>
        <v>592561.11681277538</v>
      </c>
      <c r="AR53" s="105">
        <f>AP53*'Baseline Given'!K54/'Baseline Given'!L54</f>
        <v>8925028.5793039557</v>
      </c>
      <c r="AS53" s="105">
        <f>AQ53/'Baseline Given'!M54</f>
        <v>85777.813805108832</v>
      </c>
      <c r="AT53" s="105">
        <f t="shared" si="71"/>
        <v>9.0108063931090641</v>
      </c>
      <c r="AV53" s="105">
        <f t="shared" si="72"/>
        <v>885703.03414933477</v>
      </c>
      <c r="AW53" s="106">
        <f t="shared" si="93"/>
        <v>462459.5927862901</v>
      </c>
      <c r="AX53" s="105">
        <f>AV53*'Baseline Given'!K54/'Baseline Given'!L54</f>
        <v>7490124.0735211065</v>
      </c>
      <c r="AY53" s="105">
        <f>AW53/'Baseline Given'!M54</f>
        <v>66944.609959857567</v>
      </c>
      <c r="AZ53" s="105">
        <f t="shared" si="73"/>
        <v>7.5570686834809644</v>
      </c>
      <c r="BB53" s="105">
        <f t="shared" si="74"/>
        <v>686762.29356156685</v>
      </c>
      <c r="BC53" s="106">
        <f t="shared" si="94"/>
        <v>375661.34008653974</v>
      </c>
      <c r="BD53" s="105">
        <f>BB53*'Baseline Given'!K54/'Baseline Given'!L54</f>
        <v>5807742.0867509004</v>
      </c>
      <c r="BE53" s="105">
        <f>BC53/'Baseline Given'!M54</f>
        <v>54379.890224727867</v>
      </c>
      <c r="BF53" s="105">
        <f t="shared" si="75"/>
        <v>5.8621219769756285</v>
      </c>
      <c r="BH53" s="105">
        <f t="shared" si="76"/>
        <v>465368.86603645649</v>
      </c>
      <c r="BI53" s="107">
        <f t="shared" si="95"/>
        <v>318831.76444468205</v>
      </c>
      <c r="BJ53" s="105">
        <f>BH53*'Baseline Given'!K54/'Baseline Given'!L54</f>
        <v>3935484.4820133885</v>
      </c>
      <c r="BK53" s="105">
        <f>BI53/'Baseline Given'!M54</f>
        <v>46153.36874074932</v>
      </c>
      <c r="BL53" s="105">
        <f t="shared" si="77"/>
        <v>3.9816378507541379</v>
      </c>
      <c r="BN53" s="105">
        <f t="shared" si="78"/>
        <v>228616.25115477268</v>
      </c>
      <c r="BO53" s="106">
        <f t="shared" si="96"/>
        <v>286060.90779118706</v>
      </c>
      <c r="BP53" s="105">
        <f>BN53*'Baseline Given'!K54/'Baseline Given'!L54</f>
        <v>1933338.8510034117</v>
      </c>
      <c r="BQ53" s="105">
        <f>BO53/'Baseline Given'!M54</f>
        <v>41409.533277199043</v>
      </c>
      <c r="BR53" s="105">
        <f t="shared" si="79"/>
        <v>1.9747483842806108</v>
      </c>
      <c r="BT53" s="105">
        <f t="shared" si="80"/>
        <v>-16127.961696039323</v>
      </c>
      <c r="BU53" s="106">
        <f t="shared" si="97"/>
        <v>274720</v>
      </c>
      <c r="BV53" s="105">
        <f>BT53*'Baseline Given'!K54/'Baseline Given'!L54</f>
        <v>-136389.31955602037</v>
      </c>
      <c r="BW53" s="105">
        <f>BU53/'Baseline Given'!M54</f>
        <v>39767.848986259116</v>
      </c>
      <c r="BX53" s="105">
        <f t="shared" si="81"/>
        <v>-9.6621470569761267E-2</v>
      </c>
      <c r="BZ53" s="104">
        <v>150</v>
      </c>
      <c r="CA53" s="104">
        <v>-150</v>
      </c>
    </row>
    <row r="54" spans="1:79" ht="15" customHeight="1" x14ac:dyDescent="0.25">
      <c r="A54" s="18">
        <f>'Baseline Given'!E55</f>
        <v>52</v>
      </c>
      <c r="B54" s="18">
        <f t="shared" si="82"/>
        <v>16</v>
      </c>
      <c r="C54" s="18">
        <f t="shared" si="57"/>
        <v>8</v>
      </c>
      <c r="D54" s="18">
        <f t="shared" si="83"/>
        <v>52</v>
      </c>
      <c r="E54" s="10">
        <v>0</v>
      </c>
      <c r="F54" s="10">
        <v>0</v>
      </c>
      <c r="G54" s="18">
        <f t="shared" si="86"/>
        <v>1.75</v>
      </c>
      <c r="H54" s="18">
        <f t="shared" si="87"/>
        <v>16</v>
      </c>
      <c r="J54" s="104">
        <f t="shared" si="84"/>
        <v>51</v>
      </c>
      <c r="K54" s="104">
        <f t="shared" si="85"/>
        <v>0.89011791851710798</v>
      </c>
      <c r="L54" s="105">
        <f t="shared" si="58"/>
        <v>95.006093788114683</v>
      </c>
      <c r="M54" s="104">
        <f t="shared" si="59"/>
        <v>25849133.679846939</v>
      </c>
      <c r="N54" s="104">
        <f t="shared" si="60"/>
        <v>816236.07441949204</v>
      </c>
      <c r="O54" s="104">
        <f t="shared" si="43"/>
        <v>681377.77379748004</v>
      </c>
      <c r="P54" s="104">
        <f t="shared" si="61"/>
        <v>513674.00554265897</v>
      </c>
      <c r="R54" s="105">
        <f t="shared" si="62"/>
        <v>1479597.0157799991</v>
      </c>
      <c r="S54" s="106">
        <f t="shared" si="88"/>
        <v>9874170.7610780969</v>
      </c>
      <c r="T54" s="106">
        <f>R54*'Baseline Given'!K55/'Baseline Given'!L55</f>
        <v>12633335.716276431</v>
      </c>
      <c r="U54" s="105">
        <f>S54/'Baseline Given'!M55</f>
        <v>1448572.6815793661</v>
      </c>
      <c r="V54" s="105">
        <f t="shared" si="63"/>
        <v>14.081908397855798</v>
      </c>
      <c r="X54" s="105">
        <f t="shared" si="64"/>
        <v>1392409.4481407506</v>
      </c>
      <c r="Y54" s="106">
        <f t="shared" si="89"/>
        <v>2347684.2272730763</v>
      </c>
      <c r="Z54" s="106">
        <f>X54*'Baseline Given'!K55/'Baseline Given'!L55</f>
        <v>11888896.65582623</v>
      </c>
      <c r="AA54" s="105">
        <f>Y54/'Baseline Given'!M55</f>
        <v>344412.84426716069</v>
      </c>
      <c r="AB54" s="105">
        <f t="shared" si="65"/>
        <v>12.233309500093391</v>
      </c>
      <c r="AD54" s="105">
        <f t="shared" si="66"/>
        <v>1359694.5723906434</v>
      </c>
      <c r="AE54" s="106">
        <f t="shared" si="90"/>
        <v>1175496.5511912932</v>
      </c>
      <c r="AF54" s="105">
        <f>AD54*'Baseline Given'!K55/'Baseline Given'!L55</f>
        <v>11609565.18660892</v>
      </c>
      <c r="AG54" s="105">
        <f>AE54/'Baseline Given'!M55</f>
        <v>172449.13345620036</v>
      </c>
      <c r="AH54" s="105">
        <f t="shared" si="67"/>
        <v>11.78201432006512</v>
      </c>
      <c r="AJ54" s="105">
        <f t="shared" si="68"/>
        <v>1260983.2315478027</v>
      </c>
      <c r="AK54" s="106">
        <f t="shared" si="91"/>
        <v>783493.12883818091</v>
      </c>
      <c r="AL54" s="105">
        <f>AJ54*'Baseline Given'!K55/'Baseline Given'!L55</f>
        <v>10766731.972854439</v>
      </c>
      <c r="AM54" s="105">
        <f>AK54/'Baseline Given'!M55</f>
        <v>114940.96771283849</v>
      </c>
      <c r="AN54" s="105">
        <f t="shared" si="69"/>
        <v>10.881672940567277</v>
      </c>
      <c r="AP54" s="105">
        <f t="shared" si="70"/>
        <v>1117821.9728942383</v>
      </c>
      <c r="AQ54" s="106">
        <f t="shared" si="92"/>
        <v>576401.11681277538</v>
      </c>
      <c r="AR54" s="105">
        <f>AP54*'Baseline Given'!K55/'Baseline Given'!L55</f>
        <v>9544369.2464861907</v>
      </c>
      <c r="AS54" s="105">
        <f>AQ54/'Baseline Given'!M55</f>
        <v>84559.901955317182</v>
      </c>
      <c r="AT54" s="105">
        <f t="shared" si="71"/>
        <v>9.6289291484415092</v>
      </c>
      <c r="AV54" s="105">
        <f t="shared" si="72"/>
        <v>938049.48007775121</v>
      </c>
      <c r="AW54" s="106">
        <f t="shared" si="93"/>
        <v>446299.5927862901</v>
      </c>
      <c r="AX54" s="105">
        <f>AV54*'Baseline Given'!K55/'Baseline Given'!L55</f>
        <v>8009406.5302324649</v>
      </c>
      <c r="AY54" s="105">
        <f>AW54/'Baseline Given'!M55</f>
        <v>65473.588978081287</v>
      </c>
      <c r="AZ54" s="105">
        <f t="shared" si="73"/>
        <v>8.0748801192105457</v>
      </c>
      <c r="BB54" s="105">
        <f t="shared" si="74"/>
        <v>728277.82317554252</v>
      </c>
      <c r="BC54" s="106">
        <f t="shared" si="94"/>
        <v>359501.34008653974</v>
      </c>
      <c r="BD54" s="105">
        <f>BB54*'Baseline Given'!K55/'Baseline Given'!L55</f>
        <v>6218300.0754738366</v>
      </c>
      <c r="BE54" s="105">
        <f>BC54/'Baseline Given'!M55</f>
        <v>52740.005499325162</v>
      </c>
      <c r="BF54" s="105">
        <f t="shared" si="75"/>
        <v>6.2710400809731617</v>
      </c>
      <c r="BH54" s="105">
        <f t="shared" si="76"/>
        <v>495368.6917641653</v>
      </c>
      <c r="BI54" s="107">
        <f t="shared" si="95"/>
        <v>302671.76444468205</v>
      </c>
      <c r="BJ54" s="105">
        <f>BH54*'Baseline Given'!K55/'Baseline Given'!L55</f>
        <v>4229637.4753704453</v>
      </c>
      <c r="BK54" s="105">
        <f>BI54/'Baseline Given'!M55</f>
        <v>44402.923553665649</v>
      </c>
      <c r="BL54" s="105">
        <f t="shared" si="77"/>
        <v>4.2740403989241118</v>
      </c>
      <c r="BN54" s="105">
        <f t="shared" si="78"/>
        <v>246632.18523578232</v>
      </c>
      <c r="BO54" s="106">
        <f t="shared" si="96"/>
        <v>269900.90779118706</v>
      </c>
      <c r="BP54" s="105">
        <f>BN54*'Baseline Given'!K55/'Baseline Given'!L55</f>
        <v>2105835.0086492733</v>
      </c>
      <c r="BQ54" s="105">
        <f>BO54/'Baseline Given'!M55</f>
        <v>39595.333240631284</v>
      </c>
      <c r="BR54" s="105">
        <f t="shared" si="79"/>
        <v>2.145430341889905</v>
      </c>
      <c r="BT54" s="105">
        <f t="shared" si="80"/>
        <v>-10263.248352024988</v>
      </c>
      <c r="BU54" s="106">
        <f t="shared" si="97"/>
        <v>258560</v>
      </c>
      <c r="BV54" s="105">
        <f>BT54*'Baseline Given'!K55/'Baseline Given'!L55</f>
        <v>-87631.335145874255</v>
      </c>
      <c r="BW54" s="105">
        <f>BU54/'Baseline Given'!M55</f>
        <v>37931.585508479395</v>
      </c>
      <c r="BX54" s="105">
        <f t="shared" si="81"/>
        <v>-4.9699749637394861E-2</v>
      </c>
      <c r="BZ54" s="104">
        <v>150</v>
      </c>
      <c r="CA54" s="104">
        <v>-150</v>
      </c>
    </row>
    <row r="55" spans="1:79" ht="15" customHeight="1" x14ac:dyDescent="0.25">
      <c r="A55" s="18">
        <f>'Baseline Given'!E56</f>
        <v>53</v>
      </c>
      <c r="B55" s="18">
        <f t="shared" si="82"/>
        <v>15</v>
      </c>
      <c r="C55" s="18">
        <f t="shared" si="57"/>
        <v>7.5</v>
      </c>
      <c r="D55" s="18">
        <f t="shared" si="83"/>
        <v>53</v>
      </c>
      <c r="E55" s="10">
        <v>0</v>
      </c>
      <c r="F55" s="10">
        <v>0</v>
      </c>
      <c r="G55" s="18">
        <f t="shared" si="86"/>
        <v>0.75</v>
      </c>
      <c r="H55" s="18">
        <f t="shared" si="87"/>
        <v>15</v>
      </c>
      <c r="J55" s="104">
        <f t="shared" si="84"/>
        <v>52</v>
      </c>
      <c r="K55" s="104">
        <f t="shared" si="85"/>
        <v>0.90757121103705141</v>
      </c>
      <c r="L55" s="105">
        <f t="shared" si="58"/>
        <v>96.334314628421765</v>
      </c>
      <c r="M55" s="104">
        <f t="shared" si="59"/>
        <v>25288098.087329313</v>
      </c>
      <c r="N55" s="104">
        <f t="shared" si="60"/>
        <v>787510.60361626837</v>
      </c>
      <c r="O55" s="104">
        <f t="shared" si="43"/>
        <v>666588.9925645967</v>
      </c>
      <c r="P55" s="104">
        <f t="shared" si="61"/>
        <v>484839.94005699147</v>
      </c>
      <c r="R55" s="105">
        <f t="shared" si="62"/>
        <v>1565054.1283382331</v>
      </c>
      <c r="S55" s="106">
        <f t="shared" si="88"/>
        <v>9858010.7610780969</v>
      </c>
      <c r="T55" s="106">
        <f>R55*'Baseline Given'!K56/'Baseline Given'!L56</f>
        <v>13493299.627606338</v>
      </c>
      <c r="U55" s="105">
        <f>S55/'Baseline Given'!M56</f>
        <v>1465769.6998904541</v>
      </c>
      <c r="V55" s="105">
        <f t="shared" si="63"/>
        <v>14.959069327496792</v>
      </c>
      <c r="X55" s="105">
        <f t="shared" si="64"/>
        <v>1514103.7694862192</v>
      </c>
      <c r="Y55" s="106">
        <f t="shared" si="89"/>
        <v>2331524.2272730763</v>
      </c>
      <c r="Z55" s="106">
        <f>X55*'Baseline Given'!K56/'Baseline Given'!L56</f>
        <v>13054025.071106328</v>
      </c>
      <c r="AA55" s="105">
        <f>Y55/'Baseline Given'!M56</f>
        <v>346670.09904172958</v>
      </c>
      <c r="AB55" s="105">
        <f t="shared" si="65"/>
        <v>13.400695170148058</v>
      </c>
      <c r="AD55" s="105">
        <f t="shared" si="66"/>
        <v>1458057.9760805275</v>
      </c>
      <c r="AE55" s="106">
        <f t="shared" si="90"/>
        <v>1159336.5511912932</v>
      </c>
      <c r="AF55" s="105">
        <f>AD55*'Baseline Given'!K56/'Baseline Given'!L56</f>
        <v>12570819.621788803</v>
      </c>
      <c r="AG55" s="105">
        <f>AE55/'Baseline Given'!M56</f>
        <v>172379.64432145274</v>
      </c>
      <c r="AH55" s="105">
        <f t="shared" si="67"/>
        <v>12.743199266110256</v>
      </c>
      <c r="AJ55" s="105">
        <f t="shared" si="68"/>
        <v>1347131.4716491522</v>
      </c>
      <c r="AK55" s="106">
        <f t="shared" si="91"/>
        <v>767333.12883818091</v>
      </c>
      <c r="AL55" s="105">
        <f>AJ55*'Baseline Given'!K56/'Baseline Given'!L56</f>
        <v>11614453.618956171</v>
      </c>
      <c r="AM55" s="105">
        <f>AK55/'Baseline Given'!M56</f>
        <v>114093.36804681474</v>
      </c>
      <c r="AN55" s="105">
        <f t="shared" si="69"/>
        <v>11.728546987002986</v>
      </c>
      <c r="AP55" s="105">
        <f t="shared" si="70"/>
        <v>1192643.5246723711</v>
      </c>
      <c r="AQ55" s="106">
        <f t="shared" si="92"/>
        <v>560241.11681277538</v>
      </c>
      <c r="AR55" s="105">
        <f>AP55*'Baseline Given'!K56/'Baseline Given'!L56</f>
        <v>10282517.477153309</v>
      </c>
      <c r="AS55" s="105">
        <f>AQ55/'Baseline Given'!M56</f>
        <v>83301.233236546788</v>
      </c>
      <c r="AT55" s="105">
        <f t="shared" si="71"/>
        <v>10.365818710389856</v>
      </c>
      <c r="AV55" s="105">
        <f t="shared" si="72"/>
        <v>1000783.373778702</v>
      </c>
      <c r="AW55" s="106">
        <f t="shared" si="93"/>
        <v>430139.5927862901</v>
      </c>
      <c r="AX55" s="105">
        <f>AV55*'Baseline Given'!K56/'Baseline Given'!L56</f>
        <v>8628372.4506456014</v>
      </c>
      <c r="AY55" s="105">
        <f>AW55/'Baseline Given'!M56</f>
        <v>63956.674131324551</v>
      </c>
      <c r="AZ55" s="105">
        <f t="shared" si="73"/>
        <v>8.6923291247769257</v>
      </c>
      <c r="BB55" s="105">
        <f t="shared" si="74"/>
        <v>777873.35278951842</v>
      </c>
      <c r="BC55" s="106">
        <f t="shared" si="94"/>
        <v>343341.34008653974</v>
      </c>
      <c r="BD55" s="105">
        <f>BB55*'Baseline Given'!K56/'Baseline Given'!L56</f>
        <v>6706527.2896755273</v>
      </c>
      <c r="BE55" s="105">
        <f>BC55/'Baseline Given'!M56</f>
        <v>51050.799721747921</v>
      </c>
      <c r="BF55" s="105">
        <f t="shared" si="75"/>
        <v>6.757578089397275</v>
      </c>
      <c r="BH55" s="105">
        <f t="shared" si="76"/>
        <v>530895.56300801702</v>
      </c>
      <c r="BI55" s="107">
        <f t="shared" si="95"/>
        <v>286511.76444468205</v>
      </c>
      <c r="BJ55" s="105">
        <f>BH55*'Baseline Given'!K56/'Baseline Given'!L56</f>
        <v>4577179.0080130575</v>
      </c>
      <c r="BK55" s="105">
        <f>BI55/'Baseline Given'!M56</f>
        <v>42600.913425990031</v>
      </c>
      <c r="BL55" s="105">
        <f t="shared" si="77"/>
        <v>4.619779921439048</v>
      </c>
      <c r="BN55" s="105">
        <f t="shared" si="78"/>
        <v>267454.27386788954</v>
      </c>
      <c r="BO55" s="106">
        <f t="shared" si="96"/>
        <v>253740.90779118706</v>
      </c>
      <c r="BP55" s="105">
        <f>BN55*'Baseline Given'!K56/'Baseline Given'!L56</f>
        <v>2305888.7156926435</v>
      </c>
      <c r="BQ55" s="105">
        <f>BO55/'Baseline Given'!M56</f>
        <v>37728.274321983488</v>
      </c>
      <c r="BR55" s="105">
        <f t="shared" si="79"/>
        <v>2.3436169900146271</v>
      </c>
      <c r="BT55" s="105">
        <f t="shared" si="80"/>
        <v>-4398.5350080106527</v>
      </c>
      <c r="BU55" s="106">
        <f t="shared" si="97"/>
        <v>242400</v>
      </c>
      <c r="BV55" s="105">
        <f>BT55*'Baseline Given'!K56/'Baseline Given'!L56</f>
        <v>-37922.490801402462</v>
      </c>
      <c r="BW55" s="105">
        <f>BU55/'Baseline Given'!M56</f>
        <v>36042.015358338816</v>
      </c>
      <c r="BX55" s="105">
        <f t="shared" si="81"/>
        <v>-1.8804754430636458E-3</v>
      </c>
      <c r="BZ55" s="104">
        <v>150</v>
      </c>
      <c r="CA55" s="104">
        <v>-150</v>
      </c>
    </row>
    <row r="56" spans="1:79" ht="15" customHeight="1" x14ac:dyDescent="0.25">
      <c r="A56" s="18">
        <f>'Baseline Given'!E57</f>
        <v>54</v>
      </c>
      <c r="B56" s="18">
        <f t="shared" si="82"/>
        <v>14</v>
      </c>
      <c r="C56" s="18">
        <f t="shared" si="57"/>
        <v>7</v>
      </c>
      <c r="D56" s="18">
        <f t="shared" si="83"/>
        <v>54</v>
      </c>
      <c r="E56" s="10">
        <v>0</v>
      </c>
      <c r="F56" s="10">
        <v>0</v>
      </c>
      <c r="G56" s="10">
        <v>0</v>
      </c>
      <c r="H56" s="18">
        <f t="shared" ref="H56:H69" si="98">H55-1</f>
        <v>14</v>
      </c>
      <c r="J56" s="104">
        <f t="shared" si="84"/>
        <v>53</v>
      </c>
      <c r="K56" s="104">
        <f t="shared" si="85"/>
        <v>0.92502450355699462</v>
      </c>
      <c r="L56" s="105">
        <f t="shared" si="58"/>
        <v>97.633191103281547</v>
      </c>
      <c r="M56" s="104">
        <f t="shared" si="59"/>
        <v>24719359.495162979</v>
      </c>
      <c r="N56" s="104">
        <f t="shared" si="60"/>
        <v>759558.07290003053</v>
      </c>
      <c r="O56" s="104">
        <f t="shared" si="43"/>
        <v>651597.16186718573</v>
      </c>
      <c r="P56" s="104">
        <f t="shared" si="61"/>
        <v>457113.45922765712</v>
      </c>
      <c r="R56" s="105">
        <f t="shared" si="62"/>
        <v>1582715.2649336015</v>
      </c>
      <c r="S56" s="106">
        <f t="shared" si="88"/>
        <v>9841850.7610780969</v>
      </c>
      <c r="T56" s="106">
        <f>R56*'Baseline Given'!K57/'Baseline Given'!L57</f>
        <v>13779932.751073224</v>
      </c>
      <c r="U56" s="105">
        <f>S56/'Baseline Given'!M57</f>
        <v>1483301.7524988814</v>
      </c>
      <c r="V56" s="105">
        <f t="shared" si="63"/>
        <v>15.263234503572106</v>
      </c>
      <c r="X56" s="105">
        <f t="shared" si="64"/>
        <v>1559620.3422903735</v>
      </c>
      <c r="Y56" s="106">
        <f t="shared" si="89"/>
        <v>2315364.2272730763</v>
      </c>
      <c r="Z56" s="106">
        <f>X56*'Baseline Given'!K57/'Baseline Given'!L57</f>
        <v>13578856.481723998</v>
      </c>
      <c r="AA56" s="105">
        <f>Y56/'Baseline Given'!M57</f>
        <v>348957.11176290613</v>
      </c>
      <c r="AB56" s="105">
        <f t="shared" si="65"/>
        <v>13.927813593486903</v>
      </c>
      <c r="AD56" s="105">
        <f t="shared" si="66"/>
        <v>1488172.4096862276</v>
      </c>
      <c r="AE56" s="106">
        <f t="shared" si="90"/>
        <v>1143176.5511912932</v>
      </c>
      <c r="AF56" s="105">
        <f>AD56*'Baseline Given'!K57/'Baseline Given'!L57</f>
        <v>12956794.049963949</v>
      </c>
      <c r="AG56" s="105">
        <f>AE56/'Baseline Given'!M57</f>
        <v>172292.36888082261</v>
      </c>
      <c r="AH56" s="105">
        <f t="shared" si="67"/>
        <v>13.129086418844773</v>
      </c>
      <c r="AJ56" s="105">
        <f t="shared" si="68"/>
        <v>1371507.1114653398</v>
      </c>
      <c r="AK56" s="106">
        <f t="shared" si="91"/>
        <v>751173.12883818091</v>
      </c>
      <c r="AL56" s="105">
        <f>AJ56*'Baseline Given'!K57/'Baseline Given'!L57</f>
        <v>11941045.987449888</v>
      </c>
      <c r="AM56" s="105">
        <f>AK56/'Baseline Given'!M57</f>
        <v>113212.08230896687</v>
      </c>
      <c r="AN56" s="105">
        <f t="shared" si="69"/>
        <v>12.054258069758855</v>
      </c>
      <c r="AP56" s="105">
        <f t="shared" si="70"/>
        <v>1213169.2636786632</v>
      </c>
      <c r="AQ56" s="106">
        <f t="shared" si="92"/>
        <v>544081.11681277538</v>
      </c>
      <c r="AR56" s="105">
        <f>AP56*'Baseline Given'!K57/'Baseline Given'!L57</f>
        <v>10562475.285067989</v>
      </c>
      <c r="AS56" s="105">
        <f>AQ56/'Baseline Given'!M57</f>
        <v>82000.478737348167</v>
      </c>
      <c r="AT56" s="105">
        <f t="shared" si="71"/>
        <v>10.644475763805337</v>
      </c>
      <c r="AV56" s="105">
        <f t="shared" si="72"/>
        <v>1017969.8817083787</v>
      </c>
      <c r="AW56" s="106">
        <f t="shared" si="93"/>
        <v>413979.5927862901</v>
      </c>
      <c r="AX56" s="105">
        <f>AV56*'Baseline Given'!K57/'Baseline Given'!L57</f>
        <v>8862969.1160196848</v>
      </c>
      <c r="AY56" s="105">
        <f>AW56/'Baseline Given'!M57</f>
        <v>62392.396550769517</v>
      </c>
      <c r="AZ56" s="105">
        <f t="shared" si="73"/>
        <v>8.9253615125704542</v>
      </c>
      <c r="BB56" s="105">
        <f t="shared" si="74"/>
        <v>791840.00000000023</v>
      </c>
      <c r="BC56" s="106">
        <f t="shared" si="94"/>
        <v>327181.34008653974</v>
      </c>
      <c r="BD56" s="105">
        <f>BB56*'Baseline Given'!K57/'Baseline Given'!L57</f>
        <v>6894166.115259897</v>
      </c>
      <c r="BE56" s="105">
        <f>BC56/'Baseline Given'!M57</f>
        <v>49310.710649521694</v>
      </c>
      <c r="BF56" s="105">
        <f t="shared" si="75"/>
        <v>6.9434768259094186</v>
      </c>
      <c r="BH56" s="105">
        <f t="shared" si="76"/>
        <v>541650.4605819952</v>
      </c>
      <c r="BI56" s="107">
        <f t="shared" si="95"/>
        <v>270351.76444468205</v>
      </c>
      <c r="BJ56" s="105">
        <f>BH56*'Baseline Given'!K57/'Baseline Given'!L57</f>
        <v>4715887.3657043166</v>
      </c>
      <c r="BK56" s="105">
        <f>BI56/'Baseline Given'!M57</f>
        <v>40745.714980546385</v>
      </c>
      <c r="BL56" s="105">
        <f t="shared" si="77"/>
        <v>4.7566330806848631</v>
      </c>
      <c r="BN56" s="105">
        <f t="shared" si="78"/>
        <v>275003.14600756438</v>
      </c>
      <c r="BO56" s="106">
        <f t="shared" si="96"/>
        <v>237580.90779118706</v>
      </c>
      <c r="BP56" s="105">
        <f>BN56*'Baseline Given'!K57/'Baseline Given'!L57</f>
        <v>2394318.7648959635</v>
      </c>
      <c r="BQ56" s="105">
        <f>BO56/'Baseline Given'!M57</f>
        <v>35806.697890665819</v>
      </c>
      <c r="BR56" s="105">
        <f t="shared" si="79"/>
        <v>2.4301254627866293</v>
      </c>
      <c r="BT56" s="105">
        <f t="shared" si="80"/>
        <v>9.7012155253484167E-11</v>
      </c>
      <c r="BU56" s="106">
        <f t="shared" si="97"/>
        <v>226240</v>
      </c>
      <c r="BV56" s="105">
        <f>BT56*'Baseline Given'!K57/'Baseline Given'!L57</f>
        <v>8.446376963994022E-10</v>
      </c>
      <c r="BW56" s="105">
        <f>BU56/'Baseline Given'!M57</f>
        <v>34097.46770520899</v>
      </c>
      <c r="BX56" s="105">
        <f t="shared" si="81"/>
        <v>3.4097467705209834E-2</v>
      </c>
      <c r="BZ56" s="104">
        <v>150</v>
      </c>
      <c r="CA56" s="104">
        <v>-150</v>
      </c>
    </row>
    <row r="57" spans="1:79" ht="15" customHeight="1" x14ac:dyDescent="0.25">
      <c r="A57" s="18">
        <f>'Baseline Given'!E58</f>
        <v>55</v>
      </c>
      <c r="B57" s="18">
        <f t="shared" si="82"/>
        <v>13</v>
      </c>
      <c r="C57" s="18">
        <f t="shared" si="57"/>
        <v>6.5</v>
      </c>
      <c r="D57" s="18">
        <f t="shared" si="83"/>
        <v>55</v>
      </c>
      <c r="E57" s="10">
        <v>0</v>
      </c>
      <c r="F57" s="10">
        <v>0</v>
      </c>
      <c r="G57" s="10">
        <v>0</v>
      </c>
      <c r="H57" s="18">
        <f t="shared" si="98"/>
        <v>13</v>
      </c>
      <c r="J57" s="104">
        <f t="shared" si="84"/>
        <v>54</v>
      </c>
      <c r="K57" s="104">
        <f t="shared" si="85"/>
        <v>0.94247779607693793</v>
      </c>
      <c r="L57" s="105">
        <f t="shared" si="58"/>
        <v>98.902327562337319</v>
      </c>
      <c r="M57" s="104">
        <f t="shared" si="59"/>
        <v>24143091.146632597</v>
      </c>
      <c r="N57" s="104">
        <f t="shared" si="60"/>
        <v>732331.33360027568</v>
      </c>
      <c r="O57" s="104">
        <f t="shared" si="43"/>
        <v>636406.8483621066</v>
      </c>
      <c r="P57" s="104">
        <f t="shared" si="61"/>
        <v>430453.55768192135</v>
      </c>
      <c r="R57" s="105">
        <f t="shared" si="62"/>
        <v>1364688.1621111156</v>
      </c>
      <c r="S57" s="106">
        <f t="shared" ref="S57:S69" si="99">16160*H57</f>
        <v>210080</v>
      </c>
      <c r="T57" s="106">
        <f>R57*'Baseline Given'!K58/'Baseline Given'!L58</f>
        <v>11999837.029694876</v>
      </c>
      <c r="U57" s="105">
        <f>S57/'Baseline Given'!M58</f>
        <v>32096.209930933055</v>
      </c>
      <c r="V57" s="105">
        <f t="shared" si="63"/>
        <v>12.031933239625808</v>
      </c>
      <c r="X57" s="105">
        <f t="shared" si="64"/>
        <v>1344774.6828932303</v>
      </c>
      <c r="Y57" s="106">
        <f t="shared" ref="Y57:Y69" si="100">16160*H57</f>
        <v>210080</v>
      </c>
      <c r="Z57" s="106">
        <f>X57*'Baseline Given'!K58/'Baseline Given'!L58</f>
        <v>11824735.851313449</v>
      </c>
      <c r="AA57" s="105">
        <f>Y57/'Baseline Given'!M58</f>
        <v>32096.209930933055</v>
      </c>
      <c r="AB57" s="105">
        <f t="shared" si="65"/>
        <v>11.856832061244381</v>
      </c>
      <c r="AD57" s="105">
        <f t="shared" si="66"/>
        <v>1283169.0675355736</v>
      </c>
      <c r="AE57" s="106">
        <f t="shared" ref="AE57:AE69" si="101">16160*H57</f>
        <v>210080</v>
      </c>
      <c r="AF57" s="105">
        <f>AD57*'Baseline Given'!K58/'Baseline Given'!L58</f>
        <v>11283031.625446679</v>
      </c>
      <c r="AG57" s="105">
        <f>AE57/'Baseline Given'!M58</f>
        <v>32096.209930933055</v>
      </c>
      <c r="AH57" s="105">
        <f t="shared" si="67"/>
        <v>11.315127835377611</v>
      </c>
      <c r="AJ57" s="105">
        <f t="shared" si="68"/>
        <v>1182575.0093757268</v>
      </c>
      <c r="AK57" s="106">
        <f t="shared" ref="AK57:AK69" si="102">16160*H57</f>
        <v>210080</v>
      </c>
      <c r="AL57" s="105">
        <f>AJ57*'Baseline Given'!K58/'Baseline Given'!L58</f>
        <v>10398498.193130203</v>
      </c>
      <c r="AM57" s="105">
        <f>AK57/'Baseline Given'!M58</f>
        <v>32096.209930933055</v>
      </c>
      <c r="AN57" s="105">
        <f t="shared" si="69"/>
        <v>10.430594403061134</v>
      </c>
      <c r="AP57" s="105">
        <f t="shared" si="70"/>
        <v>1046049.0079678269</v>
      </c>
      <c r="AQ57" s="106">
        <f t="shared" ref="AQ57:AQ69" si="103">16160*H57</f>
        <v>210080</v>
      </c>
      <c r="AR57" s="105">
        <f>AP57*'Baseline Given'!K58/'Baseline Given'!L58</f>
        <v>9198011.6551094372</v>
      </c>
      <c r="AS57" s="105">
        <f>AQ57/'Baseline Given'!M58</f>
        <v>32096.209930933055</v>
      </c>
      <c r="AT57" s="105">
        <f t="shared" si="71"/>
        <v>9.2301078650403685</v>
      </c>
      <c r="AV57" s="105">
        <f t="shared" si="72"/>
        <v>877739.33677916322</v>
      </c>
      <c r="AW57" s="106">
        <f t="shared" ref="AW57:AW62" si="104">16160*H57</f>
        <v>210080</v>
      </c>
      <c r="AX57" s="105">
        <f>AV57*'Baseline Given'!K58/'Baseline Given'!L58</f>
        <v>7718048.1873666523</v>
      </c>
      <c r="AY57" s="105">
        <f>AW57/'Baseline Given'!M58</f>
        <v>32096.209930933055</v>
      </c>
      <c r="AZ57" s="105">
        <f t="shared" si="73"/>
        <v>7.7501443972975856</v>
      </c>
      <c r="BB57" s="105">
        <f t="shared" si="74"/>
        <v>682760.00000000012</v>
      </c>
      <c r="BC57" s="106">
        <f t="shared" ref="BC57:BC69" si="105">16160*H57</f>
        <v>210080</v>
      </c>
      <c r="BD57" s="105">
        <f>BB57*'Baseline Given'!K58/'Baseline Given'!L58</f>
        <v>6003575.730971559</v>
      </c>
      <c r="BE57" s="105">
        <f>BC57/'Baseline Given'!M58</f>
        <v>32096.209930933055</v>
      </c>
      <c r="BF57" s="105">
        <f t="shared" si="75"/>
        <v>6.0356719409024917</v>
      </c>
      <c r="BH57" s="105">
        <f t="shared" si="76"/>
        <v>467035.3461140673</v>
      </c>
      <c r="BI57" s="107">
        <f t="shared" ref="BI57:BI69" si="106">16160*H57</f>
        <v>210080</v>
      </c>
      <c r="BJ57" s="105">
        <f>BH57*'Baseline Given'!K58/'Baseline Given'!L58</f>
        <v>4106687.6639467985</v>
      </c>
      <c r="BK57" s="105">
        <f>BI57/'Baseline Given'!M58</f>
        <v>32096.209930933055</v>
      </c>
      <c r="BL57" s="105">
        <f t="shared" si="77"/>
        <v>4.1387838738777321</v>
      </c>
      <c r="BN57" s="105">
        <f t="shared" si="78"/>
        <v>237120.05956774682</v>
      </c>
      <c r="BO57" s="106">
        <f t="shared" ref="BO57:BO69" si="107">16160*H57</f>
        <v>210080</v>
      </c>
      <c r="BP57" s="105">
        <f>BN57*'Baseline Given'!K58/'Baseline Given'!L58</f>
        <v>2085019.9703372414</v>
      </c>
      <c r="BQ57" s="105">
        <f>BO57/'Baseline Given'!M58</f>
        <v>32096.209930933055</v>
      </c>
      <c r="BR57" s="105">
        <f t="shared" si="79"/>
        <v>2.1171161802681744</v>
      </c>
      <c r="BT57" s="105">
        <f t="shared" si="80"/>
        <v>8.364823590734094E-11</v>
      </c>
      <c r="BU57" s="106">
        <f t="shared" ref="BU57:BU69" si="108">16160*H57</f>
        <v>210080</v>
      </c>
      <c r="BV57" s="105">
        <f>BT57*'Baseline Given'!K58/'Baseline Given'!L58</f>
        <v>7.3552715307266936E-10</v>
      </c>
      <c r="BW57" s="105">
        <f>BU57/'Baseline Given'!M58</f>
        <v>32096.209930933055</v>
      </c>
      <c r="BX57" s="105">
        <f t="shared" si="81"/>
        <v>3.2096209930933789E-2</v>
      </c>
      <c r="BZ57" s="104">
        <v>150</v>
      </c>
      <c r="CA57" s="104">
        <v>-150</v>
      </c>
    </row>
    <row r="58" spans="1:79" ht="15" customHeight="1" x14ac:dyDescent="0.25">
      <c r="A58" s="18">
        <f>'Baseline Given'!E59</f>
        <v>56</v>
      </c>
      <c r="B58" s="18">
        <f t="shared" si="82"/>
        <v>12</v>
      </c>
      <c r="C58" s="18">
        <f t="shared" si="57"/>
        <v>6</v>
      </c>
      <c r="D58" s="18">
        <f t="shared" si="83"/>
        <v>56</v>
      </c>
      <c r="E58" s="10">
        <v>0</v>
      </c>
      <c r="F58" s="10">
        <v>0</v>
      </c>
      <c r="G58" s="10">
        <v>0</v>
      </c>
      <c r="H58" s="18">
        <f t="shared" si="98"/>
        <v>12</v>
      </c>
      <c r="J58" s="104">
        <f t="shared" si="84"/>
        <v>55</v>
      </c>
      <c r="K58" s="104">
        <f t="shared" si="85"/>
        <v>0.95993108859688125</v>
      </c>
      <c r="L58" s="105">
        <f t="shared" si="58"/>
        <v>100.14133741432926</v>
      </c>
      <c r="M58" s="104">
        <f t="shared" si="59"/>
        <v>23559468.578659587</v>
      </c>
      <c r="N58" s="104">
        <f t="shared" si="60"/>
        <v>705786.5169460515</v>
      </c>
      <c r="O58" s="104">
        <f t="shared" si="43"/>
        <v>621022.67916600476</v>
      </c>
      <c r="P58" s="104">
        <f t="shared" si="61"/>
        <v>404822.51521453349</v>
      </c>
      <c r="R58" s="105">
        <f t="shared" si="62"/>
        <v>1162811.2150532582</v>
      </c>
      <c r="S58" s="106">
        <f t="shared" si="99"/>
        <v>193920</v>
      </c>
      <c r="T58" s="106">
        <f>R58*'Baseline Given'!K59/'Baseline Given'!L59</f>
        <v>10327416.801232539</v>
      </c>
      <c r="U58" s="105">
        <f>S58/'Baseline Given'!M59</f>
        <v>30036.444945702002</v>
      </c>
      <c r="V58" s="105">
        <f t="shared" si="63"/>
        <v>10.357453246178242</v>
      </c>
      <c r="X58" s="105">
        <f t="shared" si="64"/>
        <v>1145843.5167847644</v>
      </c>
      <c r="Y58" s="106">
        <f t="shared" si="100"/>
        <v>193920</v>
      </c>
      <c r="Z58" s="106">
        <f>X58*'Baseline Given'!K59/'Baseline Given'!L59</f>
        <v>10176719.517006343</v>
      </c>
      <c r="AA58" s="105">
        <f>Y58/'Baseline Given'!M59</f>
        <v>30036.444945702002</v>
      </c>
      <c r="AB58" s="105">
        <f t="shared" si="65"/>
        <v>10.206755961952046</v>
      </c>
      <c r="AD58" s="105">
        <f t="shared" si="66"/>
        <v>1093351.1581368202</v>
      </c>
      <c r="AE58" s="106">
        <f t="shared" si="101"/>
        <v>193920</v>
      </c>
      <c r="AF58" s="105">
        <f>AD58*'Baseline Given'!K59/'Baseline Given'!L59</f>
        <v>9710512.7418917157</v>
      </c>
      <c r="AG58" s="105">
        <f>AE58/'Baseline Given'!M59</f>
        <v>30036.444945702002</v>
      </c>
      <c r="AH58" s="105">
        <f t="shared" si="67"/>
        <v>9.7405491868374181</v>
      </c>
      <c r="AJ58" s="105">
        <f t="shared" si="68"/>
        <v>1007637.8778112701</v>
      </c>
      <c r="AK58" s="106">
        <f t="shared" si="102"/>
        <v>193920</v>
      </c>
      <c r="AL58" s="105">
        <f>AJ58*'Baseline Given'!K59/'Baseline Given'!L59</f>
        <v>8949256.9508712459</v>
      </c>
      <c r="AM58" s="105">
        <f>AK58/'Baseline Given'!M59</f>
        <v>30036.444945702002</v>
      </c>
      <c r="AN58" s="105">
        <f t="shared" si="69"/>
        <v>8.9792933958169474</v>
      </c>
      <c r="AP58" s="105">
        <f t="shared" si="70"/>
        <v>891308.03045779327</v>
      </c>
      <c r="AQ58" s="106">
        <f t="shared" si="103"/>
        <v>193920</v>
      </c>
      <c r="AR58" s="105">
        <f>AP58*'Baseline Given'!K59/'Baseline Given'!L59</f>
        <v>7916082.5159410778</v>
      </c>
      <c r="AS58" s="105">
        <f>AQ58/'Baseline Given'!M59</f>
        <v>30036.444945702002</v>
      </c>
      <c r="AT58" s="105">
        <f t="shared" si="71"/>
        <v>7.9461189608867802</v>
      </c>
      <c r="AV58" s="105">
        <f t="shared" si="72"/>
        <v>747896.23962248233</v>
      </c>
      <c r="AW58" s="106">
        <f t="shared" si="104"/>
        <v>193920</v>
      </c>
      <c r="AX58" s="105">
        <f>AV58*'Baseline Given'!K59/'Baseline Given'!L59</f>
        <v>6642381.9194950741</v>
      </c>
      <c r="AY58" s="105">
        <f>AW58/'Baseline Given'!M59</f>
        <v>30036.444945702002</v>
      </c>
      <c r="AZ58" s="105">
        <f t="shared" si="73"/>
        <v>6.6724183644407766</v>
      </c>
      <c r="BB58" s="105">
        <f t="shared" si="74"/>
        <v>581760.00000000012</v>
      </c>
      <c r="BC58" s="106">
        <f t="shared" si="105"/>
        <v>193920</v>
      </c>
      <c r="BD58" s="105">
        <f>BB58*'Baseline Given'!K59/'Baseline Given'!L59</f>
        <v>5166855.9096326446</v>
      </c>
      <c r="BE58" s="105">
        <f>BC58/'Baseline Given'!M59</f>
        <v>30036.444945702002</v>
      </c>
      <c r="BF58" s="105">
        <f t="shared" si="75"/>
        <v>5.1968923545783472</v>
      </c>
      <c r="BH58" s="105">
        <f t="shared" si="76"/>
        <v>397947.2771622822</v>
      </c>
      <c r="BI58" s="107">
        <f t="shared" si="106"/>
        <v>193920</v>
      </c>
      <c r="BJ58" s="105">
        <f>BH58*'Baseline Given'!K59/'Baseline Given'!L59</f>
        <v>3534337.597511271</v>
      </c>
      <c r="BK58" s="105">
        <f>BI58/'Baseline Given'!M59</f>
        <v>30036.444945702002</v>
      </c>
      <c r="BL58" s="105">
        <f t="shared" si="77"/>
        <v>3.564374042456973</v>
      </c>
      <c r="BN58" s="105">
        <f t="shared" si="78"/>
        <v>202043.12767902689</v>
      </c>
      <c r="BO58" s="106">
        <f t="shared" si="107"/>
        <v>193920</v>
      </c>
      <c r="BP58" s="105">
        <f>BN58*'Baseline Given'!K59/'Baseline Given'!L59</f>
        <v>1794430.2259506374</v>
      </c>
      <c r="BQ58" s="105">
        <f>BO58/'Baseline Given'!M59</f>
        <v>30036.444945702002</v>
      </c>
      <c r="BR58" s="105">
        <f t="shared" si="79"/>
        <v>1.8244666708963395</v>
      </c>
      <c r="BT58" s="105">
        <f t="shared" si="80"/>
        <v>7.1274236512763878E-11</v>
      </c>
      <c r="BU58" s="106">
        <f t="shared" si="108"/>
        <v>193920</v>
      </c>
      <c r="BV58" s="105">
        <f>BT58*'Baseline Given'!K59/'Baseline Given'!L59</f>
        <v>6.3301655344219061E-10</v>
      </c>
      <c r="BW58" s="105">
        <f>BU58/'Baseline Given'!M59</f>
        <v>30036.444945702002</v>
      </c>
      <c r="BX58" s="105">
        <f t="shared" si="81"/>
        <v>3.0036444945702633E-2</v>
      </c>
      <c r="BZ58" s="104">
        <v>150</v>
      </c>
      <c r="CA58" s="104">
        <v>-150</v>
      </c>
    </row>
    <row r="59" spans="1:79" ht="15" customHeight="1" x14ac:dyDescent="0.25">
      <c r="A59" s="18">
        <f>'Baseline Given'!E60</f>
        <v>57</v>
      </c>
      <c r="B59" s="18">
        <f t="shared" si="82"/>
        <v>11</v>
      </c>
      <c r="C59" s="18">
        <f t="shared" si="57"/>
        <v>5.5</v>
      </c>
      <c r="D59" s="18">
        <f t="shared" si="83"/>
        <v>57</v>
      </c>
      <c r="E59" s="10">
        <v>0</v>
      </c>
      <c r="F59" s="10">
        <v>0</v>
      </c>
      <c r="G59" s="10">
        <v>0</v>
      </c>
      <c r="H59" s="18">
        <f t="shared" si="98"/>
        <v>11</v>
      </c>
      <c r="J59" s="104">
        <f t="shared" si="84"/>
        <v>56</v>
      </c>
      <c r="K59" s="104">
        <f t="shared" si="85"/>
        <v>0.97738438111682457</v>
      </c>
      <c r="L59" s="105">
        <f t="shared" si="58"/>
        <v>101.34984324485384</v>
      </c>
      <c r="M59" s="104">
        <f t="shared" si="59"/>
        <v>22968669.568331815</v>
      </c>
      <c r="N59" s="104">
        <f t="shared" si="60"/>
        <v>679882.73586692731</v>
      </c>
      <c r="O59" s="104">
        <f t="shared" si="43"/>
        <v>605449.34044584702</v>
      </c>
      <c r="P59" s="104">
        <f t="shared" si="61"/>
        <v>380185.60108906194</v>
      </c>
      <c r="R59" s="105">
        <f t="shared" si="62"/>
        <v>977084.42376002949</v>
      </c>
      <c r="S59" s="106">
        <f t="shared" si="99"/>
        <v>177760</v>
      </c>
      <c r="T59" s="106">
        <f>R59*'Baseline Given'!K60/'Baseline Given'!L60</f>
        <v>8765949.6737005729</v>
      </c>
      <c r="U59" s="105">
        <f>S59/'Baseline Given'!M60</f>
        <v>27916.308368970287</v>
      </c>
      <c r="V59" s="105">
        <f t="shared" si="63"/>
        <v>8.7938659820695424</v>
      </c>
      <c r="X59" s="105">
        <f t="shared" si="64"/>
        <v>962826.84396497556</v>
      </c>
      <c r="Y59" s="106">
        <f t="shared" si="100"/>
        <v>177760</v>
      </c>
      <c r="Z59" s="106">
        <f>X59*'Baseline Given'!K60/'Baseline Given'!L60</f>
        <v>8638037.2600820456</v>
      </c>
      <c r="AA59" s="105">
        <f>Y59/'Baseline Given'!M60</f>
        <v>27916.308368970287</v>
      </c>
      <c r="AB59" s="105">
        <f t="shared" si="65"/>
        <v>8.6659535684510161</v>
      </c>
      <c r="AD59" s="105">
        <f t="shared" si="66"/>
        <v>918718.68148996693</v>
      </c>
      <c r="AE59" s="106">
        <f t="shared" si="101"/>
        <v>177760</v>
      </c>
      <c r="AF59" s="105">
        <f>AD59*'Baseline Given'!K60/'Baseline Given'!L60</f>
        <v>8242319.2207263252</v>
      </c>
      <c r="AG59" s="105">
        <f>AE59/'Baseline Given'!M60</f>
        <v>27916.308368970287</v>
      </c>
      <c r="AH59" s="105">
        <f t="shared" si="67"/>
        <v>8.2702355290952951</v>
      </c>
      <c r="AJ59" s="105">
        <f t="shared" si="68"/>
        <v>846695.71677197004</v>
      </c>
      <c r="AK59" s="106">
        <f t="shared" si="102"/>
        <v>177760</v>
      </c>
      <c r="AL59" s="105">
        <f>AJ59*'Baseline Given'!K60/'Baseline Given'!L60</f>
        <v>7596162.4826636054</v>
      </c>
      <c r="AM59" s="105">
        <f>AK59/'Baseline Given'!M60</f>
        <v>27916.308368970287</v>
      </c>
      <c r="AN59" s="105">
        <f t="shared" si="69"/>
        <v>7.6240787910325762</v>
      </c>
      <c r="AP59" s="105">
        <f t="shared" si="70"/>
        <v>748946.33114856237</v>
      </c>
      <c r="AQ59" s="106">
        <f t="shared" si="103"/>
        <v>177760</v>
      </c>
      <c r="AR59" s="105">
        <f>AP59*'Baseline Given'!K60/'Baseline Given'!L60</f>
        <v>6719200.1914088354</v>
      </c>
      <c r="AS59" s="105">
        <f>AQ59/'Baseline Given'!M60</f>
        <v>27916.308368970287</v>
      </c>
      <c r="AT59" s="105">
        <f t="shared" si="71"/>
        <v>6.7471164997778059</v>
      </c>
      <c r="AV59" s="105">
        <f t="shared" si="72"/>
        <v>628440.59023833578</v>
      </c>
      <c r="AW59" s="106">
        <f t="shared" si="104"/>
        <v>177760</v>
      </c>
      <c r="AX59" s="105">
        <f>AV59*'Baseline Given'!K60/'Baseline Given'!L60</f>
        <v>5638078.4024174633</v>
      </c>
      <c r="AY59" s="105">
        <f>AW59/'Baseline Given'!M60</f>
        <v>27916.308368970287</v>
      </c>
      <c r="AZ59" s="105">
        <f t="shared" si="73"/>
        <v>5.6659947107864337</v>
      </c>
      <c r="BB59" s="105">
        <f t="shared" si="74"/>
        <v>488840.00000000012</v>
      </c>
      <c r="BC59" s="106">
        <f t="shared" si="105"/>
        <v>177760</v>
      </c>
      <c r="BD59" s="105">
        <f>BB59*'Baseline Given'!K60/'Baseline Given'!L60</f>
        <v>4385646.4541739691</v>
      </c>
      <c r="BE59" s="105">
        <f>BC59/'Baseline Given'!M60</f>
        <v>27916.308368970287</v>
      </c>
      <c r="BF59" s="105">
        <f t="shared" si="75"/>
        <v>4.4135627625429397</v>
      </c>
      <c r="BH59" s="105">
        <f t="shared" si="76"/>
        <v>334386.2537266399</v>
      </c>
      <c r="BI59" s="107">
        <f t="shared" si="106"/>
        <v>177760</v>
      </c>
      <c r="BJ59" s="105">
        <f>BH59*'Baseline Given'!K60/'Baseline Given'!L60</f>
        <v>2999958.8576645837</v>
      </c>
      <c r="BK59" s="105">
        <f>BI59/'Baseline Given'!M60</f>
        <v>27916.308368970287</v>
      </c>
      <c r="BL59" s="105">
        <f t="shared" si="77"/>
        <v>3.0278751660335539</v>
      </c>
      <c r="BN59" s="105">
        <f t="shared" si="78"/>
        <v>169772.35034140453</v>
      </c>
      <c r="BO59" s="106">
        <f t="shared" si="107"/>
        <v>177760</v>
      </c>
      <c r="BP59" s="105">
        <f>BN59*'Baseline Given'!K60/'Baseline Given'!L60</f>
        <v>1523119.0293174891</v>
      </c>
      <c r="BQ59" s="105">
        <f>BO59/'Baseline Given'!M60</f>
        <v>27916.308368970287</v>
      </c>
      <c r="BR59" s="105">
        <f t="shared" si="79"/>
        <v>1.5510353376864594</v>
      </c>
      <c r="BT59" s="105">
        <f t="shared" si="80"/>
        <v>5.9890157069752981E-11</v>
      </c>
      <c r="BU59" s="106">
        <f t="shared" si="108"/>
        <v>177760</v>
      </c>
      <c r="BV59" s="105">
        <f>BT59*'Baseline Given'!K60/'Baseline Given'!L60</f>
        <v>5.3730679771067053E-10</v>
      </c>
      <c r="BW59" s="105">
        <f>BU59/'Baseline Given'!M60</f>
        <v>27916.308368970287</v>
      </c>
      <c r="BX59" s="105">
        <f t="shared" si="81"/>
        <v>2.7916308368970827E-2</v>
      </c>
      <c r="BZ59" s="104">
        <v>150</v>
      </c>
      <c r="CA59" s="104">
        <v>-150</v>
      </c>
    </row>
    <row r="60" spans="1:79" ht="15" customHeight="1" x14ac:dyDescent="0.25">
      <c r="A60" s="18">
        <f>'Baseline Given'!E61</f>
        <v>58</v>
      </c>
      <c r="B60" s="18">
        <f t="shared" si="82"/>
        <v>10</v>
      </c>
      <c r="C60" s="18">
        <f t="shared" si="57"/>
        <v>5</v>
      </c>
      <c r="D60" s="18">
        <f t="shared" si="83"/>
        <v>58</v>
      </c>
      <c r="E60" s="10">
        <v>0</v>
      </c>
      <c r="F60" s="10">
        <v>0</v>
      </c>
      <c r="G60" s="10">
        <v>0</v>
      </c>
      <c r="H60" s="18">
        <f t="shared" si="98"/>
        <v>10</v>
      </c>
      <c r="J60" s="104">
        <f t="shared" si="84"/>
        <v>57</v>
      </c>
      <c r="K60" s="104">
        <f t="shared" si="85"/>
        <v>0.99483767363676778</v>
      </c>
      <c r="L60" s="105">
        <f t="shared" si="58"/>
        <v>102.52747693132807</v>
      </c>
      <c r="M60" s="104">
        <f t="shared" si="59"/>
        <v>22370874.078751035</v>
      </c>
      <c r="N60" s="104">
        <f t="shared" si="60"/>
        <v>654581.81791798619</v>
      </c>
      <c r="O60" s="104">
        <f t="shared" si="43"/>
        <v>589691.57599147025</v>
      </c>
      <c r="P60" s="104">
        <f t="shared" si="61"/>
        <v>356510.80964923423</v>
      </c>
      <c r="R60" s="105">
        <f t="shared" si="62"/>
        <v>807507.78823142941</v>
      </c>
      <c r="S60" s="106">
        <f t="shared" si="99"/>
        <v>161600</v>
      </c>
      <c r="T60" s="106">
        <f>R60*'Baseline Given'!K61/'Baseline Given'!L61</f>
        <v>7318847.6445080005</v>
      </c>
      <c r="U60" s="105">
        <f>S60/'Baseline Given'!M61</f>
        <v>25733.865567669516</v>
      </c>
      <c r="V60" s="105">
        <f t="shared" si="63"/>
        <v>7.3445815100756695</v>
      </c>
      <c r="X60" s="105">
        <f t="shared" si="64"/>
        <v>795724.66443386406</v>
      </c>
      <c r="Y60" s="106">
        <f t="shared" si="100"/>
        <v>161600</v>
      </c>
      <c r="Z60" s="106">
        <f>X60*'Baseline Given'!K61/'Baseline Given'!L61</f>
        <v>7212051.2902095066</v>
      </c>
      <c r="AA60" s="105">
        <f>Y60/'Baseline Given'!M61</f>
        <v>25733.865567669516</v>
      </c>
      <c r="AB60" s="105">
        <f t="shared" si="65"/>
        <v>7.2377851557771757</v>
      </c>
      <c r="AD60" s="105">
        <f t="shared" si="66"/>
        <v>759271.63759501406</v>
      </c>
      <c r="AE60" s="106">
        <f t="shared" si="101"/>
        <v>161600</v>
      </c>
      <c r="AF60" s="105">
        <f>AD60*'Baseline Given'!K61/'Baseline Given'!L61</f>
        <v>6881659.2450763853</v>
      </c>
      <c r="AG60" s="105">
        <f>AE60/'Baseline Given'!M61</f>
        <v>25733.865567669516</v>
      </c>
      <c r="AH60" s="105">
        <f t="shared" si="67"/>
        <v>6.9073931106440547</v>
      </c>
      <c r="AJ60" s="105">
        <f t="shared" si="68"/>
        <v>699748.52625782648</v>
      </c>
      <c r="AK60" s="106">
        <f t="shared" si="102"/>
        <v>161600</v>
      </c>
      <c r="AL60" s="105">
        <f>AJ60*'Baseline Given'!K61/'Baseline Given'!L61</f>
        <v>6342171.4660692196</v>
      </c>
      <c r="AM60" s="105">
        <f>AK60/'Baseline Given'!M61</f>
        <v>25733.865567669516</v>
      </c>
      <c r="AN60" s="105">
        <f t="shared" si="69"/>
        <v>6.367905331636889</v>
      </c>
      <c r="AP60" s="105">
        <f t="shared" si="70"/>
        <v>618963.91004013421</v>
      </c>
      <c r="AQ60" s="106">
        <f t="shared" si="103"/>
        <v>161600</v>
      </c>
      <c r="AR60" s="105">
        <f>AP60*'Baseline Given'!K61/'Baseline Given'!L61</f>
        <v>5609980.0163591532</v>
      </c>
      <c r="AS60" s="105">
        <f>AQ60/'Baseline Given'!M61</f>
        <v>25733.865567669516</v>
      </c>
      <c r="AT60" s="105">
        <f t="shared" si="71"/>
        <v>5.6357138819268222</v>
      </c>
      <c r="AV60" s="105">
        <f t="shared" si="72"/>
        <v>519372.38862672378</v>
      </c>
      <c r="AW60" s="106">
        <f t="shared" si="104"/>
        <v>161600</v>
      </c>
      <c r="AX60" s="105">
        <f>AV60*'Baseline Given'!K61/'Baseline Given'!L61</f>
        <v>4707332.1626388766</v>
      </c>
      <c r="AY60" s="105">
        <f>AW60/'Baseline Given'!M61</f>
        <v>25733.865567669516</v>
      </c>
      <c r="AZ60" s="105">
        <f t="shared" si="73"/>
        <v>4.7330660282065455</v>
      </c>
      <c r="BB60" s="105">
        <f t="shared" si="74"/>
        <v>404000.00000000012</v>
      </c>
      <c r="BC60" s="106">
        <f t="shared" si="105"/>
        <v>161600</v>
      </c>
      <c r="BD60" s="105">
        <f>BB60*'Baseline Given'!K61/'Baseline Given'!L61</f>
        <v>3661654.4031818286</v>
      </c>
      <c r="BE60" s="105">
        <f>BC60/'Baseline Given'!M61</f>
        <v>25733.865567669516</v>
      </c>
      <c r="BF60" s="105">
        <f t="shared" si="75"/>
        <v>3.6873882687494981</v>
      </c>
      <c r="BH60" s="105">
        <f t="shared" si="76"/>
        <v>276352.2758071404</v>
      </c>
      <c r="BI60" s="107">
        <f t="shared" si="106"/>
        <v>161600</v>
      </c>
      <c r="BJ60" s="105">
        <f>BH60*'Baseline Given'!K61/'Baseline Given'!L61</f>
        <v>2504719.1275706296</v>
      </c>
      <c r="BK60" s="105">
        <f>BI60/'Baseline Given'!M61</f>
        <v>25733.865567669516</v>
      </c>
      <c r="BL60" s="105">
        <f t="shared" si="77"/>
        <v>2.5304529931382995</v>
      </c>
      <c r="BN60" s="105">
        <f t="shared" si="78"/>
        <v>140307.72755487976</v>
      </c>
      <c r="BO60" s="106">
        <f t="shared" si="107"/>
        <v>161600</v>
      </c>
      <c r="BP60" s="105">
        <f>BN60*'Baseline Given'!K61/'Baseline Given'!L61</f>
        <v>1271679.2287172319</v>
      </c>
      <c r="BQ60" s="105">
        <f>BO60/'Baseline Given'!M61</f>
        <v>25733.865567669516</v>
      </c>
      <c r="BR60" s="105">
        <f t="shared" si="79"/>
        <v>1.2974130942849014</v>
      </c>
      <c r="BT60" s="105">
        <f t="shared" si="80"/>
        <v>4.9495997578308248E-11</v>
      </c>
      <c r="BU60" s="106">
        <f t="shared" si="108"/>
        <v>161600</v>
      </c>
      <c r="BV60" s="105">
        <f>BT60*'Baseline Given'!K61/'Baseline Given'!L61</f>
        <v>4.4860702344675612E-10</v>
      </c>
      <c r="BW60" s="105">
        <f>BU60/'Baseline Given'!M61</f>
        <v>25733.865567669516</v>
      </c>
      <c r="BX60" s="105">
        <f t="shared" si="81"/>
        <v>2.5733865567669965E-2</v>
      </c>
      <c r="BZ60" s="104">
        <v>150</v>
      </c>
      <c r="CA60" s="104">
        <v>-150</v>
      </c>
    </row>
    <row r="61" spans="1:79" ht="15" customHeight="1" x14ac:dyDescent="0.25">
      <c r="A61" s="18">
        <f>'Baseline Given'!E62</f>
        <v>59</v>
      </c>
      <c r="B61" s="18">
        <f t="shared" si="82"/>
        <v>9</v>
      </c>
      <c r="C61" s="18">
        <f t="shared" si="57"/>
        <v>4.5</v>
      </c>
      <c r="D61" s="18">
        <f t="shared" si="83"/>
        <v>59</v>
      </c>
      <c r="E61" s="10">
        <v>0</v>
      </c>
      <c r="F61" s="10">
        <v>0</v>
      </c>
      <c r="G61" s="10">
        <v>0</v>
      </c>
      <c r="H61" s="18">
        <f t="shared" si="98"/>
        <v>9</v>
      </c>
      <c r="J61" s="104">
        <f t="shared" si="84"/>
        <v>58</v>
      </c>
      <c r="K61" s="104">
        <f t="shared" si="85"/>
        <v>1.0122909661567112</v>
      </c>
      <c r="L61" s="105">
        <f t="shared" si="58"/>
        <v>103.67387975512307</v>
      </c>
      <c r="M61" s="104">
        <f t="shared" si="59"/>
        <v>21766264.204214334</v>
      </c>
      <c r="N61" s="104">
        <f t="shared" si="60"/>
        <v>629848.06555786531</v>
      </c>
      <c r="O61" s="104">
        <f t="shared" si="43"/>
        <v>573754.18577057554</v>
      </c>
      <c r="P61" s="104">
        <f t="shared" si="61"/>
        <v>333768.62347913138</v>
      </c>
      <c r="R61" s="105">
        <f t="shared" si="62"/>
        <v>654081.30846745777</v>
      </c>
      <c r="S61" s="106">
        <f t="shared" si="99"/>
        <v>145440</v>
      </c>
      <c r="T61" s="106">
        <f>R61*'Baseline Given'!K62/'Baseline Given'!L62</f>
        <v>5989664.0596331395</v>
      </c>
      <c r="U61" s="105">
        <f>S61/'Baseline Given'!M62</f>
        <v>23487.108543478771</v>
      </c>
      <c r="V61" s="105">
        <f t="shared" si="63"/>
        <v>6.0131511681766181</v>
      </c>
      <c r="X61" s="105">
        <f t="shared" si="64"/>
        <v>644536.97819142987</v>
      </c>
      <c r="Y61" s="106">
        <f t="shared" si="100"/>
        <v>145440</v>
      </c>
      <c r="Z61" s="106">
        <f>X61*'Baseline Given'!K62/'Baseline Given'!L62</f>
        <v>5902263.1030738726</v>
      </c>
      <c r="AA61" s="105">
        <f>Y61/'Baseline Given'!M62</f>
        <v>23487.108543478771</v>
      </c>
      <c r="AB61" s="105">
        <f t="shared" si="65"/>
        <v>5.9257502116173519</v>
      </c>
      <c r="AD61" s="105">
        <f t="shared" si="66"/>
        <v>615010.02645196137</v>
      </c>
      <c r="AE61" s="106">
        <f t="shared" si="101"/>
        <v>145440</v>
      </c>
      <c r="AF61" s="105">
        <f>AD61*'Baseline Given'!K62/'Baseline Given'!L62</f>
        <v>5631873.9032375403</v>
      </c>
      <c r="AG61" s="105">
        <f>AE61/'Baseline Given'!M62</f>
        <v>23487.108543478771</v>
      </c>
      <c r="AH61" s="105">
        <f t="shared" si="67"/>
        <v>5.6553610117810189</v>
      </c>
      <c r="AJ61" s="105">
        <f t="shared" si="68"/>
        <v>566796.3062688394</v>
      </c>
      <c r="AK61" s="106">
        <f t="shared" si="102"/>
        <v>145440</v>
      </c>
      <c r="AL61" s="105">
        <f>AJ61*'Baseline Given'!K62/'Baseline Given'!L62</f>
        <v>5190363.0647170385</v>
      </c>
      <c r="AM61" s="105">
        <f>AK61/'Baseline Given'!M62</f>
        <v>23487.108543478771</v>
      </c>
      <c r="AN61" s="105">
        <f t="shared" si="69"/>
        <v>5.2138501732605178</v>
      </c>
      <c r="AP61" s="105">
        <f t="shared" si="70"/>
        <v>501360.76713250874</v>
      </c>
      <c r="AQ61" s="106">
        <f t="shared" si="103"/>
        <v>145440</v>
      </c>
      <c r="AR61" s="105">
        <f>AP61*'Baseline Given'!K62/'Baseline Given'!L62</f>
        <v>4591145.6709255492</v>
      </c>
      <c r="AS61" s="105">
        <f>AQ61/'Baseline Given'!M62</f>
        <v>23487.108543478771</v>
      </c>
      <c r="AT61" s="105">
        <f t="shared" si="71"/>
        <v>4.6146327794690283</v>
      </c>
      <c r="AV61" s="105">
        <f t="shared" si="72"/>
        <v>420691.6347876463</v>
      </c>
      <c r="AW61" s="106">
        <f t="shared" si="104"/>
        <v>145440</v>
      </c>
      <c r="AX61" s="105">
        <f>AV61*'Baseline Given'!K62/'Baseline Given'!L62</f>
        <v>3852428.6391547946</v>
      </c>
      <c r="AY61" s="105">
        <f>AW61/'Baseline Given'!M62</f>
        <v>23487.108543478771</v>
      </c>
      <c r="AZ61" s="105">
        <f t="shared" si="73"/>
        <v>3.8759157476982735</v>
      </c>
      <c r="BB61" s="105">
        <f t="shared" si="74"/>
        <v>327240.00000000006</v>
      </c>
      <c r="BC61" s="106">
        <f t="shared" si="105"/>
        <v>145440</v>
      </c>
      <c r="BD61" s="105">
        <f>BB61*'Baseline Given'!K62/'Baseline Given'!L62</f>
        <v>2996657.5126062739</v>
      </c>
      <c r="BE61" s="105">
        <f>BC61/'Baseline Given'!M62</f>
        <v>23487.108543478771</v>
      </c>
      <c r="BF61" s="105">
        <f t="shared" si="75"/>
        <v>3.0201446211497527</v>
      </c>
      <c r="BH61" s="105">
        <f t="shared" si="76"/>
        <v>223845.34340378374</v>
      </c>
      <c r="BI61" s="107">
        <f t="shared" si="106"/>
        <v>145440</v>
      </c>
      <c r="BJ61" s="105">
        <f>BH61*'Baseline Given'!K62/'Baseline Given'!L62</f>
        <v>2049834.4639190799</v>
      </c>
      <c r="BK61" s="105">
        <f>BI61/'Baseline Given'!M62</f>
        <v>23487.108543478771</v>
      </c>
      <c r="BL61" s="105">
        <f t="shared" si="77"/>
        <v>2.0733215724625587</v>
      </c>
      <c r="BN61" s="105">
        <f t="shared" si="78"/>
        <v>113649.25931945261</v>
      </c>
      <c r="BO61" s="106">
        <f t="shared" si="107"/>
        <v>145440</v>
      </c>
      <c r="BP61" s="105">
        <f>BN61*'Baseline Given'!K62/'Baseline Given'!L62</f>
        <v>1040728.2323119916</v>
      </c>
      <c r="BQ61" s="105">
        <f>BO61/'Baseline Given'!M62</f>
        <v>23487.108543478771</v>
      </c>
      <c r="BR61" s="105">
        <f t="shared" si="79"/>
        <v>1.0642153408554704</v>
      </c>
      <c r="BT61" s="105">
        <f t="shared" si="80"/>
        <v>4.0091758038429681E-11</v>
      </c>
      <c r="BU61" s="106">
        <f t="shared" si="108"/>
        <v>145440</v>
      </c>
      <c r="BV61" s="105">
        <f>BT61*'Baseline Given'!K62/'Baseline Given'!L62</f>
        <v>3.6713503214598845E-10</v>
      </c>
      <c r="BW61" s="105">
        <f>BU61/'Baseline Given'!M62</f>
        <v>23487.108543478771</v>
      </c>
      <c r="BX61" s="105">
        <f t="shared" si="81"/>
        <v>2.348710854347914E-2</v>
      </c>
      <c r="BZ61" s="104">
        <v>150</v>
      </c>
      <c r="CA61" s="104">
        <v>-150</v>
      </c>
    </row>
    <row r="62" spans="1:79" ht="15" customHeight="1" x14ac:dyDescent="0.25">
      <c r="A62" s="18">
        <f>'Baseline Given'!E63</f>
        <v>60</v>
      </c>
      <c r="B62" s="18">
        <f t="shared" si="82"/>
        <v>8</v>
      </c>
      <c r="C62" s="18">
        <f t="shared" si="57"/>
        <v>4</v>
      </c>
      <c r="D62" s="18">
        <f t="shared" si="83"/>
        <v>60</v>
      </c>
      <c r="E62" s="10">
        <v>0</v>
      </c>
      <c r="F62" s="10">
        <v>0</v>
      </c>
      <c r="G62" s="10">
        <v>0</v>
      </c>
      <c r="H62" s="18">
        <f t="shared" si="98"/>
        <v>8</v>
      </c>
      <c r="J62" s="104">
        <f t="shared" si="84"/>
        <v>59</v>
      </c>
      <c r="K62" s="104">
        <f t="shared" si="85"/>
        <v>1.0297442586766543</v>
      </c>
      <c r="L62" s="105">
        <f t="shared" si="58"/>
        <v>104.78870251083322</v>
      </c>
      <c r="M62" s="104">
        <f t="shared" si="59"/>
        <v>21155024.114746511</v>
      </c>
      <c r="N62" s="109">
        <f t="shared" si="60"/>
        <v>605648.04051923833</v>
      </c>
      <c r="O62" s="104">
        <f t="shared" si="43"/>
        <v>557642.02446661401</v>
      </c>
      <c r="P62" s="104">
        <f t="shared" si="61"/>
        <v>311931.80086207512</v>
      </c>
      <c r="R62" s="105">
        <f t="shared" si="62"/>
        <v>516804.9844681148</v>
      </c>
      <c r="S62" s="106">
        <f t="shared" si="99"/>
        <v>129280</v>
      </c>
      <c r="T62" s="106">
        <f>R62*'Baseline Given'!K63/'Baseline Given'!L63</f>
        <v>4782101.0097696912</v>
      </c>
      <c r="U62" s="105">
        <f>S62/'Baseline Given'!M63</f>
        <v>21173.952660373725</v>
      </c>
      <c r="V62" s="105">
        <f t="shared" si="63"/>
        <v>4.8032749624300646</v>
      </c>
      <c r="X62" s="105">
        <f t="shared" si="64"/>
        <v>509263.78523767303</v>
      </c>
      <c r="Y62" s="106">
        <f t="shared" si="100"/>
        <v>129280</v>
      </c>
      <c r="Z62" s="106">
        <f>X62*'Baseline Given'!K63/'Baseline Given'!L63</f>
        <v>4712320.7685982846</v>
      </c>
      <c r="AA62" s="105">
        <f>Y62/'Baseline Given'!M63</f>
        <v>21173.952660373725</v>
      </c>
      <c r="AB62" s="105">
        <f t="shared" si="65"/>
        <v>4.7334947212586576</v>
      </c>
      <c r="AD62" s="105">
        <f t="shared" si="66"/>
        <v>485933.84806080896</v>
      </c>
      <c r="AE62" s="106">
        <f t="shared" si="101"/>
        <v>129280</v>
      </c>
      <c r="AF62" s="105">
        <f>AD62*'Baseline Given'!K63/'Baseline Given'!L63</f>
        <v>4496444.1430154899</v>
      </c>
      <c r="AG62" s="105">
        <f>AE62/'Baseline Given'!M63</f>
        <v>21173.952660373725</v>
      </c>
      <c r="AH62" s="105">
        <f t="shared" si="67"/>
        <v>4.5176180956758634</v>
      </c>
      <c r="AJ62" s="105">
        <f t="shared" si="68"/>
        <v>447839.05680500896</v>
      </c>
      <c r="AK62" s="106">
        <f t="shared" si="102"/>
        <v>129280</v>
      </c>
      <c r="AL62" s="105">
        <f>AJ62*'Baseline Given'!K63/'Baseline Given'!L63</f>
        <v>4143945.3374576923</v>
      </c>
      <c r="AM62" s="105">
        <f>AK62/'Baseline Given'!M63</f>
        <v>21173.952660373725</v>
      </c>
      <c r="AN62" s="105">
        <f t="shared" si="69"/>
        <v>4.1651192901180663</v>
      </c>
      <c r="AP62" s="105">
        <f t="shared" si="70"/>
        <v>396136.9024256859</v>
      </c>
      <c r="AQ62" s="106">
        <f t="shared" si="103"/>
        <v>129280</v>
      </c>
      <c r="AR62" s="105">
        <f>AP62*'Baseline Given'!K63/'Baseline Given'!L63</f>
        <v>3665534.8497587615</v>
      </c>
      <c r="AS62" s="105">
        <f>AQ62/'Baseline Given'!M63</f>
        <v>21173.952660373725</v>
      </c>
      <c r="AT62" s="105">
        <f t="shared" si="71"/>
        <v>3.6867088024191355</v>
      </c>
      <c r="AV62" s="105">
        <f t="shared" si="72"/>
        <v>332398.32872110326</v>
      </c>
      <c r="AW62" s="106">
        <f t="shared" si="104"/>
        <v>129280</v>
      </c>
      <c r="AX62" s="105">
        <f>AV62*'Baseline Given'!K63/'Baseline Given'!L63</f>
        <v>3075748.9405000438</v>
      </c>
      <c r="AY62" s="105">
        <f>AW62/'Baseline Given'!M63</f>
        <v>21173.952660373725</v>
      </c>
      <c r="AZ62" s="105">
        <f t="shared" si="73"/>
        <v>3.0969228931604178</v>
      </c>
      <c r="BB62" s="105">
        <f t="shared" si="74"/>
        <v>258560.00000000006</v>
      </c>
      <c r="BC62" s="106">
        <f t="shared" si="105"/>
        <v>129280</v>
      </c>
      <c r="BD62" s="105">
        <f>BB62*'Baseline Given'!K63/'Baseline Given'!L63</f>
        <v>2392507.9560882933</v>
      </c>
      <c r="BE62" s="105">
        <f>BC62/'Baseline Given'!M63</f>
        <v>21173.952660373725</v>
      </c>
      <c r="BF62" s="105">
        <f t="shared" si="75"/>
        <v>2.4136819087486674</v>
      </c>
      <c r="BH62" s="105">
        <f t="shared" si="76"/>
        <v>176865.45651656986</v>
      </c>
      <c r="BI62" s="107">
        <f t="shared" si="106"/>
        <v>129280</v>
      </c>
      <c r="BJ62" s="105">
        <f>BH62*'Baseline Given'!K63/'Baseline Given'!L63</f>
        <v>1636571.8280982417</v>
      </c>
      <c r="BK62" s="105">
        <f>BI62/'Baseline Given'!M63</f>
        <v>21173.952660373725</v>
      </c>
      <c r="BL62" s="105">
        <f t="shared" si="77"/>
        <v>1.6577457807586153</v>
      </c>
      <c r="BN62" s="105">
        <f t="shared" si="78"/>
        <v>89796.945635123062</v>
      </c>
      <c r="BO62" s="106">
        <f t="shared" si="107"/>
        <v>129280</v>
      </c>
      <c r="BP62" s="105">
        <f>BN62*'Baseline Given'!K63/'Baseline Given'!L63</f>
        <v>830909.29325672891</v>
      </c>
      <c r="BQ62" s="105">
        <f>BO62/'Baseline Given'!M63</f>
        <v>21173.952660373725</v>
      </c>
      <c r="BR62" s="105">
        <f t="shared" si="79"/>
        <v>0.85208324591710272</v>
      </c>
      <c r="BT62" s="105">
        <f t="shared" si="80"/>
        <v>3.1677438450117279E-11</v>
      </c>
      <c r="BU62" s="106">
        <f t="shared" si="108"/>
        <v>129280</v>
      </c>
      <c r="BV62" s="105">
        <f>BT62*'Baseline Given'!K63/'Baseline Given'!L63</f>
        <v>2.9311774257581528E-10</v>
      </c>
      <c r="BW62" s="105">
        <f>BU62/'Baseline Given'!M63</f>
        <v>21173.952660373725</v>
      </c>
      <c r="BX62" s="105">
        <f t="shared" si="81"/>
        <v>2.1173952660374019E-2</v>
      </c>
      <c r="BZ62" s="104">
        <v>150</v>
      </c>
      <c r="CA62" s="104">
        <v>-150</v>
      </c>
    </row>
    <row r="63" spans="1:79" ht="15" customHeight="1" x14ac:dyDescent="0.25">
      <c r="A63" s="18">
        <f>'Baseline Given'!E64</f>
        <v>61</v>
      </c>
      <c r="B63" s="18">
        <f t="shared" si="82"/>
        <v>7</v>
      </c>
      <c r="C63" s="18">
        <f t="shared" si="57"/>
        <v>3.5</v>
      </c>
      <c r="D63" s="18">
        <f t="shared" si="83"/>
        <v>61</v>
      </c>
      <c r="E63" s="10">
        <v>0</v>
      </c>
      <c r="F63" s="10">
        <v>0</v>
      </c>
      <c r="G63" s="10">
        <v>0</v>
      </c>
      <c r="H63" s="18">
        <f t="shared" si="98"/>
        <v>7</v>
      </c>
      <c r="J63" s="104">
        <f t="shared" si="84"/>
        <v>60</v>
      </c>
      <c r="K63" s="109">
        <f t="shared" si="85"/>
        <v>1.0471975511965976</v>
      </c>
      <c r="L63" s="105">
        <f t="shared" si="58"/>
        <v>105.87160561264761</v>
      </c>
      <c r="M63" s="104">
        <f t="shared" si="59"/>
        <v>20537340.000000007</v>
      </c>
      <c r="N63" s="104">
        <f t="shared" si="60"/>
        <v>581950.36944485269</v>
      </c>
      <c r="O63" s="104">
        <f t="shared" si="43"/>
        <v>541360.00000000012</v>
      </c>
      <c r="P63" s="109">
        <f t="shared" si="61"/>
        <v>290975.18472242641</v>
      </c>
      <c r="R63" s="105">
        <f t="shared" si="62"/>
        <v>395678.81623340037</v>
      </c>
      <c r="S63" s="106">
        <f t="shared" si="99"/>
        <v>113120</v>
      </c>
      <c r="T63" s="106">
        <f>R63*'Baseline Given'!K64/'Baseline Given'!L64</f>
        <v>3700017.1957934555</v>
      </c>
      <c r="U63" s="105">
        <f>S63/'Baseline Given'!M64</f>
        <v>18792.23320310182</v>
      </c>
      <c r="V63" s="105">
        <f t="shared" si="63"/>
        <v>3.7188094289965572</v>
      </c>
      <c r="X63" s="105">
        <f t="shared" si="64"/>
        <v>389905.08557259338</v>
      </c>
      <c r="Y63" s="106">
        <f t="shared" si="100"/>
        <v>113120</v>
      </c>
      <c r="Z63" s="106">
        <f>X63*'Baseline Given'!K64/'Baseline Given'!L64</f>
        <v>3646026.6816379935</v>
      </c>
      <c r="AA63" s="105">
        <f>Y63/'Baseline Given'!M64</f>
        <v>18792.23320310182</v>
      </c>
      <c r="AB63" s="105">
        <f t="shared" si="65"/>
        <v>3.6648189148410952</v>
      </c>
      <c r="AD63" s="105">
        <f t="shared" si="66"/>
        <v>372043.10242155689</v>
      </c>
      <c r="AE63" s="106">
        <f t="shared" si="101"/>
        <v>113120</v>
      </c>
      <c r="AF63" s="105">
        <f>AD63*'Baseline Given'!K64/'Baseline Given'!L64</f>
        <v>3478998.1673522461</v>
      </c>
      <c r="AG63" s="105">
        <f>AE63/'Baseline Given'!M64</f>
        <v>18792.23320310182</v>
      </c>
      <c r="AH63" s="105">
        <f t="shared" si="67"/>
        <v>3.4977904005553482</v>
      </c>
      <c r="AJ63" s="105">
        <f t="shared" si="68"/>
        <v>342876.77786633495</v>
      </c>
      <c r="AK63" s="106">
        <f t="shared" si="102"/>
        <v>113120</v>
      </c>
      <c r="AL63" s="105">
        <f>AJ63*'Baseline Given'!K64/'Baseline Given'!L64</f>
        <v>3206262.0542095168</v>
      </c>
      <c r="AM63" s="105">
        <f>AK63/'Baseline Given'!M64</f>
        <v>18792.23320310182</v>
      </c>
      <c r="AN63" s="105">
        <f t="shared" si="69"/>
        <v>3.2250542874126187</v>
      </c>
      <c r="AP63" s="105">
        <f t="shared" si="70"/>
        <v>303292.31591966579</v>
      </c>
      <c r="AQ63" s="106">
        <f t="shared" si="103"/>
        <v>113120</v>
      </c>
      <c r="AR63" s="105">
        <f>AP63*'Baseline Given'!K64/'Baseline Given'!L64</f>
        <v>2836105.2909965147</v>
      </c>
      <c r="AS63" s="105">
        <f>AQ63/'Baseline Given'!M64</f>
        <v>18792.23320310182</v>
      </c>
      <c r="AT63" s="105">
        <f t="shared" si="71"/>
        <v>2.8548975241996168</v>
      </c>
      <c r="AV63" s="105">
        <f t="shared" si="72"/>
        <v>254492.47042709467</v>
      </c>
      <c r="AW63" s="106">
        <f>16160*H63</f>
        <v>113120</v>
      </c>
      <c r="AX63" s="105">
        <f>AV63*'Baseline Given'!K64/'Baseline Given'!L64</f>
        <v>2379774.9036551081</v>
      </c>
      <c r="AY63" s="105">
        <f>AW63/'Baseline Given'!M64</f>
        <v>18792.23320310182</v>
      </c>
      <c r="AZ63" s="105">
        <f t="shared" si="73"/>
        <v>2.39856713685821</v>
      </c>
      <c r="BB63" s="105">
        <f t="shared" si="74"/>
        <v>197960.00000000006</v>
      </c>
      <c r="BC63" s="106">
        <f t="shared" si="105"/>
        <v>113120</v>
      </c>
      <c r="BD63" s="105">
        <f>BB63*'Baseline Given'!K64/'Baseline Given'!L64</f>
        <v>1851136.2600903471</v>
      </c>
      <c r="BE63" s="105">
        <f>BC63/'Baseline Given'!M64</f>
        <v>18792.23320310182</v>
      </c>
      <c r="BF63" s="105">
        <f t="shared" si="75"/>
        <v>1.869928493293449</v>
      </c>
      <c r="BH63" s="105">
        <f t="shared" si="76"/>
        <v>135412.6151454988</v>
      </c>
      <c r="BI63" s="107">
        <f t="shared" si="106"/>
        <v>113120</v>
      </c>
      <c r="BJ63" s="105">
        <f>BH63*'Baseline Given'!K64/'Baseline Given'!L64</f>
        <v>1266251.7779828859</v>
      </c>
      <c r="BK63" s="105">
        <f>BI63/'Baseline Given'!M64</f>
        <v>18792.23320310182</v>
      </c>
      <c r="BL63" s="105">
        <f t="shared" si="77"/>
        <v>1.2850440111859878</v>
      </c>
      <c r="BN63" s="105">
        <f t="shared" si="78"/>
        <v>68750.786501891096</v>
      </c>
      <c r="BO63" s="106">
        <f t="shared" si="107"/>
        <v>113120</v>
      </c>
      <c r="BP63" s="105">
        <f>BN63*'Baseline Given'!K64/'Baseline Given'!L64</f>
        <v>642892.87635573139</v>
      </c>
      <c r="BQ63" s="105">
        <f>BO63/'Baseline Given'!M64</f>
        <v>18792.23320310182</v>
      </c>
      <c r="BR63" s="105">
        <f t="shared" si="79"/>
        <v>0.6616851095588332</v>
      </c>
      <c r="BT63" s="105">
        <f t="shared" si="80"/>
        <v>2.4253038813371042E-11</v>
      </c>
      <c r="BU63" s="106">
        <f t="shared" si="108"/>
        <v>113120</v>
      </c>
      <c r="BV63" s="105">
        <f>BT63*'Baseline Given'!K64/'Baseline Given'!L64</f>
        <v>2.2679167288750096E-10</v>
      </c>
      <c r="BW63" s="105">
        <f>BU63/'Baseline Given'!M64</f>
        <v>18792.23320310182</v>
      </c>
      <c r="BX63" s="105">
        <f t="shared" si="81"/>
        <v>1.8792233203102044E-2</v>
      </c>
      <c r="BZ63" s="104">
        <v>150</v>
      </c>
      <c r="CA63" s="104">
        <v>-150</v>
      </c>
    </row>
    <row r="64" spans="1:79" ht="15" customHeight="1" x14ac:dyDescent="0.25">
      <c r="A64" s="18">
        <f>'Baseline Given'!E65</f>
        <v>62</v>
      </c>
      <c r="B64" s="18">
        <f t="shared" si="82"/>
        <v>6</v>
      </c>
      <c r="C64" s="18">
        <f t="shared" si="57"/>
        <v>3</v>
      </c>
      <c r="D64" s="18">
        <f t="shared" si="83"/>
        <v>62</v>
      </c>
      <c r="E64" s="10">
        <v>0</v>
      </c>
      <c r="F64" s="10">
        <v>0</v>
      </c>
      <c r="G64" s="10">
        <v>0</v>
      </c>
      <c r="H64" s="18">
        <f t="shared" si="98"/>
        <v>6</v>
      </c>
      <c r="J64" s="104">
        <f t="shared" si="84"/>
        <v>61</v>
      </c>
      <c r="K64" s="104">
        <f t="shared" si="85"/>
        <v>1.064650843716541</v>
      </c>
      <c r="L64" s="105">
        <f t="shared" si="58"/>
        <v>106.92225919779113</v>
      </c>
      <c r="M64" s="104">
        <f t="shared" si="59"/>
        <v>19913400.012539819</v>
      </c>
      <c r="N64" s="104">
        <f t="shared" si="60"/>
        <v>558725.56833192694</v>
      </c>
      <c r="O64" s="104">
        <f t="shared" si="43"/>
        <v>524913.07203311403</v>
      </c>
      <c r="P64" s="104">
        <f t="shared" si="61"/>
        <v>270875.53060492041</v>
      </c>
      <c r="R64" s="105">
        <f t="shared" si="62"/>
        <v>290702.80376331456</v>
      </c>
      <c r="S64" s="106">
        <f t="shared" si="99"/>
        <v>96960</v>
      </c>
      <c r="T64" s="106">
        <f>R64*'Baseline Given'!K65/'Baseline Given'!L65</f>
        <v>2747436.2986651878</v>
      </c>
      <c r="U64" s="105">
        <f>S64/'Baseline Given'!M65</f>
        <v>16339.701756613505</v>
      </c>
      <c r="V64" s="105">
        <f t="shared" si="63"/>
        <v>2.7637760004218013</v>
      </c>
      <c r="X64" s="105">
        <f t="shared" si="64"/>
        <v>286460.87919619109</v>
      </c>
      <c r="Y64" s="106">
        <f t="shared" si="100"/>
        <v>96960</v>
      </c>
      <c r="Z64" s="106">
        <f>X64*'Baseline Given'!K65/'Baseline Given'!L65</f>
        <v>2707345.8097499055</v>
      </c>
      <c r="AA64" s="105">
        <f>Y64/'Baseline Given'!M65</f>
        <v>16339.701756613505</v>
      </c>
      <c r="AB64" s="105">
        <f t="shared" si="65"/>
        <v>2.7236855115065186</v>
      </c>
      <c r="AD64" s="105">
        <f t="shared" si="66"/>
        <v>273337.78953420505</v>
      </c>
      <c r="AE64" s="106">
        <f t="shared" si="101"/>
        <v>96960</v>
      </c>
      <c r="AF64" s="105">
        <f>AD64*'Baseline Given'!K65/'Baseline Given'!L65</f>
        <v>2583319.3042562278</v>
      </c>
      <c r="AG64" s="105">
        <f>AE64/'Baseline Given'!M65</f>
        <v>16339.701756613505</v>
      </c>
      <c r="AH64" s="105">
        <f t="shared" si="67"/>
        <v>2.5996590060128413</v>
      </c>
      <c r="AJ64" s="105">
        <f t="shared" si="68"/>
        <v>251909.46945281752</v>
      </c>
      <c r="AK64" s="106">
        <f t="shared" si="102"/>
        <v>96960</v>
      </c>
      <c r="AL64" s="105">
        <f>AJ64*'Baseline Given'!K65/'Baseline Given'!L65</f>
        <v>2380799.9489253666</v>
      </c>
      <c r="AM64" s="105">
        <f>AK64/'Baseline Given'!M65</f>
        <v>16339.701756613505</v>
      </c>
      <c r="AN64" s="105">
        <f t="shared" si="69"/>
        <v>2.39713965068198</v>
      </c>
      <c r="AP64" s="105">
        <f t="shared" si="70"/>
        <v>222827.00761444832</v>
      </c>
      <c r="AQ64" s="106">
        <f t="shared" si="103"/>
        <v>96960</v>
      </c>
      <c r="AR64" s="105">
        <f>AP64*'Baseline Given'!K65/'Baseline Given'!L65</f>
        <v>2105941.1918893121</v>
      </c>
      <c r="AS64" s="105">
        <f>AQ64/'Baseline Given'!M65</f>
        <v>16339.701756613505</v>
      </c>
      <c r="AT64" s="105">
        <f t="shared" si="71"/>
        <v>2.1222808936459256</v>
      </c>
      <c r="AV64" s="105">
        <f t="shared" si="72"/>
        <v>186974.05990562058</v>
      </c>
      <c r="AW64" s="106">
        <f t="shared" ref="AW64:AW69" si="109">16160*H64</f>
        <v>96960</v>
      </c>
      <c r="AX64" s="105">
        <f>AV64*'Baseline Given'!K65/'Baseline Given'!L65</f>
        <v>1767094.4773953636</v>
      </c>
      <c r="AY64" s="105">
        <f>AW64/'Baseline Given'!M65</f>
        <v>16339.701756613505</v>
      </c>
      <c r="AZ64" s="105">
        <f t="shared" si="73"/>
        <v>1.7834341791519772</v>
      </c>
      <c r="BB64" s="105">
        <f t="shared" si="74"/>
        <v>145440.00000000003</v>
      </c>
      <c r="BC64" s="106">
        <f t="shared" si="105"/>
        <v>96960</v>
      </c>
      <c r="BD64" s="105">
        <f>BB64*'Baseline Given'!K65/'Baseline Given'!L65</f>
        <v>1374555.491398708</v>
      </c>
      <c r="BE64" s="105">
        <f>BC64/'Baseline Given'!M65</f>
        <v>16339.701756613505</v>
      </c>
      <c r="BF64" s="105">
        <f t="shared" si="75"/>
        <v>1.3908951931553215</v>
      </c>
      <c r="BH64" s="105">
        <f t="shared" si="76"/>
        <v>99486.819290570551</v>
      </c>
      <c r="BI64" s="107">
        <f t="shared" si="106"/>
        <v>96960</v>
      </c>
      <c r="BJ64" s="105">
        <f>BH64*'Baseline Given'!K65/'Baseline Given'!L65</f>
        <v>940251.33235454222</v>
      </c>
      <c r="BK64" s="105">
        <f>BI64/'Baseline Given'!M65</f>
        <v>16339.701756613505</v>
      </c>
      <c r="BL64" s="105">
        <f t="shared" si="77"/>
        <v>0.95659103411115576</v>
      </c>
      <c r="BN64" s="105">
        <f t="shared" si="78"/>
        <v>50510.781919756722</v>
      </c>
      <c r="BO64" s="106">
        <f t="shared" si="107"/>
        <v>96960</v>
      </c>
      <c r="BP64" s="105">
        <f>BN64*'Baseline Given'!K65/'Baseline Given'!L65</f>
        <v>477378.11236691527</v>
      </c>
      <c r="BQ64" s="105">
        <f>BO64/'Baseline Given'!M65</f>
        <v>16339.701756613505</v>
      </c>
      <c r="BR64" s="105">
        <f t="shared" si="79"/>
        <v>0.49371781412352878</v>
      </c>
      <c r="BT64" s="105">
        <f t="shared" si="80"/>
        <v>1.7818559128190969E-11</v>
      </c>
      <c r="BU64" s="106">
        <f t="shared" si="108"/>
        <v>96960</v>
      </c>
      <c r="BV64" s="105">
        <f>BT64*'Baseline Given'!K65/'Baseline Given'!L65</f>
        <v>1.6840345364732855E-10</v>
      </c>
      <c r="BW64" s="105">
        <f>BU64/'Baseline Given'!M65</f>
        <v>16339.701756613505</v>
      </c>
      <c r="BX64" s="105">
        <f t="shared" si="81"/>
        <v>1.6339701756613676E-2</v>
      </c>
      <c r="BZ64" s="104">
        <v>150</v>
      </c>
      <c r="CA64" s="104">
        <v>-150</v>
      </c>
    </row>
    <row r="65" spans="1:79" ht="15" customHeight="1" x14ac:dyDescent="0.25">
      <c r="A65" s="18">
        <f>'Baseline Given'!E66</f>
        <v>63</v>
      </c>
      <c r="B65" s="18">
        <f t="shared" si="82"/>
        <v>5</v>
      </c>
      <c r="C65" s="18">
        <f t="shared" si="57"/>
        <v>2.5</v>
      </c>
      <c r="D65" s="18">
        <f t="shared" si="83"/>
        <v>63</v>
      </c>
      <c r="E65" s="10">
        <v>0</v>
      </c>
      <c r="F65" s="10">
        <v>0</v>
      </c>
      <c r="G65" s="10">
        <v>0</v>
      </c>
      <c r="H65" s="18">
        <f t="shared" si="98"/>
        <v>5</v>
      </c>
      <c r="J65" s="104">
        <f t="shared" si="84"/>
        <v>62</v>
      </c>
      <c r="K65" s="104">
        <f t="shared" si="85"/>
        <v>1.0821041362364843</v>
      </c>
      <c r="L65" s="105">
        <f t="shared" si="58"/>
        <v>107.94034322700381</v>
      </c>
      <c r="M65" s="104">
        <f t="shared" si="59"/>
        <v>19283394.210530378</v>
      </c>
      <c r="N65" s="104">
        <f t="shared" si="60"/>
        <v>535945.88364361017</v>
      </c>
      <c r="O65" s="104">
        <f t="shared" si="43"/>
        <v>508306.2504595397</v>
      </c>
      <c r="P65" s="104">
        <f t="shared" si="61"/>
        <v>251611.35156283088</v>
      </c>
      <c r="R65" s="105">
        <f t="shared" si="62"/>
        <v>201876.94705785735</v>
      </c>
      <c r="S65" s="106">
        <f t="shared" si="99"/>
        <v>80800</v>
      </c>
      <c r="T65" s="106">
        <f>R65*'Baseline Given'!K66/'Baseline Given'!L66</f>
        <v>1928555.8919201752</v>
      </c>
      <c r="U65" s="105">
        <f>S65/'Baseline Given'!M66</f>
        <v>13814.022395816819</v>
      </c>
      <c r="V65" s="105">
        <f t="shared" si="63"/>
        <v>1.942369914315992</v>
      </c>
      <c r="X65" s="105">
        <f t="shared" si="64"/>
        <v>198931.16610846602</v>
      </c>
      <c r="Y65" s="106">
        <f t="shared" si="100"/>
        <v>80800</v>
      </c>
      <c r="Z65" s="106">
        <f>X65*'Baseline Given'!K66/'Baseline Given'!L66</f>
        <v>1900414.4756314361</v>
      </c>
      <c r="AA65" s="105">
        <f>Y65/'Baseline Given'!M66</f>
        <v>13814.022395816819</v>
      </c>
      <c r="AB65" s="105">
        <f t="shared" si="65"/>
        <v>1.914228498027253</v>
      </c>
      <c r="AD65" s="105">
        <f t="shared" si="66"/>
        <v>189817.90939875352</v>
      </c>
      <c r="AE65" s="106">
        <f t="shared" si="101"/>
        <v>80800</v>
      </c>
      <c r="AF65" s="105">
        <f>AD65*'Baseline Given'!K66/'Baseline Given'!L66</f>
        <v>1813354.386907883</v>
      </c>
      <c r="AG65" s="105">
        <f>AE65/'Baseline Given'!M66</f>
        <v>13814.022395816819</v>
      </c>
      <c r="AH65" s="105">
        <f t="shared" si="67"/>
        <v>1.8271684093036999</v>
      </c>
      <c r="AJ65" s="105">
        <f t="shared" si="68"/>
        <v>174937.13156445662</v>
      </c>
      <c r="AK65" s="106">
        <f t="shared" si="102"/>
        <v>80800</v>
      </c>
      <c r="AL65" s="105">
        <f>AJ65*'Baseline Given'!K66/'Baseline Given'!L66</f>
        <v>1671196.4427397281</v>
      </c>
      <c r="AM65" s="105">
        <f>AK65/'Baseline Given'!M66</f>
        <v>13814.022395816819</v>
      </c>
      <c r="AN65" s="105">
        <f t="shared" si="69"/>
        <v>1.6850104651355451</v>
      </c>
      <c r="AP65" s="105">
        <f t="shared" si="70"/>
        <v>154740.97751003355</v>
      </c>
      <c r="AQ65" s="106">
        <f t="shared" si="103"/>
        <v>80800</v>
      </c>
      <c r="AR65" s="105">
        <f>AP65*'Baseline Given'!K66/'Baseline Given'!L66</f>
        <v>1478260.0403251308</v>
      </c>
      <c r="AS65" s="105">
        <f>AQ65/'Baseline Given'!M66</f>
        <v>13814.022395816819</v>
      </c>
      <c r="AT65" s="105">
        <f t="shared" si="71"/>
        <v>1.4920740627209477</v>
      </c>
      <c r="AV65" s="105">
        <f t="shared" si="72"/>
        <v>129843.09715668095</v>
      </c>
      <c r="AW65" s="106">
        <f t="shared" si="109"/>
        <v>80800</v>
      </c>
      <c r="AX65" s="105">
        <f>AV65*'Baseline Given'!K66/'Baseline Given'!L66</f>
        <v>1240407.4546209285</v>
      </c>
      <c r="AY65" s="105">
        <f>AW65/'Baseline Given'!M66</f>
        <v>13814.022395816819</v>
      </c>
      <c r="AZ65" s="105">
        <f t="shared" si="73"/>
        <v>1.2542214770167455</v>
      </c>
      <c r="BB65" s="105">
        <f t="shared" si="74"/>
        <v>101000.00000000003</v>
      </c>
      <c r="BC65" s="106">
        <f t="shared" si="105"/>
        <v>80800</v>
      </c>
      <c r="BD65" s="105">
        <f>BB65*'Baseline Given'!K66/'Baseline Given'!L66</f>
        <v>964865.7160845272</v>
      </c>
      <c r="BE65" s="105">
        <f>BC65/'Baseline Given'!M66</f>
        <v>13814.022395816819</v>
      </c>
      <c r="BF65" s="105">
        <f t="shared" si="75"/>
        <v>0.97867973848034406</v>
      </c>
      <c r="BH65" s="105">
        <f t="shared" si="76"/>
        <v>69088.068951785099</v>
      </c>
      <c r="BI65" s="107">
        <f t="shared" si="106"/>
        <v>80800</v>
      </c>
      <c r="BJ65" s="105">
        <f>BH65*'Baseline Given'!K66/'Baseline Given'!L66</f>
        <v>660007.02101050795</v>
      </c>
      <c r="BK65" s="105">
        <f>BI65/'Baseline Given'!M66</f>
        <v>13814.022395816819</v>
      </c>
      <c r="BL65" s="105">
        <f t="shared" si="77"/>
        <v>0.67382104340632476</v>
      </c>
      <c r="BN65" s="105">
        <f t="shared" si="78"/>
        <v>35076.931888719941</v>
      </c>
      <c r="BO65" s="106">
        <f t="shared" si="107"/>
        <v>80800</v>
      </c>
      <c r="BP65" s="105">
        <f>BN65*'Baseline Given'!K66/'Baseline Given'!L66</f>
        <v>335094.34658275195</v>
      </c>
      <c r="BQ65" s="105">
        <f>BO65/'Baseline Given'!M66</f>
        <v>13814.022395816819</v>
      </c>
      <c r="BR65" s="105">
        <f t="shared" si="79"/>
        <v>0.34890836897856875</v>
      </c>
      <c r="BT65" s="105">
        <f t="shared" si="80"/>
        <v>1.2373999394577062E-11</v>
      </c>
      <c r="BU65" s="106">
        <f t="shared" si="108"/>
        <v>80800</v>
      </c>
      <c r="BV65" s="105">
        <f>BT65*'Baseline Given'!K66/'Baseline Given'!L66</f>
        <v>1.1821037412552576E-10</v>
      </c>
      <c r="BW65" s="105">
        <f>BU65/'Baseline Given'!M66</f>
        <v>13814.022395816819</v>
      </c>
      <c r="BX65" s="105">
        <f t="shared" si="81"/>
        <v>1.3814022395816937E-2</v>
      </c>
      <c r="BZ65" s="104">
        <v>150</v>
      </c>
      <c r="CA65" s="104">
        <v>-150</v>
      </c>
    </row>
    <row r="66" spans="1:79" ht="15" customHeight="1" x14ac:dyDescent="0.25">
      <c r="A66" s="18">
        <f>'Baseline Given'!E67</f>
        <v>64</v>
      </c>
      <c r="B66" s="18">
        <f t="shared" si="82"/>
        <v>4</v>
      </c>
      <c r="C66" s="18">
        <f t="shared" si="57"/>
        <v>2</v>
      </c>
      <c r="D66" s="18">
        <f t="shared" si="83"/>
        <v>64</v>
      </c>
      <c r="E66" s="10">
        <v>0</v>
      </c>
      <c r="F66" s="10">
        <v>0</v>
      </c>
      <c r="G66" s="10">
        <v>0</v>
      </c>
      <c r="H66" s="18">
        <f t="shared" si="98"/>
        <v>4</v>
      </c>
      <c r="J66" s="104">
        <f t="shared" si="84"/>
        <v>63</v>
      </c>
      <c r="K66" s="104">
        <f t="shared" si="85"/>
        <v>1.0995574287564276</v>
      </c>
      <c r="L66" s="105">
        <f t="shared" si="58"/>
        <v>108.92554758202797</v>
      </c>
      <c r="M66" s="104">
        <f t="shared" si="59"/>
        <v>18647514.499841969</v>
      </c>
      <c r="N66" s="104">
        <f t="shared" si="60"/>
        <v>513585.14821692824</v>
      </c>
      <c r="O66" s="104">
        <f t="shared" si="43"/>
        <v>491544.59387800214</v>
      </c>
      <c r="P66" s="104">
        <f t="shared" si="61"/>
        <v>233162.77809781246</v>
      </c>
      <c r="R66" s="105">
        <f t="shared" si="62"/>
        <v>129201.2461170287</v>
      </c>
      <c r="S66" s="106">
        <f t="shared" si="99"/>
        <v>64640</v>
      </c>
      <c r="T66" s="106">
        <f>R66*'Baseline Given'!K67/'Baseline Given'!L67</f>
        <v>1247756.938228742</v>
      </c>
      <c r="U66" s="105">
        <f>S66/'Baseline Given'!M67</f>
        <v>11212.767674311101</v>
      </c>
      <c r="V66" s="105">
        <f t="shared" si="63"/>
        <v>1.2589697059030531</v>
      </c>
      <c r="X66" s="105">
        <f t="shared" si="64"/>
        <v>127315.94630941826</v>
      </c>
      <c r="Y66" s="106">
        <f t="shared" si="100"/>
        <v>64640</v>
      </c>
      <c r="Z66" s="106">
        <f>X66*'Baseline Given'!K67/'Baseline Given'!L67</f>
        <v>1229549.7151075618</v>
      </c>
      <c r="AA66" s="105">
        <f>Y66/'Baseline Given'!M67</f>
        <v>11212.767674311101</v>
      </c>
      <c r="AB66" s="105">
        <f t="shared" si="65"/>
        <v>1.2407624827818728</v>
      </c>
      <c r="AD66" s="105">
        <f t="shared" si="66"/>
        <v>121483.46201520224</v>
      </c>
      <c r="AE66" s="106">
        <f t="shared" si="101"/>
        <v>64640</v>
      </c>
      <c r="AF66" s="105">
        <f>AD66*'Baseline Given'!K67/'Baseline Given'!L67</f>
        <v>1173222.6829470026</v>
      </c>
      <c r="AG66" s="105">
        <f>AE66/'Baseline Given'!M67</f>
        <v>11212.767674311101</v>
      </c>
      <c r="AH66" s="105">
        <f t="shared" si="67"/>
        <v>1.1844354506213137</v>
      </c>
      <c r="AJ66" s="105">
        <f t="shared" si="68"/>
        <v>111959.76420125224</v>
      </c>
      <c r="AK66" s="106">
        <f t="shared" si="102"/>
        <v>64640</v>
      </c>
      <c r="AL66" s="105">
        <f>AJ66*'Baseline Given'!K67/'Baseline Given'!L67</f>
        <v>1081247.873244422</v>
      </c>
      <c r="AM66" s="105">
        <f>AK66/'Baseline Given'!M67</f>
        <v>11212.767674311101</v>
      </c>
      <c r="AN66" s="105">
        <f t="shared" si="69"/>
        <v>1.0924606409187332</v>
      </c>
      <c r="AP66" s="105">
        <f t="shared" si="70"/>
        <v>99034.225606421474</v>
      </c>
      <c r="AQ66" s="106">
        <f t="shared" si="103"/>
        <v>64640</v>
      </c>
      <c r="AR66" s="105">
        <f>AP66*'Baseline Given'!K67/'Baseline Given'!L67</f>
        <v>956419.89405113296</v>
      </c>
      <c r="AS66" s="105">
        <f>AQ66/'Baseline Given'!M67</f>
        <v>11212.767674311101</v>
      </c>
      <c r="AT66" s="105">
        <f t="shared" si="71"/>
        <v>0.96763266172544404</v>
      </c>
      <c r="AV66" s="105">
        <f t="shared" si="72"/>
        <v>83099.582180275815</v>
      </c>
      <c r="AW66" s="106">
        <f t="shared" si="109"/>
        <v>64640</v>
      </c>
      <c r="AX66" s="105">
        <f>AV66*'Baseline Given'!K67/'Baseline Given'!L67</f>
        <v>802531.58034891903</v>
      </c>
      <c r="AY66" s="105">
        <f>AW66/'Baseline Given'!M67</f>
        <v>11212.767674311101</v>
      </c>
      <c r="AZ66" s="105">
        <f t="shared" si="73"/>
        <v>0.81374434802323015</v>
      </c>
      <c r="BB66" s="105">
        <f t="shared" si="74"/>
        <v>64640.000000000015</v>
      </c>
      <c r="BC66" s="106">
        <f t="shared" si="105"/>
        <v>64640</v>
      </c>
      <c r="BD66" s="105">
        <f>BB66*'Baseline Given'!K67/'Baseline Given'!L67</f>
        <v>624258.75067837746</v>
      </c>
      <c r="BE66" s="105">
        <f>BC66/'Baseline Given'!M67</f>
        <v>11212.767674311101</v>
      </c>
      <c r="BF66" s="105">
        <f t="shared" si="75"/>
        <v>0.63547151835268856</v>
      </c>
      <c r="BH66" s="105">
        <f t="shared" si="76"/>
        <v>44216.364129142465</v>
      </c>
      <c r="BI66" s="107">
        <f t="shared" si="106"/>
        <v>64640</v>
      </c>
      <c r="BJ66" s="105">
        <f>BH66*'Baseline Given'!K67/'Baseline Given'!L67</f>
        <v>427018.13475864317</v>
      </c>
      <c r="BK66" s="105">
        <f>BI66/'Baseline Given'!M67</f>
        <v>11212.767674311101</v>
      </c>
      <c r="BL66" s="105">
        <f t="shared" si="77"/>
        <v>0.43823090243295426</v>
      </c>
      <c r="BN66" s="105">
        <f t="shared" si="78"/>
        <v>22449.236408780765</v>
      </c>
      <c r="BO66" s="106">
        <f t="shared" si="107"/>
        <v>64640</v>
      </c>
      <c r="BP66" s="105">
        <f>BN66*'Baseline Given'!K67/'Baseline Given'!L67</f>
        <v>216802.78889586977</v>
      </c>
      <c r="BQ66" s="105">
        <f>BO66/'Baseline Given'!M67</f>
        <v>11212.767674311101</v>
      </c>
      <c r="BR66" s="105">
        <f t="shared" si="79"/>
        <v>0.22801555657018086</v>
      </c>
      <c r="BT66" s="105">
        <f t="shared" si="80"/>
        <v>7.9193596125293197E-12</v>
      </c>
      <c r="BU66" s="106">
        <f t="shared" si="108"/>
        <v>64640</v>
      </c>
      <c r="BV66" s="105">
        <f>BT66*'Baseline Given'!K67/'Baseline Given'!L67</f>
        <v>7.6480964385679931E-11</v>
      </c>
      <c r="BW66" s="105">
        <f>BU66/'Baseline Given'!M67</f>
        <v>11212.767674311101</v>
      </c>
      <c r="BX66" s="105">
        <f t="shared" si="81"/>
        <v>1.1212767674311177E-2</v>
      </c>
      <c r="BZ66" s="104">
        <v>150</v>
      </c>
      <c r="CA66" s="104">
        <v>-150</v>
      </c>
    </row>
    <row r="67" spans="1:79" ht="15" customHeight="1" x14ac:dyDescent="0.25">
      <c r="A67" s="18">
        <f>'Baseline Given'!E68</f>
        <v>65</v>
      </c>
      <c r="B67" s="18">
        <f t="shared" si="82"/>
        <v>3</v>
      </c>
      <c r="C67" s="18">
        <f t="shared" si="57"/>
        <v>1.5</v>
      </c>
      <c r="D67" s="18">
        <f t="shared" si="83"/>
        <v>65</v>
      </c>
      <c r="E67" s="10">
        <v>0</v>
      </c>
      <c r="F67" s="10">
        <v>0</v>
      </c>
      <c r="G67" s="10">
        <v>0</v>
      </c>
      <c r="H67" s="18">
        <f t="shared" si="98"/>
        <v>3</v>
      </c>
      <c r="J67" s="104">
        <f t="shared" si="84"/>
        <v>64</v>
      </c>
      <c r="K67" s="104">
        <f t="shared" si="85"/>
        <v>1.1170107212763709</v>
      </c>
      <c r="L67" s="105">
        <f t="shared" ref="L67:L93" si="110">27.75*SIN(K67)+40.75*SIN(K67)+53.75*SIN(K67)</f>
        <v>109.87757216007317</v>
      </c>
      <c r="M67" s="104">
        <f t="shared" ref="M67:M92" si="111">27.75*553480*COS(K67)+40.75*210080*COS(K67)+53.75*319160*COS(K67)</f>
        <v>18005954.575594388</v>
      </c>
      <c r="N67" s="104">
        <f t="shared" ref="N67:N93" si="112">M67*3/L67</f>
        <v>491618.65032918827</v>
      </c>
      <c r="O67" s="104">
        <f t="shared" si="43"/>
        <v>474633.20805146993</v>
      </c>
      <c r="P67" s="104">
        <f t="shared" ref="P67:P93" si="113">N67*COS(K67)</f>
        <v>215511.43152770473</v>
      </c>
      <c r="R67" s="105">
        <f t="shared" si="62"/>
        <v>72675.700940828639</v>
      </c>
      <c r="S67" s="106">
        <f t="shared" si="99"/>
        <v>48480</v>
      </c>
      <c r="T67" s="106">
        <f>R67*'Baseline Given'!K68/'Baseline Given'!L68</f>
        <v>709613.91517671396</v>
      </c>
      <c r="U67" s="105">
        <f>S67/'Baseline Given'!M68</f>
        <v>8533.4143999908629</v>
      </c>
      <c r="V67" s="105">
        <f>(T67+U67)/1000000</f>
        <v>0.7181473295767048</v>
      </c>
      <c r="X67" s="105">
        <f t="shared" si="64"/>
        <v>71615.219799047773</v>
      </c>
      <c r="Y67" s="106">
        <f t="shared" si="100"/>
        <v>48480</v>
      </c>
      <c r="Z67" s="106">
        <f>X67*'Baseline Given'!K68/'Baseline Given'!L68</f>
        <v>699259.25515626371</v>
      </c>
      <c r="AA67" s="105">
        <f>Y67/'Baseline Given'!M68</f>
        <v>8533.4143999908629</v>
      </c>
      <c r="AB67" s="105">
        <f>(Z67+AA67)/1000000</f>
        <v>0.70779266955625453</v>
      </c>
      <c r="AD67" s="105">
        <f t="shared" si="66"/>
        <v>68334.447383551262</v>
      </c>
      <c r="AE67" s="106">
        <f t="shared" si="101"/>
        <v>48480</v>
      </c>
      <c r="AF67" s="105">
        <f>AD67*'Baseline Given'!K68/'Baseline Given'!L68</f>
        <v>667225.41539378604</v>
      </c>
      <c r="AG67" s="105">
        <f>AE67/'Baseline Given'!M68</f>
        <v>8533.4143999908629</v>
      </c>
      <c r="AH67" s="105">
        <f>(AF67+AG67)/1000000</f>
        <v>0.67575882979377688</v>
      </c>
      <c r="AJ67" s="105">
        <f t="shared" si="68"/>
        <v>62977.367363204379</v>
      </c>
      <c r="AK67" s="106">
        <f t="shared" si="102"/>
        <v>48480</v>
      </c>
      <c r="AL67" s="105">
        <f>AJ67*'Baseline Given'!K68/'Baseline Given'!L68</f>
        <v>614918.26901691966</v>
      </c>
      <c r="AM67" s="105">
        <f>AK67/'Baseline Given'!M68</f>
        <v>8533.4143999908629</v>
      </c>
      <c r="AN67" s="105">
        <f>(AL67+AM67)/1000000</f>
        <v>0.62345168341691048</v>
      </c>
      <c r="AP67" s="105">
        <f t="shared" si="70"/>
        <v>55706.751903612079</v>
      </c>
      <c r="AQ67" s="106">
        <f t="shared" si="103"/>
        <v>48480</v>
      </c>
      <c r="AR67" s="105">
        <f>AP67*'Baseline Given'!K68/'Baseline Given'!L68</f>
        <v>543927.14219963201</v>
      </c>
      <c r="AS67" s="105">
        <f>AQ67/'Baseline Given'!M68</f>
        <v>8533.4143999908629</v>
      </c>
      <c r="AT67" s="105">
        <f>(AR67+AS67)/1000000</f>
        <v>0.55246055659962279</v>
      </c>
      <c r="AV67" s="105">
        <f t="shared" si="72"/>
        <v>46743.514976405146</v>
      </c>
      <c r="AW67" s="106">
        <f t="shared" si="109"/>
        <v>48480</v>
      </c>
      <c r="AX67" s="105">
        <f>AV67*'Baseline Given'!K68/'Baseline Given'!L68</f>
        <v>456409.06440702319</v>
      </c>
      <c r="AY67" s="105">
        <f>AW67/'Baseline Given'!M68</f>
        <v>8533.4143999908629</v>
      </c>
      <c r="AZ67" s="105">
        <f>(AX67+AY67)/1000000</f>
        <v>0.46494247880701406</v>
      </c>
      <c r="BB67" s="105">
        <f t="shared" si="74"/>
        <v>36360.000000000007</v>
      </c>
      <c r="BC67" s="106">
        <f t="shared" si="105"/>
        <v>48480</v>
      </c>
      <c r="BD67" s="105">
        <f>BB67*'Baseline Given'!K68/'Baseline Given'!L68</f>
        <v>355023.22814653727</v>
      </c>
      <c r="BE67" s="105">
        <f>BC67/'Baseline Given'!M68</f>
        <v>8533.4143999908629</v>
      </c>
      <c r="BF67" s="105">
        <f>(BD67+BE67)/1000000</f>
        <v>0.36355664254652814</v>
      </c>
      <c r="BH67" s="105">
        <f t="shared" si="76"/>
        <v>24871.704822642638</v>
      </c>
      <c r="BI67" s="107">
        <f t="shared" si="106"/>
        <v>48480</v>
      </c>
      <c r="BJ67" s="105">
        <f>BH67*'Baseline Given'!K68/'Baseline Given'!L68</f>
        <v>242850.19074924057</v>
      </c>
      <c r="BK67" s="105">
        <f>BI67/'Baseline Given'!M68</f>
        <v>8533.4143999908629</v>
      </c>
      <c r="BL67" s="105">
        <f>(BJ67+BK67)/1000000</f>
        <v>0.25138360514923147</v>
      </c>
      <c r="BN67" s="105">
        <f t="shared" si="78"/>
        <v>12627.695479939181</v>
      </c>
      <c r="BO67" s="106">
        <f t="shared" si="107"/>
        <v>48480</v>
      </c>
      <c r="BP67" s="105">
        <f>BN67*'Baseline Given'!K68/'Baseline Given'!L68</f>
        <v>123298.27319415414</v>
      </c>
      <c r="BQ67" s="105">
        <f>BO67/'Baseline Given'!M68</f>
        <v>8533.4143999908629</v>
      </c>
      <c r="BR67" s="105">
        <f>(BP67+BQ67)/1000000</f>
        <v>0.13183168759414501</v>
      </c>
      <c r="BT67" s="105">
        <f t="shared" si="80"/>
        <v>4.4546397820477424E-12</v>
      </c>
      <c r="BU67" s="106">
        <f t="shared" si="108"/>
        <v>48480</v>
      </c>
      <c r="BV67" s="105">
        <f>BT67*'Baseline Given'!K68/'Baseline Given'!L68</f>
        <v>4.3495615942040063E-11</v>
      </c>
      <c r="BW67" s="105">
        <f>BU67/'Baseline Given'!M68</f>
        <v>8533.4143999908629</v>
      </c>
      <c r="BX67" s="105">
        <f>(BV67+BW67)/1000000</f>
        <v>8.5334143999909063E-3</v>
      </c>
      <c r="BZ67" s="104">
        <v>150</v>
      </c>
      <c r="CA67" s="104">
        <v>-150</v>
      </c>
    </row>
    <row r="68" spans="1:79" ht="15" customHeight="1" x14ac:dyDescent="0.25">
      <c r="A68" s="18">
        <f>'Baseline Given'!E69</f>
        <v>66</v>
      </c>
      <c r="B68" s="18">
        <f t="shared" si="82"/>
        <v>2</v>
      </c>
      <c r="C68" s="18">
        <f t="shared" si="57"/>
        <v>1</v>
      </c>
      <c r="D68" s="18">
        <f t="shared" si="83"/>
        <v>66</v>
      </c>
      <c r="E68" s="10">
        <v>0</v>
      </c>
      <c r="F68" s="10">
        <v>0</v>
      </c>
      <c r="G68" s="10">
        <v>0</v>
      </c>
      <c r="H68" s="18">
        <f t="shared" si="98"/>
        <v>2</v>
      </c>
      <c r="J68" s="104">
        <f t="shared" ref="J68:J93" si="114">J67+1</f>
        <v>65</v>
      </c>
      <c r="K68" s="104">
        <f t="shared" ref="K68:K93" si="115">J68*PI()/180</f>
        <v>1.1344640137963142</v>
      </c>
      <c r="L68" s="105">
        <f t="shared" si="110"/>
        <v>110.79612696523046</v>
      </c>
      <c r="M68" s="104">
        <f t="shared" si="111"/>
        <v>17358909.863155473</v>
      </c>
      <c r="N68" s="104">
        <f t="shared" si="112"/>
        <v>470023.01448505424</v>
      </c>
      <c r="O68" s="104">
        <f t="shared" ref="O68:O93" si="116">553480*COS(K68)+210080*COS(K68)+319160*COS(K68)</f>
        <v>457577.24435189005</v>
      </c>
      <c r="P68" s="104">
        <f t="shared" si="113"/>
        <v>198640.30935979722</v>
      </c>
      <c r="R68" s="105">
        <f t="shared" si="62"/>
        <v>32300.311529257175</v>
      </c>
      <c r="S68" s="106">
        <f t="shared" si="99"/>
        <v>32320</v>
      </c>
      <c r="T68" s="106">
        <f>R68*'Baseline Given'!K69/'Baseline Given'!L69</f>
        <v>318905.61944804073</v>
      </c>
      <c r="U68" s="105">
        <f>S68/'Baseline Given'!M69</f>
        <v>5773.3391845882879</v>
      </c>
      <c r="V68" s="105">
        <f>(T68+U68)/1000000</f>
        <v>0.32467895863262902</v>
      </c>
      <c r="X68" s="105">
        <f t="shared" si="64"/>
        <v>31828.986577354564</v>
      </c>
      <c r="Y68" s="106">
        <f t="shared" si="100"/>
        <v>32320</v>
      </c>
      <c r="Z68" s="106">
        <f>X68*'Baseline Given'!K69/'Baseline Given'!L69</f>
        <v>314252.16043692024</v>
      </c>
      <c r="AA68" s="105">
        <f>Y68/'Baseline Given'!M69</f>
        <v>5773.3391845882879</v>
      </c>
      <c r="AB68" s="105">
        <f>(Z68+AA68)/1000000</f>
        <v>0.3200254996215085</v>
      </c>
      <c r="AD68" s="105">
        <f t="shared" si="66"/>
        <v>30370.86550380056</v>
      </c>
      <c r="AE68" s="106">
        <f t="shared" si="101"/>
        <v>32320</v>
      </c>
      <c r="AF68" s="105">
        <f>AD68*'Baseline Given'!K69/'Baseline Given'!L69</f>
        <v>299855.92144799326</v>
      </c>
      <c r="AG68" s="105">
        <f>AE68/'Baseline Given'!M69</f>
        <v>5773.3391845882879</v>
      </c>
      <c r="AH68" s="105">
        <f>(AF68+AG68)/1000000</f>
        <v>0.30562926063258156</v>
      </c>
      <c r="AJ68" s="105">
        <f t="shared" si="68"/>
        <v>27989.94105031306</v>
      </c>
      <c r="AK68" s="106">
        <f t="shared" si="102"/>
        <v>32320</v>
      </c>
      <c r="AL68" s="105">
        <f>AJ68*'Baseline Given'!K69/'Baseline Given'!L69</f>
        <v>276348.71202028648</v>
      </c>
      <c r="AM68" s="105">
        <f>AK68/'Baseline Given'!M69</f>
        <v>5773.3391845882879</v>
      </c>
      <c r="AN68" s="105">
        <f>(AL68+AM68)/1000000</f>
        <v>0.28212205120487477</v>
      </c>
      <c r="AP68" s="105">
        <f t="shared" si="70"/>
        <v>24758.556401605369</v>
      </c>
      <c r="AQ68" s="106">
        <f t="shared" si="103"/>
        <v>32320</v>
      </c>
      <c r="AR68" s="105">
        <f>AP68*'Baseline Given'!K69/'Baseline Given'!L69</f>
        <v>244444.7868170389</v>
      </c>
      <c r="AS68" s="105">
        <f>AQ68/'Baseline Given'!M69</f>
        <v>5773.3391845882879</v>
      </c>
      <c r="AT68" s="105">
        <f>(AR68+AS68)/1000000</f>
        <v>0.25021812600162718</v>
      </c>
      <c r="AV68" s="105">
        <f t="shared" si="72"/>
        <v>20774.895545068954</v>
      </c>
      <c r="AW68" s="106">
        <f t="shared" si="109"/>
        <v>32320</v>
      </c>
      <c r="AX68" s="105">
        <f>AV68*'Baseline Given'!K69/'Baseline Given'!L69</f>
        <v>205113.53046138625</v>
      </c>
      <c r="AY68" s="105">
        <f>AW68/'Baseline Given'!M69</f>
        <v>5773.3391845882879</v>
      </c>
      <c r="AZ68" s="105">
        <f>(AX68+AY68)/1000000</f>
        <v>0.21088686964597453</v>
      </c>
      <c r="BB68" s="105">
        <f t="shared" si="74"/>
        <v>16160.000000000004</v>
      </c>
      <c r="BC68" s="106">
        <f t="shared" si="105"/>
        <v>32320</v>
      </c>
      <c r="BD68" s="105">
        <f>BB68*'Baseline Given'!K69/'Baseline Given'!L69</f>
        <v>159550.0032751188</v>
      </c>
      <c r="BE68" s="105">
        <f>BC68/'Baseline Given'!M69</f>
        <v>5773.3391845882879</v>
      </c>
      <c r="BF68" s="105">
        <f>(BD68+BE68)/1000000</f>
        <v>0.16532334245970709</v>
      </c>
      <c r="BH68" s="105">
        <f t="shared" si="76"/>
        <v>11054.091032285616</v>
      </c>
      <c r="BI68" s="107">
        <f t="shared" si="106"/>
        <v>32320</v>
      </c>
      <c r="BJ68" s="105">
        <f>BH68*'Baseline Given'!K69/'Baseline Given'!L69</f>
        <v>109138.62997553409</v>
      </c>
      <c r="BK68" s="105">
        <f>BI68/'Baseline Given'!M69</f>
        <v>5773.3391845882879</v>
      </c>
      <c r="BL68" s="105">
        <f>(BJ68+BK68)/1000000</f>
        <v>0.11491196916012238</v>
      </c>
      <c r="BN68" s="105">
        <f t="shared" si="78"/>
        <v>5612.3091021951914</v>
      </c>
      <c r="BO68" s="106">
        <f t="shared" si="107"/>
        <v>32320</v>
      </c>
      <c r="BP68" s="105">
        <f>BN68*'Baseline Given'!K69/'Baseline Given'!L69</f>
        <v>55411.134630954308</v>
      </c>
      <c r="BQ68" s="105">
        <f>BO68/'Baseline Given'!M69</f>
        <v>5773.3391845882879</v>
      </c>
      <c r="BR68" s="105">
        <f>(BP68+BQ68)/1000000</f>
        <v>6.1184473815542595E-2</v>
      </c>
      <c r="BT68" s="105">
        <f t="shared" si="80"/>
        <v>1.9798399031323299E-12</v>
      </c>
      <c r="BU68" s="106">
        <f t="shared" si="108"/>
        <v>32320</v>
      </c>
      <c r="BV68" s="105">
        <f>BT68*'Baseline Given'!K69/'Baseline Given'!L69</f>
        <v>1.9547243999317701E-11</v>
      </c>
      <c r="BW68" s="105">
        <f>BU68/'Baseline Given'!M69</f>
        <v>5773.3391845882879</v>
      </c>
      <c r="BX68" s="105">
        <f>(BV68+BW68)/1000000</f>
        <v>5.773339184588307E-3</v>
      </c>
      <c r="BZ68" s="104">
        <v>150</v>
      </c>
      <c r="CA68" s="104">
        <v>-150</v>
      </c>
    </row>
    <row r="69" spans="1:79" ht="15" customHeight="1" x14ac:dyDescent="0.25">
      <c r="A69" s="18">
        <f>'Baseline Given'!E70</f>
        <v>67</v>
      </c>
      <c r="B69" s="18">
        <f t="shared" si="82"/>
        <v>1</v>
      </c>
      <c r="C69" s="18">
        <v>0.5</v>
      </c>
      <c r="E69" s="10">
        <v>0</v>
      </c>
      <c r="F69" s="10">
        <v>0</v>
      </c>
      <c r="G69" s="10">
        <v>0</v>
      </c>
      <c r="H69" s="18">
        <f t="shared" si="98"/>
        <v>1</v>
      </c>
      <c r="J69" s="104">
        <f t="shared" si="114"/>
        <v>66</v>
      </c>
      <c r="K69" s="104">
        <f t="shared" si="115"/>
        <v>1.1519173063162575</v>
      </c>
      <c r="L69" s="105">
        <f t="shared" si="110"/>
        <v>111.68093219680796</v>
      </c>
      <c r="M69" s="104">
        <f t="shared" si="111"/>
        <v>16706577.45861271</v>
      </c>
      <c r="N69" s="104">
        <f t="shared" si="112"/>
        <v>448776.0926593577</v>
      </c>
      <c r="O69" s="104">
        <f t="shared" si="116"/>
        <v>440381.89819103037</v>
      </c>
      <c r="P69" s="104">
        <f t="shared" si="113"/>
        <v>182533.68142094143</v>
      </c>
      <c r="R69" s="105">
        <f t="shared" si="62"/>
        <v>8075.0778823142937</v>
      </c>
      <c r="S69" s="106">
        <f t="shared" si="99"/>
        <v>16160</v>
      </c>
      <c r="T69" s="106">
        <f>R69*'Baseline Given'!K70/'Baseline Given'!L70</f>
        <v>80626.703034855949</v>
      </c>
      <c r="U69" s="105">
        <f>S69/'Baseline Given'!M70</f>
        <v>2929.8137533385743</v>
      </c>
      <c r="V69" s="105">
        <f>(T69+U69)/1000000</f>
        <v>8.3556516788194521E-2</v>
      </c>
      <c r="X69" s="105">
        <f t="shared" si="64"/>
        <v>7957.2466443386411</v>
      </c>
      <c r="Y69" s="106">
        <f t="shared" si="100"/>
        <v>16160</v>
      </c>
      <c r="Z69" s="106">
        <f>X69*'Baseline Given'!K70/'Baseline Given'!L70</f>
        <v>79450.201164415848</v>
      </c>
      <c r="AA69" s="105">
        <f>Y69/'Baseline Given'!M70</f>
        <v>2929.8137533385743</v>
      </c>
      <c r="AB69" s="105">
        <f>(Z69+AA69)/1000000</f>
        <v>8.2380014917754429E-2</v>
      </c>
      <c r="AD69" s="105">
        <f t="shared" si="66"/>
        <v>7592.71637595014</v>
      </c>
      <c r="AE69" s="106">
        <f t="shared" si="101"/>
        <v>16160</v>
      </c>
      <c r="AF69" s="105">
        <f>AD69*'Baseline Given'!K70/'Baseline Given'!L70</f>
        <v>75810.49958816891</v>
      </c>
      <c r="AG69" s="105">
        <f>AE69/'Baseline Given'!M70</f>
        <v>2929.8137533385743</v>
      </c>
      <c r="AH69" s="105">
        <f>(AF69+AG69)/1000000</f>
        <v>7.8740313341507481E-2</v>
      </c>
      <c r="AJ69" s="105">
        <f t="shared" si="68"/>
        <v>6997.4852625782651</v>
      </c>
      <c r="AK69" s="106">
        <f t="shared" si="102"/>
        <v>16160</v>
      </c>
      <c r="AL69" s="105">
        <f>AJ69*'Baseline Given'!K70/'Baseline Given'!L70</f>
        <v>69867.334343899274</v>
      </c>
      <c r="AM69" s="105">
        <f>AK69/'Baseline Given'!M70</f>
        <v>2929.8137533385743</v>
      </c>
      <c r="AN69" s="105">
        <f>(AL69+AM69)/1000000</f>
        <v>7.2797148097237849E-2</v>
      </c>
      <c r="AP69" s="105">
        <f t="shared" si="70"/>
        <v>6189.6391004013421</v>
      </c>
      <c r="AQ69" s="106">
        <f t="shared" si="103"/>
        <v>16160</v>
      </c>
      <c r="AR69" s="105">
        <f>AP69*'Baseline Given'!K70/'Baseline Given'!L70</f>
        <v>61801.285500167294</v>
      </c>
      <c r="AS69" s="105">
        <f>AQ69/'Baseline Given'!M70</f>
        <v>2929.8137533385743</v>
      </c>
      <c r="AT69" s="105">
        <f>(AR69+AS69)/1000000</f>
        <v>6.4731099253505869E-2</v>
      </c>
      <c r="AV69" s="105">
        <f t="shared" si="72"/>
        <v>5193.7238862672384</v>
      </c>
      <c r="AW69" s="106">
        <f t="shared" si="109"/>
        <v>16160</v>
      </c>
      <c r="AX69" s="105">
        <f>AV69*'Baseline Given'!K70/'Baseline Given'!L70</f>
        <v>51857.435869472167</v>
      </c>
      <c r="AY69" s="105">
        <f>AW69/'Baseline Given'!M70</f>
        <v>2929.8137533385743</v>
      </c>
      <c r="AZ69" s="105">
        <f>(AX69+AY69)/1000000</f>
        <v>5.4787249622810744E-2</v>
      </c>
      <c r="BB69" s="105">
        <f t="shared" si="74"/>
        <v>4040.0000000000009</v>
      </c>
      <c r="BC69" s="106">
        <f t="shared" si="105"/>
        <v>16160</v>
      </c>
      <c r="BD69" s="105">
        <f>BB69*'Baseline Given'!K70/'Baseline Given'!L70</f>
        <v>40337.924291011826</v>
      </c>
      <c r="BE69" s="105">
        <f>BC69/'Baseline Given'!M70</f>
        <v>2929.8137533385743</v>
      </c>
      <c r="BF69" s="105">
        <f>(BD69+BE69)/1000000</f>
        <v>4.3267738044350398E-2</v>
      </c>
      <c r="BH69" s="105">
        <f t="shared" si="76"/>
        <v>2763.522758071404</v>
      </c>
      <c r="BI69" s="107">
        <f t="shared" si="106"/>
        <v>16160</v>
      </c>
      <c r="BJ69" s="105">
        <f>BH69*'Baseline Given'!K70/'Baseline Given'!L70</f>
        <v>27592.765294943682</v>
      </c>
      <c r="BK69" s="105">
        <f>BI69/'Baseline Given'!M70</f>
        <v>2929.8137533385743</v>
      </c>
      <c r="BL69" s="105">
        <f>(BJ69+BK69)/1000000</f>
        <v>3.0522579048282254E-2</v>
      </c>
      <c r="BN69" s="105">
        <f t="shared" si="78"/>
        <v>1403.0772755487978</v>
      </c>
      <c r="BO69" s="106">
        <f t="shared" si="107"/>
        <v>16160</v>
      </c>
      <c r="BP69" s="105">
        <f>BN69*'Baseline Given'!K70/'Baseline Given'!L70</f>
        <v>14009.21408800162</v>
      </c>
      <c r="BQ69" s="105">
        <f>BO69/'Baseline Given'!M70</f>
        <v>2929.8137533385743</v>
      </c>
      <c r="BR69" s="105">
        <f>(BP69+BQ69)/1000000</f>
        <v>1.6939027841340194E-2</v>
      </c>
      <c r="BT69" s="105">
        <f t="shared" si="80"/>
        <v>4.9495997578308248E-13</v>
      </c>
      <c r="BU69" s="106">
        <f t="shared" si="108"/>
        <v>16160</v>
      </c>
      <c r="BV69" s="105">
        <f>BT69*'Baseline Given'!K70/'Baseline Given'!L70</f>
        <v>4.9419945619354026E-12</v>
      </c>
      <c r="BW69" s="105">
        <f>BU69/'Baseline Given'!M70</f>
        <v>2929.8137533385743</v>
      </c>
      <c r="BX69" s="105">
        <f>(BV69+BW69)/1000000</f>
        <v>2.9298137533385793E-3</v>
      </c>
      <c r="BZ69" s="104">
        <v>150</v>
      </c>
      <c r="CA69" s="104">
        <v>-150</v>
      </c>
    </row>
    <row r="70" spans="1:79" ht="15" customHeight="1" x14ac:dyDescent="0.25">
      <c r="F70" s="10"/>
      <c r="J70" s="104">
        <f t="shared" si="114"/>
        <v>67</v>
      </c>
      <c r="K70" s="104">
        <f t="shared" si="115"/>
        <v>1.1693705988362006</v>
      </c>
      <c r="L70" s="105">
        <f t="shared" si="110"/>
        <v>112.53171833456082</v>
      </c>
      <c r="M70" s="104">
        <f t="shared" si="111"/>
        <v>16049156.068735812</v>
      </c>
      <c r="N70" s="104">
        <f t="shared" si="112"/>
        <v>427856.86488020467</v>
      </c>
      <c r="O70" s="104">
        <f t="shared" si="116"/>
        <v>423052.4074379066</v>
      </c>
      <c r="P70" s="104">
        <f t="shared" si="113"/>
        <v>167176.99564652517</v>
      </c>
      <c r="R70" s="10"/>
      <c r="S70" s="10"/>
      <c r="T70" s="10"/>
      <c r="U70" s="10"/>
      <c r="V70" s="10"/>
      <c r="X70" s="10"/>
      <c r="Y70" s="10"/>
      <c r="Z70" s="106"/>
      <c r="AA70" s="106"/>
      <c r="AB70" s="106"/>
      <c r="AD70" s="10"/>
      <c r="AE70" s="10"/>
      <c r="AJ70" s="10"/>
      <c r="AK70" s="10"/>
      <c r="AP70" s="106"/>
      <c r="AQ70" s="106"/>
      <c r="AV70" s="10"/>
      <c r="AW70" s="10"/>
      <c r="BB70" s="10"/>
      <c r="BC70" s="10"/>
      <c r="BH70" s="10"/>
      <c r="BI70" s="10"/>
      <c r="BN70" s="10"/>
      <c r="BO70" s="10"/>
      <c r="BT70" s="10"/>
      <c r="BU70" s="10"/>
      <c r="BV70" s="105"/>
      <c r="BW70" s="105"/>
      <c r="BX70" s="105"/>
    </row>
    <row r="71" spans="1:79" ht="15" customHeight="1" x14ac:dyDescent="0.25">
      <c r="J71" s="104">
        <f t="shared" si="114"/>
        <v>68</v>
      </c>
      <c r="K71" s="104">
        <f t="shared" si="115"/>
        <v>1.1868238913561442</v>
      </c>
      <c r="L71" s="105">
        <f t="shared" si="110"/>
        <v>113.34822622078977</v>
      </c>
      <c r="M71" s="104">
        <f t="shared" si="111"/>
        <v>15386845.950448692</v>
      </c>
      <c r="N71" s="104">
        <f t="shared" si="112"/>
        <v>407245.34816654713</v>
      </c>
      <c r="O71" s="104">
        <f t="shared" si="116"/>
        <v>405594.05082327616</v>
      </c>
      <c r="P71" s="104">
        <f t="shared" si="113"/>
        <v>152556.79256114722</v>
      </c>
      <c r="R71" s="10"/>
      <c r="S71" s="10"/>
      <c r="T71" s="10"/>
      <c r="U71" s="10"/>
      <c r="V71" s="10"/>
      <c r="X71" s="10"/>
      <c r="Y71" s="10"/>
      <c r="Z71" s="10"/>
      <c r="AA71" s="10"/>
      <c r="AB71" s="10"/>
      <c r="AD71" s="10"/>
      <c r="AE71" s="10"/>
      <c r="AJ71" s="10"/>
      <c r="AK71" s="10"/>
      <c r="AP71" s="106"/>
      <c r="AQ71" s="106"/>
      <c r="AV71" s="10"/>
      <c r="AW71" s="10"/>
      <c r="BB71" s="10"/>
      <c r="BC71" s="10"/>
      <c r="BH71" s="10"/>
      <c r="BI71" s="10"/>
      <c r="BN71" s="10"/>
      <c r="BO71" s="10"/>
      <c r="BT71" s="10"/>
      <c r="BU71" s="10"/>
    </row>
    <row r="72" spans="1:79" ht="15" customHeight="1" x14ac:dyDescent="0.25">
      <c r="J72" s="104">
        <f t="shared" si="114"/>
        <v>69</v>
      </c>
      <c r="K72" s="104">
        <f t="shared" si="115"/>
        <v>1.2042771838760873</v>
      </c>
      <c r="L72" s="105">
        <f t="shared" si="110"/>
        <v>114.1302071392829</v>
      </c>
      <c r="M72" s="104">
        <f t="shared" si="111"/>
        <v>14719848.849829361</v>
      </c>
      <c r="N72" s="109">
        <f t="shared" si="112"/>
        <v>386922.51294695708</v>
      </c>
      <c r="O72" s="104">
        <f t="shared" si="116"/>
        <v>388012.14633168763</v>
      </c>
      <c r="P72" s="104">
        <f t="shared" si="113"/>
        <v>138660.62759771594</v>
      </c>
      <c r="R72" s="10"/>
      <c r="S72" s="10"/>
      <c r="T72" s="10"/>
      <c r="U72" s="10"/>
      <c r="V72" s="10"/>
      <c r="X72" s="10"/>
      <c r="Y72" s="10"/>
      <c r="Z72" s="10"/>
      <c r="AA72" s="10"/>
      <c r="AB72" s="10"/>
      <c r="AD72" s="10"/>
      <c r="AE72" s="10"/>
      <c r="AJ72" s="10"/>
      <c r="AK72" s="10"/>
      <c r="AP72" s="10"/>
      <c r="AQ72" s="10"/>
      <c r="AV72" s="10"/>
      <c r="AW72" s="10"/>
      <c r="BB72" s="10"/>
      <c r="BC72" s="10"/>
      <c r="BH72" s="10"/>
      <c r="BI72" s="10"/>
      <c r="BN72" s="10"/>
      <c r="BO72" s="10"/>
    </row>
    <row r="73" spans="1:79" ht="15" customHeight="1" x14ac:dyDescent="0.25">
      <c r="J73" s="104">
        <f t="shared" si="114"/>
        <v>70</v>
      </c>
      <c r="K73" s="109">
        <f t="shared" si="115"/>
        <v>1.2217304763960306</v>
      </c>
      <c r="L73" s="105">
        <f t="shared" si="110"/>
        <v>114.87742289107729</v>
      </c>
      <c r="M73" s="104">
        <f t="shared" si="111"/>
        <v>14048367.940655982</v>
      </c>
      <c r="N73" s="104">
        <f t="shared" si="112"/>
        <v>366870.20618427731</v>
      </c>
      <c r="O73" s="104">
        <f t="shared" si="116"/>
        <v>370312.04958156816</v>
      </c>
      <c r="P73" s="109">
        <f t="shared" si="113"/>
        <v>125477.00050106421</v>
      </c>
      <c r="R73" s="10"/>
      <c r="S73" s="10"/>
      <c r="T73" s="10"/>
      <c r="U73" s="10"/>
      <c r="V73" s="10"/>
      <c r="X73" s="10"/>
      <c r="Y73" s="10"/>
      <c r="Z73" s="10"/>
      <c r="AA73" s="10"/>
      <c r="AB73" s="10"/>
      <c r="AD73" s="10"/>
      <c r="AE73" s="10"/>
      <c r="AJ73" s="10"/>
      <c r="AK73" s="10"/>
      <c r="AP73" s="10"/>
      <c r="AQ73" s="10"/>
      <c r="AV73" s="10"/>
      <c r="AW73" s="10"/>
      <c r="BN73" s="10"/>
      <c r="BO73" s="10"/>
    </row>
    <row r="74" spans="1:79" ht="15" customHeight="1" x14ac:dyDescent="0.25">
      <c r="J74" s="104">
        <f t="shared" si="114"/>
        <v>71</v>
      </c>
      <c r="K74" s="104">
        <f t="shared" si="115"/>
        <v>1.2391837689159739</v>
      </c>
      <c r="L74" s="105">
        <f t="shared" si="110"/>
        <v>115.58964586701647</v>
      </c>
      <c r="M74" s="104">
        <f t="shared" si="111"/>
        <v>13372607.762518287</v>
      </c>
      <c r="N74" s="104">
        <f t="shared" si="112"/>
        <v>347071.08051623928</v>
      </c>
      <c r="O74" s="104">
        <f t="shared" si="116"/>
        <v>352499.15219385276</v>
      </c>
      <c r="P74" s="104">
        <f t="shared" si="113"/>
        <v>112995.29114912328</v>
      </c>
      <c r="R74" s="10"/>
      <c r="S74" s="10"/>
      <c r="T74" s="10"/>
      <c r="U74" s="10"/>
      <c r="V74" s="10"/>
      <c r="X74" s="10"/>
      <c r="Y74" s="10"/>
      <c r="Z74" s="10"/>
      <c r="AA74" s="10"/>
      <c r="AB74" s="10"/>
      <c r="AV74" s="10"/>
      <c r="AW74" s="10"/>
    </row>
    <row r="75" spans="1:79" ht="15" customHeight="1" x14ac:dyDescent="0.25">
      <c r="J75" s="104">
        <f t="shared" si="114"/>
        <v>72</v>
      </c>
      <c r="K75" s="104">
        <f t="shared" si="115"/>
        <v>1.2566370614359172</v>
      </c>
      <c r="L75" s="105">
        <f t="shared" si="110"/>
        <v>116.26665911708251</v>
      </c>
      <c r="M75" s="104">
        <f t="shared" si="111"/>
        <v>12692774.158512767</v>
      </c>
      <c r="N75" s="104">
        <f t="shared" si="112"/>
        <v>327508.5287966585</v>
      </c>
      <c r="O75" s="104">
        <f t="shared" si="116"/>
        <v>334578.88014964311</v>
      </c>
      <c r="P75" s="104">
        <f t="shared" si="113"/>
        <v>101205.70120090434</v>
      </c>
      <c r="X75" s="10"/>
      <c r="Y75" s="10"/>
      <c r="Z75" s="10"/>
      <c r="AA75" s="10"/>
      <c r="AB75" s="10"/>
    </row>
    <row r="76" spans="1:79" ht="15" customHeight="1" x14ac:dyDescent="0.25">
      <c r="J76" s="104">
        <f t="shared" si="114"/>
        <v>73</v>
      </c>
      <c r="K76" s="104">
        <f t="shared" si="115"/>
        <v>1.2740903539558606</v>
      </c>
      <c r="L76" s="105">
        <f t="shared" si="110"/>
        <v>116.90825641648109</v>
      </c>
      <c r="M76" s="104">
        <f t="shared" si="111"/>
        <v>12009074.212540902</v>
      </c>
      <c r="N76" s="104">
        <f t="shared" si="112"/>
        <v>308166.62348702847</v>
      </c>
      <c r="O76" s="104">
        <f t="shared" si="116"/>
        <v>316556.69213740155</v>
      </c>
      <c r="P76" s="104">
        <f t="shared" si="113"/>
        <v>90099.201047552284</v>
      </c>
      <c r="X76" s="10"/>
      <c r="Y76" s="10"/>
      <c r="Z76" s="10"/>
      <c r="AA76" s="10"/>
      <c r="AB76" s="10"/>
    </row>
    <row r="77" spans="1:79" ht="15" customHeight="1" x14ac:dyDescent="0.25">
      <c r="J77" s="104">
        <f t="shared" si="114"/>
        <v>74</v>
      </c>
      <c r="K77" s="104">
        <f t="shared" si="115"/>
        <v>1.2915436464758039</v>
      </c>
      <c r="L77" s="105">
        <f t="shared" si="110"/>
        <v>117.51424232845947</v>
      </c>
      <c r="M77" s="104">
        <f t="shared" si="111"/>
        <v>11321716.186229378</v>
      </c>
      <c r="N77" s="104">
        <f t="shared" si="112"/>
        <v>289030.06040538877</v>
      </c>
      <c r="O77" s="104">
        <f t="shared" si="116"/>
        <v>298438.07789018133</v>
      </c>
      <c r="P77" s="104">
        <f t="shared" si="113"/>
        <v>79667.481601768901</v>
      </c>
    </row>
    <row r="78" spans="1:79" ht="15" customHeight="1" x14ac:dyDescent="0.25">
      <c r="J78" s="104">
        <f t="shared" si="114"/>
        <v>75</v>
      </c>
      <c r="K78" s="104">
        <f t="shared" si="115"/>
        <v>1.3089969389957472</v>
      </c>
      <c r="L78" s="105">
        <f t="shared" si="110"/>
        <v>118.08443226383861</v>
      </c>
      <c r="M78" s="104">
        <f t="shared" si="111"/>
        <v>10630909.455491606</v>
      </c>
      <c r="N78" s="104">
        <f t="shared" si="112"/>
        <v>270084.10638936894</v>
      </c>
      <c r="O78" s="104">
        <f t="shared" si="116"/>
        <v>280228.55651340127</v>
      </c>
      <c r="P78" s="104">
        <f t="shared" si="113"/>
        <v>69902.910513064096</v>
      </c>
    </row>
    <row r="79" spans="1:79" ht="15" customHeight="1" x14ac:dyDescent="0.25">
      <c r="J79" s="104">
        <f t="shared" si="114"/>
        <v>76</v>
      </c>
      <c r="K79" s="104">
        <f t="shared" si="115"/>
        <v>1.3264502315156903</v>
      </c>
      <c r="L79" s="105">
        <f t="shared" si="110"/>
        <v>118.61865253724056</v>
      </c>
      <c r="M79" s="104">
        <f t="shared" si="111"/>
        <v>9936864.4467497673</v>
      </c>
      <c r="N79" s="104">
        <f t="shared" si="112"/>
        <v>251314.55047417778</v>
      </c>
      <c r="O79" s="104">
        <f t="shared" si="116"/>
        <v>261933.67480367242</v>
      </c>
      <c r="P79" s="104">
        <f t="shared" si="113"/>
        <v>60798.492442491508</v>
      </c>
    </row>
    <row r="80" spans="1:79" ht="15" customHeight="1" x14ac:dyDescent="0.25">
      <c r="J80" s="104">
        <f t="shared" si="114"/>
        <v>77</v>
      </c>
      <c r="K80" s="104">
        <f t="shared" si="115"/>
        <v>1.3439035240356338</v>
      </c>
      <c r="L80" s="105">
        <f t="shared" si="110"/>
        <v>119.11674041999501</v>
      </c>
      <c r="M80" s="104">
        <f t="shared" si="111"/>
        <v>9239792.572836861</v>
      </c>
      <c r="N80" s="104">
        <f t="shared" si="112"/>
        <v>232707.65822481818</v>
      </c>
      <c r="O80" s="104">
        <f t="shared" si="116"/>
        <v>243559.00555918942</v>
      </c>
      <c r="P80" s="104">
        <f t="shared" si="113"/>
        <v>52347.833071564623</v>
      </c>
    </row>
    <row r="81" spans="10:16" ht="15" customHeight="1" x14ac:dyDescent="0.25">
      <c r="J81" s="104">
        <f t="shared" si="114"/>
        <v>78</v>
      </c>
      <c r="K81" s="104">
        <f t="shared" si="115"/>
        <v>1.3613568165555769</v>
      </c>
      <c r="L81" s="105">
        <f t="shared" si="110"/>
        <v>119.57854418970774</v>
      </c>
      <c r="M81" s="104">
        <f t="shared" si="111"/>
        <v>8539906.1685984079</v>
      </c>
      <c r="N81" s="104">
        <f t="shared" si="112"/>
        <v>214250.12889561791</v>
      </c>
      <c r="O81" s="104">
        <f t="shared" si="116"/>
        <v>225110.14588220452</v>
      </c>
      <c r="P81" s="104">
        <f t="shared" si="113"/>
        <v>44545.106556610823</v>
      </c>
    </row>
    <row r="82" spans="10:16" ht="15" customHeight="1" x14ac:dyDescent="0.25">
      <c r="J82" s="104">
        <f t="shared" si="114"/>
        <v>79</v>
      </c>
      <c r="K82" s="104">
        <f t="shared" si="115"/>
        <v>1.3788101090755203</v>
      </c>
      <c r="L82" s="105">
        <f t="shared" si="110"/>
        <v>120.00392317647692</v>
      </c>
      <c r="M82" s="104">
        <f t="shared" si="111"/>
        <v>7837418.4262130614</v>
      </c>
      <c r="N82" s="109">
        <f t="shared" si="112"/>
        <v>195929.05511982494</v>
      </c>
      <c r="O82" s="104">
        <f t="shared" si="116"/>
        <v>206592.71547409269</v>
      </c>
      <c r="P82" s="107">
        <f t="shared" si="113"/>
        <v>37385.026172489495</v>
      </c>
    </row>
    <row r="83" spans="10:16" ht="15" customHeight="1" x14ac:dyDescent="0.25">
      <c r="J83" s="104">
        <f t="shared" si="114"/>
        <v>80</v>
      </c>
      <c r="K83" s="109">
        <f t="shared" si="115"/>
        <v>1.3962634015954636</v>
      </c>
      <c r="L83" s="105">
        <f t="shared" si="110"/>
        <v>120.39274780574243</v>
      </c>
      <c r="M83" s="104">
        <f t="shared" si="111"/>
        <v>7132543.3302523131</v>
      </c>
      <c r="N83" s="104">
        <f t="shared" si="112"/>
        <v>177731.88485807055</v>
      </c>
      <c r="O83" s="104">
        <f t="shared" si="116"/>
        <v>188012.35492353889</v>
      </c>
      <c r="P83" s="109">
        <f t="shared" si="113"/>
        <v>30862.817918912653</v>
      </c>
    </row>
    <row r="84" spans="10:16" ht="15" customHeight="1" x14ac:dyDescent="0.25">
      <c r="J84" s="104">
        <f t="shared" si="114"/>
        <v>81</v>
      </c>
      <c r="K84" s="104">
        <f t="shared" si="115"/>
        <v>1.4137166941154069</v>
      </c>
      <c r="L84" s="105">
        <f t="shared" si="110"/>
        <v>120.74489963775559</v>
      </c>
      <c r="M84" s="104">
        <f t="shared" si="111"/>
        <v>6425495.5924986722</v>
      </c>
      <c r="N84" s="104">
        <f t="shared" si="112"/>
        <v>159646.38535728655</v>
      </c>
      <c r="O84" s="104">
        <f t="shared" si="116"/>
        <v>169374.7239883588</v>
      </c>
      <c r="P84" s="104">
        <f t="shared" si="113"/>
        <v>24974.196888973678</v>
      </c>
    </row>
    <row r="85" spans="10:16" ht="15" customHeight="1" x14ac:dyDescent="0.25">
      <c r="J85" s="104">
        <f t="shared" si="114"/>
        <v>82</v>
      </c>
      <c r="K85" s="104">
        <f t="shared" si="115"/>
        <v>1.43116998663535</v>
      </c>
      <c r="L85" s="105">
        <f t="shared" si="110"/>
        <v>121.06027140365697</v>
      </c>
      <c r="M85" s="104">
        <f t="shared" si="111"/>
        <v>5716490.5865423903</v>
      </c>
      <c r="N85" s="104">
        <f t="shared" si="112"/>
        <v>141660.60889162292</v>
      </c>
      <c r="O85" s="104">
        <f t="shared" si="116"/>
        <v>150685.49987148232</v>
      </c>
      <c r="P85" s="104">
        <f t="shared" si="113"/>
        <v>19715.346223338216</v>
      </c>
    </row>
    <row r="86" spans="10:16" ht="15" customHeight="1" x14ac:dyDescent="0.25">
      <c r="J86" s="104">
        <f t="shared" si="114"/>
        <v>83</v>
      </c>
      <c r="K86" s="104">
        <f t="shared" si="115"/>
        <v>1.4486232791552935</v>
      </c>
      <c r="L86" s="105">
        <f t="shared" si="110"/>
        <v>121.33876703815162</v>
      </c>
      <c r="M86" s="104">
        <f t="shared" si="111"/>
        <v>5005744.282176543</v>
      </c>
      <c r="N86" s="104">
        <f t="shared" si="112"/>
        <v>123762.86007428999</v>
      </c>
      <c r="O86" s="104">
        <f t="shared" si="116"/>
        <v>131950.37549162129</v>
      </c>
      <c r="P86" s="104">
        <f t="shared" si="113"/>
        <v>15082.898495196863</v>
      </c>
    </row>
    <row r="87" spans="10:16" ht="15" customHeight="1" x14ac:dyDescent="0.25">
      <c r="J87" s="104">
        <f t="shared" si="114"/>
        <v>84</v>
      </c>
      <c r="K87" s="104">
        <f t="shared" si="115"/>
        <v>1.4660765716752369</v>
      </c>
      <c r="L87" s="105">
        <f t="shared" si="110"/>
        <v>121.5803017087714</v>
      </c>
      <c r="M87" s="104">
        <f t="shared" si="111"/>
        <v>4293473.1796106203</v>
      </c>
      <c r="N87" s="104">
        <f t="shared" si="112"/>
        <v>105941.66454435277</v>
      </c>
      <c r="O87" s="104">
        <f t="shared" si="116"/>
        <v>113175.05774915376</v>
      </c>
      <c r="P87" s="104">
        <f t="shared" si="113"/>
        <v>11073.919390838442</v>
      </c>
    </row>
    <row r="88" spans="10:16" ht="15" customHeight="1" x14ac:dyDescent="0.25">
      <c r="J88" s="104">
        <f t="shared" si="114"/>
        <v>85</v>
      </c>
      <c r="K88" s="104">
        <f t="shared" si="115"/>
        <v>1.4835298641951802</v>
      </c>
      <c r="L88" s="105">
        <f t="shared" si="110"/>
        <v>121.7848018417159</v>
      </c>
      <c r="M88" s="104">
        <f t="shared" si="111"/>
        <v>3579894.2435223786</v>
      </c>
      <c r="N88" s="104">
        <f t="shared" si="112"/>
        <v>88185.738845521424</v>
      </c>
      <c r="O88" s="104">
        <f t="shared" si="116"/>
        <v>94365.265787744429</v>
      </c>
      <c r="P88" s="104">
        <f t="shared" si="113"/>
        <v>7685.8935688324282</v>
      </c>
    </row>
    <row r="89" spans="10:16" ht="15" customHeight="1" x14ac:dyDescent="0.25">
      <c r="J89" s="104">
        <f t="shared" si="114"/>
        <v>86</v>
      </c>
      <c r="K89" s="104">
        <f t="shared" si="115"/>
        <v>1.5009831567151233</v>
      </c>
      <c r="L89" s="105">
        <f t="shared" si="110"/>
        <v>121.95220514426352</v>
      </c>
      <c r="M89" s="104">
        <f t="shared" si="111"/>
        <v>2865224.8369683549</v>
      </c>
      <c r="N89" s="104">
        <f t="shared" si="112"/>
        <v>70483.961325150303</v>
      </c>
      <c r="O89" s="104">
        <f t="shared" si="116"/>
        <v>75526.729252239515</v>
      </c>
      <c r="P89" s="104">
        <f t="shared" si="113"/>
        <v>4916.712597559801</v>
      </c>
    </row>
    <row r="90" spans="10:16" ht="15" customHeight="1" x14ac:dyDescent="0.25">
      <c r="J90" s="104">
        <f t="shared" si="114"/>
        <v>87</v>
      </c>
      <c r="K90" s="104">
        <f t="shared" si="115"/>
        <v>1.5184364492350666</v>
      </c>
      <c r="L90" s="105">
        <f t="shared" si="110"/>
        <v>122.08246062374664</v>
      </c>
      <c r="M90" s="104">
        <f t="shared" si="111"/>
        <v>2149682.6551729254</v>
      </c>
      <c r="N90" s="104">
        <f t="shared" si="112"/>
        <v>52825.343891081044</v>
      </c>
      <c r="O90" s="104">
        <f t="shared" si="116"/>
        <v>56665.186543360294</v>
      </c>
      <c r="P90" s="104">
        <f t="shared" si="113"/>
        <v>2764.6648864020849</v>
      </c>
    </row>
    <row r="91" spans="10:16" ht="15" customHeight="1" x14ac:dyDescent="0.25">
      <c r="J91" s="104">
        <f t="shared" si="114"/>
        <v>88</v>
      </c>
      <c r="K91" s="104">
        <f t="shared" si="115"/>
        <v>1.5358897417550099</v>
      </c>
      <c r="L91" s="105">
        <f t="shared" si="110"/>
        <v>122.17552860308446</v>
      </c>
      <c r="M91" s="104">
        <f t="shared" si="111"/>
        <v>1433485.6592162871</v>
      </c>
      <c r="N91" s="104">
        <f t="shared" si="112"/>
        <v>35199.004471835709</v>
      </c>
      <c r="O91" s="104">
        <f t="shared" si="116"/>
        <v>37786.383069731964</v>
      </c>
      <c r="P91" s="104">
        <f t="shared" si="113"/>
        <v>1228.4275404961511</v>
      </c>
    </row>
    <row r="92" spans="10:16" ht="15" customHeight="1" x14ac:dyDescent="0.25">
      <c r="J92" s="104">
        <f t="shared" si="114"/>
        <v>89</v>
      </c>
      <c r="K92" s="104">
        <f t="shared" si="115"/>
        <v>1.5533430342749535</v>
      </c>
      <c r="L92" s="105">
        <f t="shared" si="110"/>
        <v>122.23138073286884</v>
      </c>
      <c r="M92" s="104">
        <f t="shared" si="111"/>
        <v>716852.00964135467</v>
      </c>
      <c r="N92" s="109">
        <f t="shared" si="112"/>
        <v>17594.140032043055</v>
      </c>
      <c r="O92" s="104">
        <f t="shared" si="116"/>
        <v>18896.069497775457</v>
      </c>
      <c r="P92" s="104">
        <f t="shared" si="113"/>
        <v>307.06008275369334</v>
      </c>
    </row>
    <row r="93" spans="10:16" ht="15" customHeight="1" x14ac:dyDescent="0.25">
      <c r="J93" s="104">
        <f t="shared" si="114"/>
        <v>90</v>
      </c>
      <c r="K93" s="109">
        <f t="shared" si="115"/>
        <v>1.5707963267948966</v>
      </c>
      <c r="L93" s="105">
        <f t="shared" si="110"/>
        <v>122.25</v>
      </c>
      <c r="M93" s="104">
        <f>27.75*553480*COS(K93)+40.75*210080*COS(K93)+53.75*319160*COS(K93)</f>
        <v>2.5161290368932998E-9</v>
      </c>
      <c r="N93" s="104">
        <f t="shared" si="112"/>
        <v>6.1745497837872386E-11</v>
      </c>
      <c r="O93" s="104">
        <f t="shared" si="116"/>
        <v>6.6324636754933053E-11</v>
      </c>
      <c r="P93" s="109">
        <f t="shared" si="113"/>
        <v>3.7823700636816445E-27</v>
      </c>
    </row>
  </sheetData>
  <mergeCells count="25">
    <mergeCell ref="J1:P1"/>
    <mergeCell ref="X1:AB1"/>
    <mergeCell ref="R1:V1"/>
    <mergeCell ref="A1:H1"/>
    <mergeCell ref="BZ1:CA1"/>
    <mergeCell ref="AO1:AO1048576"/>
    <mergeCell ref="I1:I1048576"/>
    <mergeCell ref="Q1:Q1048576"/>
    <mergeCell ref="W1:W1048576"/>
    <mergeCell ref="AC1:AC1048576"/>
    <mergeCell ref="AI1:AI1048576"/>
    <mergeCell ref="AP1:AT1"/>
    <mergeCell ref="AJ1:AN1"/>
    <mergeCell ref="AD1:AH1"/>
    <mergeCell ref="AU1:AU1048576"/>
    <mergeCell ref="BA1:BA1048576"/>
    <mergeCell ref="BG1:BG1048576"/>
    <mergeCell ref="BB1:BF1"/>
    <mergeCell ref="AV1:AZ1"/>
    <mergeCell ref="BY1:BY1048576"/>
    <mergeCell ref="BM1:BM1048576"/>
    <mergeCell ref="BS1:BS1048576"/>
    <mergeCell ref="BT1:BX1"/>
    <mergeCell ref="BN1:BR1"/>
    <mergeCell ref="BH1:BL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B96"/>
  <sheetViews>
    <sheetView topLeftCell="BR1" zoomScale="70" zoomScaleNormal="70" workbookViewId="0">
      <selection activeCell="BZ1" sqref="BZ1:CA1"/>
    </sheetView>
  </sheetViews>
  <sheetFormatPr defaultColWidth="9.140625" defaultRowHeight="15" x14ac:dyDescent="0.25"/>
  <cols>
    <col min="1" max="4" width="9.140625" style="18"/>
    <col min="5" max="5" width="13.42578125" style="101" customWidth="1"/>
    <col min="6" max="7" width="13.85546875" style="101" customWidth="1"/>
    <col min="8" max="8" width="8.7109375" style="18" customWidth="1"/>
    <col min="9" max="9" width="1.28515625" style="198" customWidth="1"/>
    <col min="10" max="10" width="0" style="18" hidden="1" customWidth="1"/>
    <col min="11" max="11" width="11.42578125" style="18" customWidth="1"/>
    <col min="12" max="12" width="9.140625" style="18"/>
    <col min="13" max="13" width="16.42578125" style="18" customWidth="1"/>
    <col min="14" max="14" width="17.28515625" style="18" customWidth="1"/>
    <col min="15" max="15" width="14.7109375" style="18" customWidth="1"/>
    <col min="16" max="16" width="17.28515625" style="18" customWidth="1"/>
    <col min="17" max="17" width="1.28515625" style="198" customWidth="1"/>
    <col min="18" max="19" width="18.28515625" style="18" customWidth="1"/>
    <col min="20" max="22" width="18.85546875" style="18" customWidth="1"/>
    <col min="23" max="23" width="1.28515625" style="198" customWidth="1"/>
    <col min="24" max="28" width="18.7109375" style="18" customWidth="1"/>
    <col min="29" max="29" width="1.28515625" style="198" customWidth="1"/>
    <col min="30" max="34" width="18.28515625" style="18" customWidth="1"/>
    <col min="35" max="35" width="1.28515625" style="198" customWidth="1"/>
    <col min="36" max="40" width="19.7109375" style="18" customWidth="1"/>
    <col min="41" max="41" width="1.28515625" style="198" customWidth="1"/>
    <col min="42" max="46" width="20.85546875" style="18" customWidth="1"/>
    <col min="47" max="47" width="1.28515625" style="198" customWidth="1"/>
    <col min="48" max="52" width="20.5703125" style="18" customWidth="1"/>
    <col min="53" max="53" width="1.28515625" style="198" customWidth="1"/>
    <col min="54" max="58" width="19.42578125" style="18" customWidth="1"/>
    <col min="59" max="59" width="1.28515625" style="198" customWidth="1"/>
    <col min="60" max="64" width="18.42578125" style="18" customWidth="1"/>
    <col min="65" max="65" width="1.28515625" style="198" customWidth="1"/>
    <col min="66" max="70" width="17.7109375" style="18" customWidth="1"/>
    <col min="71" max="71" width="1.28515625" style="198" customWidth="1"/>
    <col min="72" max="73" width="18.5703125" style="18" customWidth="1"/>
    <col min="74" max="74" width="17.28515625" style="18" bestFit="1" customWidth="1"/>
    <col min="75" max="76" width="17.28515625" style="18" customWidth="1"/>
    <col min="77" max="77" width="5.28515625" style="198" customWidth="1"/>
    <col min="78" max="78" width="19.28515625" style="18" customWidth="1"/>
    <col min="79" max="79" width="18.5703125" style="18" customWidth="1"/>
    <col min="80" max="16384" width="9.140625" style="18"/>
  </cols>
  <sheetData>
    <row r="1" spans="1:80" ht="45" customHeight="1" x14ac:dyDescent="0.25">
      <c r="A1" s="190" t="s">
        <v>132</v>
      </c>
      <c r="B1" s="190"/>
      <c r="C1" s="190"/>
      <c r="D1" s="190"/>
      <c r="E1" s="190"/>
      <c r="F1" s="190"/>
      <c r="G1" s="190"/>
      <c r="H1" s="190"/>
      <c r="K1" s="190" t="s">
        <v>133</v>
      </c>
      <c r="L1" s="190"/>
      <c r="M1" s="190"/>
      <c r="N1" s="190"/>
      <c r="O1" s="190"/>
      <c r="P1" s="190"/>
      <c r="R1" s="201" t="s">
        <v>192</v>
      </c>
      <c r="S1" s="201"/>
      <c r="T1" s="201"/>
      <c r="U1" s="201"/>
      <c r="V1" s="201"/>
      <c r="X1" s="190" t="s">
        <v>135</v>
      </c>
      <c r="Y1" s="190"/>
      <c r="Z1" s="190"/>
      <c r="AA1" s="190"/>
      <c r="AB1" s="190"/>
      <c r="AD1" s="190" t="s">
        <v>136</v>
      </c>
      <c r="AE1" s="190"/>
      <c r="AF1" s="190"/>
      <c r="AG1" s="190"/>
      <c r="AH1" s="190"/>
      <c r="AJ1" s="190" t="s">
        <v>137</v>
      </c>
      <c r="AK1" s="190"/>
      <c r="AL1" s="190"/>
      <c r="AM1" s="190"/>
      <c r="AN1" s="190"/>
      <c r="AP1" s="190" t="s">
        <v>138</v>
      </c>
      <c r="AQ1" s="190"/>
      <c r="AR1" s="190"/>
      <c r="AS1" s="190"/>
      <c r="AT1" s="190"/>
      <c r="AV1" s="190" t="s">
        <v>139</v>
      </c>
      <c r="AW1" s="190"/>
      <c r="AX1" s="190"/>
      <c r="AY1" s="190"/>
      <c r="AZ1" s="190"/>
      <c r="BB1" s="190" t="s">
        <v>140</v>
      </c>
      <c r="BC1" s="190"/>
      <c r="BD1" s="190"/>
      <c r="BE1" s="190"/>
      <c r="BF1" s="190"/>
      <c r="BH1" s="190" t="s">
        <v>141</v>
      </c>
      <c r="BI1" s="190"/>
      <c r="BJ1" s="190"/>
      <c r="BK1" s="190"/>
      <c r="BL1" s="190"/>
      <c r="BN1" s="191" t="s">
        <v>142</v>
      </c>
      <c r="BO1" s="192"/>
      <c r="BP1" s="192"/>
      <c r="BQ1" s="192"/>
      <c r="BR1" s="193"/>
      <c r="BT1" s="191" t="s">
        <v>143</v>
      </c>
      <c r="BU1" s="192"/>
      <c r="BV1" s="192"/>
      <c r="BW1" s="192"/>
      <c r="BX1" s="193"/>
      <c r="BZ1" s="246" t="s">
        <v>225</v>
      </c>
      <c r="CA1" s="247"/>
      <c r="CB1" s="18">
        <f>IF(ROUND('Alternative 1'!$B$28,2)='Alternative 1-Tilt Up (3pt)'!A3,9999,0)</f>
        <v>0</v>
      </c>
    </row>
    <row r="2" spans="1:80" ht="60" customHeight="1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110" t="s">
        <v>182</v>
      </c>
      <c r="F2" s="110" t="s">
        <v>181</v>
      </c>
      <c r="G2" s="110" t="s">
        <v>183</v>
      </c>
      <c r="H2" s="99" t="s">
        <v>158</v>
      </c>
      <c r="J2" s="18" t="s">
        <v>122</v>
      </c>
      <c r="K2" s="100" t="s">
        <v>123</v>
      </c>
      <c r="L2" s="99" t="s">
        <v>129</v>
      </c>
      <c r="M2" s="99" t="s">
        <v>125</v>
      </c>
      <c r="N2" s="99" t="s">
        <v>126</v>
      </c>
      <c r="O2" s="100" t="s">
        <v>127</v>
      </c>
      <c r="P2" s="100" t="s">
        <v>128</v>
      </c>
      <c r="R2" s="99" t="s">
        <v>113</v>
      </c>
      <c r="S2" s="99" t="s">
        <v>157</v>
      </c>
      <c r="T2" s="100" t="s">
        <v>153</v>
      </c>
      <c r="U2" s="100" t="s">
        <v>155</v>
      </c>
      <c r="V2" s="100" t="s">
        <v>156</v>
      </c>
      <c r="X2" s="99" t="s">
        <v>113</v>
      </c>
      <c r="Y2" s="99" t="s">
        <v>157</v>
      </c>
      <c r="Z2" s="100" t="s">
        <v>153</v>
      </c>
      <c r="AA2" s="100" t="s">
        <v>155</v>
      </c>
      <c r="AB2" s="100" t="s">
        <v>156</v>
      </c>
      <c r="AD2" s="99" t="s">
        <v>113</v>
      </c>
      <c r="AE2" s="99" t="s">
        <v>157</v>
      </c>
      <c r="AF2" s="100" t="s">
        <v>153</v>
      </c>
      <c r="AG2" s="100" t="s">
        <v>155</v>
      </c>
      <c r="AH2" s="100" t="s">
        <v>156</v>
      </c>
      <c r="AJ2" s="99" t="s">
        <v>113</v>
      </c>
      <c r="AK2" s="99" t="s">
        <v>157</v>
      </c>
      <c r="AL2" s="100" t="s">
        <v>153</v>
      </c>
      <c r="AM2" s="100" t="s">
        <v>155</v>
      </c>
      <c r="AN2" s="100" t="s">
        <v>156</v>
      </c>
      <c r="AP2" s="99" t="s">
        <v>113</v>
      </c>
      <c r="AQ2" s="99" t="s">
        <v>157</v>
      </c>
      <c r="AR2" s="100" t="s">
        <v>153</v>
      </c>
      <c r="AS2" s="100" t="s">
        <v>155</v>
      </c>
      <c r="AT2" s="100" t="s">
        <v>156</v>
      </c>
      <c r="AV2" s="99" t="s">
        <v>113</v>
      </c>
      <c r="AW2" s="99" t="s">
        <v>157</v>
      </c>
      <c r="AX2" s="100" t="s">
        <v>153</v>
      </c>
      <c r="AY2" s="100" t="s">
        <v>155</v>
      </c>
      <c r="AZ2" s="100" t="s">
        <v>156</v>
      </c>
      <c r="BB2" s="99" t="s">
        <v>113</v>
      </c>
      <c r="BC2" s="99" t="s">
        <v>157</v>
      </c>
      <c r="BD2" s="100" t="s">
        <v>153</v>
      </c>
      <c r="BE2" s="100" t="s">
        <v>155</v>
      </c>
      <c r="BF2" s="100" t="s">
        <v>156</v>
      </c>
      <c r="BH2" s="99" t="s">
        <v>113</v>
      </c>
      <c r="BI2" s="99" t="s">
        <v>157</v>
      </c>
      <c r="BJ2" s="100" t="s">
        <v>153</v>
      </c>
      <c r="BK2" s="100" t="s">
        <v>155</v>
      </c>
      <c r="BL2" s="100" t="s">
        <v>156</v>
      </c>
      <c r="BN2" s="99" t="s">
        <v>113</v>
      </c>
      <c r="BO2" s="99" t="s">
        <v>157</v>
      </c>
      <c r="BP2" s="100" t="s">
        <v>153</v>
      </c>
      <c r="BQ2" s="100" t="s">
        <v>155</v>
      </c>
      <c r="BR2" s="100" t="s">
        <v>156</v>
      </c>
      <c r="BT2" s="99" t="s">
        <v>113</v>
      </c>
      <c r="BU2" s="99" t="s">
        <v>157</v>
      </c>
      <c r="BV2" s="100" t="s">
        <v>153</v>
      </c>
      <c r="BW2" s="100" t="s">
        <v>155</v>
      </c>
      <c r="BX2" s="100" t="s">
        <v>156</v>
      </c>
      <c r="BZ2" s="99" t="s">
        <v>191</v>
      </c>
      <c r="CA2" s="99" t="s">
        <v>190</v>
      </c>
    </row>
    <row r="3" spans="1:80" ht="15" customHeight="1" x14ac:dyDescent="0.25">
      <c r="A3" s="18">
        <f>IF('Alternative 1'!F4&gt;0,'Alternative 1'!F4,"x")</f>
        <v>1</v>
      </c>
      <c r="B3" s="18">
        <f>IF('Alternative 1'!B12&gt;0,'Alternative 1'!B12,"x")</f>
        <v>36</v>
      </c>
      <c r="C3" s="18">
        <f>IF((A3="x"),0,C4+0.5)</f>
        <v>18</v>
      </c>
      <c r="D3" s="18">
        <f>A3</f>
        <v>1</v>
      </c>
      <c r="E3" s="101">
        <f>IF($A3&lt;='Alternative 1'!$B$27, IF($A3='Alternative 1'!$B$27,0,E4+1),0)</f>
        <v>15</v>
      </c>
      <c r="F3" s="101">
        <f>IF($A3&lt;=('Alternative 1'!$B$28), IF($A3=ROUNDDOWN('Alternative 1'!$B$28,0),0,F4+1),0)</f>
        <v>21</v>
      </c>
      <c r="G3" s="101">
        <f>IF($A3&lt;=('Alternative 1'!$B$29), IF($A3=ROUNDDOWN('Alternative 1'!$B$29,0),0,G4+1),0)</f>
        <v>28</v>
      </c>
      <c r="H3" s="18">
        <f>B3</f>
        <v>36</v>
      </c>
      <c r="J3" s="103">
        <v>0</v>
      </c>
      <c r="K3" s="103"/>
      <c r="L3" s="18">
        <f>'Alternative 1'!$B$27*SIN(K3)+'Alternative 1'!$B$28*SIN(K3)+'Alternative 1'!$B$29*SIN(K3)</f>
        <v>0</v>
      </c>
      <c r="M3" s="104">
        <f>(('Alternative 1'!$B$27)*(((('Alternative 1'!$B$28-'Alternative 1'!$B$27)/2)+'Alternative 1'!$B$27)*'Alternative 1'!$B$39)*COS('Alternative 1-Tilt Up (3pt)'!K3))+(('Alternative 1'!$B$28)*((('Alternative 1'!$B$28-'Alternative 1'!$B$27)/2)+(('Alternative 1'!$B$29-'Alternative 1'!$B$28)/2))*('Alternative 1'!$B$39)*COS('Alternative 1-Tilt Up (3pt)'!K3))+(('Alternative 1'!$B$29)*((('Alternative 1'!$B$12-'Alternative 1'!$B$29+(('Alternative 1'!$B$29-'Alternative 1'!$B$28)/2)*('Alternative 1'!$B$39)*COS('Alternative 1-Tilt Up (3pt)'!K3)))))</f>
        <v>4746112.4232982202</v>
      </c>
      <c r="N3" s="104" t="e">
        <f t="shared" ref="N3:N66" si="0">M3*3/L3</f>
        <v>#DIV/0!</v>
      </c>
      <c r="O3" s="104">
        <f>(((('Alternative 1'!$B$28-'Alternative 1'!$B$27)/2)+'Alternative 1'!$B$27)*('Alternative 1'!$B$39)*COS('Alternative 1-Tilt Up (3pt)'!K3))+(((('Alternative 1'!$B$28-'Alternative 1'!$B$27)/2)+(('Alternative 1'!$B$29-'Alternative 1'!$B$28)/2))*('Alternative 1'!$B$39)*COS('Alternative 1-Tilt Up (3pt)'!K3))+(((('Alternative 1'!$B$12-'Alternative 1'!$B$29)+(('Alternative 1'!$B$29-'Alternative 1'!$B$28)/2))*('Alternative 1'!$B$39)*COS('Alternative 1-Tilt Up (3pt)'!K3)))</f>
        <v>306119.90662501159</v>
      </c>
      <c r="P3" s="104" t="e">
        <f t="shared" ref="P3:P66" si="1">N3*COS(K3)</f>
        <v>#DIV/0!</v>
      </c>
      <c r="R3" s="105">
        <f>'Alternative 1'!$B$39*$B3*$C3*COS($K$5)-($N$5/3)*$E3*SIN($K$5)-($N$5/3)*$F3*SIN($K$5)-($N$5/3)*$G3*SIN($K$5)</f>
        <v>1042593.360605106</v>
      </c>
      <c r="S3" s="106">
        <f>IF(($A3&lt;'Alternative 1'!$B$27),(($H3*'Alternative 1'!$B$39)+(3*($N$5/3)*COS($K$5))),IF(($A3&lt;'Alternative 1'!$B$28),(($H3*'Alternative 1'!$B$39)+(2*(($N$5/3)*COS($K$5)))),IF(($A3&lt;'Alternative 1'!$B$29),(($H$3*'Alternative 1'!$B$39+(($N$5/3)*COS($K$5)))),($H3*'Alternative 1'!$B$39))))</f>
        <v>6298535.5378487883</v>
      </c>
      <c r="T3" s="105">
        <f>R3*'Alternative 1'!$K4/'Alternative 1'!$L4</f>
        <v>8296701.3566785147</v>
      </c>
      <c r="U3" s="105">
        <f>S3/'Alternative 1'!$M4</f>
        <v>1825244.5260042725</v>
      </c>
      <c r="V3" s="105">
        <f t="shared" ref="V3:V66" si="2">(T3+U3)/1000000</f>
        <v>10.121945882682787</v>
      </c>
      <c r="X3" s="105">
        <f>'Alternative 1'!$B$39*$B3*$C3*COS($K$13)-($N$12/3)*$E3*SIN($K$13)-($N$12/3)*$F3*SIN($K$13)-($N$12/3)*$G3*SIN($K$13)</f>
        <v>529030.34312356031</v>
      </c>
      <c r="Y3" s="106">
        <f>IF(($A3&lt;'Alternative 1'!$B$27),(($H3*'Alternative 1'!$B$39)+(3*($N$12/3)*COS($K$13))),IF(($A3&lt;'Alternative 1'!$B$28),(($H3*'Alternative 1'!$B$39)+(2*(($N$12/3)*COS($K$13)))),IF(($A3&lt;'Alternative 1'!$B$29),(($H$3*'Alternative 1'!$B$39+(($N$12/3)*COS($K$13)))),($H3*'Alternative 1'!$B$39))))</f>
        <v>1608055.5926517113</v>
      </c>
      <c r="Z3" s="105">
        <f>X3*'Alternative 1'!$K4/'Alternative 1'!$L4</f>
        <v>4209893.2636305206</v>
      </c>
      <c r="AA3" s="105">
        <f>Y3/'Alternative 1'!$M4</f>
        <v>465996.36540282972</v>
      </c>
      <c r="AB3" s="105">
        <f t="shared" ref="AB3:AB66" si="3">(Z3+AA3)/1000000</f>
        <v>4.6758896290333505</v>
      </c>
      <c r="AD3" s="105">
        <f>'Alternative 1'!$B$39*$B3*$C3*COS($K$23)-($N$22/3)*$E3*SIN($K$23)-($N$22/3)*$F3*SIN($K$23)-($N$22/3)*$G3*SIN($K$23)</f>
        <v>740849.82228926686</v>
      </c>
      <c r="AE3" s="106">
        <f>IF(($A3&lt;'Alternative 1'!$B$27),(($H3*'Alternative 1'!$B$39)+(3*($N$22/3)*COS($K$23))),IF(($A3&lt;'Alternative 1'!$B$28),(($H3*'Alternative 1'!$B$39)+(2*(($N$22/3)*COS($K$23)))),IF(($A3&lt;'Alternative 1'!$B$29),(($H$3*'Alternative 1'!$B$39+(($N$22/3)*COS($K$23)))),($H3*'Alternative 1'!$B$39))))</f>
        <v>877552.96178322355</v>
      </c>
      <c r="AF3" s="105">
        <f>AD3*'Alternative 1'!$K4/'Alternative 1'!$L4</f>
        <v>5895500.5450207293</v>
      </c>
      <c r="AG3" s="105">
        <f>AE3/'Alternative 1'!$M4</f>
        <v>254304.94599078331</v>
      </c>
      <c r="AH3" s="105">
        <f t="shared" ref="AH3:AH66" si="4">(AF3+AG3)/1000000</f>
        <v>6.1498054910115121</v>
      </c>
      <c r="AJ3" s="105">
        <f>'Alternative 1'!$B$39*$B3*$C3*COS($K$33)-($N$32/3)*$E3*SIN($K$33)-($N$32/3)*$F3*SIN($K$33)-($N$32/3)*$G3*SIN($K$33)</f>
        <v>742636.35056391661</v>
      </c>
      <c r="AK3" s="106">
        <f>IF(($A3&lt;'Alternative 1'!$B$27),(($H3*'Alternative 1'!$B$39)+(3*($N$32/3)*COS($K$33))),IF(($A3&lt;'Alternative 1'!$B$28),(($H3*'Alternative 1'!$B$39)+(2*(($N$32/3)*COS($K$33)))),IF(($A3&lt;'Alternative 1'!$B$29),(($H$3*'Alternative 1'!$B$39+(($N$32/3)*COS($K$33)))),($H3*'Alternative 1'!$B$39))))</f>
        <v>633258.35606959346</v>
      </c>
      <c r="AL3" s="105">
        <f>AJ3*'Alternative 1'!$K4/'Alternative 1'!$L4</f>
        <v>5909717.2973233033</v>
      </c>
      <c r="AM3" s="105">
        <f>AK3/'Alternative 1'!$M4</f>
        <v>183511.12588264624</v>
      </c>
      <c r="AN3" s="105">
        <f t="shared" ref="AN3:AN66" si="5">(AL3+AM3)/1000000</f>
        <v>6.0932284232059493</v>
      </c>
      <c r="AP3" s="105">
        <f>'Alternative 1'!$B$39*$B3*$C3*COS($K$43)-($N$42/3)*$E3*SIN($K$43)-($N$42/3)*$F3*SIN($K$43)-($N$42/3)*$G3*SIN($K$43)</f>
        <v>675240.30499292654</v>
      </c>
      <c r="AQ3" s="106">
        <f>IF(($A3&lt;'Alternative 1'!$B$27),(($H3*'Alternative 1'!$B$39)+(3*($N$42/3)*COS($K$43))),IF(($A3&lt;'Alternative 1'!$B$28),(($H3*'Alternative 1'!$B$39)+(2*(($N$42/3)*COS($K$43)))),IF(($A3&lt;'Alternative 1'!$B$29),(($H$3*'Alternative 1'!$B$39+(($N$42/3)*COS($K$43)))),($H3*'Alternative 1'!$B$39))))</f>
        <v>504199.73628121638</v>
      </c>
      <c r="AR3" s="105">
        <f>AP3*'Alternative 1'!$K4/'Alternative 1'!$L4</f>
        <v>5373396.1544387285</v>
      </c>
      <c r="AS3" s="105">
        <f>AQ3/'Alternative 1'!$M4</f>
        <v>146111.39416931901</v>
      </c>
      <c r="AT3" s="105">
        <f t="shared" ref="AT3:AT66" si="6">(AR3+AS3)/1000000</f>
        <v>5.5195075486080478</v>
      </c>
      <c r="AV3" s="105">
        <f>'Alternative 1'!$B$39*$B3*$C3*COS($K$53)-($N$52/3)*$E3*SIN($K$53)-($N$52/3)*$F3*SIN($K$53)-($N$52/3)*$G3*SIN($K$53)</f>
        <v>567214.13764524809</v>
      </c>
      <c r="AW3" s="106">
        <f>IF(($A3&lt;'Alternative 1'!$B$27),(($H3*'Alternative 1'!$B$39)+(3*($N$52/3)*COS($K$53))),IF(($A3&lt;'Alternative 1'!$B$28),(($H3*'Alternative 1'!$B$39)+(2*(($N$52/3)*COS($K$53)))),IF(($A3&lt;'Alternative 1'!$B$29),(($H$3*'Alternative 1'!$B$39+(($N$52/3)*COS($K$53)))),($H3*'Alternative 1'!$B$39))))</f>
        <v>423121.10195907514</v>
      </c>
      <c r="AX3" s="105">
        <f>AV3*'Alternative 1'!$K4/'Alternative 1'!$L4</f>
        <v>4513750.5024943426</v>
      </c>
      <c r="AY3" s="105">
        <f>AW3/'Alternative 1'!$M4</f>
        <v>122615.72083650892</v>
      </c>
      <c r="AZ3" s="105">
        <f t="shared" ref="AZ3:AZ66" si="7">(AX3+AY3)/1000000</f>
        <v>4.6363662233308514</v>
      </c>
      <c r="BB3" s="105">
        <f>'Alternative 1'!$B$39*$B3*$C3*COS($K$63)-($N$62/3)*$E3*SIN($K$63)-($N$62/3)*$F3*SIN($K$63)-($N$62/3)*$G3*SIN($K$63)</f>
        <v>430575.0904595945</v>
      </c>
      <c r="BC3" s="106">
        <f>IF(($A3&lt;'Alternative 1'!$B$27),(($H3*'Alternative 1'!$B$39)+(3*($N$62/3)*COS($K$63))),IF(($A3&lt;'Alternative 1'!$B$28),(($H3*'Alternative 1'!$B$39)+(2*(($N$62/3)*COS($K$63)))),IF(($A3&lt;'Alternative 1'!$B$29),(($H$3*'Alternative 1'!$B$39+(($N$62/3)*COS($K$63)))),($H3*'Alternative 1'!$B$39))))</f>
        <v>369028.64334681258</v>
      </c>
      <c r="BD3" s="105">
        <f>BB3*'Alternative 1'!$K4/'Alternative 1'!$L4</f>
        <v>3426410.595109439</v>
      </c>
      <c r="BE3" s="105">
        <f>BC3/'Alternative 1'!$M4</f>
        <v>106940.33671160392</v>
      </c>
      <c r="BF3" s="105">
        <f t="shared" ref="BF3:BF66" si="8">(BD3+BE3)/1000000</f>
        <v>3.5333509318210425</v>
      </c>
      <c r="BH3" s="105">
        <f>'Alternative 1'!$B$39*$B3*$C3*COS($K$73)-($N$72/3)*$E3*SIN($K$73)-($N$72/3)*$F3*SIN($K$73)-($N$72/3)*$G3*SIN($K$73)</f>
        <v>273181.37703530118</v>
      </c>
      <c r="BI3" s="106">
        <f>IF(($A3&lt;'Alternative 1'!$B$27),(($H3*'Alternative 1'!$B$39)+(3*($N$72/3)*COS($K$73))),IF(($A3&lt;'Alternative 1'!$B$28),(($H3*'Alternative 1'!$B$39)+(2*(($N$72/3)*COS($K$73)))),IF(($A3&lt;'Alternative 1'!$B$29),(($H$3*'Alternative 1'!$B$39+(($N$72/3)*COS($K$73)))),($H3*'Alternative 1'!$B$39))))</f>
        <v>333612.23495678173</v>
      </c>
      <c r="BJ3" s="105">
        <f>BH3*'Alternative 1'!$K4/'Alternative 1'!$L4</f>
        <v>2173910.1620143079</v>
      </c>
      <c r="BK3" s="105">
        <f>BI3/'Alternative 1'!$M4</f>
        <v>96677.06119998965</v>
      </c>
      <c r="BL3" s="105">
        <f t="shared" ref="BL3:BL66" si="9">(BJ3+BK3)/1000000</f>
        <v>2.2705872232142976</v>
      </c>
      <c r="BN3" s="105">
        <f>'Alternative 1'!$B$39*$B3*$C3*COS($K$83)-($N$82/3)*$E3*SIN($K$83)-($N$82/3)*$F3*SIN($K$83)-($N$82/3)*$G3*SIN($K$83)</f>
        <v>101587.54253658489</v>
      </c>
      <c r="BO3" s="106">
        <f>IF(($A3&lt;'Alternative 1'!$B$27),(($H3*'Alternative 1'!$B$39)+(3*($N$82/3)*COS($K$83))),IF(($A3&lt;'Alternative 1'!$B$28),(($H3*'Alternative 1'!$B$39)+(2*(($N$82/3)*COS($K$83)))),IF(($A3&lt;'Alternative 1'!$B$29),(($H$3*'Alternative 1'!$B$39+(($N$82/3)*COS($K$83)))),($H3*'Alternative 1'!$B$39))))</f>
        <v>313188.75671695999</v>
      </c>
      <c r="BP3" s="105">
        <f>BN3*'Alternative 1'!$K4/'Alternative 1'!$L4</f>
        <v>808408.66039636696</v>
      </c>
      <c r="BQ3" s="105">
        <f>BO3/'Alternative 1'!$M4</f>
        <v>90758.567665231589</v>
      </c>
      <c r="BR3" s="105">
        <f t="shared" ref="BR3:BR66" si="10">(BP3+BQ3)/1000000</f>
        <v>0.89916722806159854</v>
      </c>
      <c r="BT3" s="105">
        <f>'Alternative 1'!$B$39*$B3*$C3*COS($K$93)-($K$92/3)*$E3*SIN($K$93)-($K$92/3)*$F3*SIN($K$93)-($K$92/3)*$G3*SIN($K$93)</f>
        <v>-33.137984730861469</v>
      </c>
      <c r="BU3" s="106">
        <f>IF(($A3&lt;'Alternative 1'!$B$27),(($H3*'Alternative 1'!$B$39)+(3*($N$92/3)*COS($K$93))),IF(($A3&lt;'Alternative 1'!$B$28),(($H3*'Alternative 1'!$B$39)+(2*(($N$92/3)*COS($K$93)))),IF(($A3&lt;'Alternative 1'!$B$29),(($H$3*'Alternative 1'!$B$39+(($N$92/3)*COS($K$93)))),($H3*'Alternative 1'!$B$39))))</f>
        <v>306119.90662501159</v>
      </c>
      <c r="BV3" s="105">
        <f>BT3*'Alternative 1'!$K4/'Alternative 1'!$L4</f>
        <v>-263.70392644219544</v>
      </c>
      <c r="BW3" s="105">
        <f>BU3/'Alternative 1'!$M4</f>
        <v>88710.094673701824</v>
      </c>
      <c r="BX3" s="105">
        <f t="shared" ref="BX3:BX66" si="11">(BV3+BW3)/1000000</f>
        <v>8.8446390747259629E-2</v>
      </c>
      <c r="BZ3" s="104">
        <v>150</v>
      </c>
      <c r="CA3" s="104">
        <v>-150</v>
      </c>
    </row>
    <row r="4" spans="1:80" ht="15" customHeight="1" x14ac:dyDescent="0.25">
      <c r="A4" s="18">
        <f>IF('Alternative 1'!F5&gt;0,'Alternative 1'!F5,"x")</f>
        <v>2</v>
      </c>
      <c r="B4" s="18">
        <f>IF(B3-1&gt;0,B3-1,"x")</f>
        <v>35</v>
      </c>
      <c r="C4" s="18">
        <f t="shared" ref="C4:C67" si="12">IF((A4="x"),0,C5+0.5)</f>
        <v>17.5</v>
      </c>
      <c r="D4" s="18">
        <f t="shared" ref="D4:D67" si="13">A4</f>
        <v>2</v>
      </c>
      <c r="E4" s="101">
        <f>IF($A4&lt;='Alternative 1'!$B$27, IF($A4='Alternative 1'!$B$27,0,E5+1),0)</f>
        <v>14</v>
      </c>
      <c r="F4" s="101">
        <f>IF($A4&lt;=('Alternative 1'!$B$28), IF($A4=ROUNDDOWN('Alternative 1'!$B$28,0),0,F5+1),0)</f>
        <v>20</v>
      </c>
      <c r="G4" s="101">
        <f>IF($A4&lt;=('Alternative 1'!$B$29), IF($A4=ROUNDDOWN('Alternative 1'!$B$29,0),0,G5+1),0)</f>
        <v>27</v>
      </c>
      <c r="H4" s="18">
        <f t="shared" ref="H4:H67" si="14">B4</f>
        <v>35</v>
      </c>
      <c r="J4" s="104">
        <f t="shared" ref="J4:J67" si="15">J3+1</f>
        <v>1</v>
      </c>
      <c r="K4" s="104">
        <f t="shared" ref="K4:K67" si="16">J4*PI()/180</f>
        <v>1.7453292519943295E-2</v>
      </c>
      <c r="L4" s="105">
        <f>'Alternative 1'!$B$27*SIN(K4)+'Alternative 1'!$B$28*SIN(K4)+'Alternative 1'!$B$29*SIN(K4)</f>
        <v>1.1867636377352788</v>
      </c>
      <c r="M4" s="104">
        <f>(('Alternative 1'!$B$27)*(((('Alternative 1'!$B$28-'Alternative 1'!$B$27)/2)+'Alternative 1'!$B$27)*'Alternative 1'!$B$39)*COS('Alternative 1-Tilt Up (3pt)'!K4))+(('Alternative 1'!$B$28)*((('Alternative 1'!$B$28-'Alternative 1'!$B$27)/2)+(('Alternative 1'!$B$29-'Alternative 1'!$B$28)/2))*('Alternative 1'!$B$39)*COS('Alternative 1-Tilt Up (3pt)'!K4))+(('Alternative 1'!$B$29)*((('Alternative 1'!$B$12-'Alternative 1'!$B$29+(('Alternative 1'!$B$29-'Alternative 1'!$B$28)/2)*('Alternative 1'!$B$39)*COS('Alternative 1-Tilt Up (3pt)'!K4)))))</f>
        <v>4745389.5971834045</v>
      </c>
      <c r="N4" s="104">
        <f t="shared" si="0"/>
        <v>11995791.191173784</v>
      </c>
      <c r="O4" s="104">
        <f>(((('Alternative 1'!$B$28-'Alternative 1'!$B$27)/2)+'Alternative 1'!$B$27)*('Alternative 1'!$B$39)*COS('Alternative 1-Tilt Up (3pt)'!K4))+(((('Alternative 1'!$B$28-'Alternative 1'!$B$27)/2)+(('Alternative 1'!$B$29-'Alternative 1'!$B$28)/2))*('Alternative 1'!$B$39)*COS('Alternative 1-Tilt Up (3pt)'!K4))+(((('Alternative 1'!$B$12-'Alternative 1'!$B$29)+(('Alternative 1'!$B$29-'Alternative 1'!$B$28)/2))*('Alternative 1'!$B$39)*COS('Alternative 1-Tilt Up (3pt)'!K4)))</f>
        <v>306073.28308050754</v>
      </c>
      <c r="P4" s="104">
        <f t="shared" si="1"/>
        <v>11993964.17407245</v>
      </c>
      <c r="R4" s="105">
        <f>'Alternative 1'!$B$39*$B4*$C4*COS($K$5)-($N$5/3)*$E4*SIN($K$5)-($N$5/3)*$F4*SIN($K$5)-($N$5/3)*$G4*SIN($K$5)</f>
        <v>950168.77428296232</v>
      </c>
      <c r="S4" s="106">
        <f>IF(($A4&lt;'Alternative 1'!$B$27),(($H4*'Alternative 1'!$B$39)+(3*($N$5/3)*COS($K$5))),IF(($A4&lt;'Alternative 1'!$B$28),(($H4*'Alternative 1'!$B$39)+(2*(($N$5/3)*COS($K$5)))),IF(($A4&lt;'Alternative 1'!$B$29),(($H$3*'Alternative 1'!$B$39+(($N$5/3)*COS($K$5)))),($H4*'Alternative 1'!$B$39))))</f>
        <v>6290032.2071092045</v>
      </c>
      <c r="T4" s="105">
        <f>R4*'Alternative 1'!$K5/'Alternative 1'!$L5</f>
        <v>7561209.2466152683</v>
      </c>
      <c r="U4" s="105">
        <f>S4/'Alternative 1'!$M5</f>
        <v>1857869.7766197508</v>
      </c>
      <c r="V4" s="105">
        <f t="shared" si="2"/>
        <v>9.4190790232350192</v>
      </c>
      <c r="X4" s="105">
        <f>'Alternative 1'!$B$39*$B4*$C4*COS($K$13)-($N$12/3)*$E4*SIN($K$13)-($N$12/3)*$F4*SIN($K$13)-($N$12/3)*$G4*SIN($K$13)</f>
        <v>461314.54734095233</v>
      </c>
      <c r="Y4" s="106">
        <f>IF(($A4&lt;'Alternative 1'!$B$27),(($H4*'Alternative 1'!$B$39)+(3*($N$12/3)*COS($K$13))),IF(($A4&lt;'Alternative 1'!$B$28),(($H4*'Alternative 1'!$B$39)+(2*(($N$12/3)*COS($K$13)))),IF(($A4&lt;'Alternative 1'!$B$29),(($H$3*'Alternative 1'!$B$39+(($N$12/3)*COS($K$13)))),($H4*'Alternative 1'!$B$39))))</f>
        <v>1599552.2619121275</v>
      </c>
      <c r="Z4" s="105">
        <f>X4*'Alternative 1'!$K5/'Alternative 1'!$L5</f>
        <v>3671027.6272600209</v>
      </c>
      <c r="AA4" s="105">
        <f>Y4/'Alternative 1'!$M5</f>
        <v>472455.41925389814</v>
      </c>
      <c r="AB4" s="105">
        <f t="shared" si="3"/>
        <v>4.1434830465139196</v>
      </c>
      <c r="AD4" s="105">
        <f>'Alternative 1'!$B$39*$B4*$C4*COS($K$23)-($N$22/3)*$E4*SIN($K$23)-($N$22/3)*$F4*SIN($K$23)-($N$22/3)*$G4*SIN($K$23)</f>
        <v>665171.08648550231</v>
      </c>
      <c r="AE4" s="106">
        <f>IF(($A4&lt;'Alternative 1'!$B$27),(($H4*'Alternative 1'!$B$39)+(3*($N$22/3)*COS($K$23))),IF(($A4&lt;'Alternative 1'!$B$28),(($H4*'Alternative 1'!$B$39)+(2*(($N$22/3)*COS($K$23)))),IF(($A4&lt;'Alternative 1'!$B$29),(($H$3*'Alternative 1'!$B$39+(($N$22/3)*COS($K$23)))),($H4*'Alternative 1'!$B$39))))</f>
        <v>869049.63104363985</v>
      </c>
      <c r="AF4" s="105">
        <f>AD4*'Alternative 1'!$K5/'Alternative 1'!$L5</f>
        <v>5293267.7918307474</v>
      </c>
      <c r="AG4" s="105">
        <f>AE4/'Alternative 1'!$M5</f>
        <v>256688.83572228305</v>
      </c>
      <c r="AH4" s="105">
        <f t="shared" si="4"/>
        <v>5.5499566275530308</v>
      </c>
      <c r="AJ4" s="105">
        <f>'Alternative 1'!$B$39*$B4*$C4*COS($K$33)-($N$32/3)*$E4*SIN($K$33)-($N$32/3)*$F4*SIN($K$33)-($N$32/3)*$G4*SIN($K$33)</f>
        <v>670084.25689027156</v>
      </c>
      <c r="AK4" s="106">
        <f>IF(($A4&lt;'Alternative 1'!$B$27),(($H4*'Alternative 1'!$B$39)+(3*($N$32/3)*COS($K$33))),IF(($A4&lt;'Alternative 1'!$B$28),(($H4*'Alternative 1'!$B$39)+(2*(($N$32/3)*COS($K$33)))),IF(($A4&lt;'Alternative 1'!$B$29),(($H$3*'Alternative 1'!$B$39+(($N$32/3)*COS($K$33)))),($H4*'Alternative 1'!$B$39))))</f>
        <v>624755.02533000975</v>
      </c>
      <c r="AL4" s="105">
        <f>AJ4*'Alternative 1'!$K5/'Alternative 1'!$L5</f>
        <v>5332365.5926638395</v>
      </c>
      <c r="AM4" s="105">
        <f>AK4/'Alternative 1'!$M5</f>
        <v>184532.19969844588</v>
      </c>
      <c r="AN4" s="105">
        <f t="shared" si="5"/>
        <v>5.5168977923622862</v>
      </c>
      <c r="AP4" s="105">
        <f>'Alternative 1'!$B$39*$B4*$C4*COS($K$43)-($N$42/3)*$E4*SIN($K$43)-($N$42/3)*$F4*SIN($K$43)-($N$42/3)*$G4*SIN($K$43)</f>
        <v>610204.52823344618</v>
      </c>
      <c r="AQ4" s="106">
        <f>IF(($A4&lt;'Alternative 1'!$B$27),(($H4*'Alternative 1'!$B$39)+(3*($N$42/3)*COS($K$43))),IF(($A4&lt;'Alternative 1'!$B$28),(($H4*'Alternative 1'!$B$39)+(2*(($N$42/3)*COS($K$43)))),IF(($A4&lt;'Alternative 1'!$B$29),(($H$3*'Alternative 1'!$B$39+(($N$42/3)*COS($K$43)))),($H4*'Alternative 1'!$B$39))))</f>
        <v>495696.40554163267</v>
      </c>
      <c r="AR4" s="105">
        <f>AP4*'Alternative 1'!$K5/'Alternative 1'!$L5</f>
        <v>4855857.4498378709</v>
      </c>
      <c r="AS4" s="105">
        <f>AQ4/'Alternative 1'!$M5</f>
        <v>146412.50472357997</v>
      </c>
      <c r="AT4" s="105">
        <f t="shared" si="6"/>
        <v>5.0022699545614504</v>
      </c>
      <c r="AV4" s="105">
        <f>'Alternative 1'!$B$39*$B4*$C4*COS($K$53)-($N$52/3)*$E4*SIN($K$53)-($N$52/3)*$F4*SIN($K$53)-($N$52/3)*$G4*SIN($K$53)</f>
        <v>512613.56728571281</v>
      </c>
      <c r="AW4" s="106">
        <f>IF(($A4&lt;'Alternative 1'!$B$27),(($H4*'Alternative 1'!$B$39)+(3*($N$52/3)*COS($K$53))),IF(($A4&lt;'Alternative 1'!$B$28),(($H4*'Alternative 1'!$B$39)+(2*(($N$52/3)*COS($K$53)))),IF(($A4&lt;'Alternative 1'!$B$29),(($H$3*'Alternative 1'!$B$39+(($N$52/3)*COS($K$53)))),($H4*'Alternative 1'!$B$39))))</f>
        <v>414617.77121949143</v>
      </c>
      <c r="AX4" s="105">
        <f>AV4*'Alternative 1'!$K5/'Alternative 1'!$L5</f>
        <v>4079252.602071824</v>
      </c>
      <c r="AY4" s="105">
        <f>AW4/'Alternative 1'!$M5</f>
        <v>122464.52810329177</v>
      </c>
      <c r="AZ4" s="105">
        <f t="shared" si="7"/>
        <v>4.2017171301751155</v>
      </c>
      <c r="BB4" s="105">
        <f>'Alternative 1'!$B$39*$B4*$C4*COS($K$63)-($N$62/3)*$E4*SIN($K$63)-($N$62/3)*$F4*SIN($K$63)-($N$62/3)*$G4*SIN($K$63)</f>
        <v>388602.09807411768</v>
      </c>
      <c r="BC4" s="106">
        <f>IF(($A4&lt;'Alternative 1'!$B$27),(($H4*'Alternative 1'!$B$39)+(3*($N$62/3)*COS($K$63))),IF(($A4&lt;'Alternative 1'!$B$28),(($H4*'Alternative 1'!$B$39)+(2*(($N$62/3)*COS($K$63)))),IF(($A4&lt;'Alternative 1'!$B$29),(($H$3*'Alternative 1'!$B$39+(($N$62/3)*COS($K$63)))),($H4*'Alternative 1'!$B$39))))</f>
        <v>360525.31260722887</v>
      </c>
      <c r="BD4" s="105">
        <f>BB4*'Alternative 1'!$K5/'Alternative 1'!$L5</f>
        <v>3092399.8522572783</v>
      </c>
      <c r="BE4" s="105">
        <f>BC4/'Alternative 1'!$M5</f>
        <v>106487.38511105199</v>
      </c>
      <c r="BF4" s="105">
        <f t="shared" si="8"/>
        <v>3.1988872373683304</v>
      </c>
      <c r="BH4" s="105">
        <f>'Alternative 1'!$B$39*$B4*$C4*COS($K$73)-($N$72/3)*$E4*SIN($K$73)-($N$72/3)*$F4*SIN($K$73)-($N$72/3)*$G4*SIN($K$73)</f>
        <v>245470.90919549437</v>
      </c>
      <c r="BI4" s="106">
        <f>IF(($A4&lt;'Alternative 1'!$B$27),(($H4*'Alternative 1'!$B$39)+(3*($N$72/3)*COS($K$73))),IF(($A4&lt;'Alternative 1'!$B$28),(($H4*'Alternative 1'!$B$39)+(2*(($N$72/3)*COS($K$73)))),IF(($A4&lt;'Alternative 1'!$B$29),(($H$3*'Alternative 1'!$B$39+(($N$72/3)*COS($K$73)))),($H4*'Alternative 1'!$B$39))))</f>
        <v>325108.90421719803</v>
      </c>
      <c r="BJ4" s="105">
        <f>BH4*'Alternative 1'!$K5/'Alternative 1'!$L5</f>
        <v>1953397.0791501629</v>
      </c>
      <c r="BK4" s="105">
        <f>BI4/'Alternative 1'!$M5</f>
        <v>96026.536489340288</v>
      </c>
      <c r="BL4" s="105">
        <f t="shared" si="9"/>
        <v>2.0494236156395029</v>
      </c>
      <c r="BN4" s="105">
        <f>'Alternative 1'!$B$39*$B4*$C4*COS($K$83)-($N$82/3)*$E4*SIN($K$83)-($N$82/3)*$F4*SIN($K$83)-($N$82/3)*$G4*SIN($K$83)</f>
        <v>89258.113559164514</v>
      </c>
      <c r="BO4" s="106">
        <f>IF(($A4&lt;'Alternative 1'!$B$27),(($H4*'Alternative 1'!$B$39)+(3*($N$82/3)*COS($K$83))),IF(($A4&lt;'Alternative 1'!$B$28),(($H4*'Alternative 1'!$B$39)+(2*(($N$82/3)*COS($K$83)))),IF(($A4&lt;'Alternative 1'!$B$29),(($H$3*'Alternative 1'!$B$39+(($N$82/3)*COS($K$83)))),($H4*'Alternative 1'!$B$39))))</f>
        <v>304685.42597737629</v>
      </c>
      <c r="BP4" s="105">
        <f>BN4*'Alternative 1'!$K5/'Alternative 1'!$L5</f>
        <v>710294.09915969719</v>
      </c>
      <c r="BQ4" s="105">
        <f>BO4/'Alternative 1'!$M5</f>
        <v>89994.109038121489</v>
      </c>
      <c r="BR4" s="105">
        <f t="shared" si="10"/>
        <v>0.80028820819781876</v>
      </c>
      <c r="BT4" s="105">
        <f>'Alternative 1'!$B$39*$B4*$C4*COS($K$93)-($K$92/3)*$E4*SIN($K$93)-($K$92/3)*$F4*SIN($K$93)-($K$92/3)*$G4*SIN($K$93)</f>
        <v>-31.584641696605004</v>
      </c>
      <c r="BU4" s="106">
        <f>IF(($A4&lt;'Alternative 1'!$B$27),(($H4*'Alternative 1'!$B$39)+(3*($N$92/3)*COS($K$93))),IF(($A4&lt;'Alternative 1'!$B$28),(($H4*'Alternative 1'!$B$39)+(2*(($N$92/3)*COS($K$93)))),IF(($A4&lt;'Alternative 1'!$B$29),(($H$3*'Alternative 1'!$B$39+(($N$92/3)*COS($K$93)))),($H4*'Alternative 1'!$B$39))))</f>
        <v>297616.57588542788</v>
      </c>
      <c r="BV4" s="105">
        <f>BT4*'Alternative 1'!$K5/'Alternative 1'!$L5</f>
        <v>-251.34280489023877</v>
      </c>
      <c r="BW4" s="105">
        <f>BU4/'Alternative 1'!$M5</f>
        <v>87906.201932265452</v>
      </c>
      <c r="BX4" s="105">
        <f t="shared" si="11"/>
        <v>8.7654859127375209E-2</v>
      </c>
      <c r="BZ4" s="104">
        <v>150</v>
      </c>
      <c r="CA4" s="104">
        <v>-150</v>
      </c>
    </row>
    <row r="5" spans="1:80" ht="15" customHeight="1" x14ac:dyDescent="0.25">
      <c r="A5" s="18">
        <f>IF('Alternative 1'!F6&gt;0,'Alternative 1'!F6,"x")</f>
        <v>3</v>
      </c>
      <c r="B5" s="18">
        <f t="shared" ref="B5:B68" si="17">IF(B4-1&gt;0,B4-1,"x")</f>
        <v>34</v>
      </c>
      <c r="C5" s="18">
        <f t="shared" si="12"/>
        <v>17</v>
      </c>
      <c r="D5" s="18">
        <f t="shared" si="13"/>
        <v>3</v>
      </c>
      <c r="E5" s="101">
        <f>IF($A5&lt;='Alternative 1'!$B$27, IF($A5='Alternative 1'!$B$27,0,E6+1),0)</f>
        <v>13</v>
      </c>
      <c r="F5" s="101">
        <f>IF($A5&lt;=('Alternative 1'!$B$28), IF($A5=ROUNDDOWN('Alternative 1'!$B$28,0),0,F6+1),0)</f>
        <v>19</v>
      </c>
      <c r="G5" s="101">
        <f>IF($A5&lt;=('Alternative 1'!$B$29), IF($A5=ROUNDDOWN('Alternative 1'!$B$29,0),0,G6+1),0)</f>
        <v>26</v>
      </c>
      <c r="H5" s="18">
        <f t="shared" si="14"/>
        <v>34</v>
      </c>
      <c r="J5" s="104">
        <f t="shared" si="15"/>
        <v>2</v>
      </c>
      <c r="K5" s="104">
        <f t="shared" si="16"/>
        <v>3.4906585039886591E-2</v>
      </c>
      <c r="L5" s="105">
        <f>'Alternative 1'!$B$27*SIN(K5)+'Alternative 1'!$B$28*SIN(K5)+'Alternative 1'!$B$29*SIN(K5)</f>
        <v>2.3731657757700662</v>
      </c>
      <c r="M5" s="104">
        <f>(('Alternative 1'!$B$27)*(((('Alternative 1'!$B$28-'Alternative 1'!$B$27)/2)+'Alternative 1'!$B$27)*'Alternative 1'!$B$39)*COS('Alternative 1-Tilt Up (3pt)'!K5))+(('Alternative 1'!$B$28)*((('Alternative 1'!$B$28-'Alternative 1'!$B$27)/2)+(('Alternative 1'!$B$29-'Alternative 1'!$B$28)/2))*('Alternative 1'!$B$39)*COS('Alternative 1-Tilt Up (3pt)'!K5))+(('Alternative 1'!$B$29)*((('Alternative 1'!$B$12-'Alternative 1'!$B$29+(('Alternative 1'!$B$29-'Alternative 1'!$B$28)/2)*('Alternative 1'!$B$39)*COS('Alternative 1-Tilt Up (3pt)'!K5)))))</f>
        <v>4743221.3390187928</v>
      </c>
      <c r="N5" s="108">
        <f t="shared" si="0"/>
        <v>5996068.2740079593</v>
      </c>
      <c r="O5" s="104">
        <f>(((('Alternative 1'!$B$28-'Alternative 1'!$B$27)/2)+'Alternative 1'!$B$27)*('Alternative 1'!$B$39)*COS('Alternative 1-Tilt Up (3pt)'!K5))+(((('Alternative 1'!$B$28-'Alternative 1'!$B$27)/2)+(('Alternative 1'!$B$29-'Alternative 1'!$B$28)/2))*('Alternative 1'!$B$39)*COS('Alternative 1-Tilt Up (3pt)'!K5))+(((('Alternative 1'!$B$12-'Alternative 1'!$B$29)+(('Alternative 1'!$B$29-'Alternative 1'!$B$28)/2))*('Alternative 1'!$B$39)*COS('Alternative 1-Tilt Up (3pt)'!K5)))</f>
        <v>305933.42664897867</v>
      </c>
      <c r="P5" s="104">
        <f t="shared" si="1"/>
        <v>5992415.6312237764</v>
      </c>
      <c r="R5" s="105">
        <f>'Alternative 1'!$B$39*$B5*$C5*COS($K$5)-($N$5/3)*$E5*SIN($K$5)-($N$5/3)*$F5*SIN($K$5)-($N$5/3)*$G5*SIN($K$5)</f>
        <v>866242.33870106982</v>
      </c>
      <c r="S5" s="106">
        <f>IF(($A5&lt;'Alternative 1'!$B$27),(($H5*'Alternative 1'!$B$39)+(3*($N$5/3)*COS($K$5))),IF(($A5&lt;'Alternative 1'!$B$28),(($H5*'Alternative 1'!$B$39)+(2*(($N$5/3)*COS($K$5)))),IF(($A5&lt;'Alternative 1'!$B$29),(($H$3*'Alternative 1'!$B$39+(($N$5/3)*COS($K$5)))),($H5*'Alternative 1'!$B$39))))</f>
        <v>6281528.8763696207</v>
      </c>
      <c r="T5" s="105">
        <f>R5*'Alternative 1'!$K6/'Alternative 1'!$L6</f>
        <v>6893343.3285459736</v>
      </c>
      <c r="U5" s="105">
        <f>S5/'Alternative 1'!$M6</f>
        <v>1891421.843504552</v>
      </c>
      <c r="V5" s="105">
        <f t="shared" si="2"/>
        <v>8.7847651720505269</v>
      </c>
      <c r="X5" s="105">
        <f>'Alternative 1'!$B$39*$B5*$C5*COS($K$13)-($N$12/3)*$E5*SIN($K$13)-($N$12/3)*$F5*SIN($K$13)-($N$12/3)*$G5*SIN($K$13)</f>
        <v>401972.89759711362</v>
      </c>
      <c r="Y5" s="106">
        <f>IF(($A5&lt;'Alternative 1'!$B$27),(($H5*'Alternative 1'!$B$39)+(3*($N$12/3)*COS($K$13))),IF(($A5&lt;'Alternative 1'!$B$28),(($H5*'Alternative 1'!$B$39)+(2*(($N$12/3)*COS($K$13)))),IF(($A5&lt;'Alternative 1'!$B$29),(($H$3*'Alternative 1'!$B$39+(($N$12/3)*COS($K$13)))),($H5*'Alternative 1'!$B$39))))</f>
        <v>1591048.9311725439</v>
      </c>
      <c r="Z5" s="105">
        <f>X5*'Alternative 1'!$K6/'Alternative 1'!$L6</f>
        <v>3198801.3839895851</v>
      </c>
      <c r="AA5" s="105">
        <f>Y5/'Alternative 1'!$M6</f>
        <v>479078.38389872311</v>
      </c>
      <c r="AB5" s="105">
        <f t="shared" si="3"/>
        <v>3.6778797678883079</v>
      </c>
      <c r="AD5" s="105">
        <f>'Alternative 1'!$B$39*$B5*$C5*COS($K$23)-($N$22/3)*$E5*SIN($K$23)-($N$22/3)*$F5*SIN($K$23)-($N$22/3)*$G5*SIN($K$23)</f>
        <v>597482.86782982736</v>
      </c>
      <c r="AE5" s="106">
        <f>IF(($A5&lt;'Alternative 1'!$B$27),(($H5*'Alternative 1'!$B$39)+(3*($N$22/3)*COS($K$23))),IF(($A5&lt;'Alternative 1'!$B$28),(($H5*'Alternative 1'!$B$39)+(2*(($N$22/3)*COS($K$23)))),IF(($A5&lt;'Alternative 1'!$B$29),(($H$3*'Alternative 1'!$B$39+(($N$22/3)*COS($K$23)))),($H5*'Alternative 1'!$B$39))))</f>
        <v>860546.30030405615</v>
      </c>
      <c r="AF5" s="105">
        <f>AD5*'Alternative 1'!$K6/'Alternative 1'!$L6</f>
        <v>4754621.6074489933</v>
      </c>
      <c r="AG5" s="105">
        <f>AE5/'Alternative 1'!$M6</f>
        <v>259117.82016400053</v>
      </c>
      <c r="AH5" s="105">
        <f t="shared" si="4"/>
        <v>5.0137394276129941</v>
      </c>
      <c r="AJ5" s="105">
        <f>'Alternative 1'!$B$39*$B5*$C5*COS($K$33)-($N$32/3)*$E5*SIN($K$33)-($N$32/3)*$F5*SIN($K$33)-($N$32/3)*$G5*SIN($K$33)</f>
        <v>604896.26365388813</v>
      </c>
      <c r="AK5" s="106">
        <f>IF(($A5&lt;'Alternative 1'!$B$27),(($H5*'Alternative 1'!$B$39)+(3*($N$32/3)*COS($K$33))),IF(($A5&lt;'Alternative 1'!$B$28),(($H5*'Alternative 1'!$B$39)+(2*(($N$32/3)*COS($K$33)))),IF(($A5&lt;'Alternative 1'!$B$29),(($H$3*'Alternative 1'!$B$39+(($N$32/3)*COS($K$33)))),($H5*'Alternative 1'!$B$39))))</f>
        <v>616251.69459042605</v>
      </c>
      <c r="AL5" s="105">
        <f>AJ5*'Alternative 1'!$K6/'Alternative 1'!$L6</f>
        <v>4813615.5868038805</v>
      </c>
      <c r="AM5" s="105">
        <f>AK5/'Alternative 1'!$M6</f>
        <v>185558.6337634853</v>
      </c>
      <c r="AN5" s="105">
        <f t="shared" si="5"/>
        <v>4.9991742205673662</v>
      </c>
      <c r="AP5" s="105">
        <f>'Alternative 1'!$B$39*$B5*$C5*COS($K$43)-($N$42/3)*$E5*SIN($K$43)-($N$42/3)*$F5*SIN($K$43)-($N$42/3)*$G5*SIN($K$43)</f>
        <v>551682.68073502649</v>
      </c>
      <c r="AQ5" s="106">
        <f>IF(($A5&lt;'Alternative 1'!$B$27),(($H5*'Alternative 1'!$B$39)+(3*($N$42/3)*COS($K$43))),IF(($A5&lt;'Alternative 1'!$B$28),(($H5*'Alternative 1'!$B$39)+(2*(($N$42/3)*COS($K$43)))),IF(($A5&lt;'Alternative 1'!$B$29),(($H$3*'Alternative 1'!$B$39+(($N$42/3)*COS($K$43)))),($H5*'Alternative 1'!$B$39))))</f>
        <v>487193.07480204897</v>
      </c>
      <c r="AR5" s="105">
        <f>AP5*'Alternative 1'!$K6/'Alternative 1'!$L6</f>
        <v>4390154.9910636535</v>
      </c>
      <c r="AS5" s="105">
        <f>AQ5/'Alternative 1'!$M6</f>
        <v>146697.98417249526</v>
      </c>
      <c r="AT5" s="105">
        <f t="shared" si="6"/>
        <v>4.5368529752361484</v>
      </c>
      <c r="AV5" s="105">
        <f>'Alternative 1'!$B$39*$B5*$C5*COS($K$53)-($N$52/3)*$E5*SIN($K$53)-($N$52/3)*$F5*SIN($K$53)-($N$52/3)*$G5*SIN($K$53)</f>
        <v>463478.83256664872</v>
      </c>
      <c r="AW5" s="106">
        <f>IF(($A5&lt;'Alternative 1'!$B$27),(($H5*'Alternative 1'!$B$39)+(3*($N$52/3)*COS($K$53))),IF(($A5&lt;'Alternative 1'!$B$28),(($H5*'Alternative 1'!$B$39)+(2*(($N$52/3)*COS($K$53)))),IF(($A5&lt;'Alternative 1'!$B$29),(($H$3*'Alternative 1'!$B$39+(($N$52/3)*COS($K$53)))),($H5*'Alternative 1'!$B$39))))</f>
        <v>406114.44047990779</v>
      </c>
      <c r="AX5" s="105">
        <f>AV5*'Alternative 1'!$K6/'Alternative 1'!$L6</f>
        <v>3688250.476404056</v>
      </c>
      <c r="AY5" s="105">
        <f>AW5/'Alternative 1'!$M6</f>
        <v>122284.51684365512</v>
      </c>
      <c r="AZ5" s="105">
        <f t="shared" si="7"/>
        <v>3.8105349932477113</v>
      </c>
      <c r="BB5" s="105">
        <f>'Alternative 1'!$B$39*$B5*$C5*COS($K$63)-($N$62/3)*$E5*SIN($K$63)-($N$62/3)*$F5*SIN($K$63)-($N$62/3)*$G5*SIN($K$63)</f>
        <v>350880.77105843287</v>
      </c>
      <c r="BC5" s="106">
        <f>IF(($A5&lt;'Alternative 1'!$B$27),(($H5*'Alternative 1'!$B$39)+(3*($N$62/3)*COS($K$63))),IF(($A5&lt;'Alternative 1'!$B$28),(($H5*'Alternative 1'!$B$39)+(2*(($N$62/3)*COS($K$63)))),IF(($A5&lt;'Alternative 1'!$B$29),(($H$3*'Alternative 1'!$B$39+(($N$62/3)*COS($K$63)))),($H5*'Alternative 1'!$B$39))))</f>
        <v>352021.98186764523</v>
      </c>
      <c r="BD5" s="105">
        <f>BB5*'Alternative 1'!$K6/'Alternative 1'!$L6</f>
        <v>2792222.8159819776</v>
      </c>
      <c r="BE5" s="105">
        <f>BC5/'Alternative 1'!$M6</f>
        <v>105996.81685822898</v>
      </c>
      <c r="BF5" s="105">
        <f t="shared" si="8"/>
        <v>2.8982196328402066</v>
      </c>
      <c r="BH5" s="105">
        <f>'Alternative 1'!$B$39*$B5*$C5*COS($K$73)-($N$72/3)*$E5*SIN($K$73)-($N$72/3)*$F5*SIN($K$73)-($N$72/3)*$G5*SIN($K$73)</f>
        <v>220668.7517539853</v>
      </c>
      <c r="BI5" s="106">
        <f>IF(($A5&lt;'Alternative 1'!$B$27),(($H5*'Alternative 1'!$B$39)+(3*($N$72/3)*COS($K$73))),IF(($A5&lt;'Alternative 1'!$B$28),(($H5*'Alternative 1'!$B$39)+(2*(($N$72/3)*COS($K$73)))),IF(($A5&lt;'Alternative 1'!$B$29),(($H$3*'Alternative 1'!$B$39+(($N$72/3)*COS($K$73)))),($H5*'Alternative 1'!$B$39))))</f>
        <v>316605.57347761438</v>
      </c>
      <c r="BJ5" s="105">
        <f>BH5*'Alternative 1'!$K6/'Alternative 1'!$L6</f>
        <v>1756027.6146313276</v>
      </c>
      <c r="BK5" s="105">
        <f>BI5/'Alternative 1'!$M6</f>
        <v>95332.634655806745</v>
      </c>
      <c r="BL5" s="105">
        <f t="shared" si="9"/>
        <v>1.8513602492871342</v>
      </c>
      <c r="BN5" s="105">
        <f>'Alternative 1'!$B$39*$B5*$C5*COS($K$83)-($N$82/3)*$E5*SIN($K$83)-($N$82/3)*$F5*SIN($K$83)-($N$82/3)*$G5*SIN($K$83)</f>
        <v>78405.272468772193</v>
      </c>
      <c r="BO5" s="106">
        <f>IF(($A5&lt;'Alternative 1'!$B$27),(($H5*'Alternative 1'!$B$39)+(3*($N$82/3)*COS($K$83))),IF(($A5&lt;'Alternative 1'!$B$28),(($H5*'Alternative 1'!$B$39)+(2*(($N$82/3)*COS($K$83)))),IF(($A5&lt;'Alternative 1'!$B$29),(($H$3*'Alternative 1'!$B$39+(($N$82/3)*COS($K$83)))),($H5*'Alternative 1'!$B$39))))</f>
        <v>296182.09523779264</v>
      </c>
      <c r="BP5" s="105">
        <f>BN5*'Alternative 1'!$K6/'Alternative 1'!$L6</f>
        <v>623929.86090460722</v>
      </c>
      <c r="BQ5" s="105">
        <f>BO5/'Alternative 1'!$M6</f>
        <v>89182.95141412683</v>
      </c>
      <c r="BR5" s="105">
        <f t="shared" si="10"/>
        <v>0.71311281231873402</v>
      </c>
      <c r="BT5" s="105">
        <f>'Alternative 1'!$B$39*$B5*$C5*COS($K$93)-($K$92/3)*$E5*SIN($K$93)-($K$92/3)*$F5*SIN($K$93)-($K$92/3)*$G5*SIN($K$93)</f>
        <v>-30.031298662348021</v>
      </c>
      <c r="BU5" s="106">
        <f>IF(($A5&lt;'Alternative 1'!$B$27),(($H5*'Alternative 1'!$B$39)+(3*($N$92/3)*COS($K$93))),IF(($A5&lt;'Alternative 1'!$B$28),(($H5*'Alternative 1'!$B$39)+(2*(($N$92/3)*COS($K$93)))),IF(($A5&lt;'Alternative 1'!$B$29),(($H$3*'Alternative 1'!$B$39+(($N$92/3)*COS($K$93)))),($H5*'Alternative 1'!$B$39))))</f>
        <v>289113.24514584424</v>
      </c>
      <c r="BV5" s="105">
        <f>BT5*'Alternative 1'!$K6/'Alternative 1'!$L6</f>
        <v>-238.98168333827792</v>
      </c>
      <c r="BW5" s="105">
        <f>BU5/'Alternative 1'!$M6</f>
        <v>87054.460447115998</v>
      </c>
      <c r="BX5" s="105">
        <f t="shared" si="11"/>
        <v>8.6815478763777723E-2</v>
      </c>
      <c r="BZ5" s="104">
        <v>150</v>
      </c>
      <c r="CA5" s="104">
        <v>-150</v>
      </c>
    </row>
    <row r="6" spans="1:80" ht="15" customHeight="1" x14ac:dyDescent="0.25">
      <c r="A6" s="18">
        <f>IF('Alternative 1'!F7&gt;0,'Alternative 1'!F7,"x")</f>
        <v>4</v>
      </c>
      <c r="B6" s="18">
        <f t="shared" si="17"/>
        <v>33</v>
      </c>
      <c r="C6" s="18">
        <f t="shared" si="12"/>
        <v>16.5</v>
      </c>
      <c r="D6" s="18">
        <f t="shared" si="13"/>
        <v>4</v>
      </c>
      <c r="E6" s="101">
        <f>IF($A6&lt;='Alternative 1'!$B$27, IF($A6='Alternative 1'!$B$27,0,E7+1),0)</f>
        <v>12</v>
      </c>
      <c r="F6" s="101">
        <f>IF($A6&lt;=('Alternative 1'!$B$28), IF($A6=ROUNDDOWN('Alternative 1'!$B$28,0),0,F7+1),0)</f>
        <v>18</v>
      </c>
      <c r="G6" s="101">
        <f>IF($A6&lt;=('Alternative 1'!$B$29), IF($A6=ROUNDDOWN('Alternative 1'!$B$29,0),0,G7+1),0)</f>
        <v>25</v>
      </c>
      <c r="H6" s="18">
        <f t="shared" si="14"/>
        <v>33</v>
      </c>
      <c r="J6" s="104">
        <f t="shared" si="15"/>
        <v>3</v>
      </c>
      <c r="K6" s="104">
        <f t="shared" si="16"/>
        <v>5.2359877559829883E-2</v>
      </c>
      <c r="L6" s="105">
        <f>'Alternative 1'!$B$27*SIN(K6)+'Alternative 1'!$B$28*SIN(K6)+'Alternative 1'!$B$29*SIN(K6)</f>
        <v>3.5588450245201804</v>
      </c>
      <c r="M6" s="104">
        <f>(('Alternative 1'!$B$27)*(((('Alternative 1'!$B$28-'Alternative 1'!$B$27)/2)+'Alternative 1'!$B$27)*'Alternative 1'!$B$39)*COS('Alternative 1-Tilt Up (3pt)'!K6))+(('Alternative 1'!$B$28)*((('Alternative 1'!$B$28-'Alternative 1'!$B$27)/2)+(('Alternative 1'!$B$29-'Alternative 1'!$B$28)/2))*('Alternative 1'!$B$39)*COS('Alternative 1-Tilt Up (3pt)'!K6))+(('Alternative 1'!$B$29)*((('Alternative 1'!$B$12-'Alternative 1'!$B$29+(('Alternative 1'!$B$29-'Alternative 1'!$B$28)/2)*('Alternative 1'!$B$39)*COS('Alternative 1-Tilt Up (3pt)'!K6)))))</f>
        <v>4739608.3092768276</v>
      </c>
      <c r="N6" s="104">
        <f t="shared" si="0"/>
        <v>3995348.1620761305</v>
      </c>
      <c r="O6" s="104">
        <f>(((('Alternative 1'!$B$28-'Alternative 1'!$B$27)/2)+'Alternative 1'!$B$27)*('Alternative 1'!$B$39)*COS('Alternative 1-Tilt Up (3pt)'!K6))+(((('Alternative 1'!$B$28-'Alternative 1'!$B$27)/2)+(('Alternative 1'!$B$29-'Alternative 1'!$B$28)/2))*('Alternative 1'!$B$39)*COS('Alternative 1-Tilt Up (3pt)'!K6))+(((('Alternative 1'!$B$12-'Alternative 1'!$B$29)+(('Alternative 1'!$B$29-'Alternative 1'!$B$28)/2))*('Alternative 1'!$B$39)*COS('Alternative 1-Tilt Up (3pt)'!K6)))</f>
        <v>305700.37993204885</v>
      </c>
      <c r="P6" s="104">
        <f t="shared" si="1"/>
        <v>3989872.6762766279</v>
      </c>
      <c r="R6" s="105">
        <f>'Alternative 1'!$B$39*$B6*$C6*COS($K$5)-($N$5/3)*$E6*SIN($K$5)-($N$5/3)*$F6*SIN($K$5)-($N$5/3)*$G6*SIN($K$5)</f>
        <v>790814.05385942617</v>
      </c>
      <c r="S6" s="106">
        <f>IF(($A6&lt;'Alternative 1'!$B$27),(($H6*'Alternative 1'!$B$39)+(3*($N$5/3)*COS($K$5))),IF(($A6&lt;'Alternative 1'!$B$28),(($H6*'Alternative 1'!$B$39)+(2*(($N$5/3)*COS($K$5)))),IF(($A6&lt;'Alternative 1'!$B$29),(($H$3*'Alternative 1'!$B$39+(($N$5/3)*COS($K$5)))),($H6*'Alternative 1'!$B$39))))</f>
        <v>6273025.5456300369</v>
      </c>
      <c r="T6" s="105">
        <f>R6*'Alternative 1'!$K7/'Alternative 1'!$L7</f>
        <v>6293103.6024706131</v>
      </c>
      <c r="U6" s="105">
        <f>S6/'Alternative 1'!$M7</f>
        <v>1925936.6306730884</v>
      </c>
      <c r="V6" s="105">
        <f t="shared" si="2"/>
        <v>8.2190402331437014</v>
      </c>
      <c r="X6" s="105">
        <f>'Alternative 1'!$B$39*$B6*$C6*COS($K$13)-($N$12/3)*$E6*SIN($K$13)-($N$12/3)*$F6*SIN($K$13)-($N$12/3)*$G6*SIN($K$13)</f>
        <v>351005.39389204257</v>
      </c>
      <c r="Y6" s="106">
        <f>IF(($A6&lt;'Alternative 1'!$B$27),(($H6*'Alternative 1'!$B$39)+(3*($N$12/3)*COS($K$13))),IF(($A6&lt;'Alternative 1'!$B$28),(($H6*'Alternative 1'!$B$39)+(2*(($N$12/3)*COS($K$13)))),IF(($A6&lt;'Alternative 1'!$B$29),(($H$3*'Alternative 1'!$B$39+(($N$12/3)*COS($K$13)))),($H6*'Alternative 1'!$B$39))))</f>
        <v>1582545.6004329603</v>
      </c>
      <c r="Z6" s="105">
        <f>X6*'Alternative 1'!$K7/'Alternative 1'!$L7</f>
        <v>2793214.5338192014</v>
      </c>
      <c r="AA6" s="105">
        <f>Y6/'Alternative 1'!$M7</f>
        <v>485871.21468166419</v>
      </c>
      <c r="AB6" s="105">
        <f t="shared" si="3"/>
        <v>3.2790857485008655</v>
      </c>
      <c r="AD6" s="105">
        <f>'Alternative 1'!$B$39*$B6*$C6*COS($K$23)-($N$22/3)*$E6*SIN($K$23)-($N$22/3)*$F6*SIN($K$23)-($N$22/3)*$G6*SIN($K$23)</f>
        <v>537785.16632224014</v>
      </c>
      <c r="AE6" s="106">
        <f>IF(($A6&lt;'Alternative 1'!$B$27),(($H6*'Alternative 1'!$B$39)+(3*($N$22/3)*COS($K$23))),IF(($A6&lt;'Alternative 1'!$B$28),(($H6*'Alternative 1'!$B$39)+(2*(($N$22/3)*COS($K$23)))),IF(($A6&lt;'Alternative 1'!$B$29),(($H$3*'Alternative 1'!$B$39+(($N$22/3)*COS($K$23)))),($H6*'Alternative 1'!$B$39))))</f>
        <v>852042.96956447256</v>
      </c>
      <c r="AF6" s="105">
        <f>AD6*'Alternative 1'!$K7/'Alternative 1'!$L7</f>
        <v>4279561.9918754529</v>
      </c>
      <c r="AG6" s="105">
        <f>AE6/'Alternative 1'!$M7</f>
        <v>261593.19040791181</v>
      </c>
      <c r="AH6" s="105">
        <f t="shared" si="4"/>
        <v>4.5411551822833651</v>
      </c>
      <c r="AJ6" s="105">
        <f>'Alternative 1'!$B$39*$B6*$C6*COS($K$33)-($N$32/3)*$E6*SIN($K$33)-($N$32/3)*$F6*SIN($K$33)-($N$32/3)*$G6*SIN($K$33)</f>
        <v>547072.37085476564</v>
      </c>
      <c r="AK6" s="106">
        <f>IF(($A6&lt;'Alternative 1'!$B$27),(($H6*'Alternative 1'!$B$39)+(3*($N$32/3)*COS($K$33))),IF(($A6&lt;'Alternative 1'!$B$28),(($H6*'Alternative 1'!$B$39)+(2*(($N$32/3)*COS($K$33)))),IF(($A6&lt;'Alternative 1'!$B$29),(($H$3*'Alternative 1'!$B$39+(($N$32/3)*COS($K$33)))),($H6*'Alternative 1'!$B$39))))</f>
        <v>607748.36385084246</v>
      </c>
      <c r="AL6" s="105">
        <f>AJ6*'Alternative 1'!$K7/'Alternative 1'!$L7</f>
        <v>4353467.2797434228</v>
      </c>
      <c r="AM6" s="105">
        <f>AK6/'Alternative 1'!$M7</f>
        <v>186590.15935099544</v>
      </c>
      <c r="AN6" s="105">
        <f t="shared" si="5"/>
        <v>4.5400574390944186</v>
      </c>
      <c r="AP6" s="105">
        <f>'Alternative 1'!$B$39*$B6*$C6*COS($K$43)-($N$42/3)*$E6*SIN($K$43)-($N$42/3)*$F6*SIN($K$43)-($N$42/3)*$G6*SIN($K$43)</f>
        <v>499674.76249766792</v>
      </c>
      <c r="AQ6" s="106">
        <f>IF(($A6&lt;'Alternative 1'!$B$27),(($H6*'Alternative 1'!$B$39)+(3*($N$42/3)*COS($K$43))),IF(($A6&lt;'Alternative 1'!$B$28),(($H6*'Alternative 1'!$B$39)+(2*(($N$42/3)*COS($K$43)))),IF(($A6&lt;'Alternative 1'!$B$29),(($H$3*'Alternative 1'!$B$39+(($N$42/3)*COS($K$43)))),($H6*'Alternative 1'!$B$39))))</f>
        <v>478689.74406246538</v>
      </c>
      <c r="AR6" s="105">
        <f>AP6*'Alternative 1'!$K7/'Alternative 1'!$L7</f>
        <v>3976288.7781160804</v>
      </c>
      <c r="AS6" s="105">
        <f>AQ6/'Alternative 1'!$M7</f>
        <v>146966.73975123005</v>
      </c>
      <c r="AT6" s="105">
        <f t="shared" si="6"/>
        <v>4.1232555178673103</v>
      </c>
      <c r="AV6" s="105">
        <f>'Alternative 1'!$B$39*$B6*$C6*COS($K$53)-($N$52/3)*$E6*SIN($K$53)-($N$52/3)*$F6*SIN($K$53)-($N$52/3)*$G6*SIN($K$53)</f>
        <v>419809.93348805537</v>
      </c>
      <c r="AW6" s="106">
        <f>IF(($A6&lt;'Alternative 1'!$B$27),(($H6*'Alternative 1'!$B$39)+(3*($N$52/3)*COS($K$53))),IF(($A6&lt;'Alternative 1'!$B$28),(($H6*'Alternative 1'!$B$39)+(2*(($N$52/3)*COS($K$53)))),IF(($A6&lt;'Alternative 1'!$B$29),(($H$3*'Alternative 1'!$B$39+(($N$52/3)*COS($K$53)))),($H6*'Alternative 1'!$B$39))))</f>
        <v>397611.10974032414</v>
      </c>
      <c r="AX6" s="105">
        <f>AV6*'Alternative 1'!$K7/'Alternative 1'!$L7</f>
        <v>3340744.1254910361</v>
      </c>
      <c r="AY6" s="105">
        <f>AW6/'Alternative 1'!$M7</f>
        <v>122074.07660645136</v>
      </c>
      <c r="AZ6" s="105">
        <f t="shared" si="7"/>
        <v>3.4628182020974876</v>
      </c>
      <c r="BB6" s="105">
        <f>'Alternative 1'!$B$39*$B6*$C6*COS($K$63)-($N$62/3)*$E6*SIN($K$63)-($N$62/3)*$F6*SIN($K$63)-($N$62/3)*$G6*SIN($K$63)</f>
        <v>317411.1094125401</v>
      </c>
      <c r="BC6" s="106">
        <f>IF(($A6&lt;'Alternative 1'!$B$27),(($H6*'Alternative 1'!$B$39)+(3*($N$62/3)*COS($K$63))),IF(($A6&lt;'Alternative 1'!$B$28),(($H6*'Alternative 1'!$B$39)+(2*(($N$62/3)*COS($K$63)))),IF(($A6&lt;'Alternative 1'!$B$29),(($H$3*'Alternative 1'!$B$39+(($N$62/3)*COS($K$63)))),($H6*'Alternative 1'!$B$39))))</f>
        <v>343518.65112806158</v>
      </c>
      <c r="BD6" s="105">
        <f>BB6*'Alternative 1'!$K7/'Alternative 1'!$L7</f>
        <v>2525879.4862835389</v>
      </c>
      <c r="BE6" s="105">
        <f>BC6/'Alternative 1'!$M7</f>
        <v>105466.67612215107</v>
      </c>
      <c r="BF6" s="105">
        <f t="shared" si="8"/>
        <v>2.6313461624056895</v>
      </c>
      <c r="BH6" s="105">
        <f>'Alternative 1'!$B$39*$B6*$C6*COS($K$73)-($N$72/3)*$E6*SIN($K$73)-($N$72/3)*$F6*SIN($K$73)-($N$72/3)*$G6*SIN($K$73)</f>
        <v>198774.90471077431</v>
      </c>
      <c r="BI6" s="106">
        <f>IF(($A6&lt;'Alternative 1'!$B$27),(($H6*'Alternative 1'!$B$39)+(3*($N$72/3)*COS($K$73))),IF(($A6&lt;'Alternative 1'!$B$28),(($H6*'Alternative 1'!$B$39)+(2*(($N$72/3)*COS($K$73)))),IF(($A6&lt;'Alternative 1'!$B$29),(($H$3*'Alternative 1'!$B$39+(($N$72/3)*COS($K$73)))),($H6*'Alternative 1'!$B$39))))</f>
        <v>308102.24273803073</v>
      </c>
      <c r="BJ6" s="105">
        <f>BH6*'Alternative 1'!$K7/'Alternative 1'!$L7</f>
        <v>1581801.7684578057</v>
      </c>
      <c r="BK6" s="105">
        <f>BI6/'Alternative 1'!$M7</f>
        <v>94593.17373497285</v>
      </c>
      <c r="BL6" s="105">
        <f t="shared" si="9"/>
        <v>1.6763949421927786</v>
      </c>
      <c r="BN6" s="105">
        <f>'Alternative 1'!$B$39*$B6*$C6*COS($K$83)-($N$82/3)*$E6*SIN($K$83)-($N$82/3)*$F6*SIN($K$83)-($N$82/3)*$G6*SIN($K$83)</f>
        <v>69029.019265407464</v>
      </c>
      <c r="BO6" s="106">
        <f>IF(($A6&lt;'Alternative 1'!$B$27),(($H6*'Alternative 1'!$B$39)+(3*($N$82/3)*COS($K$83))),IF(($A6&lt;'Alternative 1'!$B$28),(($H6*'Alternative 1'!$B$39)+(2*(($N$82/3)*COS($K$83)))),IF(($A6&lt;'Alternative 1'!$B$29),(($H$3*'Alternative 1'!$B$39+(($N$82/3)*COS($K$83)))),($H6*'Alternative 1'!$B$39))))</f>
        <v>287678.764498209</v>
      </c>
      <c r="BP6" s="105">
        <f>BN6*'Alternative 1'!$K7/'Alternative 1'!$L7</f>
        <v>549315.94563109335</v>
      </c>
      <c r="BQ6" s="105">
        <f>BO6/'Alternative 1'!$M7</f>
        <v>88322.782425116195</v>
      </c>
      <c r="BR6" s="105">
        <f t="shared" si="10"/>
        <v>0.63763872805620947</v>
      </c>
      <c r="BT6" s="105">
        <f>'Alternative 1'!$B$39*$B6*$C6*COS($K$93)-($K$92/3)*$E6*SIN($K$93)-($K$92/3)*$F6*SIN($K$93)-($K$92/3)*$G6*SIN($K$93)</f>
        <v>-28.47795562809052</v>
      </c>
      <c r="BU6" s="106">
        <f>IF(($A6&lt;'Alternative 1'!$B$27),(($H6*'Alternative 1'!$B$39)+(3*($N$92/3)*COS($K$93))),IF(($A6&lt;'Alternative 1'!$B$28),(($H6*'Alternative 1'!$B$39)+(2*(($N$92/3)*COS($K$93)))),IF(($A6&lt;'Alternative 1'!$B$29),(($H$3*'Alternative 1'!$B$39+(($N$92/3)*COS($K$93)))),($H6*'Alternative 1'!$B$39))))</f>
        <v>280609.91440626059</v>
      </c>
      <c r="BV6" s="105">
        <f>BT6*'Alternative 1'!$K7/'Alternative 1'!$L7</f>
        <v>-226.62056178631298</v>
      </c>
      <c r="BW6" s="105">
        <f>BU6/'Alternative 1'!$M7</f>
        <v>86152.512715581164</v>
      </c>
      <c r="BX6" s="105">
        <f t="shared" si="11"/>
        <v>8.5925892153794842E-2</v>
      </c>
      <c r="BZ6" s="104">
        <v>150</v>
      </c>
      <c r="CA6" s="104">
        <v>-150</v>
      </c>
    </row>
    <row r="7" spans="1:80" ht="15" customHeight="1" x14ac:dyDescent="0.25">
      <c r="A7" s="18">
        <f>IF('Alternative 1'!F8&gt;0,'Alternative 1'!F8,"x")</f>
        <v>5</v>
      </c>
      <c r="B7" s="18">
        <f t="shared" si="17"/>
        <v>32</v>
      </c>
      <c r="C7" s="18">
        <f t="shared" si="12"/>
        <v>16</v>
      </c>
      <c r="D7" s="18">
        <f t="shared" si="13"/>
        <v>5</v>
      </c>
      <c r="E7" s="101">
        <f>IF($A7&lt;='Alternative 1'!$B$27, IF($A7='Alternative 1'!$B$27,0,E8+1),0)</f>
        <v>11</v>
      </c>
      <c r="F7" s="101">
        <f>IF($A7&lt;=('Alternative 1'!$B$28), IF($A7=ROUNDDOWN('Alternative 1'!$B$28,0),0,F8+1),0)</f>
        <v>17</v>
      </c>
      <c r="G7" s="101">
        <f>IF($A7&lt;=('Alternative 1'!$B$29), IF($A7=ROUNDDOWN('Alternative 1'!$B$29,0),0,G8+1),0)</f>
        <v>24</v>
      </c>
      <c r="H7" s="18">
        <f t="shared" si="14"/>
        <v>32</v>
      </c>
      <c r="J7" s="104">
        <f t="shared" si="15"/>
        <v>4</v>
      </c>
      <c r="K7" s="104">
        <f t="shared" si="16"/>
        <v>6.9813170079773182E-2</v>
      </c>
      <c r="L7" s="105">
        <f>'Alternative 1'!$B$27*SIN(K7)+'Alternative 1'!$B$28*SIN(K7)+'Alternative 1'!$B$29*SIN(K7)</f>
        <v>4.7434402146005201</v>
      </c>
      <c r="M7" s="104">
        <f>(('Alternative 1'!$B$27)*(((('Alternative 1'!$B$28-'Alternative 1'!$B$27)/2)+'Alternative 1'!$B$27)*'Alternative 1'!$B$39)*COS('Alternative 1-Tilt Up (3pt)'!K7))+(('Alternative 1'!$B$28)*((('Alternative 1'!$B$28-'Alternative 1'!$B$27)/2)+(('Alternative 1'!$B$29-'Alternative 1'!$B$28)/2))*('Alternative 1'!$B$39)*COS('Alternative 1-Tilt Up (3pt)'!K7))+(('Alternative 1'!$B$29)*((('Alternative 1'!$B$12-'Alternative 1'!$B$29+(('Alternative 1'!$B$29-'Alternative 1'!$B$28)/2)*('Alternative 1'!$B$39)*COS('Alternative 1-Tilt Up (3pt)'!K7)))))</f>
        <v>4734551.6085213693</v>
      </c>
      <c r="N7" s="104">
        <f t="shared" si="0"/>
        <v>2994378.3800298837</v>
      </c>
      <c r="O7" s="104">
        <f>(((('Alternative 1'!$B$28-'Alternative 1'!$B$27)/2)+'Alternative 1'!$B$27)*('Alternative 1'!$B$39)*COS('Alternative 1-Tilt Up (3pt)'!K7))+(((('Alternative 1'!$B$28-'Alternative 1'!$B$27)/2)+(('Alternative 1'!$B$29-'Alternative 1'!$B$28)/2))*('Alternative 1'!$B$39)*COS('Alternative 1-Tilt Up (3pt)'!K7))+(((('Alternative 1'!$B$12-'Alternative 1'!$B$29)+(('Alternative 1'!$B$29-'Alternative 1'!$B$28)/2))*('Alternative 1'!$B$39)*COS('Alternative 1-Tilt Up (3pt)'!K7)))</f>
        <v>305374.2139180057</v>
      </c>
      <c r="P7" s="104">
        <f t="shared" si="1"/>
        <v>2987084.2247930621</v>
      </c>
      <c r="R7" s="105">
        <f>'Alternative 1'!$B$39*$B7*$C7*COS($K$5)-($N$5/3)*$E7*SIN($K$5)-($N$5/3)*$F7*SIN($K$5)-($N$5/3)*$G7*SIN($K$5)</f>
        <v>723883.91975803208</v>
      </c>
      <c r="S7" s="106">
        <f>IF(($A7&lt;'Alternative 1'!$B$27),(($H7*'Alternative 1'!$B$39)+(3*($N$5/3)*COS($K$5))),IF(($A7&lt;'Alternative 1'!$B$28),(($H7*'Alternative 1'!$B$39)+(2*(($N$5/3)*COS($K$5)))),IF(($A7&lt;'Alternative 1'!$B$29),(($H$3*'Alternative 1'!$B$39+(($N$5/3)*COS($K$5)))),($H7*'Alternative 1'!$B$39))))</f>
        <v>6264522.214890453</v>
      </c>
      <c r="T7" s="105">
        <f>R7*'Alternative 1'!$K8/'Alternative 1'!$L8</f>
        <v>5760490.0683891922</v>
      </c>
      <c r="U7" s="105">
        <f>S7/'Alternative 1'!$M8</f>
        <v>1961451.807152404</v>
      </c>
      <c r="V7" s="105">
        <f t="shared" si="2"/>
        <v>7.7219418755415958</v>
      </c>
      <c r="X7" s="105">
        <f>'Alternative 1'!$B$39*$B7*$C7*COS($K$13)-($N$12/3)*$E7*SIN($K$13)-($N$12/3)*$F7*SIN($K$13)-($N$12/3)*$G7*SIN($K$13)</f>
        <v>308412.03622574289</v>
      </c>
      <c r="Y7" s="106">
        <f>IF(($A7&lt;'Alternative 1'!$B$27),(($H7*'Alternative 1'!$B$39)+(3*($N$12/3)*COS($K$13))),IF(($A7&lt;'Alternative 1'!$B$28),(($H7*'Alternative 1'!$B$39)+(2*(($N$12/3)*COS($K$13)))),IF(($A7&lt;'Alternative 1'!$B$29),(($H$3*'Alternative 1'!$B$39+(($N$12/3)*COS($K$13)))),($H7*'Alternative 1'!$B$39))))</f>
        <v>1574042.2696933765</v>
      </c>
      <c r="Z7" s="105">
        <f>X7*'Alternative 1'!$K8/'Alternative 1'!$L8</f>
        <v>2454267.0767488987</v>
      </c>
      <c r="AA7" s="105">
        <f>Y7/'Alternative 1'!$M8</f>
        <v>492840.14782256371</v>
      </c>
      <c r="AB7" s="105">
        <f t="shared" si="3"/>
        <v>2.9471072245714622</v>
      </c>
      <c r="AD7" s="105">
        <f>'Alternative 1'!$B$39*$B7*$C7*COS($K$23)-($N$22/3)*$E7*SIN($K$23)-($N$22/3)*$F7*SIN($K$23)-($N$22/3)*$G7*SIN($K$23)</f>
        <v>486077.98196274252</v>
      </c>
      <c r="AE7" s="106">
        <f>IF(($A7&lt;'Alternative 1'!$B$27),(($H7*'Alternative 1'!$B$39)+(3*($N$22/3)*COS($K$23))),IF(($A7&lt;'Alternative 1'!$B$28),(($H7*'Alternative 1'!$B$39)+(2*(($N$22/3)*COS($K$23)))),IF(($A7&lt;'Alternative 1'!$B$29),(($H$3*'Alternative 1'!$B$39+(($N$22/3)*COS($K$23)))),($H7*'Alternative 1'!$B$39))))</f>
        <v>843539.63882488897</v>
      </c>
      <c r="AF7" s="105">
        <f>AD7*'Alternative 1'!$K8/'Alternative 1'!$L8</f>
        <v>3868088.9451101394</v>
      </c>
      <c r="AG7" s="105">
        <f>AE7/'Alternative 1'!$M8</f>
        <v>264116.28727965133</v>
      </c>
      <c r="AH7" s="105">
        <f t="shared" si="4"/>
        <v>4.1322052323897909</v>
      </c>
      <c r="AJ7" s="105">
        <f>'Alternative 1'!$B$39*$B7*$C7*COS($K$33)-($N$32/3)*$E7*SIN($K$33)-($N$32/3)*$F7*SIN($K$33)-($N$32/3)*$G7*SIN($K$33)</f>
        <v>496612.57849290385</v>
      </c>
      <c r="AK7" s="106">
        <f>IF(($A7&lt;'Alternative 1'!$B$27),(($H7*'Alternative 1'!$B$39)+(3*($N$32/3)*COS($K$33))),IF(($A7&lt;'Alternative 1'!$B$28),(($H7*'Alternative 1'!$B$39)+(2*(($N$32/3)*COS($K$33)))),IF(($A7&lt;'Alternative 1'!$B$29),(($H$3*'Alternative 1'!$B$39+(($N$32/3)*COS($K$33)))),($H7*'Alternative 1'!$B$39))))</f>
        <v>599245.03311125888</v>
      </c>
      <c r="AL7" s="105">
        <f>AJ7*'Alternative 1'!$K8/'Alternative 1'!$L8</f>
        <v>3951920.6714824648</v>
      </c>
      <c r="AM7" s="105">
        <f>AK7/'Alternative 1'!$M8</f>
        <v>187626.48016944336</v>
      </c>
      <c r="AN7" s="105">
        <f t="shared" si="5"/>
        <v>4.1395471516519082</v>
      </c>
      <c r="AP7" s="105">
        <f>'Alternative 1'!$B$39*$B7*$C7*COS($K$43)-($N$42/3)*$E7*SIN($K$43)-($N$42/3)*$F7*SIN($K$43)-($N$42/3)*$G7*SIN($K$43)</f>
        <v>454180.77352137049</v>
      </c>
      <c r="AQ7" s="106">
        <f>IF(($A7&lt;'Alternative 1'!$B$27),(($H7*'Alternative 1'!$B$39)+(3*($N$42/3)*COS($K$43))),IF(($A7&lt;'Alternative 1'!$B$28),(($H7*'Alternative 1'!$B$39)+(2*(($N$42/3)*COS($K$43)))),IF(($A7&lt;'Alternative 1'!$B$29),(($H$3*'Alternative 1'!$B$39+(($N$42/3)*COS($K$43)))),($H7*'Alternative 1'!$B$39))))</f>
        <v>470186.41332288168</v>
      </c>
      <c r="AR7" s="105">
        <f>AP7*'Alternative 1'!$K8/'Alternative 1'!$L8</f>
        <v>3614258.8109951532</v>
      </c>
      <c r="AS7" s="105">
        <f>AQ7/'Alternative 1'!$M8</f>
        <v>147217.61029413171</v>
      </c>
      <c r="AT7" s="105">
        <f t="shared" si="6"/>
        <v>3.7614764212892848</v>
      </c>
      <c r="AV7" s="105">
        <f>'Alternative 1'!$B$39*$B7*$C7*COS($K$53)-($N$52/3)*$E7*SIN($K$53)-($N$52/3)*$F7*SIN($K$53)-($N$52/3)*$G7*SIN($K$53)</f>
        <v>381606.8700499339</v>
      </c>
      <c r="AW7" s="106">
        <f>IF(($A7&lt;'Alternative 1'!$B$27),(($H7*'Alternative 1'!$B$39)+(3*($N$52/3)*COS($K$53))),IF(($A7&lt;'Alternative 1'!$B$28),(($H7*'Alternative 1'!$B$39)+(2*(($N$52/3)*COS($K$53)))),IF(($A7&lt;'Alternative 1'!$B$29),(($H$3*'Alternative 1'!$B$39+(($N$52/3)*COS($K$53)))),($H7*'Alternative 1'!$B$39))))</f>
        <v>389107.7790007405</v>
      </c>
      <c r="AX7" s="105">
        <f>AV7*'Alternative 1'!$K8/'Alternative 1'!$L8</f>
        <v>3036733.5493327733</v>
      </c>
      <c r="AY7" s="105">
        <f>AW7/'Alternative 1'!$M8</f>
        <v>121831.50288523751</v>
      </c>
      <c r="AZ7" s="105">
        <f t="shared" si="7"/>
        <v>3.1585650522180106</v>
      </c>
      <c r="BB7" s="105">
        <f>'Alternative 1'!$B$39*$B7*$C7*COS($K$63)-($N$62/3)*$E7*SIN($K$63)-($N$62/3)*$F7*SIN($K$63)-($N$62/3)*$G7*SIN($K$63)</f>
        <v>288193.113136439</v>
      </c>
      <c r="BC7" s="106">
        <f>IF(($A7&lt;'Alternative 1'!$B$27),(($H7*'Alternative 1'!$B$39)+(3*($N$62/3)*COS($K$63))),IF(($A7&lt;'Alternative 1'!$B$28),(($H7*'Alternative 1'!$B$39)+(2*(($N$62/3)*COS($K$63)))),IF(($A7&lt;'Alternative 1'!$B$29),(($H$3*'Alternative 1'!$B$39+(($N$62/3)*COS($K$63)))),($H7*'Alternative 1'!$B$39))))</f>
        <v>335015.32038847794</v>
      </c>
      <c r="BD7" s="105">
        <f>BB7*'Alternative 1'!$K8/'Alternative 1'!$L8</f>
        <v>2293369.8631619578</v>
      </c>
      <c r="BE7" s="105">
        <f>BC7/'Alternative 1'!$M8</f>
        <v>104894.89590088597</v>
      </c>
      <c r="BF7" s="105">
        <f t="shared" si="8"/>
        <v>2.3982647590628439</v>
      </c>
      <c r="BH7" s="105">
        <f>'Alternative 1'!$B$39*$B7*$C7*COS($K$73)-($N$72/3)*$E7*SIN($K$73)-($N$72/3)*$F7*SIN($K$73)-($N$72/3)*$G7*SIN($K$73)</f>
        <v>179789.36806586164</v>
      </c>
      <c r="BI7" s="106">
        <f>IF(($A7&lt;'Alternative 1'!$B$27),(($H7*'Alternative 1'!$B$39)+(3*($N$72/3)*COS($K$73))),IF(($A7&lt;'Alternative 1'!$B$28),(($H7*'Alternative 1'!$B$39)+(2*(($N$72/3)*COS($K$73)))),IF(($A7&lt;'Alternative 1'!$B$29),(($H$3*'Alternative 1'!$B$39+(($N$72/3)*COS($K$73)))),($H7*'Alternative 1'!$B$39))))</f>
        <v>299598.91199844709</v>
      </c>
      <c r="BJ7" s="105">
        <f>BH7*'Alternative 1'!$K8/'Alternative 1'!$L8</f>
        <v>1430719.5406295988</v>
      </c>
      <c r="BK7" s="105">
        <f>BI7/'Alternative 1'!$M8</f>
        <v>93805.849385199166</v>
      </c>
      <c r="BL7" s="105">
        <f t="shared" si="9"/>
        <v>1.5245253900147979</v>
      </c>
      <c r="BN7" s="105">
        <f>'Alternative 1'!$B$39*$B7*$C7*COS($K$83)-($N$82/3)*$E7*SIN($K$83)-($N$82/3)*$F7*SIN($K$83)-($N$82/3)*$G7*SIN($K$83)</f>
        <v>61129.353949070792</v>
      </c>
      <c r="BO7" s="106">
        <f>IF(($A7&lt;'Alternative 1'!$B$27),(($H7*'Alternative 1'!$B$39)+(3*($N$82/3)*COS($K$83))),IF(($A7&lt;'Alternative 1'!$B$28),(($H7*'Alternative 1'!$B$39)+(2*(($N$82/3)*COS($K$83)))),IF(($A7&lt;'Alternative 1'!$B$29),(($H$3*'Alternative 1'!$B$39+(($N$82/3)*COS($K$83)))),($H7*'Alternative 1'!$B$39))))</f>
        <v>279175.43375862535</v>
      </c>
      <c r="BP7" s="105">
        <f>BN7*'Alternative 1'!$K8/'Alternative 1'!$L8</f>
        <v>486452.3533391594</v>
      </c>
      <c r="BQ7" s="105">
        <f>BO7/'Alternative 1'!$M8</f>
        <v>87411.160863444646</v>
      </c>
      <c r="BR7" s="105">
        <f t="shared" si="10"/>
        <v>0.57386351420260406</v>
      </c>
      <c r="BT7" s="105">
        <f>'Alternative 1'!$B$39*$B7*$C7*COS($K$93)-($K$92/3)*$E7*SIN($K$93)-($K$92/3)*$F7*SIN($K$93)-($K$92/3)*$G7*SIN($K$93)</f>
        <v>-26.924612593832496</v>
      </c>
      <c r="BU7" s="106">
        <f>IF(($A7&lt;'Alternative 1'!$B$27),(($H7*'Alternative 1'!$B$39)+(3*($N$92/3)*COS($K$93))),IF(($A7&lt;'Alternative 1'!$B$28),(($H7*'Alternative 1'!$B$39)+(2*(($N$92/3)*COS($K$93)))),IF(($A7&lt;'Alternative 1'!$B$29),(($H$3*'Alternative 1'!$B$39+(($N$92/3)*COS($K$93)))),($H7*'Alternative 1'!$B$39))))</f>
        <v>272106.58366667695</v>
      </c>
      <c r="BV7" s="105">
        <f>BT7*'Alternative 1'!$K8/'Alternative 1'!$L8</f>
        <v>-214.25944023434391</v>
      </c>
      <c r="BW7" s="105">
        <f>BU7/'Alternative 1'!$M8</f>
        <v>85197.870158786478</v>
      </c>
      <c r="BX7" s="105">
        <f t="shared" si="11"/>
        <v>8.4983610718552136E-2</v>
      </c>
      <c r="BZ7" s="104">
        <v>150</v>
      </c>
      <c r="CA7" s="104">
        <v>-150</v>
      </c>
    </row>
    <row r="8" spans="1:80" ht="15" customHeight="1" x14ac:dyDescent="0.25">
      <c r="A8" s="18">
        <f>IF('Alternative 1'!F9&gt;0,'Alternative 1'!F9,"x")</f>
        <v>6</v>
      </c>
      <c r="B8" s="18">
        <f t="shared" si="17"/>
        <v>31</v>
      </c>
      <c r="C8" s="18">
        <f t="shared" si="12"/>
        <v>15.5</v>
      </c>
      <c r="D8" s="18">
        <f t="shared" si="13"/>
        <v>6</v>
      </c>
      <c r="E8" s="101">
        <f>IF($A8&lt;='Alternative 1'!$B$27, IF($A8='Alternative 1'!$B$27,0,E9+1),0)</f>
        <v>10</v>
      </c>
      <c r="F8" s="101">
        <f>IF($A8&lt;=('Alternative 1'!$B$28), IF($A8=ROUNDDOWN('Alternative 1'!$B$28,0),0,F9+1),0)</f>
        <v>16</v>
      </c>
      <c r="G8" s="101">
        <f>IF($A8&lt;=('Alternative 1'!$B$29), IF($A8=ROUNDDOWN('Alternative 1'!$B$29,0),0,G9+1),0)</f>
        <v>23</v>
      </c>
      <c r="H8" s="18">
        <f t="shared" si="14"/>
        <v>31</v>
      </c>
      <c r="J8" s="104">
        <f t="shared" si="15"/>
        <v>5</v>
      </c>
      <c r="K8" s="104">
        <f t="shared" si="16"/>
        <v>8.7266462599716474E-2</v>
      </c>
      <c r="L8" s="105">
        <f>'Alternative 1'!$B$27*SIN(K8)+'Alternative 1'!$B$28*SIN(K8)+'Alternative 1'!$B$29*SIN(K8)</f>
        <v>5.9265905068407552</v>
      </c>
      <c r="M8" s="104">
        <f>(('Alternative 1'!$B$27)*(((('Alternative 1'!$B$28-'Alternative 1'!$B$27)/2)+'Alternative 1'!$B$27)*'Alternative 1'!$B$39)*COS('Alternative 1-Tilt Up (3pt)'!K8))+(('Alternative 1'!$B$28)*((('Alternative 1'!$B$28-'Alternative 1'!$B$27)/2)+(('Alternative 1'!$B$29-'Alternative 1'!$B$28)/2))*('Alternative 1'!$B$39)*COS('Alternative 1-Tilt Up (3pt)'!K8))+(('Alternative 1'!$B$29)*((('Alternative 1'!$B$12-'Alternative 1'!$B$29+(('Alternative 1'!$B$29-'Alternative 1'!$B$28)/2)*('Alternative 1'!$B$39)*COS('Alternative 1-Tilt Up (3pt)'!K8)))))</f>
        <v>4728052.7770724511</v>
      </c>
      <c r="N8" s="104">
        <f t="shared" si="0"/>
        <v>2393308.3135818671</v>
      </c>
      <c r="O8" s="104">
        <f>(((('Alternative 1'!$B$28-'Alternative 1'!$B$27)/2)+'Alternative 1'!$B$27)*('Alternative 1'!$B$39)*COS('Alternative 1-Tilt Up (3pt)'!K8))+(((('Alternative 1'!$B$28-'Alternative 1'!$B$27)/2)+(('Alternative 1'!$B$29-'Alternative 1'!$B$28)/2))*('Alternative 1'!$B$39)*COS('Alternative 1-Tilt Up (3pt)'!K8))+(((('Alternative 1'!$B$12-'Alternative 1'!$B$29)+(('Alternative 1'!$B$29-'Alternative 1'!$B$28)/2))*('Alternative 1'!$B$39)*COS('Alternative 1-Tilt Up (3pt)'!K8)))</f>
        <v>304955.0279601767</v>
      </c>
      <c r="P8" s="104">
        <f t="shared" si="1"/>
        <v>2384201.0528891529</v>
      </c>
      <c r="R8" s="105">
        <f>'Alternative 1'!$B$39*$B8*$C8*COS($K$5)-($N$5/3)*$E8*SIN($K$5)-($N$5/3)*$F8*SIN($K$5)-($N$5/3)*$G8*SIN($K$5)</f>
        <v>665451.93639688706</v>
      </c>
      <c r="S8" s="106">
        <f>IF(($A8&lt;'Alternative 1'!$B$27),(($H8*'Alternative 1'!$B$39)+(3*($N$5/3)*COS($K$5))),IF(($A8&lt;'Alternative 1'!$B$28),(($H8*'Alternative 1'!$B$39)+(2*(($N$5/3)*COS($K$5)))),IF(($A8&lt;'Alternative 1'!$B$29),(($H$3*'Alternative 1'!$B$39+(($N$5/3)*COS($K$5)))),($H8*'Alternative 1'!$B$39))))</f>
        <v>6256018.8841508701</v>
      </c>
      <c r="T8" s="105">
        <f>R8*'Alternative 1'!$K9/'Alternative 1'!$L9</f>
        <v>5295502.7263017055</v>
      </c>
      <c r="U8" s="105">
        <f>S8/'Alternative 1'!$M9</f>
        <v>1998006.912421857</v>
      </c>
      <c r="V8" s="105">
        <f t="shared" si="2"/>
        <v>7.2935096387235623</v>
      </c>
      <c r="X8" s="105">
        <f>'Alternative 1'!$B$39*$B8*$C8*COS($K$13)-($N$12/3)*$E8*SIN($K$13)-($N$12/3)*$F8*SIN($K$13)-($N$12/3)*$G8*SIN($K$13)</f>
        <v>274192.82459821063</v>
      </c>
      <c r="Y8" s="106">
        <f>IF(($A8&lt;'Alternative 1'!$B$27),(($H8*'Alternative 1'!$B$39)+(3*($N$12/3)*COS($K$13))),IF(($A8&lt;'Alternative 1'!$B$28),(($H8*'Alternative 1'!$B$39)+(2*(($N$12/3)*COS($K$13)))),IF(($A8&lt;'Alternative 1'!$B$29),(($H$3*'Alternative 1'!$B$39+(($N$12/3)*COS($K$13)))),($H8*'Alternative 1'!$B$39))))</f>
        <v>1565538.9389537929</v>
      </c>
      <c r="Z8" s="105">
        <f>X8*'Alternative 1'!$K9/'Alternative 1'!$L9</f>
        <v>2181959.0127786458</v>
      </c>
      <c r="AA8" s="105">
        <f>Y8/'Alternative 1'!$M9</f>
        <v>499991.7167161518</v>
      </c>
      <c r="AB8" s="105">
        <f t="shared" si="3"/>
        <v>2.6819507294947975</v>
      </c>
      <c r="AD8" s="105">
        <f>'Alternative 1'!$B$39*$B8*$C8*COS($K$23)-($N$22/3)*$E8*SIN($K$23)-($N$22/3)*$F8*SIN($K$23)-($N$22/3)*$G8*SIN($K$23)</f>
        <v>442361.31475133379</v>
      </c>
      <c r="AE8" s="106">
        <f>IF(($A8&lt;'Alternative 1'!$B$27),(($H8*'Alternative 1'!$B$39)+(3*($N$22/3)*COS($K$23))),IF(($A8&lt;'Alternative 1'!$B$28),(($H8*'Alternative 1'!$B$39)+(2*(($N$22/3)*COS($K$23)))),IF(($A8&lt;'Alternative 1'!$B$29),(($H$3*'Alternative 1'!$B$39+(($N$22/3)*COS($K$23)))),($H8*'Alternative 1'!$B$39))))</f>
        <v>835036.30808530527</v>
      </c>
      <c r="AF8" s="105">
        <f>AD8*'Alternative 1'!$K9/'Alternative 1'!$L9</f>
        <v>3520202.4671530477</v>
      </c>
      <c r="AG8" s="105">
        <f>AE8/'Alternative 1'!$M9</f>
        <v>266688.50375507149</v>
      </c>
      <c r="AH8" s="105">
        <f t="shared" si="4"/>
        <v>3.7868909709081193</v>
      </c>
      <c r="AJ8" s="105">
        <f>'Alternative 1'!$B$39*$B8*$C8*COS($K$33)-($N$32/3)*$E8*SIN($K$33)-($N$32/3)*$F8*SIN($K$33)-($N$32/3)*$G8*SIN($K$33)</f>
        <v>453516.88656830229</v>
      </c>
      <c r="AK8" s="106">
        <f>IF(($A8&lt;'Alternative 1'!$B$27),(($H8*'Alternative 1'!$B$39)+(3*($N$32/3)*COS($K$33))),IF(($A8&lt;'Alternative 1'!$B$28),(($H8*'Alternative 1'!$B$39)+(2*(($N$32/3)*COS($K$33)))),IF(($A8&lt;'Alternative 1'!$B$29),(($H$3*'Alternative 1'!$B$39+(($N$32/3)*COS($K$33)))),($H8*'Alternative 1'!$B$39))))</f>
        <v>590741.70237167517</v>
      </c>
      <c r="AL8" s="105">
        <f>AJ8*'Alternative 1'!$K9/'Alternative 1'!$L9</f>
        <v>3608975.762021001</v>
      </c>
      <c r="AM8" s="105">
        <f>AK8/'Alternative 1'!$M9</f>
        <v>188667.27013639209</v>
      </c>
      <c r="AN8" s="105">
        <f t="shared" si="5"/>
        <v>3.7976430321573931</v>
      </c>
      <c r="AP8" s="105">
        <f>'Alternative 1'!$B$39*$B8*$C8*COS($K$43)-($N$42/3)*$E8*SIN($K$43)-($N$42/3)*$F8*SIN($K$43)-($N$42/3)*$G8*SIN($K$43)</f>
        <v>415200.71380613325</v>
      </c>
      <c r="AQ8" s="106">
        <f>IF(($A8&lt;'Alternative 1'!$B$27),(($H8*'Alternative 1'!$B$39)+(3*($N$42/3)*COS($K$43))),IF(($A8&lt;'Alternative 1'!$B$28),(($H8*'Alternative 1'!$B$39)+(2*(($N$42/3)*COS($K$43)))),IF(($A8&lt;'Alternative 1'!$B$29),(($H$3*'Alternative 1'!$B$39+(($N$42/3)*COS($K$43)))),($H8*'Alternative 1'!$B$39))))</f>
        <v>461683.08258329809</v>
      </c>
      <c r="AR8" s="105">
        <f>AP8*'Alternative 1'!$K9/'Alternative 1'!$L9</f>
        <v>3304065.0897008614</v>
      </c>
      <c r="AS8" s="105">
        <f>AQ8/'Alternative 1'!$M9</f>
        <v>147449.36155589376</v>
      </c>
      <c r="AT8" s="105">
        <f t="shared" si="6"/>
        <v>3.4515144512567555</v>
      </c>
      <c r="AV8" s="105">
        <f>'Alternative 1'!$B$39*$B8*$C8*COS($K$53)-($N$52/3)*$E8*SIN($K$53)-($N$52/3)*$F8*SIN($K$53)-($N$52/3)*$G8*SIN($K$53)</f>
        <v>348869.64225228294</v>
      </c>
      <c r="AW8" s="106">
        <f>IF(($A8&lt;'Alternative 1'!$B$27),(($H8*'Alternative 1'!$B$39)+(3*($N$52/3)*COS($K$53))),IF(($A8&lt;'Alternative 1'!$B$28),(($H8*'Alternative 1'!$B$39)+(2*(($N$52/3)*COS($K$53)))),IF(($A8&lt;'Alternative 1'!$B$29),(($H$3*'Alternative 1'!$B$39+(($N$52/3)*COS($K$53)))),($H8*'Alternative 1'!$B$39))))</f>
        <v>380604.44826115685</v>
      </c>
      <c r="AX8" s="105">
        <f>AV8*'Alternative 1'!$K9/'Alternative 1'!$L9</f>
        <v>2776218.7479292564</v>
      </c>
      <c r="AY8" s="105">
        <f>AW8/'Alternative 1'!$M9</f>
        <v>121554.99089857917</v>
      </c>
      <c r="AZ8" s="105">
        <f t="shared" si="7"/>
        <v>2.8977737388278357</v>
      </c>
      <c r="BB8" s="105">
        <f>'Alternative 1'!$B$39*$B8*$C8*COS($K$63)-($N$62/3)*$E8*SIN($K$63)-($N$62/3)*$F8*SIN($K$63)-($N$62/3)*$G8*SIN($K$63)</f>
        <v>263226.78223012993</v>
      </c>
      <c r="BC8" s="106">
        <f>IF(($A8&lt;'Alternative 1'!$B$27),(($H8*'Alternative 1'!$B$39)+(3*($N$62/3)*COS($K$63))),IF(($A8&lt;'Alternative 1'!$B$28),(($H8*'Alternative 1'!$B$39)+(2*(($N$62/3)*COS($K$63)))),IF(($A8&lt;'Alternative 1'!$B$29),(($H$3*'Alternative 1'!$B$39+(($N$62/3)*COS($K$63)))),($H8*'Alternative 1'!$B$39))))</f>
        <v>326511.98964889429</v>
      </c>
      <c r="BD8" s="105">
        <f>BB8*'Alternative 1'!$K9/'Alternative 1'!$L9</f>
        <v>2094693.9466172378</v>
      </c>
      <c r="BE8" s="105">
        <f>BC8/'Alternative 1'!$M9</f>
        <v>104279.29077385631</v>
      </c>
      <c r="BF8" s="105">
        <f t="shared" si="8"/>
        <v>2.1989732373910944</v>
      </c>
      <c r="BH8" s="105">
        <f>'Alternative 1'!$B$39*$B8*$C8*COS($K$73)-($N$72/3)*$E8*SIN($K$73)-($N$72/3)*$F8*SIN($K$73)-($N$72/3)*$G8*SIN($K$73)</f>
        <v>163712.1418192467</v>
      </c>
      <c r="BI8" s="106">
        <f>IF(($A8&lt;'Alternative 1'!$B$27),(($H8*'Alternative 1'!$B$39)+(3*($N$72/3)*COS($K$73))),IF(($A8&lt;'Alternative 1'!$B$28),(($H8*'Alternative 1'!$B$39)+(2*(($N$72/3)*COS($K$73)))),IF(($A8&lt;'Alternative 1'!$B$29),(($H$3*'Alternative 1'!$B$39+(($N$72/3)*COS($K$73)))),($H8*'Alternative 1'!$B$39))))</f>
        <v>291095.58125886344</v>
      </c>
      <c r="BJ8" s="105">
        <f>BH8*'Alternative 1'!$K9/'Alternative 1'!$L9</f>
        <v>1302780.9311467018</v>
      </c>
      <c r="BK8" s="105">
        <f>BI8/'Alternative 1'!$M9</f>
        <v>92968.226966854767</v>
      </c>
      <c r="BL8" s="105">
        <f t="shared" si="9"/>
        <v>1.3957491581135564</v>
      </c>
      <c r="BN8" s="105">
        <f>'Alternative 1'!$B$39*$B8*$C8*COS($K$83)-($N$82/3)*$E8*SIN($K$83)-($N$82/3)*$F8*SIN($K$83)-($N$82/3)*$G8*SIN($K$83)</f>
        <v>54706.276519762119</v>
      </c>
      <c r="BO8" s="106">
        <f>IF(($A8&lt;'Alternative 1'!$B$27),(($H8*'Alternative 1'!$B$39)+(3*($N$82/3)*COS($K$83))),IF(($A8&lt;'Alternative 1'!$B$28),(($H8*'Alternative 1'!$B$39)+(2*(($N$82/3)*COS($K$83)))),IF(($A8&lt;'Alternative 1'!$B$29),(($H$3*'Alternative 1'!$B$39+(($N$82/3)*COS($K$83)))),($H8*'Alternative 1'!$B$39))))</f>
        <v>270672.10301904171</v>
      </c>
      <c r="BP8" s="105">
        <f>BN8*'Alternative 1'!$K9/'Alternative 1'!$L9</f>
        <v>435339.08402880479</v>
      </c>
      <c r="BQ8" s="105">
        <f>BO8/'Alternative 1'!$M9</f>
        <v>86445.508373047342</v>
      </c>
      <c r="BR8" s="105">
        <f t="shared" si="10"/>
        <v>0.52178459240185215</v>
      </c>
      <c r="BT8" s="105">
        <f>'Alternative 1'!$B$39*$B8*$C8*COS($K$93)-($K$92/3)*$E8*SIN($K$93)-($K$92/3)*$F8*SIN($K$93)-($K$92/3)*$G8*SIN($K$93)</f>
        <v>-25.37126955957395</v>
      </c>
      <c r="BU8" s="106">
        <f>IF(($A8&lt;'Alternative 1'!$B$27),(($H8*'Alternative 1'!$B$39)+(3*($N$92/3)*COS($K$93))),IF(($A8&lt;'Alternative 1'!$B$28),(($H8*'Alternative 1'!$B$39)+(2*(($N$92/3)*COS($K$93)))),IF(($A8&lt;'Alternative 1'!$B$29),(($H$3*'Alternative 1'!$B$39+(($N$92/3)*COS($K$93)))),($H8*'Alternative 1'!$B$39))))</f>
        <v>263603.2529270933</v>
      </c>
      <c r="BV8" s="105">
        <f>BT8*'Alternative 1'!$K9/'Alternative 1'!$L9</f>
        <v>-201.89831868237061</v>
      </c>
      <c r="BW8" s="105">
        <f>BU8/'Alternative 1'!$M9</f>
        <v>84187.904678408915</v>
      </c>
      <c r="BX8" s="105">
        <f t="shared" si="11"/>
        <v>8.3986006359726542E-2</v>
      </c>
      <c r="BZ8" s="104">
        <v>150</v>
      </c>
      <c r="CA8" s="104">
        <v>-150</v>
      </c>
    </row>
    <row r="9" spans="1:80" ht="15" customHeight="1" x14ac:dyDescent="0.25">
      <c r="A9" s="18">
        <f>IF('Alternative 1'!F10&gt;0,'Alternative 1'!F10,"x")</f>
        <v>7</v>
      </c>
      <c r="B9" s="18">
        <f t="shared" si="17"/>
        <v>30</v>
      </c>
      <c r="C9" s="18">
        <f t="shared" si="12"/>
        <v>15</v>
      </c>
      <c r="D9" s="18">
        <f t="shared" si="13"/>
        <v>7</v>
      </c>
      <c r="E9" s="101">
        <f>IF($A9&lt;='Alternative 1'!$B$27, IF($A9='Alternative 1'!$B$27,0,E10+1),0)</f>
        <v>9</v>
      </c>
      <c r="F9" s="101">
        <f>IF($A9&lt;=('Alternative 1'!$B$28), IF($A9=ROUNDDOWN('Alternative 1'!$B$28,0),0,F10+1),0)</f>
        <v>15</v>
      </c>
      <c r="G9" s="101">
        <f>IF($A9&lt;=('Alternative 1'!$B$29), IF($A9=ROUNDDOWN('Alternative 1'!$B$29,0),0,G10+1),0)</f>
        <v>22</v>
      </c>
      <c r="H9" s="18">
        <f t="shared" si="14"/>
        <v>30</v>
      </c>
      <c r="J9" s="104">
        <f t="shared" si="15"/>
        <v>6</v>
      </c>
      <c r="K9" s="104">
        <f t="shared" si="16"/>
        <v>0.10471975511965977</v>
      </c>
      <c r="L9" s="105">
        <f>'Alternative 1'!$B$27*SIN(K9)+'Alternative 1'!$B$28*SIN(K9)+'Alternative 1'!$B$29*SIN(K9)</f>
        <v>7.1079355022004354</v>
      </c>
      <c r="M9" s="104">
        <f>(('Alternative 1'!$B$27)*(((('Alternative 1'!$B$28-'Alternative 1'!$B$27)/2)+'Alternative 1'!$B$27)*'Alternative 1'!$B$39)*COS('Alternative 1-Tilt Up (3pt)'!K9))+(('Alternative 1'!$B$28)*((('Alternative 1'!$B$28-'Alternative 1'!$B$27)/2)+(('Alternative 1'!$B$29-'Alternative 1'!$B$28)/2))*('Alternative 1'!$B$39)*COS('Alternative 1-Tilt Up (3pt)'!K9))+(('Alternative 1'!$B$29)*((('Alternative 1'!$B$12-'Alternative 1'!$B$29+(('Alternative 1'!$B$29-'Alternative 1'!$B$28)/2)*('Alternative 1'!$B$39)*COS('Alternative 1-Tilt Up (3pt)'!K9)))))</f>
        <v>4720113.7945370898</v>
      </c>
      <c r="N9" s="104">
        <f t="shared" si="0"/>
        <v>1992187.6583190139</v>
      </c>
      <c r="O9" s="104">
        <f>(((('Alternative 1'!$B$28-'Alternative 1'!$B$27)/2)+'Alternative 1'!$B$27)*('Alternative 1'!$B$39)*COS('Alternative 1-Tilt Up (3pt)'!K9))+(((('Alternative 1'!$B$28-'Alternative 1'!$B$27)/2)+(('Alternative 1'!$B$29-'Alternative 1'!$B$28)/2))*('Alternative 1'!$B$39)*COS('Alternative 1-Tilt Up (3pt)'!K9))+(((('Alternative 1'!$B$12-'Alternative 1'!$B$29)+(('Alternative 1'!$B$29-'Alternative 1'!$B$28)/2))*('Alternative 1'!$B$39)*COS('Alternative 1-Tilt Up (3pt)'!K9)))</f>
        <v>304442.94974666531</v>
      </c>
      <c r="P9" s="104">
        <f t="shared" si="1"/>
        <v>1981274.2458807076</v>
      </c>
      <c r="R9" s="105">
        <f>'Alternative 1'!$B$39*$B9*$C9*COS($K$5)-($N$5/3)*$E9*SIN($K$5)-($N$5/3)*$F9*SIN($K$5)-($N$5/3)*$G9*SIN($K$5)</f>
        <v>615518.10377599089</v>
      </c>
      <c r="S9" s="106">
        <f>IF(($A9&lt;'Alternative 1'!$B$27),(($H9*'Alternative 1'!$B$39)+(3*($N$5/3)*COS($K$5))),IF(($A9&lt;'Alternative 1'!$B$28),(($H9*'Alternative 1'!$B$39)+(2*(($N$5/3)*COS($K$5)))),IF(($A9&lt;'Alternative 1'!$B$29),(($H$3*'Alternative 1'!$B$39+(($N$5/3)*COS($K$5)))),($H9*'Alternative 1'!$B$39))))</f>
        <v>6247515.5534112863</v>
      </c>
      <c r="T9" s="105">
        <f>R9*'Alternative 1'!$K10/'Alternative 1'!$L10</f>
        <v>4898141.5762081537</v>
      </c>
      <c r="U9" s="105">
        <f>S9/'Alternative 1'!$M10</f>
        <v>2035643.4692870143</v>
      </c>
      <c r="V9" s="105">
        <f t="shared" si="2"/>
        <v>6.9337850454951679</v>
      </c>
      <c r="X9" s="105">
        <f>'Alternative 1'!$B$39*$B9*$C9*COS($K$13)-($N$12/3)*$E9*SIN($K$13)-($N$12/3)*$F9*SIN($K$13)-($N$12/3)*$G9*SIN($K$13)</f>
        <v>248347.75900944672</v>
      </c>
      <c r="Y9" s="106">
        <f>IF(($A9&lt;'Alternative 1'!$B$27),(($H9*'Alternative 1'!$B$39)+(3*($N$12/3)*COS($K$13))),IF(($A9&lt;'Alternative 1'!$B$28),(($H9*'Alternative 1'!$B$39)+(2*(($N$12/3)*COS($K$13)))),IF(($A9&lt;'Alternative 1'!$B$29),(($H$3*'Alternative 1'!$B$39+(($N$12/3)*COS($K$13)))),($H9*'Alternative 1'!$B$39))))</f>
        <v>1557035.6082142093</v>
      </c>
      <c r="Z9" s="105">
        <f>X9*'Alternative 1'!$K10/'Alternative 1'!$L10</f>
        <v>1976290.3419084505</v>
      </c>
      <c r="AA9" s="105">
        <f>Y9/'Alternative 1'!$M10</f>
        <v>507332.7693562815</v>
      </c>
      <c r="AB9" s="105">
        <f t="shared" si="3"/>
        <v>2.4836231112647318</v>
      </c>
      <c r="AD9" s="105">
        <f>'Alternative 1'!$B$39*$B9*$C9*COS($K$23)-($N$22/3)*$E9*SIN($K$23)-($N$22/3)*$F9*SIN($K$23)-($N$22/3)*$G9*SIN($K$23)</f>
        <v>406635.16468801256</v>
      </c>
      <c r="AE9" s="106">
        <f>IF(($A9&lt;'Alternative 1'!$B$27),(($H9*'Alternative 1'!$B$39)+(3*($N$22/3)*COS($K$23))),IF(($A9&lt;'Alternative 1'!$B$28),(($H9*'Alternative 1'!$B$39)+(2*(($N$22/3)*COS($K$23)))),IF(($A9&lt;'Alternative 1'!$B$29),(($H$3*'Alternative 1'!$B$39+(($N$22/3)*COS($K$23)))),($H9*'Alternative 1'!$B$39))))</f>
        <v>826532.97734572156</v>
      </c>
      <c r="AF9" s="105">
        <f>AD9*'Alternative 1'!$K10/'Alternative 1'!$L10</f>
        <v>3235902.5580041679</v>
      </c>
      <c r="AG9" s="105">
        <f>AE9/'Alternative 1'!$M10</f>
        <v>269311.28751899977</v>
      </c>
      <c r="AH9" s="105">
        <f t="shared" si="4"/>
        <v>3.5052138455231674</v>
      </c>
      <c r="AJ9" s="105">
        <f>'Alternative 1'!$B$39*$B9*$C9*COS($K$33)-($N$32/3)*$E9*SIN($K$33)-($N$32/3)*$F9*SIN($K$33)-($N$32/3)*$G9*SIN($K$33)</f>
        <v>417785.29508096073</v>
      </c>
      <c r="AK9" s="106">
        <f>IF(($A9&lt;'Alternative 1'!$B$27),(($H9*'Alternative 1'!$B$39)+(3*($N$32/3)*COS($K$33))),IF(($A9&lt;'Alternative 1'!$B$28),(($H9*'Alternative 1'!$B$39)+(2*(($N$32/3)*COS($K$33)))),IF(($A9&lt;'Alternative 1'!$B$29),(($H$3*'Alternative 1'!$B$39+(($N$32/3)*COS($K$33)))),($H9*'Alternative 1'!$B$39))))</f>
        <v>582238.37163209147</v>
      </c>
      <c r="AL9" s="105">
        <f>AJ9*'Alternative 1'!$K10/'Alternative 1'!$L10</f>
        <v>3324632.5513590313</v>
      </c>
      <c r="AM9" s="105">
        <f>AK9/'Alternative 1'!$M10</f>
        <v>189712.17096594663</v>
      </c>
      <c r="AN9" s="105">
        <f t="shared" si="5"/>
        <v>3.514344722324978</v>
      </c>
      <c r="AP9" s="105">
        <f>'Alternative 1'!$B$39*$B9*$C9*COS($K$43)-($N$42/3)*$E9*SIN($K$43)-($N$42/3)*$F9*SIN($K$43)-($N$42/3)*$G9*SIN($K$43)</f>
        <v>382734.58335195761</v>
      </c>
      <c r="AQ9" s="106">
        <f>IF(($A9&lt;'Alternative 1'!$B$27),(($H9*'Alternative 1'!$B$39)+(3*($N$42/3)*COS($K$43))),IF(($A9&lt;'Alternative 1'!$B$28),(($H9*'Alternative 1'!$B$39)+(2*(($N$42/3)*COS($K$43)))),IF(($A9&lt;'Alternative 1'!$B$29),(($H$3*'Alternative 1'!$B$39+(($N$42/3)*COS($K$43)))),($H9*'Alternative 1'!$B$39))))</f>
        <v>453179.75184371439</v>
      </c>
      <c r="AR9" s="105">
        <f>AP9*'Alternative 1'!$K10/'Alternative 1'!$L10</f>
        <v>3045707.6142332195</v>
      </c>
      <c r="AS9" s="105">
        <f>AQ9/'Alternative 1'!$M10</f>
        <v>147660.68117270299</v>
      </c>
      <c r="AT9" s="105">
        <f t="shared" si="6"/>
        <v>3.1933682954059224</v>
      </c>
      <c r="AV9" s="105">
        <f>'Alternative 1'!$B$39*$B9*$C9*COS($K$53)-($N$52/3)*$E9*SIN($K$53)-($N$52/3)*$F9*SIN($K$53)-($N$52/3)*$G9*SIN($K$53)</f>
        <v>321598.2500951027</v>
      </c>
      <c r="AW9" s="106">
        <f>IF(($A9&lt;'Alternative 1'!$B$27),(($H9*'Alternative 1'!$B$39)+(3*($N$52/3)*COS($K$53))),IF(($A9&lt;'Alternative 1'!$B$28),(($H9*'Alternative 1'!$B$39)+(2*(($N$52/3)*COS($K$53)))),IF(($A9&lt;'Alternative 1'!$B$29),(($H$3*'Alternative 1'!$B$39+(($N$52/3)*COS($K$53)))),($H9*'Alternative 1'!$B$39))))</f>
        <v>372101.11752157321</v>
      </c>
      <c r="AX9" s="105">
        <f>AV9*'Alternative 1'!$K10/'Alternative 1'!$L10</f>
        <v>2559199.7212804882</v>
      </c>
      <c r="AY9" s="105">
        <f>AW9/'Alternative 1'!$M10</f>
        <v>121242.62890127533</v>
      </c>
      <c r="AZ9" s="105">
        <f t="shared" si="7"/>
        <v>2.6804423501817634</v>
      </c>
      <c r="BB9" s="105">
        <f>'Alternative 1'!$B$39*$B9*$C9*COS($K$63)-($N$62/3)*$E9*SIN($K$63)-($N$62/3)*$F9*SIN($K$63)-($N$62/3)*$G9*SIN($K$63)</f>
        <v>242512.11669361242</v>
      </c>
      <c r="BC9" s="106">
        <f>IF(($A9&lt;'Alternative 1'!$B$27),(($H9*'Alternative 1'!$B$39)+(3*($N$62/3)*COS($K$63))),IF(($A9&lt;'Alternative 1'!$B$28),(($H9*'Alternative 1'!$B$39)+(2*(($N$62/3)*COS($K$63)))),IF(($A9&lt;'Alternative 1'!$B$29),(($H$3*'Alternative 1'!$B$39+(($N$62/3)*COS($K$63)))),($H9*'Alternative 1'!$B$39))))</f>
        <v>318008.65890931064</v>
      </c>
      <c r="BD9" s="105">
        <f>BB9*'Alternative 1'!$K10/'Alternative 1'!$L10</f>
        <v>1929851.7366493752</v>
      </c>
      <c r="BE9" s="105">
        <f>BC9/'Alternative 1'!$M10</f>
        <v>103617.54911230125</v>
      </c>
      <c r="BF9" s="105">
        <f t="shared" si="8"/>
        <v>2.0334692857616763</v>
      </c>
      <c r="BH9" s="105">
        <f>'Alternative 1'!$B$39*$B9*$C9*COS($K$73)-($N$72/3)*$E9*SIN($K$73)-($N$72/3)*$F9*SIN($K$73)-($N$72/3)*$G9*SIN($K$73)</f>
        <v>150543.22597092972</v>
      </c>
      <c r="BI9" s="106">
        <f>IF(($A9&lt;'Alternative 1'!$B$27),(($H9*'Alternative 1'!$B$39)+(3*($N$72/3)*COS($K$73))),IF(($A9&lt;'Alternative 1'!$B$28),(($H9*'Alternative 1'!$B$39)+(2*(($N$72/3)*COS($K$73)))),IF(($A9&lt;'Alternative 1'!$B$29),(($H$3*'Alternative 1'!$B$39+(($N$72/3)*COS($K$73)))),($H9*'Alternative 1'!$B$39))))</f>
        <v>282592.2505192798</v>
      </c>
      <c r="BJ9" s="105">
        <f>BH9*'Alternative 1'!$K10/'Alternative 1'!$L10</f>
        <v>1197985.9400091174</v>
      </c>
      <c r="BK9" s="105">
        <f>BI9/'Alternative 1'!$M10</f>
        <v>92077.733032067175</v>
      </c>
      <c r="BL9" s="105">
        <f t="shared" si="9"/>
        <v>1.2900636730411845</v>
      </c>
      <c r="BN9" s="105">
        <f>'Alternative 1'!$B$39*$B9*$C9*COS($K$83)-($N$82/3)*$E9*SIN($K$83)-($N$82/3)*$F9*SIN($K$83)-($N$82/3)*$G9*SIN($K$83)</f>
        <v>49759.786977481213</v>
      </c>
      <c r="BO9" s="106">
        <f>IF(($A9&lt;'Alternative 1'!$B$27),(($H9*'Alternative 1'!$B$39)+(3*($N$82/3)*COS($K$83))),IF(($A9&lt;'Alternative 1'!$B$28),(($H9*'Alternative 1'!$B$39)+(2*(($N$82/3)*COS($K$83)))),IF(($A9&lt;'Alternative 1'!$B$29),(($H$3*'Alternative 1'!$B$39+(($N$82/3)*COS($K$83)))),($H9*'Alternative 1'!$B$39))))</f>
        <v>262168.772279458</v>
      </c>
      <c r="BP9" s="105">
        <f>BN9*'Alternative 1'!$K10/'Alternative 1'!$L10</f>
        <v>395976.13770002784</v>
      </c>
      <c r="BQ9" s="105">
        <f>BO9/'Alternative 1'!$M10</f>
        <v>85423.1005235786</v>
      </c>
      <c r="BR9" s="105">
        <f t="shared" si="10"/>
        <v>0.48139923822360642</v>
      </c>
      <c r="BT9" s="105">
        <f>'Alternative 1'!$B$39*$B9*$C9*COS($K$93)-($K$92/3)*$E9*SIN($K$93)-($K$92/3)*$F9*SIN($K$93)-($K$92/3)*$G9*SIN($K$93)</f>
        <v>-23.817926525314881</v>
      </c>
      <c r="BU9" s="106">
        <f>IF(($A9&lt;'Alternative 1'!$B$27),(($H9*'Alternative 1'!$B$39)+(3*($N$92/3)*COS($K$93))),IF(($A9&lt;'Alternative 1'!$B$28),(($H9*'Alternative 1'!$B$39)+(2*(($N$92/3)*COS($K$93)))),IF(($A9&lt;'Alternative 1'!$B$29),(($H$3*'Alternative 1'!$B$39+(($N$92/3)*COS($K$93)))),($H9*'Alternative 1'!$B$39))))</f>
        <v>255099.92218750963</v>
      </c>
      <c r="BV9" s="105">
        <f>BT9*'Alternative 1'!$K10/'Alternative 1'!$L10</f>
        <v>-189.53719713039322</v>
      </c>
      <c r="BW9" s="105">
        <f>BU9/'Alternative 1'!$M10</f>
        <v>83119.839586967326</v>
      </c>
      <c r="BX9" s="105">
        <f t="shared" si="11"/>
        <v>8.2930302389836924E-2</v>
      </c>
      <c r="BZ9" s="104">
        <v>150</v>
      </c>
      <c r="CA9" s="104">
        <v>-150</v>
      </c>
    </row>
    <row r="10" spans="1:80" ht="15" customHeight="1" x14ac:dyDescent="0.25">
      <c r="A10" s="18">
        <f>IF('Alternative 1'!F11&gt;0,'Alternative 1'!F11,"x")</f>
        <v>8</v>
      </c>
      <c r="B10" s="18">
        <f t="shared" si="17"/>
        <v>29</v>
      </c>
      <c r="C10" s="18">
        <f t="shared" si="12"/>
        <v>14.5</v>
      </c>
      <c r="D10" s="18">
        <f t="shared" si="13"/>
        <v>8</v>
      </c>
      <c r="E10" s="101">
        <f>IF($A10&lt;='Alternative 1'!$B$27, IF($A10='Alternative 1'!$B$27,0,E11+1),0)</f>
        <v>8</v>
      </c>
      <c r="F10" s="101">
        <f>IF($A10&lt;=('Alternative 1'!$B$28), IF($A10=ROUNDDOWN('Alternative 1'!$B$28,0),0,F11+1),0)</f>
        <v>14</v>
      </c>
      <c r="G10" s="101">
        <f>IF($A10&lt;=('Alternative 1'!$B$29), IF($A10=ROUNDDOWN('Alternative 1'!$B$29,0),0,G11+1),0)</f>
        <v>21</v>
      </c>
      <c r="H10" s="18">
        <f t="shared" si="14"/>
        <v>29</v>
      </c>
      <c r="J10" s="104">
        <f t="shared" si="15"/>
        <v>7</v>
      </c>
      <c r="K10" s="104">
        <f t="shared" si="16"/>
        <v>0.12217304763960307</v>
      </c>
      <c r="L10" s="105">
        <f>'Alternative 1'!$B$27*SIN(K10)+'Alternative 1'!$B$28*SIN(K10)+'Alternative 1'!$B$29*SIN(K10)</f>
        <v>8.2871153515500282</v>
      </c>
      <c r="M10" s="104">
        <f>(('Alternative 1'!$B$27)*(((('Alternative 1'!$B$28-'Alternative 1'!$B$27)/2)+'Alternative 1'!$B$27)*'Alternative 1'!$B$39)*COS('Alternative 1-Tilt Up (3pt)'!K10))+(('Alternative 1'!$B$28)*((('Alternative 1'!$B$28-'Alternative 1'!$B$27)/2)+(('Alternative 1'!$B$29-'Alternative 1'!$B$28)/2))*('Alternative 1'!$B$39)*COS('Alternative 1-Tilt Up (3pt)'!K10))+(('Alternative 1'!$B$29)*((('Alternative 1'!$B$12-'Alternative 1'!$B$29+(('Alternative 1'!$B$29-'Alternative 1'!$B$28)/2)*('Alternative 1'!$B$39)*COS('Alternative 1-Tilt Up (3pt)'!K10)))))</f>
        <v>4710737.0792062711</v>
      </c>
      <c r="N10" s="104">
        <f t="shared" si="0"/>
        <v>1705323.3408867072</v>
      </c>
      <c r="O10" s="104">
        <f>(((('Alternative 1'!$B$28-'Alternative 1'!$B$27)/2)+'Alternative 1'!$B$27)*('Alternative 1'!$B$39)*COS('Alternative 1-Tilt Up (3pt)'!K10))+(((('Alternative 1'!$B$28-'Alternative 1'!$B$27)/2)+(('Alternative 1'!$B$29-'Alternative 1'!$B$28)/2))*('Alternative 1'!$B$39)*COS('Alternative 1-Tilt Up (3pt)'!K10))+(((('Alternative 1'!$B$12-'Alternative 1'!$B$29)+(('Alternative 1'!$B$29-'Alternative 1'!$B$28)/2))*('Alternative 1'!$B$39)*COS('Alternative 1-Tilt Up (3pt)'!K10)))</f>
        <v>303838.13526145602</v>
      </c>
      <c r="P10" s="104">
        <f t="shared" si="1"/>
        <v>1692612.1193012234</v>
      </c>
      <c r="R10" s="105">
        <f>'Alternative 1'!$B$39*$B10*$C10*COS($K$5)-($N$5/3)*$E10*SIN($K$5)-($N$5/3)*$F10*SIN($K$5)-($N$5/3)*$G10*SIN($K$5)</f>
        <v>574082.42189534474</v>
      </c>
      <c r="S10" s="106">
        <f>IF(($A10&lt;'Alternative 1'!$B$27),(($H10*'Alternative 1'!$B$39)+(3*($N$5/3)*COS($K$5))),IF(($A10&lt;'Alternative 1'!$B$28),(($H10*'Alternative 1'!$B$39)+(2*(($N$5/3)*COS($K$5)))),IF(($A10&lt;'Alternative 1'!$B$29),(($H$3*'Alternative 1'!$B$39+(($N$5/3)*COS($K$5)))),($H10*'Alternative 1'!$B$39))))</f>
        <v>6239012.2226717025</v>
      </c>
      <c r="T10" s="105">
        <f>R10*'Alternative 1'!$K11/'Alternative 1'!$L11</f>
        <v>4568406.6181085436</v>
      </c>
      <c r="U10" s="105">
        <f>S10/'Alternative 1'!$M11</f>
        <v>2074405.1047934899</v>
      </c>
      <c r="V10" s="105">
        <f t="shared" si="2"/>
        <v>6.6428117229020334</v>
      </c>
      <c r="X10" s="105">
        <f>'Alternative 1'!$B$39*$B10*$C10*COS($K$13)-($N$12/3)*$E10*SIN($K$13)-($N$12/3)*$F10*SIN($K$13)-($N$12/3)*$G10*SIN($K$13)</f>
        <v>230876.83945945278</v>
      </c>
      <c r="Y10" s="106">
        <f>IF(($A10&lt;'Alternative 1'!$B$27),(($H10*'Alternative 1'!$B$39)+(3*($N$12/3)*COS($K$13))),IF(($A10&lt;'Alternative 1'!$B$28),(($H10*'Alternative 1'!$B$39)+(2*(($N$12/3)*COS($K$13)))),IF(($A10&lt;'Alternative 1'!$B$29),(($H$3*'Alternative 1'!$B$39+(($N$12/3)*COS($K$13)))),($H10*'Alternative 1'!$B$39))))</f>
        <v>1548532.2774746255</v>
      </c>
      <c r="Z10" s="105">
        <f>X10*'Alternative 1'!$K11/'Alternative 1'!$L11</f>
        <v>1837261.0641383247</v>
      </c>
      <c r="AA10" s="105">
        <f>Y10/'Alternative 1'!$M11</f>
        <v>514870.48697514355</v>
      </c>
      <c r="AB10" s="105">
        <f t="shared" si="3"/>
        <v>2.3521315511134682</v>
      </c>
      <c r="AD10" s="105">
        <f>'Alternative 1'!$B$39*$B10*$C10*COS($K$23)-($N$22/3)*$E10*SIN($K$23)-($N$22/3)*$F10*SIN($K$23)-($N$22/3)*$G10*SIN($K$23)</f>
        <v>378899.53177278093</v>
      </c>
      <c r="AE10" s="106">
        <f>IF(($A10&lt;'Alternative 1'!$B$27),(($H10*'Alternative 1'!$B$39)+(3*($N$22/3)*COS($K$23))),IF(($A10&lt;'Alternative 1'!$B$28),(($H10*'Alternative 1'!$B$39)+(2*(($N$22/3)*COS($K$23)))),IF(($A10&lt;'Alternative 1'!$B$29),(($H$3*'Alternative 1'!$B$39+(($N$22/3)*COS($K$23)))),($H10*'Alternative 1'!$B$39))))</f>
        <v>818029.64660613798</v>
      </c>
      <c r="AF10" s="105">
        <f>AD10*'Alternative 1'!$K11/'Alternative 1'!$L11</f>
        <v>3015189.2176635154</v>
      </c>
      <c r="AG10" s="105">
        <f>AE10/'Alternative 1'!$M11</f>
        <v>271986.14367604512</v>
      </c>
      <c r="AH10" s="105">
        <f t="shared" si="4"/>
        <v>3.2871753613395609</v>
      </c>
      <c r="AJ10" s="105">
        <f>'Alternative 1'!$B$39*$B10*$C10*COS($K$33)-($N$32/3)*$E10*SIN($K$33)-($N$32/3)*$F10*SIN($K$33)-($N$32/3)*$G10*SIN($K$33)</f>
        <v>389417.80403088033</v>
      </c>
      <c r="AK10" s="106">
        <f>IF(($A10&lt;'Alternative 1'!$B$27),(($H10*'Alternative 1'!$B$39)+(3*($N$32/3)*COS($K$33))),IF(($A10&lt;'Alternative 1'!$B$28),(($H10*'Alternative 1'!$B$39)+(2*(($N$32/3)*COS($K$33)))),IF(($A10&lt;'Alternative 1'!$B$29),(($H$3*'Alternative 1'!$B$39+(($N$32/3)*COS($K$33)))),($H10*'Alternative 1'!$B$39))))</f>
        <v>573735.04089250788</v>
      </c>
      <c r="AL10" s="105">
        <f>AJ10*'Alternative 1'!$K11/'Alternative 1'!$L11</f>
        <v>3098891.0394965629</v>
      </c>
      <c r="AM10" s="105">
        <f>AK10/'Alternative 1'!$M11</f>
        <v>190760.78955278339</v>
      </c>
      <c r="AN10" s="105">
        <f t="shared" si="5"/>
        <v>3.2896518290493466</v>
      </c>
      <c r="AP10" s="105">
        <f>'Alternative 1'!$B$39*$B10*$C10*COS($K$43)-($N$42/3)*$E10*SIN($K$43)-($N$42/3)*$F10*SIN($K$43)-($N$42/3)*$G10*SIN($K$43)</f>
        <v>356782.3821588424</v>
      </c>
      <c r="AQ10" s="106">
        <f>IF(($A10&lt;'Alternative 1'!$B$27),(($H10*'Alternative 1'!$B$39)+(3*($N$42/3)*COS($K$43))),IF(($A10&lt;'Alternative 1'!$B$28),(($H10*'Alternative 1'!$B$39)+(2*(($N$42/3)*COS($K$43)))),IF(($A10&lt;'Alternative 1'!$B$29),(($H$3*'Alternative 1'!$B$39+(($N$42/3)*COS($K$43)))),($H10*'Alternative 1'!$B$39))))</f>
        <v>444676.42110413074</v>
      </c>
      <c r="AR10" s="105">
        <f>AP10*'Alternative 1'!$K11/'Alternative 1'!$L11</f>
        <v>2839186.384592216</v>
      </c>
      <c r="AS10" s="105">
        <f>AQ10/'Alternative 1'!$M11</f>
        <v>147850.17323218141</v>
      </c>
      <c r="AT10" s="105">
        <f t="shared" si="6"/>
        <v>2.9870365578243976</v>
      </c>
      <c r="AV10" s="105">
        <f>'Alternative 1'!$B$39*$B10*$C10*COS($K$53)-($N$52/3)*$E10*SIN($K$53)-($N$52/3)*$F10*SIN($K$53)-($N$52/3)*$G10*SIN($K$53)</f>
        <v>299792.69357839413</v>
      </c>
      <c r="AW10" s="106">
        <f>IF(($A10&lt;'Alternative 1'!$B$27),(($H10*'Alternative 1'!$B$39)+(3*($N$52/3)*COS($K$53))),IF(($A10&lt;'Alternative 1'!$B$28),(($H10*'Alternative 1'!$B$39)+(2*(($N$52/3)*COS($K$53)))),IF(($A10&lt;'Alternative 1'!$B$29),(($H$3*'Alternative 1'!$B$39+(($N$52/3)*COS($K$53)))),($H10*'Alternative 1'!$B$39))))</f>
        <v>363597.78678198956</v>
      </c>
      <c r="AX10" s="105">
        <f>AV10*'Alternative 1'!$K11/'Alternative 1'!$L11</f>
        <v>2385676.4693864742</v>
      </c>
      <c r="AY10" s="105">
        <f>AW10/'Alternative 1'!$M11</f>
        <v>120892.3909864029</v>
      </c>
      <c r="AZ10" s="105">
        <f t="shared" si="7"/>
        <v>2.5065688603728771</v>
      </c>
      <c r="BB10" s="105">
        <f>'Alternative 1'!$B$39*$B10*$C10*COS($K$63)-($N$62/3)*$E10*SIN($K$63)-($N$62/3)*$F10*SIN($K$63)-($N$62/3)*$G10*SIN($K$63)</f>
        <v>226049.1165268867</v>
      </c>
      <c r="BC10" s="106">
        <f>IF(($A10&lt;'Alternative 1'!$B$27),(($H10*'Alternative 1'!$B$39)+(3*($N$62/3)*COS($K$63))),IF(($A10&lt;'Alternative 1'!$B$28),(($H10*'Alternative 1'!$B$39)+(2*(($N$62/3)*COS($K$63)))),IF(($A10&lt;'Alternative 1'!$B$29),(($H$3*'Alternative 1'!$B$39+(($N$62/3)*COS($K$63)))),($H10*'Alternative 1'!$B$39))))</f>
        <v>309505.328169727</v>
      </c>
      <c r="BD10" s="105">
        <f>BB10*'Alternative 1'!$K11/'Alternative 1'!$L11</f>
        <v>1798843.2332583715</v>
      </c>
      <c r="BE10" s="105">
        <f>BC10/'Alternative 1'!$M11</f>
        <v>102907.22470185008</v>
      </c>
      <c r="BF10" s="105">
        <f t="shared" si="8"/>
        <v>1.9017504579602214</v>
      </c>
      <c r="BH10" s="105">
        <f>'Alternative 1'!$B$39*$B10*$C10*COS($K$73)-($N$72/3)*$E10*SIN($K$73)-($N$72/3)*$F10*SIN($K$73)-($N$72/3)*$G10*SIN($K$73)</f>
        <v>140282.6205209106</v>
      </c>
      <c r="BI10" s="106">
        <f>IF(($A10&lt;'Alternative 1'!$B$27),(($H10*'Alternative 1'!$B$39)+(3*($N$72/3)*COS($K$73))),IF(($A10&lt;'Alternative 1'!$B$28),(($H10*'Alternative 1'!$B$39)+(2*(($N$72/3)*COS($K$73)))),IF(($A10&lt;'Alternative 1'!$B$29),(($H$3*'Alternative 1'!$B$39+(($N$72/3)*COS($K$73)))),($H10*'Alternative 1'!$B$39))))</f>
        <v>274088.91977969615</v>
      </c>
      <c r="BJ10" s="105">
        <f>BH10*'Alternative 1'!$K11/'Alternative 1'!$L11</f>
        <v>1116334.5672168441</v>
      </c>
      <c r="BK10" s="105">
        <f>BI10/'Alternative 1'!$M11</f>
        <v>91131.646175050832</v>
      </c>
      <c r="BL10" s="105">
        <f t="shared" si="9"/>
        <v>1.207466213391895</v>
      </c>
      <c r="BN10" s="105">
        <f>'Alternative 1'!$B$39*$B10*$C10*COS($K$83)-($N$82/3)*$E10*SIN($K$83)-($N$82/3)*$F10*SIN($K$83)-($N$82/3)*$G10*SIN($K$83)</f>
        <v>46289.885322228016</v>
      </c>
      <c r="BO10" s="106">
        <f>IF(($A10&lt;'Alternative 1'!$B$27),(($H10*'Alternative 1'!$B$39)+(3*($N$82/3)*COS($K$83))),IF(($A10&lt;'Alternative 1'!$B$28),(($H10*'Alternative 1'!$B$39)+(2*(($N$82/3)*COS($K$83)))),IF(($A10&lt;'Alternative 1'!$B$29),(($H$3*'Alternative 1'!$B$39+(($N$82/3)*COS($K$83)))),($H10*'Alternative 1'!$B$39))))</f>
        <v>253665.44153987436</v>
      </c>
      <c r="BP10" s="105">
        <f>BN10*'Alternative 1'!$K11/'Alternative 1'!$L11</f>
        <v>368363.5143528278</v>
      </c>
      <c r="BQ10" s="105">
        <f>BO10/'Alternative 1'!$M11</f>
        <v>84341.057215412176</v>
      </c>
      <c r="BR10" s="105">
        <f t="shared" si="10"/>
        <v>0.45270457156823996</v>
      </c>
      <c r="BT10" s="105">
        <f>'Alternative 1'!$B$39*$B10*$C10*COS($K$93)-($K$92/3)*$E10*SIN($K$93)-($K$92/3)*$F10*SIN($K$93)-($K$92/3)*$G10*SIN($K$93)</f>
        <v>-22.264583491055298</v>
      </c>
      <c r="BU10" s="106">
        <f>IF(($A10&lt;'Alternative 1'!$B$27),(($H10*'Alternative 1'!$B$39)+(3*($N$92/3)*COS($K$93))),IF(($A10&lt;'Alternative 1'!$B$28),(($H10*'Alternative 1'!$B$39)+(2*(($N$92/3)*COS($K$93)))),IF(($A10&lt;'Alternative 1'!$B$29),(($H$3*'Alternative 1'!$B$39+(($N$92/3)*COS($K$93)))),($H10*'Alternative 1'!$B$39))))</f>
        <v>246596.59144792598</v>
      </c>
      <c r="BV10" s="105">
        <f>BT10*'Alternative 1'!$K11/'Alternative 1'!$L11</f>
        <v>-177.17607557841171</v>
      </c>
      <c r="BW10" s="105">
        <f>BU10/'Alternative 1'!$M11</f>
        <v>81990.739858688306</v>
      </c>
      <c r="BX10" s="105">
        <f t="shared" si="11"/>
        <v>8.1813563783109902E-2</v>
      </c>
      <c r="BZ10" s="104">
        <v>150</v>
      </c>
      <c r="CA10" s="104">
        <v>-150</v>
      </c>
    </row>
    <row r="11" spans="1:80" ht="15" customHeight="1" x14ac:dyDescent="0.25">
      <c r="A11" s="18">
        <f>IF('Alternative 1'!F12&gt;0,'Alternative 1'!F12,"x")</f>
        <v>9</v>
      </c>
      <c r="B11" s="18">
        <f t="shared" si="17"/>
        <v>28</v>
      </c>
      <c r="C11" s="18">
        <f t="shared" si="12"/>
        <v>14</v>
      </c>
      <c r="D11" s="18">
        <f t="shared" si="13"/>
        <v>9</v>
      </c>
      <c r="E11" s="101">
        <f>IF($A11&lt;='Alternative 1'!$B$27, IF($A11='Alternative 1'!$B$27,0,E12+1),0)</f>
        <v>7</v>
      </c>
      <c r="F11" s="101">
        <f>IF($A11&lt;=('Alternative 1'!$B$28), IF($A11=ROUNDDOWN('Alternative 1'!$B$28,0),0,F12+1),0)</f>
        <v>13</v>
      </c>
      <c r="G11" s="101">
        <f>IF($A11&lt;=('Alternative 1'!$B$29), IF($A11=ROUNDDOWN('Alternative 1'!$B$29,0),0,G12+1),0)</f>
        <v>20</v>
      </c>
      <c r="H11" s="18">
        <f t="shared" si="14"/>
        <v>28</v>
      </c>
      <c r="J11" s="104">
        <f t="shared" si="15"/>
        <v>8</v>
      </c>
      <c r="K11" s="104">
        <f t="shared" si="16"/>
        <v>0.13962634015954636</v>
      </c>
      <c r="L11" s="105">
        <f>'Alternative 1'!$B$27*SIN(K11)+'Alternative 1'!$B$28*SIN(K11)+'Alternative 1'!$B$29*SIN(K11)</f>
        <v>9.4637708652844506</v>
      </c>
      <c r="M11" s="104">
        <f>(('Alternative 1'!$B$27)*(((('Alternative 1'!$B$28-'Alternative 1'!$B$27)/2)+'Alternative 1'!$B$27)*'Alternative 1'!$B$39)*COS('Alternative 1-Tilt Up (3pt)'!K11))+(('Alternative 1'!$B$28)*((('Alternative 1'!$B$28-'Alternative 1'!$B$27)/2)+(('Alternative 1'!$B$29-'Alternative 1'!$B$28)/2))*('Alternative 1'!$B$39)*COS('Alternative 1-Tilt Up (3pt)'!K11))+(('Alternative 1'!$B$29)*((('Alternative 1'!$B$12-'Alternative 1'!$B$29+(('Alternative 1'!$B$29-'Alternative 1'!$B$28)/2)*('Alternative 1'!$B$39)*COS('Alternative 1-Tilt Up (3pt)'!K11)))))</f>
        <v>4699925.4873183202</v>
      </c>
      <c r="N11" s="104">
        <f t="shared" si="0"/>
        <v>1489868.7492188313</v>
      </c>
      <c r="O11" s="104">
        <f>(((('Alternative 1'!$B$28-'Alternative 1'!$B$27)/2)+'Alternative 1'!$B$27)*('Alternative 1'!$B$39)*COS('Alternative 1-Tilt Up (3pt)'!K11))+(((('Alternative 1'!$B$28-'Alternative 1'!$B$27)/2)+(('Alternative 1'!$B$29-'Alternative 1'!$B$28)/2))*('Alternative 1'!$B$39)*COS('Alternative 1-Tilt Up (3pt)'!K11))+(((('Alternative 1'!$B$12-'Alternative 1'!$B$29)+(('Alternative 1'!$B$29-'Alternative 1'!$B$28)/2))*('Alternative 1'!$B$39)*COS('Alternative 1-Tilt Up (3pt)'!K11)))</f>
        <v>303140.76873690006</v>
      </c>
      <c r="P11" s="104">
        <f t="shared" si="1"/>
        <v>1475369.4489673511</v>
      </c>
      <c r="R11" s="105">
        <f>'Alternative 1'!$B$39*$B11*$C11*COS($K$5)-($N$5/3)*$E11*SIN($K$5)-($N$5/3)*$F11*SIN($K$5)-($N$5/3)*$G11*SIN($K$5)</f>
        <v>541144.89075494837</v>
      </c>
      <c r="S11" s="106">
        <f>IF(($A11&lt;'Alternative 1'!$B$27),(($H11*'Alternative 1'!$B$39)+(3*($N$5/3)*COS($K$5))),IF(($A11&lt;'Alternative 1'!$B$28),(($H11*'Alternative 1'!$B$39)+(2*(($N$5/3)*COS($K$5)))),IF(($A11&lt;'Alternative 1'!$B$29),(($H$3*'Alternative 1'!$B$39+(($N$5/3)*COS($K$5)))),($H11*'Alternative 1'!$B$39))))</f>
        <v>6230508.8919321187</v>
      </c>
      <c r="T11" s="105">
        <f>R11*'Alternative 1'!$K12/'Alternative 1'!$L12</f>
        <v>4306297.852002874</v>
      </c>
      <c r="U11" s="105">
        <f>S11/'Alternative 1'!$M12</f>
        <v>2114337.6798425773</v>
      </c>
      <c r="V11" s="105">
        <f t="shared" si="2"/>
        <v>6.4206355318454511</v>
      </c>
      <c r="X11" s="105">
        <f>'Alternative 1'!$B$39*$B11*$C11*COS($K$13)-($N$12/3)*$E11*SIN($K$13)-($N$12/3)*$F11*SIN($K$13)-($N$12/3)*$G11*SIN($K$13)</f>
        <v>221780.06594822835</v>
      </c>
      <c r="Y11" s="106">
        <f>IF(($A11&lt;'Alternative 1'!$B$27),(($H11*'Alternative 1'!$B$39)+(3*($N$12/3)*COS($K$13))),IF(($A11&lt;'Alternative 1'!$B$28),(($H11*'Alternative 1'!$B$39)+(2*(($N$12/3)*COS($K$13)))),IF(($A11&lt;'Alternative 1'!$B$29),(($H$3*'Alternative 1'!$B$39+(($N$12/3)*COS($K$13)))),($H11*'Alternative 1'!$B$39))))</f>
        <v>1540028.9467350419</v>
      </c>
      <c r="Z11" s="105">
        <f>X11*'Alternative 1'!$K12/'Alternative 1'!$L12</f>
        <v>1764871.1794682655</v>
      </c>
      <c r="AA11" s="105">
        <f>Y11/'Alternative 1'!$M12</f>
        <v>522612.40399585199</v>
      </c>
      <c r="AB11" s="105">
        <f t="shared" si="3"/>
        <v>2.2874835834641178</v>
      </c>
      <c r="AD11" s="105">
        <f>'Alternative 1'!$B$39*$B11*$C11*COS($K$23)-($N$22/3)*$E11*SIN($K$23)-($N$22/3)*$F11*SIN($K$23)-($N$22/3)*$G11*SIN($K$23)</f>
        <v>359154.41600563843</v>
      </c>
      <c r="AE11" s="106">
        <f>IF(($A11&lt;'Alternative 1'!$B$27),(($H11*'Alternative 1'!$B$39)+(3*($N$22/3)*COS($K$23))),IF(($A11&lt;'Alternative 1'!$B$28),(($H11*'Alternative 1'!$B$39)+(2*(($N$22/3)*COS($K$23)))),IF(($A11&lt;'Alternative 1'!$B$29),(($H$3*'Alternative 1'!$B$39+(($N$22/3)*COS($K$23)))),($H11*'Alternative 1'!$B$39))))</f>
        <v>809526.31586655427</v>
      </c>
      <c r="AF11" s="105">
        <f>AD11*'Alternative 1'!$K12/'Alternative 1'!$L12</f>
        <v>2858062.4461310864</v>
      </c>
      <c r="AG11" s="105">
        <f>AE11/'Alternative 1'!$M12</f>
        <v>274714.63762408955</v>
      </c>
      <c r="AH11" s="105">
        <f t="shared" si="4"/>
        <v>3.1327770837551761</v>
      </c>
      <c r="AJ11" s="105">
        <f>'Alternative 1'!$B$39*$B11*$C11*COS($K$33)-($N$32/3)*$E11*SIN($K$33)-($N$32/3)*$F11*SIN($K$33)-($N$32/3)*$G11*SIN($K$33)</f>
        <v>368414.4134180604</v>
      </c>
      <c r="AK11" s="106">
        <f>IF(($A11&lt;'Alternative 1'!$B$27),(($H11*'Alternative 1'!$B$39)+(3*($N$32/3)*COS($K$33))),IF(($A11&lt;'Alternative 1'!$B$28),(($H11*'Alternative 1'!$B$39)+(2*(($N$32/3)*COS($K$33)))),IF(($A11&lt;'Alternative 1'!$B$29),(($H$3*'Alternative 1'!$B$39+(($N$32/3)*COS($K$33)))),($H11*'Alternative 1'!$B$39))))</f>
        <v>565231.71015292418</v>
      </c>
      <c r="AL11" s="105">
        <f>AJ11*'Alternative 1'!$K12/'Alternative 1'!$L12</f>
        <v>2931751.2264335924</v>
      </c>
      <c r="AM11" s="105">
        <f>AK11/'Alternative 1'!$M12</f>
        <v>191812.69513405362</v>
      </c>
      <c r="AN11" s="105">
        <f t="shared" si="5"/>
        <v>3.1235639215676461</v>
      </c>
      <c r="AP11" s="105">
        <f>'Alternative 1'!$B$39*$B11*$C11*COS($K$43)-($N$42/3)*$E11*SIN($K$43)-($N$42/3)*$F11*SIN($K$43)-($N$42/3)*$G11*SIN($K$43)</f>
        <v>337344.11022678809</v>
      </c>
      <c r="AQ11" s="106">
        <f>IF(($A11&lt;'Alternative 1'!$B$27),(($H11*'Alternative 1'!$B$39)+(3*($N$42/3)*COS($K$43))),IF(($A11&lt;'Alternative 1'!$B$28),(($H11*'Alternative 1'!$B$39)+(2*(($N$42/3)*COS($K$43)))),IF(($A11&lt;'Alternative 1'!$B$29),(($H$3*'Alternative 1'!$B$39+(($N$42/3)*COS($K$43)))),($H11*'Alternative 1'!$B$39))))</f>
        <v>436173.0903645471</v>
      </c>
      <c r="AR11" s="105">
        <f>AP11*'Alternative 1'!$K12/'Alternative 1'!$L12</f>
        <v>2684501.4007778554</v>
      </c>
      <c r="AS11" s="105">
        <f>AQ11/'Alternative 1'!$M12</f>
        <v>148016.35241790948</v>
      </c>
      <c r="AT11" s="105">
        <f t="shared" si="6"/>
        <v>2.832517753195765</v>
      </c>
      <c r="AV11" s="105">
        <f>'Alternative 1'!$B$39*$B11*$C11*COS($K$53)-($N$52/3)*$E11*SIN($K$53)-($N$52/3)*$F11*SIN($K$53)-($N$52/3)*$G11*SIN($K$53)</f>
        <v>283452.97270215664</v>
      </c>
      <c r="AW11" s="106">
        <f>IF(($A11&lt;'Alternative 1'!$B$27),(($H11*'Alternative 1'!$B$39)+(3*($N$52/3)*COS($K$53))),IF(($A11&lt;'Alternative 1'!$B$28),(($H11*'Alternative 1'!$B$39)+(2*(($N$52/3)*COS($K$53)))),IF(($A11&lt;'Alternative 1'!$B$29),(($H$3*'Alternative 1'!$B$39+(($N$52/3)*COS($K$53)))),($H11*'Alternative 1'!$B$39))))</f>
        <v>355094.45604240592</v>
      </c>
      <c r="AX11" s="105">
        <f>AV11*'Alternative 1'!$K12/'Alternative 1'!$L12</f>
        <v>2255648.9922472108</v>
      </c>
      <c r="AY11" s="105">
        <f>AW11/'Alternative 1'!$M12</f>
        <v>120502.12933422813</v>
      </c>
      <c r="AZ11" s="105">
        <f t="shared" si="7"/>
        <v>2.3761511215814388</v>
      </c>
      <c r="BB11" s="105">
        <f>'Alternative 1'!$B$39*$B11*$C11*COS($K$63)-($N$62/3)*$E11*SIN($K$63)-($N$62/3)*$F11*SIN($K$63)-($N$62/3)*$G11*SIN($K$63)</f>
        <v>213837.78172995278</v>
      </c>
      <c r="BC11" s="106">
        <f>IF(($A11&lt;'Alternative 1'!$B$27),(($H11*'Alternative 1'!$B$39)+(3*($N$62/3)*COS($K$63))),IF(($A11&lt;'Alternative 1'!$B$28),(($H11*'Alternative 1'!$B$39)+(2*(($N$62/3)*COS($K$63)))),IF(($A11&lt;'Alternative 1'!$B$29),(($H$3*'Alternative 1'!$B$39+(($N$62/3)*COS($K$63)))),($H11*'Alternative 1'!$B$39))))</f>
        <v>301001.99743014335</v>
      </c>
      <c r="BD11" s="105">
        <f>BB11*'Alternative 1'!$K12/'Alternative 1'!$L12</f>
        <v>1701668.4364442271</v>
      </c>
      <c r="BE11" s="105">
        <f>BC11/'Alternative 1'!$M12</f>
        <v>102145.72772675604</v>
      </c>
      <c r="BF11" s="105">
        <f t="shared" si="8"/>
        <v>1.8038141641709833</v>
      </c>
      <c r="BH11" s="105">
        <f>'Alternative 1'!$B$39*$B11*$C11*COS($K$73)-($N$72/3)*$E11*SIN($K$73)-($N$72/3)*$F11*SIN($K$73)-($N$72/3)*$G11*SIN($K$73)</f>
        <v>132930.32546918961</v>
      </c>
      <c r="BI11" s="106">
        <f>IF(($A11&lt;'Alternative 1'!$B$27),(($H11*'Alternative 1'!$B$39)+(3*($N$72/3)*COS($K$73))),IF(($A11&lt;'Alternative 1'!$B$28),(($H11*'Alternative 1'!$B$39)+(2*(($N$72/3)*COS($K$73)))),IF(($A11&lt;'Alternative 1'!$B$29),(($H$3*'Alternative 1'!$B$39+(($N$72/3)*COS($K$73)))),($H11*'Alternative 1'!$B$39))))</f>
        <v>265585.58904011251</v>
      </c>
      <c r="BJ11" s="105">
        <f>BH11*'Alternative 1'!$K12/'Alternative 1'!$L12</f>
        <v>1057826.812769884</v>
      </c>
      <c r="BK11" s="105">
        <f>BI11/'Alternative 1'!$M12</f>
        <v>90127.087188308215</v>
      </c>
      <c r="BL11" s="105">
        <f t="shared" si="9"/>
        <v>1.1479538999581922</v>
      </c>
      <c r="BN11" s="105">
        <f>'Alternative 1'!$B$39*$B11*$C11*COS($K$83)-($N$82/3)*$E11*SIN($K$83)-($N$82/3)*$F11*SIN($K$83)-($N$82/3)*$G11*SIN($K$83)</f>
        <v>44296.571554003109</v>
      </c>
      <c r="BO11" s="106">
        <f>IF(($A11&lt;'Alternative 1'!$B$27),(($H11*'Alternative 1'!$B$39)+(3*($N$82/3)*COS($K$83))),IF(($A11&lt;'Alternative 1'!$B$28),(($H11*'Alternative 1'!$B$39)+(2*(($N$82/3)*COS($K$83)))),IF(($A11&lt;'Alternative 1'!$B$29),(($H$3*'Alternative 1'!$B$39+(($N$82/3)*COS($K$83)))),($H11*'Alternative 1'!$B$39))))</f>
        <v>245162.11080029071</v>
      </c>
      <c r="BP11" s="105">
        <f>BN11*'Alternative 1'!$K12/'Alternative 1'!$L12</f>
        <v>352501.21398720954</v>
      </c>
      <c r="BQ11" s="105">
        <f>BO11/'Alternative 1'!$M12</f>
        <v>83196.33235834293</v>
      </c>
      <c r="BR11" s="105">
        <f t="shared" si="10"/>
        <v>0.43569754634555247</v>
      </c>
      <c r="BT11" s="105">
        <f>'Alternative 1'!$B$39*$B11*$C11*COS($K$93)-($K$92/3)*$E11*SIN($K$93)-($K$92/3)*$F11*SIN($K$93)-($K$92/3)*$G11*SIN($K$93)</f>
        <v>-20.711240456795188</v>
      </c>
      <c r="BU11" s="106">
        <f>IF(($A11&lt;'Alternative 1'!$B$27),(($H11*'Alternative 1'!$B$39)+(3*($N$92/3)*COS($K$93))),IF(($A11&lt;'Alternative 1'!$B$28),(($H11*'Alternative 1'!$B$39)+(2*(($N$92/3)*COS($K$93)))),IF(($A11&lt;'Alternative 1'!$B$29),(($H$3*'Alternative 1'!$B$39+(($N$92/3)*COS($K$93)))),($H11*'Alternative 1'!$B$39))))</f>
        <v>238093.26070834234</v>
      </c>
      <c r="BV11" s="105">
        <f>BT11*'Alternative 1'!$K12/'Alternative 1'!$L12</f>
        <v>-164.81495402642602</v>
      </c>
      <c r="BW11" s="105">
        <f>BU11/'Alternative 1'!$M12</f>
        <v>80797.501642938834</v>
      </c>
      <c r="BX11" s="105">
        <f t="shared" si="11"/>
        <v>8.0632686688912408E-2</v>
      </c>
      <c r="BZ11" s="104">
        <v>150</v>
      </c>
      <c r="CA11" s="104">
        <v>-150</v>
      </c>
    </row>
    <row r="12" spans="1:80" ht="15" customHeight="1" x14ac:dyDescent="0.25">
      <c r="A12" s="18">
        <f>IF('Alternative 1'!F13&gt;0,'Alternative 1'!F13,"x")</f>
        <v>10</v>
      </c>
      <c r="B12" s="18">
        <f t="shared" si="17"/>
        <v>27</v>
      </c>
      <c r="C12" s="18">
        <f t="shared" si="12"/>
        <v>13.5</v>
      </c>
      <c r="D12" s="18">
        <f t="shared" si="13"/>
        <v>10</v>
      </c>
      <c r="E12" s="101">
        <f>IF($A12&lt;='Alternative 1'!$B$27, IF($A12='Alternative 1'!$B$27,0,E13+1),0)</f>
        <v>6</v>
      </c>
      <c r="F12" s="101">
        <f>IF($A12&lt;=('Alternative 1'!$B$28), IF($A12=ROUNDDOWN('Alternative 1'!$B$28,0),0,F13+1),0)</f>
        <v>12</v>
      </c>
      <c r="G12" s="101">
        <f>IF($A12&lt;=('Alternative 1'!$B$29), IF($A12=ROUNDDOWN('Alternative 1'!$B$29,0),0,G13+1),0)</f>
        <v>19</v>
      </c>
      <c r="H12" s="18">
        <f t="shared" si="14"/>
        <v>27</v>
      </c>
      <c r="J12" s="104">
        <f t="shared" si="15"/>
        <v>9</v>
      </c>
      <c r="K12" s="104">
        <f t="shared" si="16"/>
        <v>0.15707963267948966</v>
      </c>
      <c r="L12" s="105">
        <f>'Alternative 1'!$B$27*SIN(K12)+'Alternative 1'!$B$28*SIN(K12)+'Alternative 1'!$B$29*SIN(K12)</f>
        <v>10.637543622735699</v>
      </c>
      <c r="M12" s="104">
        <f>(('Alternative 1'!$B$27)*(((('Alternative 1'!$B$28-'Alternative 1'!$B$27)/2)+'Alternative 1'!$B$27)*'Alternative 1'!$B$39)*COS('Alternative 1-Tilt Up (3pt)'!K12))+(('Alternative 1'!$B$28)*((('Alternative 1'!$B$28-'Alternative 1'!$B$27)/2)+(('Alternative 1'!$B$29-'Alternative 1'!$B$28)/2))*('Alternative 1'!$B$39)*COS('Alternative 1-Tilt Up (3pt)'!K12))+(('Alternative 1'!$B$29)*((('Alternative 1'!$B$12-'Alternative 1'!$B$29+(('Alternative 1'!$B$29-'Alternative 1'!$B$28)/2)*('Alternative 1'!$B$39)*COS('Alternative 1-Tilt Up (3pt)'!K12)))))</f>
        <v>4687682.3121888591</v>
      </c>
      <c r="N12" s="109">
        <f t="shared" si="0"/>
        <v>1322020.1425552347</v>
      </c>
      <c r="O12" s="104">
        <f>(((('Alternative 1'!$B$28-'Alternative 1'!$B$27)/2)+'Alternative 1'!$B$27)*('Alternative 1'!$B$39)*COS('Alternative 1-Tilt Up (3pt)'!K12))+(((('Alternative 1'!$B$28-'Alternative 1'!$B$27)/2)+(('Alternative 1'!$B$29-'Alternative 1'!$B$28)/2))*('Alternative 1'!$B$39)*COS('Alternative 1-Tilt Up (3pt)'!K12))+(((('Alternative 1'!$B$12-'Alternative 1'!$B$29)+(('Alternative 1'!$B$29-'Alternative 1'!$B$28)/2))*('Alternative 1'!$B$39)*COS('Alternative 1-Tilt Up (3pt)'!K12)))</f>
        <v>302351.0625975962</v>
      </c>
      <c r="P12" s="104">
        <f t="shared" si="1"/>
        <v>1305743.8808337273</v>
      </c>
      <c r="R12" s="105">
        <f>'Alternative 1'!$B$39*$B12*$C12*COS($K$5)-($N$5/3)*$E12*SIN($K$5)-($N$5/3)*$F12*SIN($K$5)-($N$5/3)*$G12*SIN($K$5)</f>
        <v>516705.51035480108</v>
      </c>
      <c r="S12" s="106">
        <f>IF(($A12&lt;'Alternative 1'!$B$27),(($H12*'Alternative 1'!$B$39)+(3*($N$5/3)*COS($K$5))),IF(($A12&lt;'Alternative 1'!$B$28),(($H12*'Alternative 1'!$B$39)+(2*(($N$5/3)*COS($K$5)))),IF(($A12&lt;'Alternative 1'!$B$29),(($H$3*'Alternative 1'!$B$39+(($N$5/3)*COS($K$5)))),($H12*'Alternative 1'!$B$39))))</f>
        <v>6222005.5611925349</v>
      </c>
      <c r="T12" s="105">
        <f>R12*'Alternative 1'!$K13/'Alternative 1'!$L13</f>
        <v>4111815.2778911404</v>
      </c>
      <c r="U12" s="105">
        <f>S12/'Alternative 1'!$M13</f>
        <v>2155489.4282325506</v>
      </c>
      <c r="V12" s="105">
        <f t="shared" si="2"/>
        <v>6.2673047061236913</v>
      </c>
      <c r="X12" s="105">
        <f>'Alternative 1'!$B$39*$B12*$C12*COS($K$13)-($N$12/3)*$E12*SIN($K$13)-($N$12/3)*$F12*SIN($K$13)-($N$12/3)*$G12*SIN($K$13)</f>
        <v>221057.43847577181</v>
      </c>
      <c r="Y12" s="106">
        <f>IF(($A12&lt;'Alternative 1'!$B$27),(($H12*'Alternative 1'!$B$39)+(3*($N$12/3)*COS($K$13))),IF(($A12&lt;'Alternative 1'!$B$28),(($H12*'Alternative 1'!$B$39)+(2*(($N$12/3)*COS($K$13)))),IF(($A12&lt;'Alternative 1'!$B$29),(($H$3*'Alternative 1'!$B$39+(($N$12/3)*COS($K$13)))),($H12*'Alternative 1'!$B$39))))</f>
        <v>1531525.6159954583</v>
      </c>
      <c r="Z12" s="105">
        <f>X12*'Alternative 1'!$K13/'Alternative 1'!$L13</f>
        <v>1759120.6878982603</v>
      </c>
      <c r="AA12" s="105">
        <f>Y12/'Alternative 1'!$M13</f>
        <v>530566.42940589669</v>
      </c>
      <c r="AB12" s="105">
        <f t="shared" si="3"/>
        <v>2.2896871173041569</v>
      </c>
      <c r="AD12" s="105">
        <f>'Alternative 1'!$B$39*$B12*$C12*COS($K$23)-($N$22/3)*$E12*SIN($K$23)-($N$22/3)*$F12*SIN($K$23)-($N$22/3)*$G12*SIN($K$23)</f>
        <v>347399.81738658366</v>
      </c>
      <c r="AE12" s="106">
        <f>IF(($A12&lt;'Alternative 1'!$B$27),(($H12*'Alternative 1'!$B$39)+(3*($N$22/3)*COS($K$23))),IF(($A12&lt;'Alternative 1'!$B$28),(($H12*'Alternative 1'!$B$39)+(2*(($N$22/3)*COS($K$23)))),IF(($A12&lt;'Alternative 1'!$B$29),(($H$3*'Alternative 1'!$B$39+(($N$22/3)*COS($K$23)))),($H12*'Alternative 1'!$B$39))))</f>
        <v>801022.98512697057</v>
      </c>
      <c r="AF12" s="105">
        <f>AD12*'Alternative 1'!$K13/'Alternative 1'!$L13</f>
        <v>2764522.2434068709</v>
      </c>
      <c r="AG12" s="105">
        <f>AE12/'Alternative 1'!$M13</f>
        <v>277498.39810196799</v>
      </c>
      <c r="AH12" s="105">
        <f t="shared" si="4"/>
        <v>3.0420206415088389</v>
      </c>
      <c r="AJ12" s="105">
        <f>'Alternative 1'!$B$39*$B12*$C12*COS($K$33)-($N$32/3)*$E12*SIN($K$33)-($N$32/3)*$F12*SIN($K$33)-($N$32/3)*$G12*SIN($K$33)</f>
        <v>354775.1232425007</v>
      </c>
      <c r="AK12" s="106">
        <f>IF(($A12&lt;'Alternative 1'!$B$27),(($H12*'Alternative 1'!$B$39)+(3*($N$32/3)*COS($K$33))),IF(($A12&lt;'Alternative 1'!$B$28),(($H12*'Alternative 1'!$B$39)+(2*(($N$32/3)*COS($K$33)))),IF(($A12&lt;'Alternative 1'!$B$29),(($H$3*'Alternative 1'!$B$39+(($N$32/3)*COS($K$33)))),($H12*'Alternative 1'!$B$39))))</f>
        <v>556728.37941334047</v>
      </c>
      <c r="AL12" s="105">
        <f>AJ12*'Alternative 1'!$K13/'Alternative 1'!$L13</f>
        <v>2823213.112170117</v>
      </c>
      <c r="AM12" s="105">
        <f>AK12/'Alternative 1'!$M13</f>
        <v>192867.41620856005</v>
      </c>
      <c r="AN12" s="105">
        <f t="shared" si="5"/>
        <v>3.0160805283786769</v>
      </c>
      <c r="AP12" s="105">
        <f>'Alternative 1'!$B$39*$B12*$C12*COS($K$43)-($N$42/3)*$E12*SIN($K$43)-($N$42/3)*$F12*SIN($K$43)-($N$42/3)*$G12*SIN($K$43)</f>
        <v>324419.76755579421</v>
      </c>
      <c r="AQ12" s="106">
        <f>IF(($A12&lt;'Alternative 1'!$B$27),(($H12*'Alternative 1'!$B$39)+(3*($N$42/3)*COS($K$43))),IF(($A12&lt;'Alternative 1'!$B$28),(($H12*'Alternative 1'!$B$39)+(2*(($N$42/3)*COS($K$43)))),IF(($A12&lt;'Alternative 1'!$B$29),(($H$3*'Alternative 1'!$B$39+(($N$42/3)*COS($K$43)))),($H12*'Alternative 1'!$B$39))))</f>
        <v>427669.75962496339</v>
      </c>
      <c r="AR12" s="105">
        <f>AP12*'Alternative 1'!$K13/'Alternative 1'!$L13</f>
        <v>2581652.6627901336</v>
      </c>
      <c r="AS12" s="105">
        <f>AQ12/'Alternative 1'!$M13</f>
        <v>148157.63769097012</v>
      </c>
      <c r="AT12" s="105">
        <f t="shared" si="6"/>
        <v>2.7298103004811036</v>
      </c>
      <c r="AV12" s="105">
        <f>'Alternative 1'!$B$39*$B12*$C12*COS($K$53)-($N$52/3)*$E12*SIN($K$53)-($N$52/3)*$F12*SIN($K$53)-($N$52/3)*$G12*SIN($K$53)</f>
        <v>272579.08746638929</v>
      </c>
      <c r="AW12" s="106">
        <f>IF(($A12&lt;'Alternative 1'!$B$27),(($H12*'Alternative 1'!$B$39)+(3*($N$52/3)*COS($K$53))),IF(($A12&lt;'Alternative 1'!$B$28),(($H12*'Alternative 1'!$B$39)+(2*(($N$52/3)*COS($K$53)))),IF(($A12&lt;'Alternative 1'!$B$29),(($H$3*'Alternative 1'!$B$39+(($N$52/3)*COS($K$53)))),($H12*'Alternative 1'!$B$39))))</f>
        <v>346591.12530282221</v>
      </c>
      <c r="AX12" s="105">
        <f>AV12*'Alternative 1'!$K13/'Alternative 1'!$L13</f>
        <v>2169117.2898626914</v>
      </c>
      <c r="AY12" s="105">
        <f>AW12/'Alternative 1'!$M13</f>
        <v>120069.56585976909</v>
      </c>
      <c r="AZ12" s="105">
        <f t="shared" si="7"/>
        <v>2.2891868557224604</v>
      </c>
      <c r="BB12" s="105">
        <f>'Alternative 1'!$B$39*$B12*$C12*COS($K$63)-($N$62/3)*$E12*SIN($K$63)-($N$62/3)*$F12*SIN($K$63)-($N$62/3)*$G12*SIN($K$63)</f>
        <v>205878.11230281054</v>
      </c>
      <c r="BC12" s="106">
        <f>IF(($A12&lt;'Alternative 1'!$B$27),(($H12*'Alternative 1'!$B$39)+(3*($N$62/3)*COS($K$63))),IF(($A12&lt;'Alternative 1'!$B$28),(($H12*'Alternative 1'!$B$39)+(2*(($N$62/3)*COS($K$63)))),IF(($A12&lt;'Alternative 1'!$B$29),(($H$3*'Alternative 1'!$B$39+(($N$62/3)*COS($K$63)))),($H12*'Alternative 1'!$B$39))))</f>
        <v>292498.66669055965</v>
      </c>
      <c r="BD12" s="105">
        <f>BB12*'Alternative 1'!$K13/'Alternative 1'!$L13</f>
        <v>1638327.3462069409</v>
      </c>
      <c r="BE12" s="105">
        <f>BC12/'Alternative 1'!$M13</f>
        <v>101330.31506046708</v>
      </c>
      <c r="BF12" s="105">
        <f t="shared" si="8"/>
        <v>1.739657661267408</v>
      </c>
      <c r="BH12" s="105">
        <f>'Alternative 1'!$B$39*$B12*$C12*COS($K$73)-($N$72/3)*$E12*SIN($K$73)-($N$72/3)*$F12*SIN($K$73)-($N$72/3)*$G12*SIN($K$73)</f>
        <v>128486.34081576642</v>
      </c>
      <c r="BI12" s="106">
        <f>IF(($A12&lt;'Alternative 1'!$B$27),(($H12*'Alternative 1'!$B$39)+(3*($N$72/3)*COS($K$73))),IF(($A12&lt;'Alternative 1'!$B$28),(($H12*'Alternative 1'!$B$39)+(2*(($N$72/3)*COS($K$73)))),IF(($A12&lt;'Alternative 1'!$B$29),(($H$3*'Alternative 1'!$B$39+(($N$72/3)*COS($K$73)))),($H12*'Alternative 1'!$B$39))))</f>
        <v>257082.2583005288</v>
      </c>
      <c r="BJ12" s="105">
        <f>BH12*'Alternative 1'!$K13/'Alternative 1'!$L13</f>
        <v>1022462.6766682351</v>
      </c>
      <c r="BK12" s="105">
        <f>BI12/'Alternative 1'!$M13</f>
        <v>89061.008464725863</v>
      </c>
      <c r="BL12" s="105">
        <f t="shared" si="9"/>
        <v>1.1115236851329611</v>
      </c>
      <c r="BN12" s="105">
        <f>'Alternative 1'!$B$39*$B12*$C12*COS($K$83)-($N$82/3)*$E12*SIN($K$83)-($N$82/3)*$F12*SIN($K$83)-($N$82/3)*$G12*SIN($K$83)</f>
        <v>43779.845672805706</v>
      </c>
      <c r="BO12" s="106">
        <f>IF(($A12&lt;'Alternative 1'!$B$27),(($H12*'Alternative 1'!$B$39)+(3*($N$82/3)*COS($K$83))),IF(($A12&lt;'Alternative 1'!$B$28),(($H12*'Alternative 1'!$B$39)+(2*(($N$82/3)*COS($K$83)))),IF(($A12&lt;'Alternative 1'!$B$29),(($H$3*'Alternative 1'!$B$39+(($N$82/3)*COS($K$83)))),($H12*'Alternative 1'!$B$39))))</f>
        <v>236658.78006070704</v>
      </c>
      <c r="BP12" s="105">
        <f>BN12*'Alternative 1'!$K13/'Alternative 1'!$L13</f>
        <v>348389.23660316673</v>
      </c>
      <c r="BQ12" s="105">
        <f>BO12/'Alternative 1'!$M13</f>
        <v>81985.702761328866</v>
      </c>
      <c r="BR12" s="105">
        <f t="shared" si="10"/>
        <v>0.43037493936449556</v>
      </c>
      <c r="BT12" s="105">
        <f>'Alternative 1'!$B$39*$B12*$C12*COS($K$93)-($K$92/3)*$E12*SIN($K$93)-($K$92/3)*$F12*SIN($K$93)-($K$92/3)*$G12*SIN($K$93)</f>
        <v>-19.15789742253456</v>
      </c>
      <c r="BU12" s="106">
        <f>IF(($A12&lt;'Alternative 1'!$B$27),(($H12*'Alternative 1'!$B$39)+(3*($N$92/3)*COS($K$93))),IF(($A12&lt;'Alternative 1'!$B$28),(($H12*'Alternative 1'!$B$39)+(2*(($N$92/3)*COS($K$93)))),IF(($A12&lt;'Alternative 1'!$B$29),(($H$3*'Alternative 1'!$B$39+(($N$92/3)*COS($K$93)))),($H12*'Alternative 1'!$B$39))))</f>
        <v>229589.92996875866</v>
      </c>
      <c r="BV12" s="105">
        <f>BT12*'Alternative 1'!$K13/'Alternative 1'!$L13</f>
        <v>-152.45383247443621</v>
      </c>
      <c r="BW12" s="105">
        <f>BU12/'Alternative 1'!$M13</f>
        <v>79536.840976635271</v>
      </c>
      <c r="BX12" s="105">
        <f t="shared" si="11"/>
        <v>7.9384387144160837E-2</v>
      </c>
      <c r="BZ12" s="104">
        <v>150</v>
      </c>
      <c r="CA12" s="104">
        <v>-150</v>
      </c>
    </row>
    <row r="13" spans="1:80" ht="15" customHeight="1" x14ac:dyDescent="0.25">
      <c r="A13" s="18">
        <f>IF('Alternative 1'!F14&gt;0,'Alternative 1'!F14,"x")</f>
        <v>11</v>
      </c>
      <c r="B13" s="18">
        <f t="shared" si="17"/>
        <v>26</v>
      </c>
      <c r="C13" s="18">
        <f t="shared" si="12"/>
        <v>13</v>
      </c>
      <c r="D13" s="18">
        <f t="shared" si="13"/>
        <v>11</v>
      </c>
      <c r="E13" s="101">
        <f>IF($A13&lt;='Alternative 1'!$B$27, IF($A13='Alternative 1'!$B$27,0,E14+1),0)</f>
        <v>5</v>
      </c>
      <c r="F13" s="101">
        <f>IF($A13&lt;=('Alternative 1'!$B$28), IF($A13=ROUNDDOWN('Alternative 1'!$B$28,0),0,F14+1),0)</f>
        <v>11</v>
      </c>
      <c r="G13" s="101">
        <f>IF($A13&lt;=('Alternative 1'!$B$29), IF($A13=ROUNDDOWN('Alternative 1'!$B$29,0),0,G14+1),0)</f>
        <v>18</v>
      </c>
      <c r="H13" s="18">
        <f t="shared" si="14"/>
        <v>26</v>
      </c>
      <c r="J13" s="104">
        <f t="shared" si="15"/>
        <v>10</v>
      </c>
      <c r="K13" s="109">
        <f t="shared" si="16"/>
        <v>0.17453292519943295</v>
      </c>
      <c r="L13" s="105">
        <f>'Alternative 1'!$B$27*SIN(K13)+'Alternative 1'!$B$28*SIN(K13)+'Alternative 1'!$B$29*SIN(K13)</f>
        <v>11.808076081351263</v>
      </c>
      <c r="M13" s="104">
        <f>(('Alternative 1'!$B$27)*(((('Alternative 1'!$B$28-'Alternative 1'!$B$27)/2)+'Alternative 1'!$B$27)*'Alternative 1'!$B$39)*COS('Alternative 1-Tilt Up (3pt)'!K13))+(('Alternative 1'!$B$28)*((('Alternative 1'!$B$28-'Alternative 1'!$B$27)/2)+(('Alternative 1'!$B$29-'Alternative 1'!$B$28)/2))*('Alternative 1'!$B$39)*COS('Alternative 1-Tilt Up (3pt)'!K13))+(('Alternative 1'!$B$29)*((('Alternative 1'!$B$12-'Alternative 1'!$B$29+(('Alternative 1'!$B$29-'Alternative 1'!$B$28)/2)*('Alternative 1'!$B$39)*COS('Alternative 1-Tilt Up (3pt)'!K13)))))</f>
        <v>4674011.2832076354</v>
      </c>
      <c r="N13" s="104">
        <f t="shared" si="0"/>
        <v>1187495.2153948424</v>
      </c>
      <c r="O13" s="104">
        <f>(((('Alternative 1'!$B$28-'Alternative 1'!$B$27)/2)+'Alternative 1'!$B$27)*('Alternative 1'!$B$39)*COS('Alternative 1-Tilt Up (3pt)'!K13))+(((('Alternative 1'!$B$28-'Alternative 1'!$B$27)/2)+(('Alternative 1'!$B$29-'Alternative 1'!$B$28)/2))*('Alternative 1'!$B$39)*COS('Alternative 1-Tilt Up (3pt)'!K13))+(((('Alternative 1'!$B$12-'Alternative 1'!$B$29)+(('Alternative 1'!$B$29-'Alternative 1'!$B$28)/2))*('Alternative 1'!$B$39)*COS('Alternative 1-Tilt Up (3pt)'!K13)))</f>
        <v>301469.25739568454</v>
      </c>
      <c r="P13" s="109">
        <f t="shared" si="1"/>
        <v>1169454.4947857428</v>
      </c>
      <c r="R13" s="105">
        <f>'Alternative 1'!$B$39*$B13*$C13*COS($K$5)-($N$5/3)*$E13*SIN($K$5)-($N$5/3)*$F13*SIN($K$5)-($N$5/3)*$G13*SIN($K$5)</f>
        <v>500764.28069490311</v>
      </c>
      <c r="S13" s="106">
        <f>IF(($A13&lt;'Alternative 1'!$B$27),(($H13*'Alternative 1'!$B$39)+(3*($N$5/3)*COS($K$5))),IF(($A13&lt;'Alternative 1'!$B$28),(($H13*'Alternative 1'!$B$39)+(2*(($N$5/3)*COS($K$5)))),IF(($A13&lt;'Alternative 1'!$B$29),(($H$3*'Alternative 1'!$B$39+(($N$5/3)*COS($K$5)))),($H13*'Alternative 1'!$B$39))))</f>
        <v>6213502.230452951</v>
      </c>
      <c r="T13" s="105">
        <f>R13*'Alternative 1'!$K14/'Alternative 1'!$L14</f>
        <v>3984958.8957733437</v>
      </c>
      <c r="U13" s="105">
        <f>S13/'Alternative 1'!$M14</f>
        <v>2197911.1059179436</v>
      </c>
      <c r="V13" s="105">
        <f t="shared" si="2"/>
        <v>6.1828700016912874</v>
      </c>
      <c r="X13" s="105">
        <f>'Alternative 1'!$B$39*$B13*$C13*COS($K$13)-($N$12/3)*$E13*SIN($K$13)-($N$12/3)*$F13*SIN($K$13)-($N$12/3)*$G13*SIN($K$13)</f>
        <v>228708.95704208501</v>
      </c>
      <c r="Y13" s="106">
        <f>IF(($A13&lt;'Alternative 1'!$B$27),(($H13*'Alternative 1'!$B$39)+(3*($N$12/3)*COS($K$13))),IF(($A13&lt;'Alternative 1'!$B$28),(($H13*'Alternative 1'!$B$39)+(2*(($N$12/3)*COS($K$13)))),IF(($A13&lt;'Alternative 1'!$B$29),(($H$3*'Alternative 1'!$B$39+(($N$12/3)*COS($K$13)))),($H13*'Alternative 1'!$B$39))))</f>
        <v>1523022.2852558745</v>
      </c>
      <c r="Z13" s="105">
        <f>X13*'Alternative 1'!$K14/'Alternative 1'!$L14</f>
        <v>1820009.5894283231</v>
      </c>
      <c r="AA13" s="105">
        <f>Y13/'Alternative 1'!$M14</f>
        <v>538740.869668987</v>
      </c>
      <c r="AB13" s="105">
        <f t="shared" si="3"/>
        <v>2.3587504590973101</v>
      </c>
      <c r="AD13" s="105">
        <f>'Alternative 1'!$B$39*$B13*$C13*COS($K$23)-($N$22/3)*$E13*SIN($K$23)-($N$22/3)*$F13*SIN($K$23)-($N$22/3)*$G13*SIN($K$23)</f>
        <v>343635.73591561825</v>
      </c>
      <c r="AE13" s="106">
        <f>IF(($A13&lt;'Alternative 1'!$B$27),(($H13*'Alternative 1'!$B$39)+(3*($N$22/3)*COS($K$23))),IF(($A13&lt;'Alternative 1'!$B$28),(($H13*'Alternative 1'!$B$39)+(2*(($N$22/3)*COS($K$23)))),IF(($A13&lt;'Alternative 1'!$B$29),(($H$3*'Alternative 1'!$B$39+(($N$22/3)*COS($K$23)))),($H13*'Alternative 1'!$B$39))))</f>
        <v>792519.65438738698</v>
      </c>
      <c r="AF13" s="105">
        <f>AD13*'Alternative 1'!$K14/'Alternative 1'!$L14</f>
        <v>2734568.6094908812</v>
      </c>
      <c r="AG13" s="105">
        <f>AE13/'Alternative 1'!$M14</f>
        <v>280339.12042376597</v>
      </c>
      <c r="AH13" s="105">
        <f t="shared" si="4"/>
        <v>3.0149077299146469</v>
      </c>
      <c r="AJ13" s="105">
        <f>'Alternative 1'!$B$39*$B13*$C13*COS($K$33)-($N$32/3)*$E13*SIN($K$33)-($N$32/3)*$F13*SIN($K$33)-($N$32/3)*$G13*SIN($K$33)</f>
        <v>348499.9335042024</v>
      </c>
      <c r="AK13" s="106">
        <f>IF(($A13&lt;'Alternative 1'!$B$27),(($H13*'Alternative 1'!$B$39)+(3*($N$32/3)*COS($K$33))),IF(($A13&lt;'Alternative 1'!$B$28),(($H13*'Alternative 1'!$B$39)+(2*(($N$32/3)*COS($K$33)))),IF(($A13&lt;'Alternative 1'!$B$29),(($H$3*'Alternative 1'!$B$39+(($N$32/3)*COS($K$33)))),($H13*'Alternative 1'!$B$39))))</f>
        <v>548225.04867375689</v>
      </c>
      <c r="AL13" s="105">
        <f>AJ13*'Alternative 1'!$K14/'Alternative 1'!$L14</f>
        <v>2773276.696706146</v>
      </c>
      <c r="AM13" s="105">
        <f>AK13/'Alternative 1'!$M14</f>
        <v>193924.43719049206</v>
      </c>
      <c r="AN13" s="105">
        <f t="shared" si="5"/>
        <v>2.967201133896638</v>
      </c>
      <c r="AP13" s="105">
        <f>'Alternative 1'!$B$39*$B13*$C13*COS($K$43)-($N$42/3)*$E13*SIN($K$43)-($N$42/3)*$F13*SIN($K$43)-($N$42/3)*$G13*SIN($K$43)</f>
        <v>318009.35414586158</v>
      </c>
      <c r="AQ13" s="106">
        <f>IF(($A13&lt;'Alternative 1'!$B$27),(($H13*'Alternative 1'!$B$39)+(3*($N$42/3)*COS($K$43))),IF(($A13&lt;'Alternative 1'!$B$28),(($H13*'Alternative 1'!$B$39)+(2*(($N$42/3)*COS($K$43)))),IF(($A13&lt;'Alternative 1'!$B$29),(($H$3*'Alternative 1'!$B$39+(($N$42/3)*COS($K$43)))),($H13*'Alternative 1'!$B$39))))</f>
        <v>419166.42888537981</v>
      </c>
      <c r="AR13" s="105">
        <f>AP13*'Alternative 1'!$K14/'Alternative 1'!$L14</f>
        <v>2530640.1706290571</v>
      </c>
      <c r="AS13" s="105">
        <f>AQ13/'Alternative 1'!$M14</f>
        <v>148272.3454672326</v>
      </c>
      <c r="AT13" s="105">
        <f t="shared" si="6"/>
        <v>2.6789125160962897</v>
      </c>
      <c r="AV13" s="105">
        <f>'Alternative 1'!$B$39*$B13*$C13*COS($K$53)-($N$52/3)*$E13*SIN($K$53)-($N$52/3)*$F13*SIN($K$53)-($N$52/3)*$G13*SIN($K$53)</f>
        <v>267171.03787109395</v>
      </c>
      <c r="AW13" s="106">
        <f>IF(($A13&lt;'Alternative 1'!$B$27),(($H13*'Alternative 1'!$B$39)+(3*($N$52/3)*COS($K$53))),IF(($A13&lt;'Alternative 1'!$B$28),(($H13*'Alternative 1'!$B$39)+(2*(($N$52/3)*COS($K$53)))),IF(($A13&lt;'Alternative 1'!$B$29),(($H$3*'Alternative 1'!$B$39+(($N$52/3)*COS($K$53)))),($H13*'Alternative 1'!$B$39))))</f>
        <v>338087.79456323857</v>
      </c>
      <c r="AX13" s="105">
        <f>AV13*'Alternative 1'!$K14/'Alternative 1'!$L14</f>
        <v>2126081.3622329296</v>
      </c>
      <c r="AY13" s="105">
        <f>AW13/'Alternative 1'!$M14</f>
        <v>119592.28320606507</v>
      </c>
      <c r="AZ13" s="105">
        <f t="shared" si="7"/>
        <v>2.2456736454389947</v>
      </c>
      <c r="BB13" s="105">
        <f>'Alternative 1'!$B$39*$B13*$C13*COS($K$63)-($N$62/3)*$E13*SIN($K$63)-($N$62/3)*$F13*SIN($K$63)-($N$62/3)*$G13*SIN($K$63)</f>
        <v>202170.10824546067</v>
      </c>
      <c r="BC13" s="106">
        <f>IF(($A13&lt;'Alternative 1'!$B$27),(($H13*'Alternative 1'!$B$39)+(3*($N$62/3)*COS($K$63))),IF(($A13&lt;'Alternative 1'!$B$28),(($H13*'Alternative 1'!$B$39)+(2*(($N$62/3)*COS($K$63)))),IF(($A13&lt;'Alternative 1'!$B$29),(($H$3*'Alternative 1'!$B$39+(($N$62/3)*COS($K$63)))),($H13*'Alternative 1'!$B$39))))</f>
        <v>283995.335950976</v>
      </c>
      <c r="BD13" s="105">
        <f>BB13*'Alternative 1'!$K14/'Alternative 1'!$L14</f>
        <v>1608819.9625465185</v>
      </c>
      <c r="BE13" s="105">
        <f>BC13/'Alternative 1'!$M14</f>
        <v>100458.07980180689</v>
      </c>
      <c r="BF13" s="105">
        <f t="shared" si="8"/>
        <v>1.7092780423483256</v>
      </c>
      <c r="BH13" s="105">
        <f>'Alternative 1'!$B$39*$B13*$C13*COS($K$73)-($N$72/3)*$E13*SIN($K$73)-($N$72/3)*$F13*SIN($K$73)-($N$72/3)*$G13*SIN($K$73)</f>
        <v>126950.66656064143</v>
      </c>
      <c r="BI13" s="106">
        <f>IF(($A13&lt;'Alternative 1'!$B$27),(($H13*'Alternative 1'!$B$39)+(3*($N$72/3)*COS($K$73))),IF(($A13&lt;'Alternative 1'!$B$28),(($H13*'Alternative 1'!$B$39)+(2*(($N$72/3)*COS($K$73)))),IF(($A13&lt;'Alternative 1'!$B$29),(($H$3*'Alternative 1'!$B$39+(($N$72/3)*COS($K$73)))),($H13*'Alternative 1'!$B$39))))</f>
        <v>248578.92756094516</v>
      </c>
      <c r="BJ13" s="105">
        <f>BH13*'Alternative 1'!$K14/'Alternative 1'!$L14</f>
        <v>1010242.1589119</v>
      </c>
      <c r="BK13" s="105">
        <f>BI13/'Alternative 1'!$M14</f>
        <v>87930.182579743821</v>
      </c>
      <c r="BL13" s="105">
        <f t="shared" si="9"/>
        <v>1.0981723414916438</v>
      </c>
      <c r="BN13" s="105">
        <f>'Alternative 1'!$B$39*$B13*$C13*COS($K$83)-($N$82/3)*$E13*SIN($K$83)-($N$82/3)*$F13*SIN($K$83)-($N$82/3)*$G13*SIN($K$83)</f>
        <v>44739.707678636478</v>
      </c>
      <c r="BO13" s="106">
        <f>IF(($A13&lt;'Alternative 1'!$B$27),(($H13*'Alternative 1'!$B$39)+(3*($N$82/3)*COS($K$83))),IF(($A13&lt;'Alternative 1'!$B$28),(($H13*'Alternative 1'!$B$39)+(2*(($N$82/3)*COS($K$83)))),IF(($A13&lt;'Alternative 1'!$B$29),(($H$3*'Alternative 1'!$B$39+(($N$82/3)*COS($K$83)))),($H13*'Alternative 1'!$B$39))))</f>
        <v>228155.44932112339</v>
      </c>
      <c r="BP13" s="105">
        <f>BN13*'Alternative 1'!$K14/'Alternative 1'!$L14</f>
        <v>356027.58220070472</v>
      </c>
      <c r="BQ13" s="105">
        <f>BO13/'Alternative 1'!$M14</f>
        <v>80705.756164513354</v>
      </c>
      <c r="BR13" s="105">
        <f t="shared" si="10"/>
        <v>0.4367333383652181</v>
      </c>
      <c r="BT13" s="105">
        <f>'Alternative 1'!$B$39*$B13*$C13*COS($K$93)-($K$92/3)*$E13*SIN($K$93)-($K$92/3)*$F13*SIN($K$93)-($K$92/3)*$G13*SIN($K$93)</f>
        <v>-17.60455438827341</v>
      </c>
      <c r="BU13" s="106">
        <f>IF(($A13&lt;'Alternative 1'!$B$27),(($H13*'Alternative 1'!$B$39)+(3*($N$92/3)*COS($K$93))),IF(($A13&lt;'Alternative 1'!$B$28),(($H13*'Alternative 1'!$B$39)+(2*(($N$92/3)*COS($K$93)))),IF(($A13&lt;'Alternative 1'!$B$29),(($H$3*'Alternative 1'!$B$39+(($N$92/3)*COS($K$93)))),($H13*'Alternative 1'!$B$39))))</f>
        <v>221086.59922917502</v>
      </c>
      <c r="BV13" s="105">
        <f>BT13*'Alternative 1'!$K14/'Alternative 1'!$L14</f>
        <v>-140.09271092244222</v>
      </c>
      <c r="BW13" s="105">
        <f>BU13/'Alternative 1'!$M14</f>
        <v>78205.28162585212</v>
      </c>
      <c r="BX13" s="105">
        <f t="shared" si="11"/>
        <v>7.8065188914929681E-2</v>
      </c>
      <c r="BZ13" s="104">
        <v>150</v>
      </c>
      <c r="CA13" s="104">
        <v>-150</v>
      </c>
    </row>
    <row r="14" spans="1:80" ht="15" customHeight="1" x14ac:dyDescent="0.25">
      <c r="A14" s="18">
        <f>IF('Alternative 1'!F15&gt;0,'Alternative 1'!F15,"x")</f>
        <v>12</v>
      </c>
      <c r="B14" s="18">
        <f t="shared" si="17"/>
        <v>25</v>
      </c>
      <c r="C14" s="18">
        <f t="shared" si="12"/>
        <v>12.5</v>
      </c>
      <c r="D14" s="18">
        <f t="shared" si="13"/>
        <v>12</v>
      </c>
      <c r="E14" s="101">
        <f>IF($A14&lt;='Alternative 1'!$B$27, IF($A14='Alternative 1'!$B$27,0,E15+1),0)</f>
        <v>4</v>
      </c>
      <c r="F14" s="101">
        <f>IF($A14&lt;=('Alternative 1'!$B$28), IF($A14=ROUNDDOWN('Alternative 1'!$B$28,0),0,F15+1),0)</f>
        <v>10</v>
      </c>
      <c r="G14" s="101">
        <f>IF($A14&lt;=('Alternative 1'!$B$29), IF($A14=ROUNDDOWN('Alternative 1'!$B$29,0),0,G15+1),0)</f>
        <v>17</v>
      </c>
      <c r="H14" s="18">
        <f t="shared" si="14"/>
        <v>25</v>
      </c>
      <c r="J14" s="104">
        <f t="shared" si="15"/>
        <v>11</v>
      </c>
      <c r="K14" s="104">
        <f t="shared" si="16"/>
        <v>0.19198621771937624</v>
      </c>
      <c r="L14" s="105">
        <f>'Alternative 1'!$B$27*SIN(K14)+'Alternative 1'!$B$28*SIN(K14)+'Alternative 1'!$B$29*SIN(K14)</f>
        <v>12.975011685605047</v>
      </c>
      <c r="M14" s="104">
        <f>(('Alternative 1'!$B$27)*(((('Alternative 1'!$B$28-'Alternative 1'!$B$27)/2)+'Alternative 1'!$B$27)*'Alternative 1'!$B$39)*COS('Alternative 1-Tilt Up (3pt)'!K14))+(('Alternative 1'!$B$28)*((('Alternative 1'!$B$28-'Alternative 1'!$B$27)/2)+(('Alternative 1'!$B$29-'Alternative 1'!$B$28)/2))*('Alternative 1'!$B$39)*COS('Alternative 1-Tilt Up (3pt)'!K14))+(('Alternative 1'!$B$29)*((('Alternative 1'!$B$12-'Alternative 1'!$B$29+(('Alternative 1'!$B$29-'Alternative 1'!$B$28)/2)*('Alternative 1'!$B$39)*COS('Alternative 1-Tilt Up (3pt)'!K14)))))</f>
        <v>4658916.5647025108</v>
      </c>
      <c r="N14" s="104">
        <f t="shared" si="0"/>
        <v>1077205.1719701996</v>
      </c>
      <c r="O14" s="104">
        <f>(((('Alternative 1'!$B$28-'Alternative 1'!$B$27)/2)+'Alternative 1'!$B$27)*('Alternative 1'!$B$39)*COS('Alternative 1-Tilt Up (3pt)'!K14))+(((('Alternative 1'!$B$28-'Alternative 1'!$B$27)/2)+(('Alternative 1'!$B$29-'Alternative 1'!$B$28)/2))*('Alternative 1'!$B$39)*COS('Alternative 1-Tilt Up (3pt)'!K14))+(((('Alternative 1'!$B$12-'Alternative 1'!$B$29)+(('Alternative 1'!$B$29-'Alternative 1'!$B$28)/2))*('Alternative 1'!$B$39)*COS('Alternative 1-Tilt Up (3pt)'!K14)))</f>
        <v>300495.62173757196</v>
      </c>
      <c r="P14" s="104">
        <f t="shared" si="1"/>
        <v>1057413.8789563635</v>
      </c>
      <c r="R14" s="105">
        <f>'Alternative 1'!$B$39*$B14*$C14*COS($K$5)-($N$5/3)*$E14*SIN($K$5)-($N$5/3)*$F14*SIN($K$5)-($N$5/3)*$G14*SIN($K$5)</f>
        <v>493321.20177525491</v>
      </c>
      <c r="S14" s="106">
        <f>IF(($A14&lt;'Alternative 1'!$B$27),(($H14*'Alternative 1'!$B$39)+(3*($N$5/3)*COS($K$5))),IF(($A14&lt;'Alternative 1'!$B$28),(($H14*'Alternative 1'!$B$39)+(2*(($N$5/3)*COS($K$5)))),IF(($A14&lt;'Alternative 1'!$B$29),(($H$3*'Alternative 1'!$B$39+(($N$5/3)*COS($K$5)))),($H14*'Alternative 1'!$B$39))))</f>
        <v>6204998.8997133682</v>
      </c>
      <c r="T14" s="105">
        <f>R14*'Alternative 1'!$K15/'Alternative 1'!$L15</f>
        <v>3925728.7056494881</v>
      </c>
      <c r="U14" s="105">
        <f>S14/'Alternative 1'!$M15</f>
        <v>2241656.1513549397</v>
      </c>
      <c r="V14" s="105">
        <f t="shared" si="2"/>
        <v>6.1673848570044285</v>
      </c>
      <c r="X14" s="105">
        <f>'Alternative 1'!$B$39*$B14*$C14*COS($K$13)-($N$12/3)*$E14*SIN($K$13)-($N$12/3)*$F14*SIN($K$13)-($N$12/3)*$G14*SIN($K$13)</f>
        <v>244734.62164716725</v>
      </c>
      <c r="Y14" s="106">
        <f>IF(($A14&lt;'Alternative 1'!$B$27),(($H14*'Alternative 1'!$B$39)+(3*($N$12/3)*COS($K$13))),IF(($A14&lt;'Alternative 1'!$B$28),(($H14*'Alternative 1'!$B$39)+(2*(($N$12/3)*COS($K$13)))),IF(($A14&lt;'Alternative 1'!$B$29),(($H$3*'Alternative 1'!$B$39+(($N$12/3)*COS($K$13)))),($H14*'Alternative 1'!$B$39))))</f>
        <v>1514518.9545162909</v>
      </c>
      <c r="Z14" s="105">
        <f>X14*'Alternative 1'!$K15/'Alternative 1'!$L15</f>
        <v>1947537.8840584487</v>
      </c>
      <c r="AA14" s="105">
        <f>Y14/'Alternative 1'!$M15</f>
        <v>547144.45330391999</v>
      </c>
      <c r="AB14" s="105">
        <f t="shared" si="3"/>
        <v>2.4946823373623688</v>
      </c>
      <c r="AD14" s="105">
        <f>'Alternative 1'!$B$39*$B14*$C14*COS($K$23)-($N$22/3)*$E14*SIN($K$23)-($N$22/3)*$F14*SIN($K$23)-($N$22/3)*$G14*SIN($K$23)</f>
        <v>347862.17159274127</v>
      </c>
      <c r="AE14" s="106">
        <f>IF(($A14&lt;'Alternative 1'!$B$27),(($H14*'Alternative 1'!$B$39)+(3*($N$22/3)*COS($K$23))),IF(($A14&lt;'Alternative 1'!$B$28),(($H14*'Alternative 1'!$B$39)+(2*(($N$22/3)*COS($K$23)))),IF(($A14&lt;'Alternative 1'!$B$29),(($H$3*'Alternative 1'!$B$39+(($N$22/3)*COS($K$23)))),($H14*'Alternative 1'!$B$39))))</f>
        <v>784016.32364780339</v>
      </c>
      <c r="AF14" s="105">
        <f>AD14*'Alternative 1'!$K15/'Alternative 1'!$L15</f>
        <v>2768201.5443831095</v>
      </c>
      <c r="AG14" s="105">
        <f>AE14/'Alternative 1'!$M15</f>
        <v>283238.56991319836</v>
      </c>
      <c r="AH14" s="105">
        <f t="shared" si="4"/>
        <v>3.0514401142963079</v>
      </c>
      <c r="AJ14" s="105">
        <f>'Alternative 1'!$B$39*$B14*$C14*COS($K$33)-($N$32/3)*$E14*SIN($K$33)-($N$32/3)*$F14*SIN($K$33)-($N$32/3)*$G14*SIN($K$33)</f>
        <v>349588.84420316364</v>
      </c>
      <c r="AK14" s="106">
        <f>IF(($A14&lt;'Alternative 1'!$B$27),(($H14*'Alternative 1'!$B$39)+(3*($N$32/3)*COS($K$33))),IF(($A14&lt;'Alternative 1'!$B$28),(($H14*'Alternative 1'!$B$39)+(2*(($N$32/3)*COS($K$33)))),IF(($A14&lt;'Alternative 1'!$B$29),(($H$3*'Alternative 1'!$B$39+(($N$32/3)*COS($K$33)))),($H14*'Alternative 1'!$B$39))))</f>
        <v>539721.7179341733</v>
      </c>
      <c r="AL14" s="105">
        <f>AJ14*'Alternative 1'!$K15/'Alternative 1'!$L15</f>
        <v>2781941.9800416646</v>
      </c>
      <c r="AM14" s="105">
        <f>AK14/'Alternative 1'!$M15</f>
        <v>194983.19477266687</v>
      </c>
      <c r="AN14" s="105">
        <f t="shared" si="5"/>
        <v>2.9769251748143315</v>
      </c>
      <c r="AP14" s="105">
        <f>'Alternative 1'!$B$39*$B14*$C14*COS($K$43)-($N$42/3)*$E14*SIN($K$43)-($N$42/3)*$F14*SIN($K$43)-($N$42/3)*$G14*SIN($K$43)</f>
        <v>318112.86999699008</v>
      </c>
      <c r="AQ14" s="106">
        <f>IF(($A14&lt;'Alternative 1'!$B$27),(($H14*'Alternative 1'!$B$39)+(3*($N$42/3)*COS($K$43))),IF(($A14&lt;'Alternative 1'!$B$28),(($H14*'Alternative 1'!$B$39)+(2*(($N$42/3)*COS($K$43)))),IF(($A14&lt;'Alternative 1'!$B$29),(($H$3*'Alternative 1'!$B$39+(($N$42/3)*COS($K$43)))),($H14*'Alternative 1'!$B$39))))</f>
        <v>410663.0981457961</v>
      </c>
      <c r="AR14" s="105">
        <f>AP14*'Alternative 1'!$K15/'Alternative 1'!$L15</f>
        <v>2531463.9242946259</v>
      </c>
      <c r="AS14" s="105">
        <f>AQ14/'Alternative 1'!$M15</f>
        <v>148358.68224497599</v>
      </c>
      <c r="AT14" s="105">
        <f t="shared" si="6"/>
        <v>2.6798226065396018</v>
      </c>
      <c r="AV14" s="105">
        <f>'Alternative 1'!$B$39*$B14*$C14*COS($K$53)-($N$52/3)*$E14*SIN($K$53)-($N$52/3)*$F14*SIN($K$53)-($N$52/3)*$G14*SIN($K$53)</f>
        <v>267228.82391626935</v>
      </c>
      <c r="AW14" s="106">
        <f>IF(($A14&lt;'Alternative 1'!$B$27),(($H14*'Alternative 1'!$B$39)+(3*($N$52/3)*COS($K$53))),IF(($A14&lt;'Alternative 1'!$B$28),(($H14*'Alternative 1'!$B$39)+(2*(($N$52/3)*COS($K$53)))),IF(($A14&lt;'Alternative 1'!$B$29),(($H$3*'Alternative 1'!$B$39+(($N$52/3)*COS($K$53)))),($H14*'Alternative 1'!$B$39))))</f>
        <v>329584.46382365492</v>
      </c>
      <c r="AX14" s="105">
        <f>AV14*'Alternative 1'!$K15/'Alternative 1'!$L15</f>
        <v>2126541.2093579159</v>
      </c>
      <c r="AY14" s="105">
        <f>AW14/'Alternative 1'!$M15</f>
        <v>119067.7150249687</v>
      </c>
      <c r="AZ14" s="105">
        <f t="shared" si="7"/>
        <v>2.2456089243828847</v>
      </c>
      <c r="BB14" s="105">
        <f>'Alternative 1'!$B$39*$B14*$C14*COS($K$63)-($N$62/3)*$E14*SIN($K$63)-($N$62/3)*$F14*SIN($K$63)-($N$62/3)*$G14*SIN($K$63)</f>
        <v>202713.76955790236</v>
      </c>
      <c r="BC14" s="106">
        <f>IF(($A14&lt;'Alternative 1'!$B$27),(($H14*'Alternative 1'!$B$39)+(3*($N$62/3)*COS($K$63))),IF(($A14&lt;'Alternative 1'!$B$28),(($H14*'Alternative 1'!$B$39)+(2*(($N$62/3)*COS($K$63)))),IF(($A14&lt;'Alternative 1'!$B$29),(($H$3*'Alternative 1'!$B$39+(($N$62/3)*COS($K$63)))),($H14*'Alternative 1'!$B$39))))</f>
        <v>275492.00521139236</v>
      </c>
      <c r="BD14" s="105">
        <f>BB14*'Alternative 1'!$K15/'Alternative 1'!$L15</f>
        <v>1613146.2854629534</v>
      </c>
      <c r="BE14" s="105">
        <f>BC14/'Alternative 1'!$M15</f>
        <v>99525.939990054161</v>
      </c>
      <c r="BF14" s="105">
        <f t="shared" si="8"/>
        <v>1.7126722254530076</v>
      </c>
      <c r="BH14" s="105">
        <f>'Alternative 1'!$B$39*$B14*$C14*COS($K$73)-($N$72/3)*$E14*SIN($K$73)-($N$72/3)*$F14*SIN($K$73)-($N$72/3)*$G14*SIN($K$73)</f>
        <v>128323.30270381423</v>
      </c>
      <c r="BI14" s="106">
        <f>IF(($A14&lt;'Alternative 1'!$B$27),(($H14*'Alternative 1'!$B$39)+(3*($N$72/3)*COS($K$73))),IF(($A14&lt;'Alternative 1'!$B$28),(($H14*'Alternative 1'!$B$39)+(2*(($N$72/3)*COS($K$73)))),IF(($A14&lt;'Alternative 1'!$B$29),(($H$3*'Alternative 1'!$B$39+(($N$72/3)*COS($K$73)))),($H14*'Alternative 1'!$B$39))))</f>
        <v>240075.59682136151</v>
      </c>
      <c r="BJ14" s="105">
        <f>BH14*'Alternative 1'!$K15/'Alternative 1'!$L15</f>
        <v>1021165.2595008757</v>
      </c>
      <c r="BK14" s="105">
        <f>BI14/'Alternative 1'!$M15</f>
        <v>86731.189981302552</v>
      </c>
      <c r="BL14" s="105">
        <f t="shared" si="9"/>
        <v>1.1078964494821784</v>
      </c>
      <c r="BN14" s="105">
        <f>'Alternative 1'!$B$39*$B14*$C14*COS($K$83)-($N$82/3)*$E14*SIN($K$83)-($N$82/3)*$F14*SIN($K$83)-($N$82/3)*$G14*SIN($K$83)</f>
        <v>47176.157571494987</v>
      </c>
      <c r="BO14" s="106">
        <f>IF(($A14&lt;'Alternative 1'!$B$27),(($H14*'Alternative 1'!$B$39)+(3*($N$82/3)*COS($K$83))),IF(($A14&lt;'Alternative 1'!$B$28),(($H14*'Alternative 1'!$B$39)+(2*(($N$82/3)*COS($K$83)))),IF(($A14&lt;'Alternative 1'!$B$29),(($H$3*'Alternative 1'!$B$39+(($N$82/3)*COS($K$83)))),($H14*'Alternative 1'!$B$39))))</f>
        <v>219652.11858153975</v>
      </c>
      <c r="BP14" s="105">
        <f>BN14*'Alternative 1'!$K15/'Alternative 1'!$L15</f>
        <v>375416.25077982002</v>
      </c>
      <c r="BQ14" s="105">
        <f>BO14/'Alternative 1'!$M15</f>
        <v>79352.878338012</v>
      </c>
      <c r="BR14" s="105">
        <f t="shared" si="10"/>
        <v>0.45476912911783207</v>
      </c>
      <c r="BT14" s="105">
        <f>'Alternative 1'!$B$39*$B14*$C14*COS($K$93)-($K$92/3)*$E14*SIN($K$93)-($K$92/3)*$F14*SIN($K$93)-($K$92/3)*$G14*SIN($K$93)</f>
        <v>-16.051211354011741</v>
      </c>
      <c r="BU14" s="106">
        <f>IF(($A14&lt;'Alternative 1'!$B$27),(($H14*'Alternative 1'!$B$39)+(3*($N$92/3)*COS($K$93))),IF(($A14&lt;'Alternative 1'!$B$28),(($H14*'Alternative 1'!$B$39)+(2*(($N$92/3)*COS($K$93)))),IF(($A14&lt;'Alternative 1'!$B$29),(($H$3*'Alternative 1'!$B$39+(($N$92/3)*COS($K$93)))),($H14*'Alternative 1'!$B$39))))</f>
        <v>212583.26848959137</v>
      </c>
      <c r="BV14" s="105">
        <f>BT14*'Alternative 1'!$K15/'Alternative 1'!$L15</f>
        <v>-127.73158937044413</v>
      </c>
      <c r="BW14" s="105">
        <f>BU14/'Alternative 1'!$M15</f>
        <v>76799.141980000073</v>
      </c>
      <c r="BX14" s="105">
        <f t="shared" si="11"/>
        <v>7.6671410390629621E-2</v>
      </c>
      <c r="BZ14" s="104">
        <v>150</v>
      </c>
      <c r="CA14" s="104">
        <v>-150</v>
      </c>
    </row>
    <row r="15" spans="1:80" ht="15" customHeight="1" x14ac:dyDescent="0.25">
      <c r="A15" s="18">
        <f>IF('Alternative 1'!F16&gt;0,'Alternative 1'!F16,"x")</f>
        <v>13</v>
      </c>
      <c r="B15" s="18">
        <f t="shared" si="17"/>
        <v>24</v>
      </c>
      <c r="C15" s="18">
        <f t="shared" si="12"/>
        <v>12</v>
      </c>
      <c r="D15" s="18">
        <f t="shared" si="13"/>
        <v>13</v>
      </c>
      <c r="E15" s="101">
        <f>IF($A15&lt;='Alternative 1'!$B$27, IF($A15='Alternative 1'!$B$27,0,E16+1),0)</f>
        <v>3</v>
      </c>
      <c r="F15" s="101">
        <f>IF($A15&lt;=('Alternative 1'!$B$28), IF($A15=ROUNDDOWN('Alternative 1'!$B$28,0),0,F16+1),0)</f>
        <v>9</v>
      </c>
      <c r="G15" s="101">
        <f>IF($A15&lt;=('Alternative 1'!$B$29), IF($A15=ROUNDDOWN('Alternative 1'!$B$29,0),0,G16+1),0)</f>
        <v>16</v>
      </c>
      <c r="H15" s="18">
        <f t="shared" si="14"/>
        <v>24</v>
      </c>
      <c r="J15" s="104">
        <f t="shared" si="15"/>
        <v>12</v>
      </c>
      <c r="K15" s="104">
        <f t="shared" si="16"/>
        <v>0.20943951023931953</v>
      </c>
      <c r="L15" s="105">
        <f>'Alternative 1'!$B$27*SIN(K15)+'Alternative 1'!$B$28*SIN(K15)+'Alternative 1'!$B$29*SIN(K15)</f>
        <v>14.137994975607633</v>
      </c>
      <c r="M15" s="104">
        <f>(('Alternative 1'!$B$27)*(((('Alternative 1'!$B$28-'Alternative 1'!$B$27)/2)+'Alternative 1'!$B$27)*'Alternative 1'!$B$39)*COS('Alternative 1-Tilt Up (3pt)'!K15))+(('Alternative 1'!$B$28)*((('Alternative 1'!$B$28-'Alternative 1'!$B$27)/2)+(('Alternative 1'!$B$29-'Alternative 1'!$B$28)/2))*('Alternative 1'!$B$39)*COS('Alternative 1-Tilt Up (3pt)'!K15))+(('Alternative 1'!$B$29)*((('Alternative 1'!$B$12-'Alternative 1'!$B$29+(('Alternative 1'!$B$29-'Alternative 1'!$B$28)/2)*('Alternative 1'!$B$39)*COS('Alternative 1-Tilt Up (3pt)'!K15)))))</f>
        <v>4642402.7546709683</v>
      </c>
      <c r="N15" s="104">
        <f t="shared" si="0"/>
        <v>985090.76343863469</v>
      </c>
      <c r="O15" s="104">
        <f>(((('Alternative 1'!$B$28-'Alternative 1'!$B$27)/2)+'Alternative 1'!$B$27)*('Alternative 1'!$B$39)*COS('Alternative 1-Tilt Up (3pt)'!K15))+(((('Alternative 1'!$B$28-'Alternative 1'!$B$27)/2)+(('Alternative 1'!$B$29-'Alternative 1'!$B$28)/2))*('Alternative 1'!$B$39)*COS('Alternative 1-Tilt Up (3pt)'!K15))+(((('Alternative 1'!$B$12-'Alternative 1'!$B$29)+(('Alternative 1'!$B$29-'Alternative 1'!$B$28)/2))*('Alternative 1'!$B$39)*COS('Alternative 1-Tilt Up (3pt)'!K15)))</f>
        <v>299430.45220211166</v>
      </c>
      <c r="P15" s="104">
        <f t="shared" si="1"/>
        <v>963564.16676253348</v>
      </c>
      <c r="R15" s="105">
        <f>'Alternative 1'!$B$39*$B15*$C15*COS($K$5)-($N$5/3)*$E15*SIN($K$5)-($N$5/3)*$F15*SIN($K$5)-($N$5/3)*$G15*SIN($K$5)</f>
        <v>494376.27359585627</v>
      </c>
      <c r="S15" s="106">
        <f>IF(($A15&lt;'Alternative 1'!$B$27),(($H15*'Alternative 1'!$B$39)+(3*($N$5/3)*COS($K$5))),IF(($A15&lt;'Alternative 1'!$B$28),(($H15*'Alternative 1'!$B$39)+(2*(($N$5/3)*COS($K$5)))),IF(($A15&lt;'Alternative 1'!$B$29),(($H$3*'Alternative 1'!$B$39+(($N$5/3)*COS($K$5)))),($H15*'Alternative 1'!$B$39))))</f>
        <v>6196495.5689737843</v>
      </c>
      <c r="T15" s="105">
        <f>R15*'Alternative 1'!$K16/'Alternative 1'!$L16</f>
        <v>3934124.7075195704</v>
      </c>
      <c r="U15" s="105">
        <f>S15/'Alternative 1'!$M16</f>
        <v>2286780.857884889</v>
      </c>
      <c r="V15" s="105">
        <f t="shared" si="2"/>
        <v>6.2209055654044603</v>
      </c>
      <c r="X15" s="105">
        <f>'Alternative 1'!$B$39*$B15*$C15*COS($K$13)-($N$12/3)*$E15*SIN($K$13)-($N$12/3)*$F15*SIN($K$13)-($N$12/3)*$G15*SIN($K$13)</f>
        <v>269134.43229101854</v>
      </c>
      <c r="Y15" s="106">
        <f>IF(($A15&lt;'Alternative 1'!$B$27),(($H15*'Alternative 1'!$B$39)+(3*($N$12/3)*COS($K$13))),IF(($A15&lt;'Alternative 1'!$B$28),(($H15*'Alternative 1'!$B$39)+(2*(($N$12/3)*COS($K$13)))),IF(($A15&lt;'Alternative 1'!$B$29),(($H$3*'Alternative 1'!$B$39+(($N$12/3)*COS($K$13)))),($H15*'Alternative 1'!$B$39))))</f>
        <v>1506015.6237767073</v>
      </c>
      <c r="Z15" s="105">
        <f>X15*'Alternative 1'!$K16/'Alternative 1'!$L16</f>
        <v>2141705.571788637</v>
      </c>
      <c r="AA15" s="105">
        <f>Y15/'Alternative 1'!$M16</f>
        <v>555786.35727137327</v>
      </c>
      <c r="AB15" s="105">
        <f t="shared" si="3"/>
        <v>2.6974919290600101</v>
      </c>
      <c r="AD15" s="105">
        <f>'Alternative 1'!$B$39*$B15*$C15*COS($K$23)-($N$22/3)*$E15*SIN($K$23)-($N$22/3)*$F15*SIN($K$23)-($N$22/3)*$G15*SIN($K$23)</f>
        <v>360079.12441795366</v>
      </c>
      <c r="AE15" s="106">
        <f>IF(($A15&lt;'Alternative 1'!$B$27),(($H15*'Alternative 1'!$B$39)+(3*($N$22/3)*COS($K$23))),IF(($A15&lt;'Alternative 1'!$B$28),(($H15*'Alternative 1'!$B$39)+(2*(($N$22/3)*COS($K$23)))),IF(($A15&lt;'Alternative 1'!$B$29),(($H$3*'Alternative 1'!$B$39+(($N$22/3)*COS($K$23)))),($H15*'Alternative 1'!$B$39))))</f>
        <v>775512.99290821969</v>
      </c>
      <c r="AF15" s="105">
        <f>AD15*'Alternative 1'!$K16/'Alternative 1'!$L16</f>
        <v>2865421.0480835638</v>
      </c>
      <c r="AG15" s="105">
        <f>AE15/'Alternative 1'!$M16</f>
        <v>286198.58555264614</v>
      </c>
      <c r="AH15" s="105">
        <f t="shared" si="4"/>
        <v>3.1516196336362099</v>
      </c>
      <c r="AJ15" s="105">
        <f>'Alternative 1'!$B$39*$B15*$C15*COS($K$33)-($N$32/3)*$E15*SIN($K$33)-($N$32/3)*$F15*SIN($K$33)-($N$32/3)*$G15*SIN($K$33)</f>
        <v>358041.85533938603</v>
      </c>
      <c r="AK15" s="106">
        <f>IF(($A15&lt;'Alternative 1'!$B$27),(($H15*'Alternative 1'!$B$39)+(3*($N$32/3)*COS($K$33))),IF(($A15&lt;'Alternative 1'!$B$28),(($H15*'Alternative 1'!$B$39)+(2*(($N$32/3)*COS($K$33)))),IF(($A15&lt;'Alternative 1'!$B$29),(($H$3*'Alternative 1'!$B$39+(($N$32/3)*COS($K$33)))),($H15*'Alternative 1'!$B$39))))</f>
        <v>531218.3871945896</v>
      </c>
      <c r="AL15" s="105">
        <f>AJ15*'Alternative 1'!$K16/'Alternative 1'!$L16</f>
        <v>2849208.9621766852</v>
      </c>
      <c r="AM15" s="105">
        <f>AK15/'Alternative 1'!$M16</f>
        <v>196043.0739716083</v>
      </c>
      <c r="AN15" s="105">
        <f t="shared" si="5"/>
        <v>3.0452520361482933</v>
      </c>
      <c r="AP15" s="105">
        <f>'Alternative 1'!$B$39*$B15*$C15*COS($K$43)-($N$42/3)*$E15*SIN($K$43)-($N$42/3)*$F15*SIN($K$43)-($N$42/3)*$G15*SIN($K$43)</f>
        <v>324730.31510917912</v>
      </c>
      <c r="AQ15" s="106">
        <f>IF(($A15&lt;'Alternative 1'!$B$27),(($H15*'Alternative 1'!$B$39)+(3*($N$42/3)*COS($K$43))),IF(($A15&lt;'Alternative 1'!$B$28),(($H15*'Alternative 1'!$B$39)+(2*(($N$42/3)*COS($K$43)))),IF(($A15&lt;'Alternative 1'!$B$29),(($H$3*'Alternative 1'!$B$39+(($N$42/3)*COS($K$43)))),($H15*'Alternative 1'!$B$39))))</f>
        <v>402159.76740621252</v>
      </c>
      <c r="AR15" s="105">
        <f>AP15*'Alternative 1'!$K16/'Alternative 1'!$L16</f>
        <v>2584123.9237868334</v>
      </c>
      <c r="AS15" s="105">
        <f>AQ15/'Alternative 1'!$M16</f>
        <v>148414.73663286612</v>
      </c>
      <c r="AT15" s="105">
        <f t="shared" si="6"/>
        <v>2.7325386604196997</v>
      </c>
      <c r="AV15" s="105">
        <f>'Alternative 1'!$B$39*$B15*$C15*COS($K$53)-($N$52/3)*$E15*SIN($K$53)-($N$52/3)*$F15*SIN($K$53)-($N$52/3)*$G15*SIN($K$53)</f>
        <v>272752.44560191571</v>
      </c>
      <c r="AW15" s="106">
        <f>IF(($A15&lt;'Alternative 1'!$B$27),(($H15*'Alternative 1'!$B$39)+(3*($N$52/3)*COS($K$53))),IF(($A15&lt;'Alternative 1'!$B$28),(($H15*'Alternative 1'!$B$39)+(2*(($N$52/3)*COS($K$53)))),IF(($A15&lt;'Alternative 1'!$B$29),(($H$3*'Alternative 1'!$B$39+(($N$52/3)*COS($K$53)))),($H15*'Alternative 1'!$B$39))))</f>
        <v>321081.13308407128</v>
      </c>
      <c r="AX15" s="105">
        <f>AV15*'Alternative 1'!$K16/'Alternative 1'!$L16</f>
        <v>2170496.8312376514</v>
      </c>
      <c r="AY15" s="105">
        <f>AW15/'Alternative 1'!$M16</f>
        <v>118493.13548145475</v>
      </c>
      <c r="AZ15" s="105">
        <f t="shared" si="7"/>
        <v>2.2889899667191065</v>
      </c>
      <c r="BB15" s="105">
        <f>'Alternative 1'!$B$39*$B15*$C15*COS($K$63)-($N$62/3)*$E15*SIN($K$63)-($N$62/3)*$F15*SIN($K$63)-($N$62/3)*$G15*SIN($K$63)</f>
        <v>207509.09624013607</v>
      </c>
      <c r="BC15" s="106">
        <f>IF(($A15&lt;'Alternative 1'!$B$27),(($H15*'Alternative 1'!$B$39)+(3*($N$62/3)*COS($K$63))),IF(($A15&lt;'Alternative 1'!$B$28),(($H15*'Alternative 1'!$B$39)+(2*(($N$62/3)*COS($K$63)))),IF(($A15&lt;'Alternative 1'!$B$29),(($H$3*'Alternative 1'!$B$39+(($N$62/3)*COS($K$63)))),($H15*'Alternative 1'!$B$39))))</f>
        <v>266988.67447180871</v>
      </c>
      <c r="BD15" s="105">
        <f>BB15*'Alternative 1'!$K16/'Alternative 1'!$L16</f>
        <v>1651306.314956249</v>
      </c>
      <c r="BE15" s="105">
        <f>BC15/'Alternative 1'!$M16</f>
        <v>98530.62642555972</v>
      </c>
      <c r="BF15" s="105">
        <f t="shared" si="8"/>
        <v>1.7498369413818087</v>
      </c>
      <c r="BH15" s="105">
        <f>'Alternative 1'!$B$39*$B15*$C15*COS($K$73)-($N$72/3)*$E15*SIN($K$73)-($N$72/3)*$F15*SIN($K$73)-($N$72/3)*$G15*SIN($K$73)</f>
        <v>132604.24924528506</v>
      </c>
      <c r="BI15" s="106">
        <f>IF(($A15&lt;'Alternative 1'!$B$27),(($H15*'Alternative 1'!$B$39)+(3*($N$72/3)*COS($K$73))),IF(($A15&lt;'Alternative 1'!$B$28),(($H15*'Alternative 1'!$B$39)+(2*(($N$72/3)*COS($K$73)))),IF(($A15&lt;'Alternative 1'!$B$29),(($H$3*'Alternative 1'!$B$39+(($N$72/3)*COS($K$73)))),($H15*'Alternative 1'!$B$39))))</f>
        <v>231572.26608177787</v>
      </c>
      <c r="BJ15" s="105">
        <f>BH15*'Alternative 1'!$K16/'Alternative 1'!$L16</f>
        <v>1055231.9784351639</v>
      </c>
      <c r="BK15" s="105">
        <f>BI15/'Alternative 1'!$M16</f>
        <v>85460.405708082602</v>
      </c>
      <c r="BL15" s="105">
        <f t="shared" si="9"/>
        <v>1.1406923841432464</v>
      </c>
      <c r="BN15" s="105">
        <f>'Alternative 1'!$B$39*$B15*$C15*COS($K$83)-($N$82/3)*$E15*SIN($K$83)-($N$82/3)*$F15*SIN($K$83)-($N$82/3)*$G15*SIN($K$83)</f>
        <v>51089.195351381495</v>
      </c>
      <c r="BO15" s="106">
        <f>IF(($A15&lt;'Alternative 1'!$B$27),(($H15*'Alternative 1'!$B$39)+(3*($N$82/3)*COS($K$83))),IF(($A15&lt;'Alternative 1'!$B$28),(($H15*'Alternative 1'!$B$39)+(2*(($N$82/3)*COS($K$83)))),IF(($A15&lt;'Alternative 1'!$B$29),(($H$3*'Alternative 1'!$B$39+(($N$82/3)*COS($K$83)))),($H15*'Alternative 1'!$B$39))))</f>
        <v>211148.7878419561</v>
      </c>
      <c r="BP15" s="105">
        <f>BN15*'Alternative 1'!$K16/'Alternative 1'!$L16</f>
        <v>406555.24234051467</v>
      </c>
      <c r="BQ15" s="105">
        <f>BO15/'Alternative 1'!$M16</f>
        <v>77923.239164447397</v>
      </c>
      <c r="BR15" s="105">
        <f t="shared" si="10"/>
        <v>0.48447848150496209</v>
      </c>
      <c r="BT15" s="105">
        <f>'Alternative 1'!$B$39*$B15*$C15*COS($K$93)-($K$92/3)*$E15*SIN($K$93)-($K$92/3)*$F15*SIN($K$93)-($K$92/3)*$G15*SIN($K$93)</f>
        <v>-14.497868319749548</v>
      </c>
      <c r="BU15" s="106">
        <f>IF(($A15&lt;'Alternative 1'!$B$27),(($H15*'Alternative 1'!$B$39)+(3*($N$92/3)*COS($K$93))),IF(($A15&lt;'Alternative 1'!$B$28),(($H15*'Alternative 1'!$B$39)+(2*(($N$92/3)*COS($K$93)))),IF(($A15&lt;'Alternative 1'!$B$29),(($H$3*'Alternative 1'!$B$39+(($N$92/3)*COS($K$93)))),($H15*'Alternative 1'!$B$39))))</f>
        <v>204079.93775000772</v>
      </c>
      <c r="BV15" s="105">
        <f>BT15*'Alternative 1'!$K16/'Alternative 1'!$L16</f>
        <v>-115.37046781844184</v>
      </c>
      <c r="BW15" s="105">
        <f>BU15/'Alternative 1'!$M16</f>
        <v>75314.520914334542</v>
      </c>
      <c r="BX15" s="105">
        <f t="shared" si="11"/>
        <v>7.5199150446516094E-2</v>
      </c>
      <c r="BZ15" s="104">
        <v>150</v>
      </c>
      <c r="CA15" s="104">
        <v>-150</v>
      </c>
    </row>
    <row r="16" spans="1:80" ht="15" customHeight="1" x14ac:dyDescent="0.25">
      <c r="A16" s="18">
        <f>IF('Alternative 1'!F17&gt;0,'Alternative 1'!F17,"x")</f>
        <v>14</v>
      </c>
      <c r="B16" s="18">
        <f t="shared" si="17"/>
        <v>23</v>
      </c>
      <c r="C16" s="18">
        <f t="shared" si="12"/>
        <v>11.5</v>
      </c>
      <c r="D16" s="18">
        <f t="shared" si="13"/>
        <v>14</v>
      </c>
      <c r="E16" s="101">
        <f>IF($A16&lt;='Alternative 1'!$B$27, IF($A16='Alternative 1'!$B$27,0,E17+1),0)</f>
        <v>2</v>
      </c>
      <c r="F16" s="101">
        <f>IF($A16&lt;=('Alternative 1'!$B$28), IF($A16=ROUNDDOWN('Alternative 1'!$B$28,0),0,F17+1),0)</f>
        <v>8</v>
      </c>
      <c r="G16" s="101">
        <f>IF($A16&lt;=('Alternative 1'!$B$29), IF($A16=ROUNDDOWN('Alternative 1'!$B$29,0),0,G17+1),0)</f>
        <v>15</v>
      </c>
      <c r="H16" s="18">
        <f t="shared" si="14"/>
        <v>23</v>
      </c>
      <c r="J16" s="104">
        <f t="shared" si="15"/>
        <v>13</v>
      </c>
      <c r="K16" s="104">
        <f t="shared" si="16"/>
        <v>0.22689280275926285</v>
      </c>
      <c r="L16" s="105">
        <f>'Alternative 1'!$B$27*SIN(K16)+'Alternative 1'!$B$28*SIN(K16)+'Alternative 1'!$B$29*SIN(K16)</f>
        <v>15.29667169538282</v>
      </c>
      <c r="M16" s="104">
        <f>(('Alternative 1'!$B$27)*(((('Alternative 1'!$B$28-'Alternative 1'!$B$27)/2)+'Alternative 1'!$B$27)*'Alternative 1'!$B$39)*COS('Alternative 1-Tilt Up (3pt)'!K16))+(('Alternative 1'!$B$28)*((('Alternative 1'!$B$28-'Alternative 1'!$B$27)/2)+(('Alternative 1'!$B$29-'Alternative 1'!$B$28)/2))*('Alternative 1'!$B$39)*COS('Alternative 1-Tilt Up (3pt)'!K16))+(('Alternative 1'!$B$29)*((('Alternative 1'!$B$12-'Alternative 1'!$B$29+(('Alternative 1'!$B$29-'Alternative 1'!$B$28)/2)*('Alternative 1'!$B$39)*COS('Alternative 1-Tilt Up (3pt)'!K16)))))</f>
        <v>4624474.8833795153</v>
      </c>
      <c r="N16" s="104">
        <f t="shared" si="0"/>
        <v>906957.07709580578</v>
      </c>
      <c r="O16" s="104">
        <f>(((('Alternative 1'!$B$28-'Alternative 1'!$B$27)/2)+'Alternative 1'!$B$27)*('Alternative 1'!$B$39)*COS('Alternative 1-Tilt Up (3pt)'!K16))+(((('Alternative 1'!$B$28-'Alternative 1'!$B$27)/2)+(('Alternative 1'!$B$29-'Alternative 1'!$B$28)/2))*('Alternative 1'!$B$39)*COS('Alternative 1-Tilt Up (3pt)'!K16))+(((('Alternative 1'!$B$12-'Alternative 1'!$B$29)+(('Alternative 1'!$B$29-'Alternative 1'!$B$28)/2))*('Alternative 1'!$B$39)*COS('Alternative 1-Tilt Up (3pt)'!K16)))</f>
        <v>298274.07325026265</v>
      </c>
      <c r="P16" s="104">
        <f t="shared" si="1"/>
        <v>883711.82596726785</v>
      </c>
      <c r="R16" s="105">
        <f>'Alternative 1'!$B$39*$B16*$C16*COS($K$5)-($N$5/3)*$E16*SIN($K$5)-($N$5/3)*$F16*SIN($K$5)-($N$5/3)*$G16*SIN($K$5)</f>
        <v>503929.49615670624</v>
      </c>
      <c r="S16" s="106">
        <f>IF(($A16&lt;'Alternative 1'!$B$27),(($H16*'Alternative 1'!$B$39)+(3*($N$5/3)*COS($K$5))),IF(($A16&lt;'Alternative 1'!$B$28),(($H16*'Alternative 1'!$B$39)+(2*(($N$5/3)*COS($K$5)))),IF(($A16&lt;'Alternative 1'!$B$29),(($H$3*'Alternative 1'!$B$39+(($N$5/3)*COS($K$5)))),($H16*'Alternative 1'!$B$39))))</f>
        <v>6187992.2382342005</v>
      </c>
      <c r="T16" s="105">
        <f>R16*'Alternative 1'!$K17/'Alternative 1'!$L17</f>
        <v>4010146.9013835848</v>
      </c>
      <c r="U16" s="105">
        <f>S16/'Alternative 1'!$M17</f>
        <v>2333344.5592010361</v>
      </c>
      <c r="V16" s="105">
        <f t="shared" si="2"/>
        <v>6.3434914605846213</v>
      </c>
      <c r="X16" s="105">
        <f>'Alternative 1'!$B$39*$B16*$C16*COS($K$13)-($N$12/3)*$E16*SIN($K$13)-($N$12/3)*$F16*SIN($K$13)-($N$12/3)*$G16*SIN($K$13)</f>
        <v>301908.38897363818</v>
      </c>
      <c r="Y16" s="106">
        <f>IF(($A16&lt;'Alternative 1'!$B$27),(($H16*'Alternative 1'!$B$39)+(3*($N$12/3)*COS($K$13))),IF(($A16&lt;'Alternative 1'!$B$28),(($H16*'Alternative 1'!$B$39)+(2*(($N$12/3)*COS($K$13)))),IF(($A16&lt;'Alternative 1'!$B$29),(($H$3*'Alternative 1'!$B$39+(($N$12/3)*COS($K$13)))),($H16*'Alternative 1'!$B$39))))</f>
        <v>1497512.2930371237</v>
      </c>
      <c r="Z16" s="105">
        <f>X16*'Alternative 1'!$K17/'Alternative 1'!$L17</f>
        <v>2402512.6526188822</v>
      </c>
      <c r="AA16" s="105">
        <f>Y16/'Alternative 1'!$M17</f>
        <v>564676.2353231305</v>
      </c>
      <c r="AB16" s="105">
        <f t="shared" si="3"/>
        <v>2.967188887942013</v>
      </c>
      <c r="AD16" s="105">
        <f>'Alternative 1'!$B$39*$B16*$C16*COS($K$23)-($N$22/3)*$E16*SIN($K$23)-($N$22/3)*$F16*SIN($K$23)-($N$22/3)*$G16*SIN($K$23)</f>
        <v>380286.59439125424</v>
      </c>
      <c r="AE16" s="106">
        <f>IF(($A16&lt;'Alternative 1'!$B$27),(($H16*'Alternative 1'!$B$39)+(3*($N$22/3)*COS($K$23))),IF(($A16&lt;'Alternative 1'!$B$28),(($H16*'Alternative 1'!$B$39)+(2*(($N$22/3)*COS($K$23)))),IF(($A16&lt;'Alternative 1'!$B$29),(($H$3*'Alternative 1'!$B$39+(($N$22/3)*COS($K$23)))),($H16*'Alternative 1'!$B$39))))</f>
        <v>767009.66216863599</v>
      </c>
      <c r="AF16" s="105">
        <f>AD16*'Alternative 1'!$K17/'Alternative 1'!$L17</f>
        <v>3026227.1205922337</v>
      </c>
      <c r="AG16" s="105">
        <f>AE16/'Alternative 1'!$M17</f>
        <v>289221.08386265818</v>
      </c>
      <c r="AH16" s="105">
        <f t="shared" si="4"/>
        <v>3.3154482044548916</v>
      </c>
      <c r="AJ16" s="105">
        <f>'Alternative 1'!$B$39*$B16*$C16*COS($K$33)-($N$32/3)*$E16*SIN($K$33)-($N$32/3)*$F16*SIN($K$33)-($N$32/3)*$G16*SIN($K$33)</f>
        <v>373858.9669128689</v>
      </c>
      <c r="AK16" s="106">
        <f>IF(($A16&lt;'Alternative 1'!$B$27),(($H16*'Alternative 1'!$B$39)+(3*($N$32/3)*COS($K$33))),IF(($A16&lt;'Alternative 1'!$B$28),(($H16*'Alternative 1'!$B$39)+(2*(($N$32/3)*COS($K$33)))),IF(($A16&lt;'Alternative 1'!$B$29),(($H$3*'Alternative 1'!$B$39+(($N$32/3)*COS($K$33)))),($H16*'Alternative 1'!$B$39))))</f>
        <v>522715.05645500589</v>
      </c>
      <c r="AL16" s="105">
        <f>AJ16*'Alternative 1'!$K17/'Alternative 1'!$L17</f>
        <v>2975077.6431112024</v>
      </c>
      <c r="AM16" s="105">
        <f>AK16/'Alternative 1'!$M17</f>
        <v>197103.40382388642</v>
      </c>
      <c r="AN16" s="105">
        <f t="shared" si="5"/>
        <v>3.1721810469350888</v>
      </c>
      <c r="AP16" s="105">
        <f>'Alternative 1'!$B$39*$B16*$C16*COS($K$43)-($N$42/3)*$E16*SIN($K$43)-($N$42/3)*$F16*SIN($K$43)-($N$42/3)*$G16*SIN($K$43)</f>
        <v>337861.68948242895</v>
      </c>
      <c r="AQ16" s="106">
        <f>IF(($A16&lt;'Alternative 1'!$B$27),(($H16*'Alternative 1'!$B$39)+(3*($N$42/3)*COS($K$43))),IF(($A16&lt;'Alternative 1'!$B$28),(($H16*'Alternative 1'!$B$39)+(2*(($N$42/3)*COS($K$43)))),IF(($A16&lt;'Alternative 1'!$B$29),(($H$3*'Alternative 1'!$B$39+(($N$42/3)*COS($K$43)))),($H16*'Alternative 1'!$B$39))))</f>
        <v>393656.43666662881</v>
      </c>
      <c r="AR16" s="105">
        <f>AP16*'Alternative 1'!$K17/'Alternative 1'!$L17</f>
        <v>2688620.1691056835</v>
      </c>
      <c r="AS16" s="105">
        <f>AQ16/'Alternative 1'!$M17</f>
        <v>148438.47072320475</v>
      </c>
      <c r="AT16" s="105">
        <f t="shared" si="6"/>
        <v>2.8370586398288884</v>
      </c>
      <c r="AV16" s="105">
        <f>'Alternative 1'!$B$39*$B16*$C16*COS($K$53)-($N$52/3)*$E16*SIN($K$53)-($N$52/3)*$F16*SIN($K$53)-($N$52/3)*$G16*SIN($K$53)</f>
        <v>283741.90292803303</v>
      </c>
      <c r="AW16" s="106">
        <f>IF(($A16&lt;'Alternative 1'!$B$27),(($H16*'Alternative 1'!$B$39)+(3*($N$52/3)*COS($K$53))),IF(($A16&lt;'Alternative 1'!$B$28),(($H16*'Alternative 1'!$B$39)+(2*(($N$52/3)*COS($K$53)))),IF(($A16&lt;'Alternative 1'!$B$29),(($H$3*'Alternative 1'!$B$39+(($N$52/3)*COS($K$53)))),($H16*'Alternative 1'!$B$39))))</f>
        <v>312577.80234448763</v>
      </c>
      <c r="AX16" s="105">
        <f>AV16*'Alternative 1'!$K17/'Alternative 1'!$L17</f>
        <v>2257948.2278721365</v>
      </c>
      <c r="AY16" s="105">
        <f>AW16/'Alternative 1'!$M17</f>
        <v>117865.64791096993</v>
      </c>
      <c r="AZ16" s="105">
        <f t="shared" si="7"/>
        <v>2.3758138757831064</v>
      </c>
      <c r="BB16" s="105">
        <f>'Alternative 1'!$B$39*$B16*$C16*COS($K$63)-($N$62/3)*$E16*SIN($K$63)-($N$62/3)*$F16*SIN($K$63)-($N$62/3)*$G16*SIN($K$63)</f>
        <v>216556.08829216112</v>
      </c>
      <c r="BC16" s="106">
        <f>IF(($A16&lt;'Alternative 1'!$B$27),(($H16*'Alternative 1'!$B$39)+(3*($N$62/3)*COS($K$63))),IF(($A16&lt;'Alternative 1'!$B$28),(($H16*'Alternative 1'!$B$39)+(2*(($N$62/3)*COS($K$63)))),IF(($A16&lt;'Alternative 1'!$B$29),(($H$3*'Alternative 1'!$B$39+(($N$62/3)*COS($K$63)))),($H16*'Alternative 1'!$B$39))))</f>
        <v>258485.34373222507</v>
      </c>
      <c r="BD16" s="105">
        <f>BB16*'Alternative 1'!$K17/'Alternative 1'!$L17</f>
        <v>1723300.0510264002</v>
      </c>
      <c r="BE16" s="105">
        <f>BC16/'Alternative 1'!$M17</f>
        <v>97468.669515155547</v>
      </c>
      <c r="BF16" s="105">
        <f t="shared" si="8"/>
        <v>1.8207687205415557</v>
      </c>
      <c r="BH16" s="105">
        <f>'Alternative 1'!$B$39*$B16*$C16*COS($K$73)-($N$72/3)*$E16*SIN($K$73)-($N$72/3)*$F16*SIN($K$73)-($N$72/3)*$G16*SIN($K$73)</f>
        <v>139793.50618505391</v>
      </c>
      <c r="BI16" s="106">
        <f>IF(($A16&lt;'Alternative 1'!$B$27),(($H16*'Alternative 1'!$B$39)+(3*($N$72/3)*COS($K$73))),IF(($A16&lt;'Alternative 1'!$B$28),(($H16*'Alternative 1'!$B$39)+(2*(($N$72/3)*COS($K$73)))),IF(($A16&lt;'Alternative 1'!$B$29),(($H$3*'Alternative 1'!$B$39+(($N$72/3)*COS($K$73)))),($H16*'Alternative 1'!$B$39))))</f>
        <v>223068.93534219419</v>
      </c>
      <c r="BJ16" s="105">
        <f>BH16*'Alternative 1'!$K17/'Alternative 1'!$L17</f>
        <v>1112442.3157147646</v>
      </c>
      <c r="BK16" s="105">
        <f>BI16/'Alternative 1'!$M17</f>
        <v>84113.985048566406</v>
      </c>
      <c r="BL16" s="105">
        <f t="shared" si="9"/>
        <v>1.1965563007633311</v>
      </c>
      <c r="BN16" s="105">
        <f>'Alternative 1'!$B$39*$B16*$C16*COS($K$83)-($N$82/3)*$E16*SIN($K$83)-($N$82/3)*$F16*SIN($K$83)-($N$82/3)*$G16*SIN($K$83)</f>
        <v>56478.821018295828</v>
      </c>
      <c r="BO16" s="106">
        <f>IF(($A16&lt;'Alternative 1'!$B$27),(($H16*'Alternative 1'!$B$39)+(3*($N$82/3)*COS($K$83))),IF(($A16&lt;'Alternative 1'!$B$28),(($H16*'Alternative 1'!$B$39)+(2*(($N$82/3)*COS($K$83)))),IF(($A16&lt;'Alternative 1'!$B$29),(($H$3*'Alternative 1'!$B$39+(($N$82/3)*COS($K$83)))),($H16*'Alternative 1'!$B$39))))</f>
        <v>202645.45710237243</v>
      </c>
      <c r="BP16" s="105">
        <f>BN16*'Alternative 1'!$K17/'Alternative 1'!$L17</f>
        <v>449444.55688278726</v>
      </c>
      <c r="BQ16" s="105">
        <f>BO16/'Alternative 1'!$M17</f>
        <v>76412.777613883576</v>
      </c>
      <c r="BR16" s="105">
        <f t="shared" si="10"/>
        <v>0.52585733449667083</v>
      </c>
      <c r="BT16" s="105">
        <f>'Alternative 1'!$B$39*$B16*$C16*COS($K$93)-($K$92/3)*$E16*SIN($K$93)-($K$92/3)*$F16*SIN($K$93)-($K$92/3)*$G16*SIN($K$93)</f>
        <v>-12.944525285486835</v>
      </c>
      <c r="BU16" s="106">
        <f>IF(($A16&lt;'Alternative 1'!$B$27),(($H16*'Alternative 1'!$B$39)+(3*($N$92/3)*COS($K$93))),IF(($A16&lt;'Alternative 1'!$B$28),(($H16*'Alternative 1'!$B$39)+(2*(($N$92/3)*COS($K$93)))),IF(($A16&lt;'Alternative 1'!$B$29),(($H$3*'Alternative 1'!$B$39+(($N$92/3)*COS($K$93)))),($H16*'Alternative 1'!$B$39))))</f>
        <v>195576.60701042405</v>
      </c>
      <c r="BV16" s="105">
        <f>BT16*'Alternative 1'!$K17/'Alternative 1'!$L17</f>
        <v>-103.00934626643543</v>
      </c>
      <c r="BW16" s="105">
        <f>BU16/'Alternative 1'!$M17</f>
        <v>73747.282528103984</v>
      </c>
      <c r="BX16" s="105">
        <f t="shared" si="11"/>
        <v>7.3644273181837541E-2</v>
      </c>
      <c r="BZ16" s="104">
        <v>150</v>
      </c>
      <c r="CA16" s="104">
        <v>-150</v>
      </c>
    </row>
    <row r="17" spans="1:79" ht="15" customHeight="1" x14ac:dyDescent="0.25">
      <c r="A17" s="18">
        <f>IF('Alternative 1'!F18&gt;0,'Alternative 1'!F18,"x")</f>
        <v>15</v>
      </c>
      <c r="B17" s="18">
        <f t="shared" si="17"/>
        <v>22</v>
      </c>
      <c r="C17" s="18">
        <f t="shared" si="12"/>
        <v>11</v>
      </c>
      <c r="D17" s="18">
        <f t="shared" si="13"/>
        <v>15</v>
      </c>
      <c r="E17" s="101">
        <f>IF($A17&lt;='Alternative 1'!$B$27, IF($A17='Alternative 1'!$B$27,0,E18+1),0)</f>
        <v>1</v>
      </c>
      <c r="F17" s="101">
        <f>IF($A17&lt;=('Alternative 1'!$B$28), IF($A17=ROUNDDOWN('Alternative 1'!$B$28,0),0,F18+1),0)</f>
        <v>7</v>
      </c>
      <c r="G17" s="101">
        <f>IF($A17&lt;=('Alternative 1'!$B$29), IF($A17=ROUNDDOWN('Alternative 1'!$B$29,0),0,G18+1),0)</f>
        <v>14</v>
      </c>
      <c r="H17" s="18">
        <f t="shared" si="14"/>
        <v>22</v>
      </c>
      <c r="J17" s="104">
        <f t="shared" si="15"/>
        <v>14</v>
      </c>
      <c r="K17" s="104">
        <f t="shared" si="16"/>
        <v>0.24434609527920614</v>
      </c>
      <c r="L17" s="105">
        <f>'Alternative 1'!$B$27*SIN(K17)+'Alternative 1'!$B$28*SIN(K17)+'Alternative 1'!$B$29*SIN(K17)</f>
        <v>16.450688900777408</v>
      </c>
      <c r="M17" s="104">
        <f>(('Alternative 1'!$B$27)*(((('Alternative 1'!$B$28-'Alternative 1'!$B$27)/2)+'Alternative 1'!$B$27)*'Alternative 1'!$B$39)*COS('Alternative 1-Tilt Up (3pt)'!K17))+(('Alternative 1'!$B$28)*((('Alternative 1'!$B$28-'Alternative 1'!$B$27)/2)+(('Alternative 1'!$B$29-'Alternative 1'!$B$28)/2))*('Alternative 1'!$B$39)*COS('Alternative 1-Tilt Up (3pt)'!K17))+(('Alternative 1'!$B$29)*((('Alternative 1'!$B$12-'Alternative 1'!$B$29+(('Alternative 1'!$B$29-'Alternative 1'!$B$28)/2)*('Alternative 1'!$B$39)*COS('Alternative 1-Tilt Up (3pt)'!K17)))))</f>
        <v>4605138.4118314199</v>
      </c>
      <c r="N17" s="104">
        <f t="shared" si="0"/>
        <v>839807.70159974194</v>
      </c>
      <c r="O17" s="104">
        <f>(((('Alternative 1'!$B$28-'Alternative 1'!$B$27)/2)+'Alternative 1'!$B$27)*('Alternative 1'!$B$39)*COS('Alternative 1-Tilt Up (3pt)'!K17))+(((('Alternative 1'!$B$28-'Alternative 1'!$B$27)/2)+(('Alternative 1'!$B$29-'Alternative 1'!$B$28)/2))*('Alternative 1'!$B$39)*COS('Alternative 1-Tilt Up (3pt)'!K17))+(((('Alternative 1'!$B$12-'Alternative 1'!$B$29)+(('Alternative 1'!$B$29-'Alternative 1'!$B$28)/2))*('Alternative 1'!$B$39)*COS('Alternative 1-Tilt Up (3pt)'!K17)))</f>
        <v>297026.83712625579</v>
      </c>
      <c r="P17" s="104">
        <f t="shared" si="1"/>
        <v>814861.82375589688</v>
      </c>
      <c r="R17" s="105">
        <f>'Alternative 1'!$B$39*$B17*$C17*COS($K$5)-($N$5/3)*$E17*SIN($K$5)-($N$5/3)*$F17*SIN($K$5)-($N$5/3)*$G17*SIN($K$5)</f>
        <v>521980.86945780611</v>
      </c>
      <c r="S17" s="106">
        <f>IF(($A17&lt;'Alternative 1'!$B$27),(($H17*'Alternative 1'!$B$39)+(3*($N$5/3)*COS($K$5))),IF(($A17&lt;'Alternative 1'!$B$28),(($H17*'Alternative 1'!$B$39)+(2*(($N$5/3)*COS($K$5)))),IF(($A17&lt;'Alternative 1'!$B$29),(($H$3*'Alternative 1'!$B$39+(($N$5/3)*COS($K$5)))),($H17*'Alternative 1'!$B$39))))</f>
        <v>6179488.9074946167</v>
      </c>
      <c r="T17" s="105">
        <f>R17*'Alternative 1'!$K18/'Alternative 1'!$L18</f>
        <v>4153795.2872415408</v>
      </c>
      <c r="U17" s="105">
        <f>S17/'Alternative 1'!$M18</f>
        <v>2381409.8290467546</v>
      </c>
      <c r="V17" s="105">
        <f t="shared" si="2"/>
        <v>6.5352051162882949</v>
      </c>
      <c r="X17" s="105">
        <f>'Alternative 1'!$B$39*$B17*$C17*COS($K$13)-($N$12/3)*$E17*SIN($K$13)-($N$12/3)*$F17*SIN($K$13)-($N$12/3)*$G17*SIN($K$13)</f>
        <v>343056.49169502757</v>
      </c>
      <c r="Y17" s="106">
        <f>IF(($A17&lt;'Alternative 1'!$B$27),(($H17*'Alternative 1'!$B$39)+(3*($N$12/3)*COS($K$13))),IF(($A17&lt;'Alternative 1'!$B$28),(($H17*'Alternative 1'!$B$39)+(2*(($N$12/3)*COS($K$13)))),IF(($A17&lt;'Alternative 1'!$B$29),(($H$3*'Alternative 1'!$B$39+(($N$12/3)*COS($K$13)))),($H17*'Alternative 1'!$B$39))))</f>
        <v>1489008.9622975399</v>
      </c>
      <c r="Z17" s="105">
        <f>X17*'Alternative 1'!$K18/'Alternative 1'!$L18</f>
        <v>2729959.126549196</v>
      </c>
      <c r="AA17" s="105">
        <f>Y17/'Alternative 1'!$M18</f>
        <v>573824.24848331336</v>
      </c>
      <c r="AB17" s="105">
        <f t="shared" si="3"/>
        <v>3.3037833750325092</v>
      </c>
      <c r="AD17" s="105">
        <f>'Alternative 1'!$B$39*$B17*$C17*COS($K$23)-($N$22/3)*$E17*SIN($K$23)-($N$22/3)*$F17*SIN($K$23)-($N$22/3)*$G17*SIN($K$23)</f>
        <v>408484.58151264361</v>
      </c>
      <c r="AE17" s="106">
        <f>IF(($A17&lt;'Alternative 1'!$B$27),(($H17*'Alternative 1'!$B$39)+(3*($N$22/3)*COS($K$23))),IF(($A17&lt;'Alternative 1'!$B$28),(($H17*'Alternative 1'!$B$39)+(2*(($N$22/3)*COS($K$23)))),IF(($A17&lt;'Alternative 1'!$B$29),(($H$3*'Alternative 1'!$B$39+(($N$22/3)*COS($K$23)))),($H17*'Alternative 1'!$B$39))))</f>
        <v>758506.3314290524</v>
      </c>
      <c r="AF17" s="105">
        <f>AD17*'Alternative 1'!$K18/'Alternative 1'!$L18</f>
        <v>3250619.7619091254</v>
      </c>
      <c r="AG17" s="105">
        <f>AE17/'Alternative 1'!$M18</f>
        <v>292308.06302906439</v>
      </c>
      <c r="AH17" s="105">
        <f t="shared" si="4"/>
        <v>3.5429278249381899</v>
      </c>
      <c r="AJ17" s="105">
        <f>'Alternative 1'!$B$39*$B17*$C17*COS($K$33)-($N$32/3)*$E17*SIN($K$33)-($N$32/3)*$F17*SIN($K$33)-($N$32/3)*$G17*SIN($K$33)</f>
        <v>397040.17892361211</v>
      </c>
      <c r="AK17" s="106">
        <f>IF(($A17&lt;'Alternative 1'!$B$27),(($H17*'Alternative 1'!$B$39)+(3*($N$32/3)*COS($K$33))),IF(($A17&lt;'Alternative 1'!$B$28),(($H17*'Alternative 1'!$B$39)+(2*(($N$32/3)*COS($K$33)))),IF(($A17&lt;'Alternative 1'!$B$29),(($H$3*'Alternative 1'!$B$39+(($N$32/3)*COS($K$33)))),($H17*'Alternative 1'!$B$39))))</f>
        <v>514211.7257154223</v>
      </c>
      <c r="AL17" s="105">
        <f>AJ17*'Alternative 1'!$K18/'Alternative 1'!$L18</f>
        <v>3159548.0228452161</v>
      </c>
      <c r="AM17" s="105">
        <f>AK17/'Alternative 1'!$M18</f>
        <v>198163.45269988937</v>
      </c>
      <c r="AN17" s="105">
        <f t="shared" si="5"/>
        <v>3.3577114755451056</v>
      </c>
      <c r="AP17" s="105">
        <f>'Alternative 1'!$B$39*$B17*$C17*COS($K$43)-($N$42/3)*$E17*SIN($K$43)-($N$42/3)*$F17*SIN($K$43)-($N$42/3)*$G17*SIN($K$43)</f>
        <v>357506.99311673979</v>
      </c>
      <c r="AQ17" s="106">
        <f>IF(($A17&lt;'Alternative 1'!$B$27),(($H17*'Alternative 1'!$B$39)+(3*($N$42/3)*COS($K$43))),IF(($A17&lt;'Alternative 1'!$B$28),(($H17*'Alternative 1'!$B$39)+(2*(($N$42/3)*COS($K$43)))),IF(($A17&lt;'Alternative 1'!$B$29),(($H$3*'Alternative 1'!$B$39+(($N$42/3)*COS($K$43)))),($H17*'Alternative 1'!$B$39))))</f>
        <v>385153.10592704517</v>
      </c>
      <c r="AR17" s="105">
        <f>AP17*'Alternative 1'!$K18/'Alternative 1'!$L18</f>
        <v>2844952.6602511765</v>
      </c>
      <c r="AS17" s="105">
        <f>AQ17/'Alternative 1'!$M18</f>
        <v>148427.71074969362</v>
      </c>
      <c r="AT17" s="105">
        <f t="shared" si="6"/>
        <v>2.9933803710008702</v>
      </c>
      <c r="AV17" s="105">
        <f>'Alternative 1'!$B$39*$B17*$C17*COS($K$53)-($N$52/3)*$E17*SIN($K$53)-($N$52/3)*$F17*SIN($K$53)-($N$52/3)*$G17*SIN($K$53)</f>
        <v>300197.19589462189</v>
      </c>
      <c r="AW17" s="106">
        <f>IF(($A17&lt;'Alternative 1'!$B$27),(($H17*'Alternative 1'!$B$39)+(3*($N$52/3)*COS($K$53))),IF(($A17&lt;'Alternative 1'!$B$28),(($H17*'Alternative 1'!$B$39)+(2*(($N$52/3)*COS($K$53)))),IF(($A17&lt;'Alternative 1'!$B$29),(($H$3*'Alternative 1'!$B$39+(($N$52/3)*COS($K$53)))),($H17*'Alternative 1'!$B$39))))</f>
        <v>304074.47160490399</v>
      </c>
      <c r="AX17" s="105">
        <f>AV17*'Alternative 1'!$K18/'Alternative 1'!$L18</f>
        <v>2388895.3992613764</v>
      </c>
      <c r="AY17" s="105">
        <f>AW17/'Alternative 1'!$M18</f>
        <v>117182.17255214766</v>
      </c>
      <c r="AZ17" s="105">
        <f t="shared" si="7"/>
        <v>2.5060775718135244</v>
      </c>
      <c r="BB17" s="105">
        <f>'Alternative 1'!$B$39*$B17*$C17*COS($K$63)-($N$62/3)*$E17*SIN($K$63)-($N$62/3)*$F17*SIN($K$63)-($N$62/3)*$G17*SIN($K$63)</f>
        <v>229854.74571397819</v>
      </c>
      <c r="BC17" s="106">
        <f>IF(($A17&lt;'Alternative 1'!$B$27),(($H17*'Alternative 1'!$B$39)+(3*($N$62/3)*COS($K$63))),IF(($A17&lt;'Alternative 1'!$B$28),(($H17*'Alternative 1'!$B$39)+(2*(($N$62/3)*COS($K$63)))),IF(($A17&lt;'Alternative 1'!$B$29),(($H$3*'Alternative 1'!$B$39+(($N$62/3)*COS($K$63)))),($H17*'Alternative 1'!$B$39))))</f>
        <v>249982.01299264142</v>
      </c>
      <c r="BD17" s="105">
        <f>BB17*'Alternative 1'!$K18/'Alternative 1'!$L18</f>
        <v>1829127.4936734121</v>
      </c>
      <c r="BE17" s="105">
        <f>BC17/'Alternative 1'!$M18</f>
        <v>96336.385053392602</v>
      </c>
      <c r="BF17" s="105">
        <f t="shared" si="8"/>
        <v>1.9254638787268046</v>
      </c>
      <c r="BH17" s="105">
        <f>'Alternative 1'!$B$39*$B17*$C17*COS($K$73)-($N$72/3)*$E17*SIN($K$73)-($N$72/3)*$F17*SIN($K$73)-($N$72/3)*$G17*SIN($K$73)</f>
        <v>149891.07352312066</v>
      </c>
      <c r="BI17" s="106">
        <f>IF(($A17&lt;'Alternative 1'!$B$27),(($H17*'Alternative 1'!$B$39)+(3*($N$72/3)*COS($K$73))),IF(($A17&lt;'Alternative 1'!$B$28),(($H17*'Alternative 1'!$B$39)+(2*(($N$72/3)*COS($K$73)))),IF(($A17&lt;'Alternative 1'!$B$29),(($H$3*'Alternative 1'!$B$39+(($N$72/3)*COS($K$73)))),($H17*'Alternative 1'!$B$39))))</f>
        <v>214565.60460261055</v>
      </c>
      <c r="BJ17" s="105">
        <f>BH17*'Alternative 1'!$K18/'Alternative 1'!$L18</f>
        <v>1192796.2713396773</v>
      </c>
      <c r="BK17" s="105">
        <f>BI17/'Alternative 1'!$M18</f>
        <v>82687.848044569284</v>
      </c>
      <c r="BL17" s="105">
        <f t="shared" si="9"/>
        <v>1.2754841193842466</v>
      </c>
      <c r="BN17" s="105">
        <f>'Alternative 1'!$B$39*$B17*$C17*COS($K$83)-($N$82/3)*$E17*SIN($K$83)-($N$82/3)*$F17*SIN($K$83)-($N$82/3)*$G17*SIN($K$83)</f>
        <v>63345.034572238073</v>
      </c>
      <c r="BO17" s="106">
        <f>IF(($A17&lt;'Alternative 1'!$B$27),(($H17*'Alternative 1'!$B$39)+(3*($N$82/3)*COS($K$83))),IF(($A17&lt;'Alternative 1'!$B$28),(($H17*'Alternative 1'!$B$39)+(2*(($N$82/3)*COS($K$83)))),IF(($A17&lt;'Alternative 1'!$B$29),(($H$3*'Alternative 1'!$B$39+(($N$82/3)*COS($K$83)))),($H17*'Alternative 1'!$B$39))))</f>
        <v>194142.12636278878</v>
      </c>
      <c r="BP17" s="105">
        <f>BN17*'Alternative 1'!$K18/'Alternative 1'!$L18</f>
        <v>504084.19440663862</v>
      </c>
      <c r="BQ17" s="105">
        <f>BO17/'Alternative 1'!$M18</f>
        <v>74817.185510545401</v>
      </c>
      <c r="BR17" s="105">
        <f t="shared" si="10"/>
        <v>0.57890137991718404</v>
      </c>
      <c r="BT17" s="105">
        <f>'Alternative 1'!$B$39*$B17*$C17*COS($K$93)-($K$92/3)*$E17*SIN($K$93)-($K$92/3)*$F17*SIN($K$93)-($K$92/3)*$G17*SIN($K$93)</f>
        <v>-11.391182251223603</v>
      </c>
      <c r="BU17" s="106">
        <f>IF(($A17&lt;'Alternative 1'!$B$27),(($H17*'Alternative 1'!$B$39)+(3*($N$92/3)*COS($K$93))),IF(($A17&lt;'Alternative 1'!$B$28),(($H17*'Alternative 1'!$B$39)+(2*(($N$92/3)*COS($K$93)))),IF(($A17&lt;'Alternative 1'!$B$29),(($H$3*'Alternative 1'!$B$39+(($N$92/3)*COS($K$93)))),($H17*'Alternative 1'!$B$39))))</f>
        <v>187073.2762708404</v>
      </c>
      <c r="BV17" s="105">
        <f>BT17*'Alternative 1'!$K18/'Alternative 1'!$L18</f>
        <v>-90.64822471442487</v>
      </c>
      <c r="BW17" s="105">
        <f>BU17/'Alternative 1'!$M18</f>
        <v>72093.0396562487</v>
      </c>
      <c r="BX17" s="105">
        <f t="shared" si="11"/>
        <v>7.2002391431534266E-2</v>
      </c>
      <c r="BZ17" s="104">
        <v>150</v>
      </c>
      <c r="CA17" s="104">
        <v>-150</v>
      </c>
    </row>
    <row r="18" spans="1:79" ht="15" customHeight="1" x14ac:dyDescent="0.25">
      <c r="A18" s="18">
        <f>IF('Alternative 1'!F19&gt;0,'Alternative 1'!F19,"x")</f>
        <v>16</v>
      </c>
      <c r="B18" s="18">
        <f t="shared" si="17"/>
        <v>21</v>
      </c>
      <c r="C18" s="18">
        <f t="shared" si="12"/>
        <v>10.5</v>
      </c>
      <c r="D18" s="18">
        <f t="shared" si="13"/>
        <v>16</v>
      </c>
      <c r="E18" s="101">
        <f>IF($A18&lt;='Alternative 1'!$B$27, IF($A18='Alternative 1'!$B$27,0,E19+1),0)</f>
        <v>0</v>
      </c>
      <c r="F18" s="101">
        <f>IF($A18&lt;=('Alternative 1'!$B$28), IF($A18=ROUNDDOWN('Alternative 1'!$B$28,0),0,F19+1),0)</f>
        <v>6</v>
      </c>
      <c r="G18" s="101">
        <f>IF($A18&lt;=('Alternative 1'!$B$29), IF($A18=ROUNDDOWN('Alternative 1'!$B$29,0),0,G19+1),0)</f>
        <v>13</v>
      </c>
      <c r="H18" s="18">
        <f t="shared" si="14"/>
        <v>21</v>
      </c>
      <c r="J18" s="104">
        <f t="shared" si="15"/>
        <v>15</v>
      </c>
      <c r="K18" s="104">
        <f t="shared" si="16"/>
        <v>0.26179938779914941</v>
      </c>
      <c r="L18" s="105">
        <f>'Alternative 1'!$B$27*SIN(K18)+'Alternative 1'!$B$28*SIN(K18)+'Alternative 1'!$B$29*SIN(K18)</f>
        <v>17.59969506697141</v>
      </c>
      <c r="M18" s="104">
        <f>(('Alternative 1'!$B$27)*(((('Alternative 1'!$B$28-'Alternative 1'!$B$27)/2)+'Alternative 1'!$B$27)*'Alternative 1'!$B$39)*COS('Alternative 1-Tilt Up (3pt)'!K18))+(('Alternative 1'!$B$28)*((('Alternative 1'!$B$28-'Alternative 1'!$B$27)/2)+(('Alternative 1'!$B$29-'Alternative 1'!$B$28)/2))*('Alternative 1'!$B$39)*COS('Alternative 1-Tilt Up (3pt)'!K18))+(('Alternative 1'!$B$29)*((('Alternative 1'!$B$12-'Alternative 1'!$B$29+(('Alternative 1'!$B$29-'Alternative 1'!$B$28)/2)*('Alternative 1'!$B$39)*COS('Alternative 1-Tilt Up (3pt)'!K18)))))</f>
        <v>4584399.2301032301</v>
      </c>
      <c r="N18" s="104">
        <f t="shared" si="0"/>
        <v>781445.22606642905</v>
      </c>
      <c r="O18" s="104">
        <f>(((('Alternative 1'!$B$28-'Alternative 1'!$B$27)/2)+'Alternative 1'!$B$27)*('Alternative 1'!$B$39)*COS('Alternative 1-Tilt Up (3pt)'!K18))+(((('Alternative 1'!$B$28-'Alternative 1'!$B$27)/2)+(('Alternative 1'!$B$29-'Alternative 1'!$B$28)/2))*('Alternative 1'!$B$39)*COS('Alternative 1-Tilt Up (3pt)'!K18))+(((('Alternative 1'!$B$12-'Alternative 1'!$B$29)+(('Alternative 1'!$B$29-'Alternative 1'!$B$28)/2))*('Alternative 1'!$B$39)*COS('Alternative 1-Tilt Up (3pt)'!K18)))</f>
        <v>295689.12375029671</v>
      </c>
      <c r="P18" s="104">
        <f t="shared" si="1"/>
        <v>754818.12568786321</v>
      </c>
      <c r="R18" s="105">
        <f>'Alternative 1'!$B$39*$B18*$C18*COS($K$5)-($N$5/3)*$E18*SIN($K$5)-($N$5/3)*$F18*SIN($K$5)-($N$5/3)*$G18*SIN($K$5)</f>
        <v>548530.39349915553</v>
      </c>
      <c r="S18" s="106">
        <f>IF(($A18&lt;'Alternative 1'!$B$27),(($H18*'Alternative 1'!$B$39)+(3*($N$5/3)*COS($K$5))),IF(($A18&lt;'Alternative 1'!$B$28),(($H18*'Alternative 1'!$B$39)+(2*(($N$5/3)*COS($K$5)))),IF(($A18&lt;'Alternative 1'!$B$29),(($H$3*'Alternative 1'!$B$39+(($N$5/3)*COS($K$5)))),($H18*'Alternative 1'!$B$39))))</f>
        <v>4173513.6996804415</v>
      </c>
      <c r="T18" s="105">
        <f>R18*'Alternative 1'!$K19/'Alternative 1'!$L19</f>
        <v>4365069.8650934352</v>
      </c>
      <c r="U18" s="105">
        <f>S18/'Alternative 1'!$M19</f>
        <v>1644144.1762862515</v>
      </c>
      <c r="V18" s="105">
        <f t="shared" si="2"/>
        <v>6.0092140413796864</v>
      </c>
      <c r="X18" s="105">
        <f>'Alternative 1'!$B$39*$B18*$C18*COS($K$13)-($N$12/3)*$E18*SIN($K$13)-($N$12/3)*$F18*SIN($K$13)-($N$12/3)*$G18*SIN($K$13)</f>
        <v>392578.74045518576</v>
      </c>
      <c r="Y18" s="106">
        <f>IF(($A18&lt;'Alternative 1'!$B$27),(($H18*'Alternative 1'!$B$39)+(3*($N$12/3)*COS($K$13))),IF(($A18&lt;'Alternative 1'!$B$28),(($H18*'Alternative 1'!$B$39)+(2*(($N$12/3)*COS($K$13)))),IF(($A18&lt;'Alternative 1'!$B$29),(($H$3*'Alternative 1'!$B$39+(($N$12/3)*COS($K$13)))),($H18*'Alternative 1'!$B$39))))</f>
        <v>1046527.0695490565</v>
      </c>
      <c r="Z18" s="105">
        <f>X18*'Alternative 1'!$K19/'Alternative 1'!$L19</f>
        <v>3124044.9935795707</v>
      </c>
      <c r="AA18" s="105">
        <f>Y18/'Alternative 1'!$M19</f>
        <v>412276.4439126543</v>
      </c>
      <c r="AB18" s="105">
        <f t="shared" si="3"/>
        <v>3.5363214374922247</v>
      </c>
      <c r="AD18" s="105">
        <f>'Alternative 1'!$B$39*$B18*$C18*COS($K$23)-($N$22/3)*$E18*SIN($K$23)-($N$22/3)*$F18*SIN($K$23)-($N$22/3)*$G18*SIN($K$23)</f>
        <v>444673.08578212198</v>
      </c>
      <c r="AE18" s="106">
        <f>IF(($A18&lt;'Alternative 1'!$B$27),(($H18*'Alternative 1'!$B$39)+(3*($N$22/3)*COS($K$23))),IF(($A18&lt;'Alternative 1'!$B$28),(($H18*'Alternative 1'!$B$39)+(2*(($N$22/3)*COS($K$23)))),IF(($A18&lt;'Alternative 1'!$B$29),(($H$3*'Alternative 1'!$B$39+(($N$22/3)*COS($K$23)))),($H18*'Alternative 1'!$B$39))))</f>
        <v>559525.31563673145</v>
      </c>
      <c r="AF18" s="105">
        <f>AD18*'Alternative 1'!$K19/'Alternative 1'!$L19</f>
        <v>3538598.9720342401</v>
      </c>
      <c r="AG18" s="105">
        <f>AE18/'Alternative 1'!$M19</f>
        <v>220423.45021157994</v>
      </c>
      <c r="AH18" s="105">
        <f t="shared" si="4"/>
        <v>3.7590224222458199</v>
      </c>
      <c r="AJ18" s="105">
        <f>'Alternative 1'!$B$39*$B18*$C18*COS($K$33)-($N$32/3)*$E18*SIN($K$33)-($N$32/3)*$F18*SIN($K$33)-($N$32/3)*$G18*SIN($K$33)</f>
        <v>427585.49137161614</v>
      </c>
      <c r="AK18" s="106">
        <f>IF(($A18&lt;'Alternative 1'!$B$27),(($H18*'Alternative 1'!$B$39)+(3*($N$32/3)*COS($K$33))),IF(($A18&lt;'Alternative 1'!$B$28),(($H18*'Alternative 1'!$B$39)+(2*(($N$32/3)*COS($K$33)))),IF(($A18&lt;'Alternative 1'!$B$29),(($H$3*'Alternative 1'!$B$39+(($N$32/3)*COS($K$33)))),($H18*'Alternative 1'!$B$39))))</f>
        <v>396662.245160978</v>
      </c>
      <c r="AL18" s="105">
        <f>AJ18*'Alternative 1'!$K19/'Alternative 1'!$L19</f>
        <v>3402620.1013787296</v>
      </c>
      <c r="AM18" s="105">
        <f>AK18/'Alternative 1'!$M19</f>
        <v>156263.99414574506</v>
      </c>
      <c r="AN18" s="105">
        <f t="shared" si="5"/>
        <v>3.5588840955244745</v>
      </c>
      <c r="AP18" s="105">
        <f>'Alternative 1'!$B$39*$B18*$C18*COS($K$43)-($N$42/3)*$E18*SIN($K$43)-($N$42/3)*$F18*SIN($K$43)-($N$42/3)*$G18*SIN($K$43)</f>
        <v>383666.22601211141</v>
      </c>
      <c r="AQ18" s="106">
        <f>IF(($A18&lt;'Alternative 1'!$B$27),(($H18*'Alternative 1'!$B$39)+(3*($N$42/3)*COS($K$43))),IF(($A18&lt;'Alternative 1'!$B$28),(($H18*'Alternative 1'!$B$39)+(2*(($N$42/3)*COS($K$43)))),IF(($A18&lt;'Alternative 1'!$B$29),(($H$3*'Alternative 1'!$B$39+(($N$42/3)*COS($K$43)))),($H18*'Alternative 1'!$B$39))))</f>
        <v>310623.16530205996</v>
      </c>
      <c r="AR18" s="105">
        <f>AP18*'Alternative 1'!$K19/'Alternative 1'!$L19</f>
        <v>3053121.3972233115</v>
      </c>
      <c r="AS18" s="105">
        <f>AQ18/'Alternative 1'!$M19</f>
        <v>122369.13665578421</v>
      </c>
      <c r="AT18" s="105">
        <f t="shared" si="6"/>
        <v>3.1754905338790955</v>
      </c>
      <c r="AV18" s="105">
        <f>'Alternative 1'!$B$39*$B18*$C18*COS($K$53)-($N$52/3)*$E18*SIN($K$53)-($N$52/3)*$F18*SIN($K$53)-($N$52/3)*$G18*SIN($K$53)</f>
        <v>322118.32450168137</v>
      </c>
      <c r="AW18" s="106">
        <f>IF(($A18&lt;'Alternative 1'!$B$27),(($H18*'Alternative 1'!$B$39)+(3*($N$52/3)*COS($K$53))),IF(($A18&lt;'Alternative 1'!$B$28),(($H18*'Alternative 1'!$B$39)+(2*(($N$52/3)*COS($K$53)))),IF(($A18&lt;'Alternative 1'!$B$29),(($H$3*'Alternative 1'!$B$39+(($N$52/3)*COS($K$53)))),($H18*'Alternative 1'!$B$39))))</f>
        <v>256570.74242063245</v>
      </c>
      <c r="AX18" s="105">
        <f>AV18*'Alternative 1'!$K19/'Alternative 1'!$L19</f>
        <v>2563338.345405363</v>
      </c>
      <c r="AY18" s="105">
        <f>AW18/'Alternative 1'!$M19</f>
        <v>101075.33419349317</v>
      </c>
      <c r="AZ18" s="105">
        <f t="shared" si="7"/>
        <v>2.6644136795988564</v>
      </c>
      <c r="BB18" s="105">
        <f>'Alternative 1'!$B$39*$B18*$C18*COS($K$63)-($N$62/3)*$E18*SIN($K$63)-($N$62/3)*$F18*SIN($K$63)-($N$62/3)*$G18*SIN($K$63)</f>
        <v>247405.06850558735</v>
      </c>
      <c r="BC18" s="106">
        <f>IF(($A18&lt;'Alternative 1'!$B$27),(($H18*'Alternative 1'!$B$39)+(3*($N$62/3)*COS($K$63))),IF(($A18&lt;'Alternative 1'!$B$28),(($H18*'Alternative 1'!$B$39)+(2*(($N$62/3)*COS($K$63)))),IF(($A18&lt;'Alternative 1'!$B$29),(($H$3*'Alternative 1'!$B$39+(($N$62/3)*COS($K$63)))),($H18*'Alternative 1'!$B$39))))</f>
        <v>220509.10334579076</v>
      </c>
      <c r="BD18" s="105">
        <f>BB18*'Alternative 1'!$K19/'Alternative 1'!$L19</f>
        <v>1968788.6428972855</v>
      </c>
      <c r="BE18" s="105">
        <f>BC18/'Alternative 1'!$M19</f>
        <v>86868.951241694682</v>
      </c>
      <c r="BF18" s="105">
        <f t="shared" si="8"/>
        <v>2.0556575941389803</v>
      </c>
      <c r="BH18" s="105">
        <f>'Alternative 1'!$B$39*$B18*$C18*COS($K$73)-($N$72/3)*$E18*SIN($K$73)-($N$72/3)*$F18*SIN($K$73)-($N$72/3)*$G18*SIN($K$73)</f>
        <v>162896.95125948539</v>
      </c>
      <c r="BI18" s="106">
        <f>IF(($A18&lt;'Alternative 1'!$B$27),(($H18*'Alternative 1'!$B$39)+(3*($N$72/3)*COS($K$73))),IF(($A18&lt;'Alternative 1'!$B$28),(($H18*'Alternative 1'!$B$39)+(2*(($N$72/3)*COS($K$73)))),IF(($A18&lt;'Alternative 1'!$B$29),(($H$3*'Alternative 1'!$B$39+(($N$72/3)*COS($K$73)))),($H18*'Alternative 1'!$B$39))))</f>
        <v>196898.16441910353</v>
      </c>
      <c r="BJ18" s="105">
        <f>BH18*'Alternative 1'!$K19/'Alternative 1'!$L19</f>
        <v>1296293.8453099017</v>
      </c>
      <c r="BK18" s="105">
        <f>BI18/'Alternative 1'!$M19</f>
        <v>77567.487169362648</v>
      </c>
      <c r="BL18" s="105">
        <f t="shared" si="9"/>
        <v>1.3738613324792643</v>
      </c>
      <c r="BN18" s="105">
        <f>'Alternative 1'!$B$39*$B18*$C18*COS($K$83)-($N$82/3)*$E18*SIN($K$83)-($N$82/3)*$F18*SIN($K$83)-($N$82/3)*$G18*SIN($K$83)</f>
        <v>71687.836013208173</v>
      </c>
      <c r="BO18" s="106">
        <f>IF(($A18&lt;'Alternative 1'!$B$27),(($H18*'Alternative 1'!$B$39)+(3*($N$82/3)*COS($K$83))),IF(($A18&lt;'Alternative 1'!$B$28),(($H18*'Alternative 1'!$B$39)+(2*(($N$82/3)*COS($K$83)))),IF(($A18&lt;'Alternative 1'!$B$29),(($H$3*'Alternative 1'!$B$39+(($N$82/3)*COS($K$83)))),($H18*'Alternative 1'!$B$39))))</f>
        <v>183282.51225922233</v>
      </c>
      <c r="BP18" s="105">
        <f>BN18*'Alternative 1'!$K19/'Alternative 1'!$L19</f>
        <v>570474.15491206816</v>
      </c>
      <c r="BQ18" s="105">
        <f>BO18/'Alternative 1'!$M19</f>
        <v>72203.638667626074</v>
      </c>
      <c r="BR18" s="105">
        <f t="shared" si="10"/>
        <v>0.64267779357969423</v>
      </c>
      <c r="BT18" s="105">
        <f>'Alternative 1'!$B$39*$B18*$C18*COS($K$93)-($K$92/3)*$E18*SIN($K$93)-($K$92/3)*$F18*SIN($K$93)-($K$92/3)*$G18*SIN($K$93)</f>
        <v>-9.8378392169598481</v>
      </c>
      <c r="BU18" s="106">
        <f>IF(($A18&lt;'Alternative 1'!$B$27),(($H18*'Alternative 1'!$B$39)+(3*($N$92/3)*COS($K$93))),IF(($A18&lt;'Alternative 1'!$B$28),(($H18*'Alternative 1'!$B$39)+(2*(($N$92/3)*COS($K$93)))),IF(($A18&lt;'Alternative 1'!$B$29),(($H$3*'Alternative 1'!$B$39+(($N$92/3)*COS($K$93)))),($H18*'Alternative 1'!$B$39))))</f>
        <v>178569.94553125676</v>
      </c>
      <c r="BV18" s="105">
        <f>BT18*'Alternative 1'!$K19/'Alternative 1'!$L19</f>
        <v>-78.287103162410176</v>
      </c>
      <c r="BW18" s="105">
        <f>BU18/'Alternative 1'!$M19</f>
        <v>70347.136042095401</v>
      </c>
      <c r="BX18" s="105">
        <f t="shared" si="11"/>
        <v>7.0268848938932996E-2</v>
      </c>
      <c r="BZ18" s="104">
        <v>150</v>
      </c>
      <c r="CA18" s="104">
        <v>-150</v>
      </c>
    </row>
    <row r="19" spans="1:79" ht="15" customHeight="1" x14ac:dyDescent="0.25">
      <c r="A19" s="18">
        <f>IF('Alternative 1'!F20&gt;0,'Alternative 1'!F20,"x")</f>
        <v>17</v>
      </c>
      <c r="B19" s="18">
        <f t="shared" si="17"/>
        <v>20</v>
      </c>
      <c r="C19" s="18">
        <f t="shared" si="12"/>
        <v>10</v>
      </c>
      <c r="D19" s="18">
        <f t="shared" si="13"/>
        <v>17</v>
      </c>
      <c r="E19" s="101">
        <f>IF($A19&lt;='Alternative 1'!$B$27, IF($A19='Alternative 1'!$B$27,0,E20+1),0)</f>
        <v>0</v>
      </c>
      <c r="F19" s="101">
        <f>IF($A19&lt;=('Alternative 1'!$B$28), IF($A19=ROUNDDOWN('Alternative 1'!$B$28,0),0,F20+1),0)</f>
        <v>5</v>
      </c>
      <c r="G19" s="101">
        <f>IF($A19&lt;=('Alternative 1'!$B$29), IF($A19=ROUNDDOWN('Alternative 1'!$B$29,0),0,G20+1),0)</f>
        <v>12</v>
      </c>
      <c r="H19" s="18">
        <f t="shared" si="14"/>
        <v>20</v>
      </c>
      <c r="J19" s="104">
        <f t="shared" si="15"/>
        <v>16</v>
      </c>
      <c r="K19" s="104">
        <f t="shared" si="16"/>
        <v>0.27925268031909273</v>
      </c>
      <c r="L19" s="105">
        <f>'Alternative 1'!$B$27*SIN(K19)+'Alternative 1'!$B$28*SIN(K19)+'Alternative 1'!$B$29*SIN(K19)</f>
        <v>18.743340195555945</v>
      </c>
      <c r="M19" s="104">
        <f>(('Alternative 1'!$B$27)*(((('Alternative 1'!$B$28-'Alternative 1'!$B$27)/2)+'Alternative 1'!$B$27)*'Alternative 1'!$B$39)*COS('Alternative 1-Tilt Up (3pt)'!K19))+(('Alternative 1'!$B$28)*((('Alternative 1'!$B$28-'Alternative 1'!$B$27)/2)+(('Alternative 1'!$B$29-'Alternative 1'!$B$28)/2))*('Alternative 1'!$B$39)*COS('Alternative 1-Tilt Up (3pt)'!K19))+(('Alternative 1'!$B$29)*((('Alternative 1'!$B$12-'Alternative 1'!$B$29+(('Alternative 1'!$B$29-'Alternative 1'!$B$28)/2)*('Alternative 1'!$B$39)*COS('Alternative 1-Tilt Up (3pt)'!K19)))))</f>
        <v>4562263.6555506075</v>
      </c>
      <c r="N19" s="104">
        <f t="shared" si="0"/>
        <v>730221.55196740059</v>
      </c>
      <c r="O19" s="104">
        <f>(((('Alternative 1'!$B$28-'Alternative 1'!$B$27)/2)+'Alternative 1'!$B$27)*('Alternative 1'!$B$39)*COS('Alternative 1-Tilt Up (3pt)'!K19))+(((('Alternative 1'!$B$28-'Alternative 1'!$B$27)/2)+(('Alternative 1'!$B$29-'Alternative 1'!$B$28)/2))*('Alternative 1'!$B$39)*COS('Alternative 1-Tilt Up (3pt)'!K19))+(((('Alternative 1'!$B$12-'Alternative 1'!$B$29)+(('Alternative 1'!$B$29-'Alternative 1'!$B$28)/2))*('Alternative 1'!$B$39)*COS('Alternative 1-Tilt Up (3pt)'!K19)))</f>
        <v>294261.34060283843</v>
      </c>
      <c r="P19" s="104">
        <f t="shared" si="1"/>
        <v>701934.00745489472</v>
      </c>
      <c r="R19" s="105">
        <f>'Alternative 1'!$B$39*$B19*$C19*COS($K$5)-($N$5/3)*$E19*SIN($K$5)-($N$5/3)*$F19*SIN($K$5)-($N$5/3)*$G19*SIN($K$5)</f>
        <v>513824.81329518347</v>
      </c>
      <c r="S19" s="106">
        <f>IF(($A19&lt;'Alternative 1'!$B$27),(($H19*'Alternative 1'!$B$39)+(3*($N$5/3)*COS($K$5))),IF(($A19&lt;'Alternative 1'!$B$28),(($H19*'Alternative 1'!$B$39)+(2*(($N$5/3)*COS($K$5)))),IF(($A19&lt;'Alternative 1'!$B$29),(($H$3*'Alternative 1'!$B$39+(($N$5/3)*COS($K$5)))),($H19*'Alternative 1'!$B$39))))</f>
        <v>4165010.3689408577</v>
      </c>
      <c r="T19" s="105">
        <f>R19*'Alternative 1'!$K20/'Alternative 1'!$L20</f>
        <v>4088891.3996987473</v>
      </c>
      <c r="U19" s="105">
        <f>S19/'Alternative 1'!$M20</f>
        <v>1677710.1274108815</v>
      </c>
      <c r="V19" s="105">
        <f t="shared" si="2"/>
        <v>5.7666015271096285</v>
      </c>
      <c r="X19" s="105">
        <f>'Alternative 1'!$B$39*$B19*$C19*COS($K$13)-($N$12/3)*$E19*SIN($K$13)-($N$12/3)*$F19*SIN($K$13)-($N$12/3)*$G19*SIN($K$13)</f>
        <v>373953.00572288211</v>
      </c>
      <c r="Y19" s="106">
        <f>IF(($A19&lt;'Alternative 1'!$B$27),(($H19*'Alternative 1'!$B$39)+(3*($N$12/3)*COS($K$13))),IF(($A19&lt;'Alternative 1'!$B$28),(($H19*'Alternative 1'!$B$39)+(2*(($N$12/3)*COS($K$13)))),IF(($A19&lt;'Alternative 1'!$B$29),(($H$3*'Alternative 1'!$B$39+(($N$12/3)*COS($K$13)))),($H19*'Alternative 1'!$B$39))))</f>
        <v>1038023.7388094729</v>
      </c>
      <c r="Z19" s="105">
        <f>X19*'Alternative 1'!$K20/'Alternative 1'!$L20</f>
        <v>2975825.9808161007</v>
      </c>
      <c r="AA19" s="105">
        <f>Y19/'Alternative 1'!$M20</f>
        <v>418126.91562072054</v>
      </c>
      <c r="AB19" s="105">
        <f t="shared" si="3"/>
        <v>3.3939528964368213</v>
      </c>
      <c r="AD19" s="105">
        <f>'Alternative 1'!$B$39*$B19*$C19*COS($K$23)-($N$22/3)*$E19*SIN($K$23)-($N$22/3)*$F19*SIN($K$23)-($N$22/3)*$G19*SIN($K$23)</f>
        <v>419523.89954856026</v>
      </c>
      <c r="AE19" s="106">
        <f>IF(($A19&lt;'Alternative 1'!$B$27),(($H19*'Alternative 1'!$B$39)+(3*($N$22/3)*COS($K$23))),IF(($A19&lt;'Alternative 1'!$B$28),(($H19*'Alternative 1'!$B$39)+(2*(($N$22/3)*COS($K$23)))),IF(($A19&lt;'Alternative 1'!$B$29),(($H$3*'Alternative 1'!$B$39+(($N$22/3)*COS($K$23)))),($H19*'Alternative 1'!$B$39))))</f>
        <v>551021.98489714775</v>
      </c>
      <c r="AF19" s="105">
        <f>AD19*'Alternative 1'!$K20/'Alternative 1'!$L20</f>
        <v>3338467.9378002882</v>
      </c>
      <c r="AG19" s="105">
        <f>AE19/'Alternative 1'!$M20</f>
        <v>221957.47011383192</v>
      </c>
      <c r="AH19" s="105">
        <f t="shared" si="4"/>
        <v>3.5604254079141202</v>
      </c>
      <c r="AJ19" s="105">
        <f>'Alternative 1'!$B$39*$B19*$C19*COS($K$33)-($N$32/3)*$E19*SIN($K$33)-($N$32/3)*$F19*SIN($K$33)-($N$32/3)*$G19*SIN($K$33)</f>
        <v>402537.08030717843</v>
      </c>
      <c r="AK19" s="106">
        <f>IF(($A19&lt;'Alternative 1'!$B$27),(($H19*'Alternative 1'!$B$39)+(3*($N$32/3)*COS($K$33))),IF(($A19&lt;'Alternative 1'!$B$28),(($H19*'Alternative 1'!$B$39)+(2*(($N$32/3)*COS($K$33)))),IF(($A19&lt;'Alternative 1'!$B$29),(($H$3*'Alternative 1'!$B$39+(($N$32/3)*COS($K$33)))),($H19*'Alternative 1'!$B$39))))</f>
        <v>388158.91442139435</v>
      </c>
      <c r="AL19" s="105">
        <f>AJ19*'Alternative 1'!$K20/'Alternative 1'!$L20</f>
        <v>3203291.0111375013</v>
      </c>
      <c r="AM19" s="105">
        <f>AK19/'Alternative 1'!$M20</f>
        <v>156354.50673204171</v>
      </c>
      <c r="AN19" s="105">
        <f t="shared" si="5"/>
        <v>3.3596455178695432</v>
      </c>
      <c r="AP19" s="105">
        <f>'Alternative 1'!$B$39*$B19*$C19*COS($K$43)-($N$42/3)*$E19*SIN($K$43)-($N$42/3)*$F19*SIN($K$43)-($N$42/3)*$G19*SIN($K$43)</f>
        <v>360936.48416581715</v>
      </c>
      <c r="AQ19" s="106">
        <f>IF(($A19&lt;'Alternative 1'!$B$27),(($H19*'Alternative 1'!$B$39)+(3*($N$42/3)*COS($K$43))),IF(($A19&lt;'Alternative 1'!$B$28),(($H19*'Alternative 1'!$B$39)+(2*(($N$42/3)*COS($K$43)))),IF(($A19&lt;'Alternative 1'!$B$29),(($H$3*'Alternative 1'!$B$39+(($N$42/3)*COS($K$43)))),($H19*'Alternative 1'!$B$39))))</f>
        <v>302119.83456247626</v>
      </c>
      <c r="AR19" s="105">
        <f>AP19*'Alternative 1'!$K20/'Alternative 1'!$L20</f>
        <v>2872243.7059404408</v>
      </c>
      <c r="AS19" s="105">
        <f>AQ19/'Alternative 1'!$M20</f>
        <v>121697.05744719693</v>
      </c>
      <c r="AT19" s="105">
        <f t="shared" si="6"/>
        <v>2.9939407633876378</v>
      </c>
      <c r="AV19" s="105">
        <f>'Alternative 1'!$B$39*$B19*$C19*COS($K$53)-($N$52/3)*$E19*SIN($K$53)-($N$52/3)*$F19*SIN($K$53)-($N$52/3)*$G19*SIN($K$53)</f>
        <v>303026.42379014951</v>
      </c>
      <c r="AW19" s="106">
        <f>IF(($A19&lt;'Alternative 1'!$B$27),(($H19*'Alternative 1'!$B$39)+(3*($N$52/3)*COS($K$53))),IF(($A19&lt;'Alternative 1'!$B$28),(($H19*'Alternative 1'!$B$39)+(2*(($N$52/3)*COS($K$53)))),IF(($A19&lt;'Alternative 1'!$B$29),(($H$3*'Alternative 1'!$B$39+(($N$52/3)*COS($K$53)))),($H19*'Alternative 1'!$B$39))))</f>
        <v>248067.4116810488</v>
      </c>
      <c r="AX19" s="105">
        <f>AV19*'Alternative 1'!$K20/'Alternative 1'!$L20</f>
        <v>2411409.6985137262</v>
      </c>
      <c r="AY19" s="105">
        <f>AW19/'Alternative 1'!$M20</f>
        <v>99924.171128470407</v>
      </c>
      <c r="AZ19" s="105">
        <f t="shared" si="7"/>
        <v>2.5113338696421965</v>
      </c>
      <c r="BB19" s="105">
        <f>'Alternative 1'!$B$39*$B19*$C19*COS($K$63)-($N$62/3)*$E19*SIN($K$63)-($N$62/3)*$F19*SIN($K$63)-($N$62/3)*$G19*SIN($K$63)</f>
        <v>232886.6805862771</v>
      </c>
      <c r="BC19" s="106">
        <f>IF(($A19&lt;'Alternative 1'!$B$27),(($H19*'Alternative 1'!$B$39)+(3*($N$62/3)*COS($K$63))),IF(($A19&lt;'Alternative 1'!$B$28),(($H19*'Alternative 1'!$B$39)+(2*(($N$62/3)*COS($K$63)))),IF(($A19&lt;'Alternative 1'!$B$29),(($H$3*'Alternative 1'!$B$39+(($N$62/3)*COS($K$63)))),($H19*'Alternative 1'!$B$39))))</f>
        <v>212005.77260620709</v>
      </c>
      <c r="BD19" s="105">
        <f>BB19*'Alternative 1'!$K20/'Alternative 1'!$L20</f>
        <v>1853254.8851559013</v>
      </c>
      <c r="BE19" s="105">
        <f>BC19/'Alternative 1'!$M20</f>
        <v>85398.162372750783</v>
      </c>
      <c r="BF19" s="105">
        <f t="shared" si="8"/>
        <v>1.9386530475286521</v>
      </c>
      <c r="BH19" s="105">
        <f>'Alternative 1'!$B$39*$B19*$C19*COS($K$73)-($N$72/3)*$E19*SIN($K$73)-($N$72/3)*$F19*SIN($K$73)-($N$72/3)*$G19*SIN($K$73)</f>
        <v>153632.95562755765</v>
      </c>
      <c r="BI19" s="106">
        <f>IF(($A19&lt;'Alternative 1'!$B$27),(($H19*'Alternative 1'!$B$39)+(3*($N$72/3)*COS($K$73))),IF(($A19&lt;'Alternative 1'!$B$28),(($H19*'Alternative 1'!$B$39)+(2*(($N$72/3)*COS($K$73)))),IF(($A19&lt;'Alternative 1'!$B$29),(($H$3*'Alternative 1'!$B$39+(($N$72/3)*COS($K$73)))),($H19*'Alternative 1'!$B$39))))</f>
        <v>188394.83367951986</v>
      </c>
      <c r="BJ19" s="105">
        <f>BH19*'Alternative 1'!$K20/'Alternative 1'!$L20</f>
        <v>1222573.248160626</v>
      </c>
      <c r="BK19" s="105">
        <f>BI19/'Alternative 1'!$M20</f>
        <v>75887.42702131487</v>
      </c>
      <c r="BL19" s="105">
        <f t="shared" si="9"/>
        <v>1.298460675181941</v>
      </c>
      <c r="BN19" s="105">
        <f>'Alternative 1'!$B$39*$B19*$C19*COS($K$83)-($N$82/3)*$E19*SIN($K$83)-($N$82/3)*$F19*SIN($K$83)-($N$82/3)*$G19*SIN($K$83)</f>
        <v>68144.078337182902</v>
      </c>
      <c r="BO19" s="106">
        <f>IF(($A19&lt;'Alternative 1'!$B$27),(($H19*'Alternative 1'!$B$39)+(3*($N$82/3)*COS($K$83))),IF(($A19&lt;'Alternative 1'!$B$28),(($H19*'Alternative 1'!$B$39)+(2*(($N$82/3)*COS($K$83)))),IF(($A19&lt;'Alternative 1'!$B$29),(($H$3*'Alternative 1'!$B$39+(($N$82/3)*COS($K$83)))),($H19*'Alternative 1'!$B$39))))</f>
        <v>174779.18151963869</v>
      </c>
      <c r="BP19" s="105">
        <f>BN19*'Alternative 1'!$K20/'Alternative 1'!$L20</f>
        <v>542273.80352928699</v>
      </c>
      <c r="BQ19" s="105">
        <f>BO19/'Alternative 1'!$M20</f>
        <v>70402.898653683122</v>
      </c>
      <c r="BR19" s="105">
        <f t="shared" si="10"/>
        <v>0.6126767021829701</v>
      </c>
      <c r="BT19" s="105">
        <f>'Alternative 1'!$B$39*$B19*$C19*COS($K$93)-($K$92/3)*$E19*SIN($K$93)-($K$92/3)*$F19*SIN($K$93)-($K$92/3)*$G19*SIN($K$93)</f>
        <v>-8.802277194120558</v>
      </c>
      <c r="BU19" s="106">
        <f>IF(($A19&lt;'Alternative 1'!$B$27),(($H19*'Alternative 1'!$B$39)+(3*($N$92/3)*COS($K$93))),IF(($A19&lt;'Alternative 1'!$B$28),(($H19*'Alternative 1'!$B$39)+(2*(($N$92/3)*COS($K$93)))),IF(($A19&lt;'Alternative 1'!$B$29),(($H$3*'Alternative 1'!$B$39+(($N$92/3)*COS($K$93)))),($H19*'Alternative 1'!$B$39))))</f>
        <v>170066.61479167308</v>
      </c>
      <c r="BV19" s="105">
        <f>BT19*'Alternative 1'!$K20/'Alternative 1'!$L20</f>
        <v>-70.046355461092617</v>
      </c>
      <c r="BW19" s="105">
        <f>BU19/'Alternative 1'!$M20</f>
        <v>68504.627046830443</v>
      </c>
      <c r="BX19" s="105">
        <f t="shared" si="11"/>
        <v>6.8434580691369346E-2</v>
      </c>
      <c r="BZ19" s="104">
        <v>150</v>
      </c>
      <c r="CA19" s="104">
        <v>-150</v>
      </c>
    </row>
    <row r="20" spans="1:79" ht="15" customHeight="1" x14ac:dyDescent="0.25">
      <c r="A20" s="18">
        <f>IF('Alternative 1'!F21&gt;0,'Alternative 1'!F21,"x")</f>
        <v>18</v>
      </c>
      <c r="B20" s="18">
        <f t="shared" si="17"/>
        <v>19</v>
      </c>
      <c r="C20" s="18">
        <f t="shared" si="12"/>
        <v>9.5</v>
      </c>
      <c r="D20" s="18">
        <f t="shared" si="13"/>
        <v>18</v>
      </c>
      <c r="E20" s="101">
        <f>IF($A20&lt;='Alternative 1'!$B$27, IF($A20='Alternative 1'!$B$27,0,E21+1),0)</f>
        <v>0</v>
      </c>
      <c r="F20" s="101">
        <f>IF($A20&lt;=('Alternative 1'!$B$28), IF($A20=ROUNDDOWN('Alternative 1'!$B$28,0),0,F21+1),0)</f>
        <v>4</v>
      </c>
      <c r="G20" s="101">
        <f>IF($A20&lt;=('Alternative 1'!$B$29), IF($A20=ROUNDDOWN('Alternative 1'!$B$29,0),0,G21+1),0)</f>
        <v>11</v>
      </c>
      <c r="H20" s="18">
        <f t="shared" si="14"/>
        <v>19</v>
      </c>
      <c r="J20" s="104">
        <f t="shared" si="15"/>
        <v>17</v>
      </c>
      <c r="K20" s="104">
        <f t="shared" si="16"/>
        <v>0.29670597283903605</v>
      </c>
      <c r="L20" s="105">
        <f>'Alternative 1'!$B$27*SIN(K20)+'Alternative 1'!$B$28*SIN(K20)+'Alternative 1'!$B$29*SIN(K20)</f>
        <v>19.881275921146099</v>
      </c>
      <c r="M20" s="104">
        <f>(('Alternative 1'!$B$27)*(((('Alternative 1'!$B$28-'Alternative 1'!$B$27)/2)+'Alternative 1'!$B$27)*'Alternative 1'!$B$39)*COS('Alternative 1-Tilt Up (3pt)'!K20))+(('Alternative 1'!$B$28)*((('Alternative 1'!$B$28-'Alternative 1'!$B$27)/2)+(('Alternative 1'!$B$29-'Alternative 1'!$B$28)/2))*('Alternative 1'!$B$39)*COS('Alternative 1-Tilt Up (3pt)'!K20))+(('Alternative 1'!$B$29)*((('Alternative 1'!$B$12-'Alternative 1'!$B$29+(('Alternative 1'!$B$29-'Alternative 1'!$B$28)/2)*('Alternative 1'!$B$39)*COS('Alternative 1-Tilt Up (3pt)'!K20)))))</f>
        <v>4538738.4308839906</v>
      </c>
      <c r="N20" s="104">
        <f t="shared" si="0"/>
        <v>684876.33020421537</v>
      </c>
      <c r="O20" s="104">
        <f>(((('Alternative 1'!$B$28-'Alternative 1'!$B$27)/2)+'Alternative 1'!$B$27)*('Alternative 1'!$B$39)*COS('Alternative 1-Tilt Up (3pt)'!K20))+(((('Alternative 1'!$B$28-'Alternative 1'!$B$27)/2)+(('Alternative 1'!$B$29-'Alternative 1'!$B$28)/2))*('Alternative 1'!$B$39)*COS('Alternative 1-Tilt Up (3pt)'!K20))+(((('Alternative 1'!$B$12-'Alternative 1'!$B$29)+(('Alternative 1'!$B$29-'Alternative 1'!$B$28)/2))*('Alternative 1'!$B$39)*COS('Alternative 1-Tilt Up (3pt)'!K20)))</f>
        <v>292743.92260045884</v>
      </c>
      <c r="P20" s="104">
        <f t="shared" si="1"/>
        <v>654950.4918208014</v>
      </c>
      <c r="R20" s="105">
        <f>'Alternative 1'!$B$39*$B20*$C20*COS($K$5)-($N$5/3)*$E20*SIN($K$5)-($N$5/3)*$F20*SIN($K$5)-($N$5/3)*$G20*SIN($K$5)</f>
        <v>487617.38383146084</v>
      </c>
      <c r="S20" s="106">
        <f>IF(($A20&lt;'Alternative 1'!$B$27),(($H20*'Alternative 1'!$B$39)+(3*($N$5/3)*COS($K$5))),IF(($A20&lt;'Alternative 1'!$B$28),(($H20*'Alternative 1'!$B$39)+(2*(($N$5/3)*COS($K$5)))),IF(($A20&lt;'Alternative 1'!$B$29),(($H$3*'Alternative 1'!$B$39+(($N$5/3)*COS($K$5)))),($H20*'Alternative 1'!$B$39))))</f>
        <v>4156507.0382012739</v>
      </c>
      <c r="T20" s="105">
        <f>R20*'Alternative 1'!$K21/'Alternative 1'!$L21</f>
        <v>3880339.1262979964</v>
      </c>
      <c r="U20" s="105">
        <f>S20/'Alternative 1'!$M21</f>
        <v>1712382.7707357327</v>
      </c>
      <c r="V20" s="105">
        <f t="shared" si="2"/>
        <v>5.5927218970337282</v>
      </c>
      <c r="X20" s="105">
        <f>'Alternative 1'!$B$39*$B20*$C20*COS($K$13)-($N$12/3)*$E20*SIN($K$13)-($N$12/3)*$F20*SIN($K$13)-($N$12/3)*$G20*SIN($K$13)</f>
        <v>363701.41702934762</v>
      </c>
      <c r="Y20" s="106">
        <f>IF(($A20&lt;'Alternative 1'!$B$27),(($H20*'Alternative 1'!$B$39)+(3*($N$12/3)*COS($K$13))),IF(($A20&lt;'Alternative 1'!$B$28),(($H20*'Alternative 1'!$B$39)+(2*(($N$12/3)*COS($K$13)))),IF(($A20&lt;'Alternative 1'!$B$29),(($H$3*'Alternative 1'!$B$39+(($N$12/3)*COS($K$13)))),($H20*'Alternative 1'!$B$39))))</f>
        <v>1029520.4080698892</v>
      </c>
      <c r="Z20" s="105">
        <f>X20*'Alternative 1'!$K21/'Alternative 1'!$L21</f>
        <v>2894246.3611526936</v>
      </c>
      <c r="AA20" s="105">
        <f>Y20/'Alternative 1'!$M21</f>
        <v>424138.10266579204</v>
      </c>
      <c r="AB20" s="105">
        <f t="shared" si="3"/>
        <v>3.3183844638184858</v>
      </c>
      <c r="AD20" s="105">
        <f>'Alternative 1'!$B$39*$B20*$C20*COS($K$23)-($N$22/3)*$E20*SIN($K$23)-($N$22/3)*$F20*SIN($K$23)-($N$22/3)*$G20*SIN($K$23)</f>
        <v>402365.23046308709</v>
      </c>
      <c r="AE20" s="106">
        <f>IF(($A20&lt;'Alternative 1'!$B$27),(($H20*'Alternative 1'!$B$39)+(3*($N$22/3)*COS($K$23))),IF(($A20&lt;'Alternative 1'!$B$28),(($H20*'Alternative 1'!$B$39)+(2*(($N$22/3)*COS($K$23)))),IF(($A20&lt;'Alternative 1'!$B$29),(($H$3*'Alternative 1'!$B$39+(($N$22/3)*COS($K$23)))),($H20*'Alternative 1'!$B$39))))</f>
        <v>542518.65415756404</v>
      </c>
      <c r="AF20" s="105">
        <f>AD20*'Alternative 1'!$K21/'Alternative 1'!$L21</f>
        <v>3201923.4723745547</v>
      </c>
      <c r="AG20" s="105">
        <f>AE20/'Alternative 1'!$M21</f>
        <v>223504.8774473324</v>
      </c>
      <c r="AH20" s="105">
        <f t="shared" si="4"/>
        <v>3.4254283498218872</v>
      </c>
      <c r="AJ20" s="105">
        <f>'Alternative 1'!$B$39*$B20*$C20*COS($K$33)-($N$32/3)*$E20*SIN($K$33)-($N$32/3)*$F20*SIN($K$33)-($N$32/3)*$G20*SIN($K$33)</f>
        <v>384852.76968000154</v>
      </c>
      <c r="AK20" s="106">
        <f>IF(($A20&lt;'Alternative 1'!$B$27),(($H20*'Alternative 1'!$B$39)+(3*($N$32/3)*COS($K$33))),IF(($A20&lt;'Alternative 1'!$B$28),(($H20*'Alternative 1'!$B$39)+(2*(($N$32/3)*COS($K$33)))),IF(($A20&lt;'Alternative 1'!$B$29),(($H$3*'Alternative 1'!$B$39+(($N$32/3)*COS($K$33)))),($H20*'Alternative 1'!$B$39))))</f>
        <v>379655.58368181065</v>
      </c>
      <c r="AL20" s="105">
        <f>AJ20*'Alternative 1'!$K21/'Alternative 1'!$L21</f>
        <v>3062563.6196957715</v>
      </c>
      <c r="AM20" s="105">
        <f>AK20/'Alternative 1'!$M21</f>
        <v>156409.1373683053</v>
      </c>
      <c r="AN20" s="105">
        <f t="shared" si="5"/>
        <v>3.2189727570640767</v>
      </c>
      <c r="AP20" s="105">
        <f>'Alternative 1'!$B$39*$B20*$C20*COS($K$43)-($N$42/3)*$E20*SIN($K$43)-($N$42/3)*$F20*SIN($K$43)-($N$42/3)*$G20*SIN($K$43)</f>
        <v>344720.67158058402</v>
      </c>
      <c r="AQ20" s="106">
        <f>IF(($A20&lt;'Alternative 1'!$B$27),(($H20*'Alternative 1'!$B$39)+(3*($N$42/3)*COS($K$43))),IF(($A20&lt;'Alternative 1'!$B$28),(($H20*'Alternative 1'!$B$39)+(2*(($N$42/3)*COS($K$43)))),IF(($A20&lt;'Alternative 1'!$B$29),(($H$3*'Alternative 1'!$B$39+(($N$42/3)*COS($K$43)))),($H20*'Alternative 1'!$B$39))))</f>
        <v>293616.50382289261</v>
      </c>
      <c r="AR20" s="105">
        <f>AP20*'Alternative 1'!$K21/'Alternative 1'!$L21</f>
        <v>2743202.2604842139</v>
      </c>
      <c r="AS20" s="105">
        <f>AQ20/'Alternative 1'!$M21</f>
        <v>120963.06772225825</v>
      </c>
      <c r="AT20" s="105">
        <f t="shared" si="6"/>
        <v>2.8641653282064721</v>
      </c>
      <c r="AV20" s="105">
        <f>'Alternative 1'!$B$39*$B20*$C20*COS($K$53)-($N$52/3)*$E20*SIN($K$53)-($N$52/3)*$F20*SIN($K$53)-($N$52/3)*$G20*SIN($K$53)</f>
        <v>289400.35871908895</v>
      </c>
      <c r="AW20" s="106">
        <f>IF(($A20&lt;'Alternative 1'!$B$27),(($H20*'Alternative 1'!$B$39)+(3*($N$52/3)*COS($K$53))),IF(($A20&lt;'Alternative 1'!$B$28),(($H20*'Alternative 1'!$B$39)+(2*(($N$52/3)*COS($K$53)))),IF(($A20&lt;'Alternative 1'!$B$29),(($H$3*'Alternative 1'!$B$39+(($N$52/3)*COS($K$53)))),($H20*'Alternative 1'!$B$39))))</f>
        <v>239564.08094146516</v>
      </c>
      <c r="AX20" s="105">
        <f>AV20*'Alternative 1'!$K21/'Alternative 1'!$L21</f>
        <v>2302976.8263768423</v>
      </c>
      <c r="AY20" s="105">
        <f>AW20/'Alternative 1'!$M21</f>
        <v>98694.745593124346</v>
      </c>
      <c r="AZ20" s="105">
        <f t="shared" si="7"/>
        <v>2.4016715719699668</v>
      </c>
      <c r="BB20" s="105">
        <f>'Alternative 1'!$B$39*$B20*$C20*COS($K$63)-($N$62/3)*$E20*SIN($K$63)-($N$62/3)*$F20*SIN($K$63)-($N$62/3)*$G20*SIN($K$63)</f>
        <v>222619.95803675847</v>
      </c>
      <c r="BC20" s="106">
        <f>IF(($A20&lt;'Alternative 1'!$B$27),(($H20*'Alternative 1'!$B$39)+(3*($N$62/3)*COS($K$63))),IF(($A20&lt;'Alternative 1'!$B$28),(($H20*'Alternative 1'!$B$39)+(2*(($N$62/3)*COS($K$63)))),IF(($A20&lt;'Alternative 1'!$B$29),(($H$3*'Alternative 1'!$B$39+(($N$62/3)*COS($K$63)))),($H20*'Alternative 1'!$B$39))))</f>
        <v>203502.44186662344</v>
      </c>
      <c r="BD20" s="105">
        <f>BB20*'Alternative 1'!$K21/'Alternative 1'!$L21</f>
        <v>1771554.8339913746</v>
      </c>
      <c r="BE20" s="105">
        <f>BC20/'Alternative 1'!$M21</f>
        <v>83838.201656422068</v>
      </c>
      <c r="BF20" s="105">
        <f t="shared" si="8"/>
        <v>1.8553930356477968</v>
      </c>
      <c r="BH20" s="105">
        <f>'Alternative 1'!$B$39*$B20*$C20*COS($K$73)-($N$72/3)*$E20*SIN($K$73)-($N$72/3)*$F20*SIN($K$73)-($N$72/3)*$G20*SIN($K$73)</f>
        <v>147277.27039392805</v>
      </c>
      <c r="BI20" s="106">
        <f>IF(($A20&lt;'Alternative 1'!$B$27),(($H20*'Alternative 1'!$B$39)+(3*($N$72/3)*COS($K$73))),IF(($A20&lt;'Alternative 1'!$B$28),(($H20*'Alternative 1'!$B$39)+(2*(($N$72/3)*COS($K$73)))),IF(($A20&lt;'Alternative 1'!$B$29),(($H$3*'Alternative 1'!$B$39+(($N$72/3)*COS($K$73)))),($H20*'Alternative 1'!$B$39))))</f>
        <v>179891.50293993621</v>
      </c>
      <c r="BJ20" s="105">
        <f>BH20*'Alternative 1'!$K21/'Alternative 1'!$L21</f>
        <v>1171996.2693566638</v>
      </c>
      <c r="BK20" s="105">
        <f>BI20/'Alternative 1'!$M21</f>
        <v>74111.052238085147</v>
      </c>
      <c r="BL20" s="105">
        <f t="shared" si="9"/>
        <v>1.2461073215947489</v>
      </c>
      <c r="BN20" s="105">
        <f>'Alternative 1'!$B$39*$B20*$C20*COS($K$83)-($N$82/3)*$E20*SIN($K$83)-($N$82/3)*$F20*SIN($K$83)-($N$82/3)*$G20*SIN($K$83)</f>
        <v>66076.908548185544</v>
      </c>
      <c r="BO20" s="106">
        <f>IF(($A20&lt;'Alternative 1'!$B$27),(($H20*'Alternative 1'!$B$39)+(3*($N$82/3)*COS($K$83))),IF(($A20&lt;'Alternative 1'!$B$28),(($H20*'Alternative 1'!$B$39)+(2*(($N$82/3)*COS($K$83)))),IF(($A20&lt;'Alternative 1'!$B$29),(($H$3*'Alternative 1'!$B$39+(($N$82/3)*COS($K$83)))),($H20*'Alternative 1'!$B$39))))</f>
        <v>166275.85078005504</v>
      </c>
      <c r="BP20" s="105">
        <f>BN20*'Alternative 1'!$K21/'Alternative 1'!$L21</f>
        <v>525823.77512808435</v>
      </c>
      <c r="BQ20" s="105">
        <f>BO20/'Alternative 1'!$M21</f>
        <v>68501.724993687909</v>
      </c>
      <c r="BR20" s="105">
        <f t="shared" si="10"/>
        <v>0.59432550012177232</v>
      </c>
      <c r="BT20" s="105">
        <f>'Alternative 1'!$B$39*$B20*$C20*COS($K$93)-($K$92/3)*$E20*SIN($K$93)-($K$92/3)*$F20*SIN($K$93)-($K$92/3)*$G20*SIN($K$93)</f>
        <v>-7.7667151712807456</v>
      </c>
      <c r="BU20" s="106">
        <f>IF(($A20&lt;'Alternative 1'!$B$27),(($H20*'Alternative 1'!$B$39)+(3*($N$92/3)*COS($K$93))),IF(($A20&lt;'Alternative 1'!$B$28),(($H20*'Alternative 1'!$B$39)+(2*(($N$92/3)*COS($K$93)))),IF(($A20&lt;'Alternative 1'!$B$29),(($H$3*'Alternative 1'!$B$39+(($N$92/3)*COS($K$93)))),($H20*'Alternative 1'!$B$39))))</f>
        <v>161563.28405208944</v>
      </c>
      <c r="BV20" s="105">
        <f>BT20*'Alternative 1'!$K21/'Alternative 1'!$L21</f>
        <v>-61.805607759770901</v>
      </c>
      <c r="BW20" s="105">
        <f>BU20/'Alternative 1'!$M21</f>
        <v>66560.258758518743</v>
      </c>
      <c r="BX20" s="105">
        <f t="shared" si="11"/>
        <v>6.6498453150758974E-2</v>
      </c>
      <c r="BZ20" s="104">
        <v>150</v>
      </c>
      <c r="CA20" s="104">
        <v>-150</v>
      </c>
    </row>
    <row r="21" spans="1:79" ht="15" customHeight="1" x14ac:dyDescent="0.25">
      <c r="A21" s="18">
        <f>IF('Alternative 1'!F22&gt;0,'Alternative 1'!F22,"x")</f>
        <v>19</v>
      </c>
      <c r="B21" s="18">
        <f t="shared" si="17"/>
        <v>18</v>
      </c>
      <c r="C21" s="18">
        <f t="shared" si="12"/>
        <v>9</v>
      </c>
      <c r="D21" s="18">
        <f t="shared" si="13"/>
        <v>19</v>
      </c>
      <c r="E21" s="101">
        <f>IF($A21&lt;='Alternative 1'!$B$27, IF($A21='Alternative 1'!$B$27,0,E22+1),0)</f>
        <v>0</v>
      </c>
      <c r="F21" s="101">
        <f>IF($A21&lt;=('Alternative 1'!$B$28), IF($A21=ROUNDDOWN('Alternative 1'!$B$28,0),0,F22+1),0)</f>
        <v>3</v>
      </c>
      <c r="G21" s="101">
        <f>IF($A21&lt;=('Alternative 1'!$B$29), IF($A21=ROUNDDOWN('Alternative 1'!$B$29,0),0,G22+1),0)</f>
        <v>10</v>
      </c>
      <c r="H21" s="18">
        <f t="shared" si="14"/>
        <v>18</v>
      </c>
      <c r="J21" s="104">
        <f t="shared" si="15"/>
        <v>18</v>
      </c>
      <c r="K21" s="104">
        <f t="shared" si="16"/>
        <v>0.31415926535897931</v>
      </c>
      <c r="L21" s="105">
        <f>'Alternative 1'!$B$27*SIN(K21)+'Alternative 1'!$B$28*SIN(K21)+'Alternative 1'!$B$29*SIN(K21)</f>
        <v>21.013155617496423</v>
      </c>
      <c r="M21" s="104">
        <f>(('Alternative 1'!$B$27)*(((('Alternative 1'!$B$28-'Alternative 1'!$B$27)/2)+'Alternative 1'!$B$27)*'Alternative 1'!$B$39)*COS('Alternative 1-Tilt Up (3pt)'!K21))+(('Alternative 1'!$B$28)*((('Alternative 1'!$B$28-'Alternative 1'!$B$27)/2)+(('Alternative 1'!$B$29-'Alternative 1'!$B$28)/2))*('Alternative 1'!$B$39)*COS('Alternative 1-Tilt Up (3pt)'!K21))+(('Alternative 1'!$B$29)*((('Alternative 1'!$B$12-'Alternative 1'!$B$29+(('Alternative 1'!$B$29-'Alternative 1'!$B$28)/2)*('Alternative 1'!$B$39)*COS('Alternative 1-Tilt Up (3pt)'!K21)))))</f>
        <v>4513830.7221147092</v>
      </c>
      <c r="N21" s="104">
        <f t="shared" si="0"/>
        <v>644429.25245691906</v>
      </c>
      <c r="O21" s="104">
        <f>(((('Alternative 1'!$B$28-'Alternative 1'!$B$27)/2)+'Alternative 1'!$B$27)*('Alternative 1'!$B$39)*COS('Alternative 1-Tilt Up (3pt)'!K21))+(((('Alternative 1'!$B$28-'Alternative 1'!$B$27)/2)+(('Alternative 1'!$B$29-'Alternative 1'!$B$28)/2))*('Alternative 1'!$B$39)*COS('Alternative 1-Tilt Up (3pt)'!K21))+(((('Alternative 1'!$B$12-'Alternative 1'!$B$29)+(('Alternative 1'!$B$29-'Alternative 1'!$B$28)/2))*('Alternative 1'!$B$39)*COS('Alternative 1-Tilt Up (3pt)'!K21)))</f>
        <v>291137.33196338115</v>
      </c>
      <c r="P21" s="104">
        <f t="shared" si="1"/>
        <v>612888.63984036748</v>
      </c>
      <c r="R21" s="105">
        <f>'Alternative 1'!$B$39*$B21*$C21*COS($K$5)-($N$5/3)*$E21*SIN($K$5)-($N$5/3)*$F21*SIN($K$5)-($N$5/3)*$G21*SIN($K$5)</f>
        <v>469908.10510798777</v>
      </c>
      <c r="S21" s="106">
        <f>IF(($A21&lt;'Alternative 1'!$B$27),(($H21*'Alternative 1'!$B$39)+(3*($N$5/3)*COS($K$5))),IF(($A21&lt;'Alternative 1'!$B$28),(($H21*'Alternative 1'!$B$39)+(2*(($N$5/3)*COS($K$5)))),IF(($A21&lt;'Alternative 1'!$B$29),(($H$3*'Alternative 1'!$B$39+(($N$5/3)*COS($K$5)))),($H21*'Alternative 1'!$B$39))))</f>
        <v>4148003.7074616905</v>
      </c>
      <c r="T21" s="105">
        <f>R21*'Alternative 1'!$K22/'Alternative 1'!$L22</f>
        <v>3739413.0448911833</v>
      </c>
      <c r="U21" s="105">
        <f>S21/'Alternative 1'!$M22</f>
        <v>1748212.1526816608</v>
      </c>
      <c r="V21" s="105">
        <f t="shared" si="2"/>
        <v>5.4876251975728438</v>
      </c>
      <c r="X21" s="105">
        <f>'Alternative 1'!$B$39*$B21*$C21*COS($K$13)-($N$12/3)*$E21*SIN($K$13)-($N$12/3)*$F21*SIN($K$13)-($N$12/3)*$G21*SIN($K$13)</f>
        <v>361823.97437458218</v>
      </c>
      <c r="Y21" s="106">
        <f>IF(($A21&lt;'Alternative 1'!$B$27),(($H21*'Alternative 1'!$B$39)+(3*($N$12/3)*COS($K$13))),IF(($A21&lt;'Alternative 1'!$B$28),(($H21*'Alternative 1'!$B$39)+(2*(($N$12/3)*COS($K$13)))),IF(($A21&lt;'Alternative 1'!$B$29),(($H$3*'Alternative 1'!$B$39+(($N$12/3)*COS($K$13)))),($H21*'Alternative 1'!$B$39))))</f>
        <v>1021017.0773303055</v>
      </c>
      <c r="Z21" s="105">
        <f>X21*'Alternative 1'!$K22/'Alternative 1'!$L22</f>
        <v>2879306.1345893494</v>
      </c>
      <c r="AA21" s="105">
        <f>Y21/'Alternative 1'!$M22</f>
        <v>430316.50609990116</v>
      </c>
      <c r="AB21" s="105">
        <f t="shared" si="3"/>
        <v>3.3096226406892506</v>
      </c>
      <c r="AD21" s="105">
        <f>'Alternative 1'!$B$39*$B21*$C21*COS($K$23)-($N$22/3)*$E21*SIN($K$23)-($N$22/3)*$F21*SIN($K$23)-($N$22/3)*$G21*SIN($K$23)</f>
        <v>393197.07852570293</v>
      </c>
      <c r="AE21" s="106">
        <f>IF(($A21&lt;'Alternative 1'!$B$27),(($H21*'Alternative 1'!$B$39)+(3*($N$22/3)*COS($K$23))),IF(($A21&lt;'Alternative 1'!$B$28),(($H21*'Alternative 1'!$B$39)+(2*(($N$22/3)*COS($K$23)))),IF(($A21&lt;'Alternative 1'!$B$29),(($H$3*'Alternative 1'!$B$39+(($N$22/3)*COS($K$23)))),($H21*'Alternative 1'!$B$39))))</f>
        <v>534015.32341798046</v>
      </c>
      <c r="AF21" s="105">
        <f>AD21*'Alternative 1'!$K22/'Alternative 1'!$L22</f>
        <v>3128965.5757570444</v>
      </c>
      <c r="AG21" s="105">
        <f>AE21/'Alternative 1'!$M22</f>
        <v>225065.39144074838</v>
      </c>
      <c r="AH21" s="105">
        <f t="shared" si="4"/>
        <v>3.3540309671977928</v>
      </c>
      <c r="AJ21" s="105">
        <f>'Alternative 1'!$B$39*$B21*$C21*COS($K$33)-($N$32/3)*$E21*SIN($K$33)-($N$32/3)*$F21*SIN($K$33)-($N$32/3)*$G21*SIN($K$33)</f>
        <v>374532.55949008523</v>
      </c>
      <c r="AK21" s="106">
        <f>IF(($A21&lt;'Alternative 1'!$B$27),(($H21*'Alternative 1'!$B$39)+(3*($N$32/3)*COS($K$33))),IF(($A21&lt;'Alternative 1'!$B$28),(($H21*'Alternative 1'!$B$39)+(2*(($N$32/3)*COS($K$33)))),IF(($A21&lt;'Alternative 1'!$B$29),(($H$3*'Alternative 1'!$B$39+(($N$32/3)*COS($K$33)))),($H21*'Alternative 1'!$B$39))))</f>
        <v>371152.25294222706</v>
      </c>
      <c r="AL21" s="105">
        <f>AJ21*'Alternative 1'!$K22/'Alternative 1'!$L22</f>
        <v>2980437.9270535395</v>
      </c>
      <c r="AM21" s="105">
        <f>AK21/'Alternative 1'!$M22</f>
        <v>156425.33730661368</v>
      </c>
      <c r="AN21" s="105">
        <f t="shared" si="5"/>
        <v>3.1368632643601533</v>
      </c>
      <c r="AP21" s="105">
        <f>'Alternative 1'!$B$39*$B21*$C21*COS($K$43)-($N$42/3)*$E21*SIN($K$43)-($N$42/3)*$F21*SIN($K$43)-($N$42/3)*$G21*SIN($K$43)</f>
        <v>335018.78825641144</v>
      </c>
      <c r="AQ21" s="106">
        <f>IF(($A21&lt;'Alternative 1'!$B$27),(($H21*'Alternative 1'!$B$39)+(3*($N$42/3)*COS($K$43))),IF(($A21&lt;'Alternative 1'!$B$28),(($H21*'Alternative 1'!$B$39)+(2*(($N$42/3)*COS($K$43)))),IF(($A21&lt;'Alternative 1'!$B$29),(($H$3*'Alternative 1'!$B$39+(($N$42/3)*COS($K$43)))),($H21*'Alternative 1'!$B$39))))</f>
        <v>285113.17308330897</v>
      </c>
      <c r="AR21" s="105">
        <f>AP21*'Alternative 1'!$K22/'Alternative 1'!$L22</f>
        <v>2665997.0608546264</v>
      </c>
      <c r="AS21" s="105">
        <f>AQ21/'Alternative 1'!$M22</f>
        <v>120163.4205816278</v>
      </c>
      <c r="AT21" s="105">
        <f t="shared" si="6"/>
        <v>2.7861604814362542</v>
      </c>
      <c r="AV21" s="105">
        <f>'Alternative 1'!$B$39*$B21*$C21*COS($K$53)-($N$52/3)*$E21*SIN($K$53)-($N$52/3)*$F21*SIN($K$53)-($N$52/3)*$G21*SIN($K$53)</f>
        <v>281240.12928849919</v>
      </c>
      <c r="AW21" s="106">
        <f>IF(($A21&lt;'Alternative 1'!$B$27),(($H21*'Alternative 1'!$B$39)+(3*($N$52/3)*COS($K$53))),IF(($A21&lt;'Alternative 1'!$B$28),(($H21*'Alternative 1'!$B$39)+(2*(($N$52/3)*COS($K$53)))),IF(($A21&lt;'Alternative 1'!$B$29),(($H$3*'Alternative 1'!$B$39+(($N$52/3)*COS($K$53)))),($H21*'Alternative 1'!$B$39))))</f>
        <v>231060.75020188151</v>
      </c>
      <c r="AX21" s="105">
        <f>AV21*'Alternative 1'!$K22/'Alternative 1'!$L22</f>
        <v>2238039.7289947066</v>
      </c>
      <c r="AY21" s="105">
        <f>AW21/'Alternative 1'!$M22</f>
        <v>97382.557972171591</v>
      </c>
      <c r="AZ21" s="105">
        <f t="shared" si="7"/>
        <v>2.3354222869668786</v>
      </c>
      <c r="BB21" s="105">
        <f>'Alternative 1'!$B$39*$B21*$C21*COS($K$63)-($N$62/3)*$E21*SIN($K$63)-($N$62/3)*$F21*SIN($K$63)-($N$62/3)*$G21*SIN($K$63)</f>
        <v>216604.90085703187</v>
      </c>
      <c r="BC21" s="106">
        <f>IF(($A21&lt;'Alternative 1'!$B$27),(($H21*'Alternative 1'!$B$39)+(3*($N$62/3)*COS($K$63))),IF(($A21&lt;'Alternative 1'!$B$28),(($H21*'Alternative 1'!$B$39)+(2*(($N$62/3)*COS($K$63)))),IF(($A21&lt;'Alternative 1'!$B$29),(($H$3*'Alternative 1'!$B$39+(($N$62/3)*COS($K$63)))),($H21*'Alternative 1'!$B$39))))</f>
        <v>194999.1111270398</v>
      </c>
      <c r="BD21" s="105">
        <f>BB21*'Alternative 1'!$K22/'Alternative 1'!$L22</f>
        <v>1723688.4894037084</v>
      </c>
      <c r="BE21" s="105">
        <f>BC21/'Alternative 1'!$M22</f>
        <v>82184.067295113695</v>
      </c>
      <c r="BF21" s="105">
        <f t="shared" si="8"/>
        <v>1.8058725566988219</v>
      </c>
      <c r="BH21" s="105">
        <f>'Alternative 1'!$B$39*$B21*$C21*COS($K$73)-($N$72/3)*$E21*SIN($K$73)-($N$72/3)*$F21*SIN($K$73)-($N$72/3)*$G21*SIN($K$73)</f>
        <v>143829.89555859633</v>
      </c>
      <c r="BI21" s="106">
        <f>IF(($A21&lt;'Alternative 1'!$B$27),(($H21*'Alternative 1'!$B$39)+(3*($N$72/3)*COS($K$73))),IF(($A21&lt;'Alternative 1'!$B$28),(($H21*'Alternative 1'!$B$39)+(2*(($N$72/3)*COS($K$73)))),IF(($A21&lt;'Alternative 1'!$B$29),(($H$3*'Alternative 1'!$B$39+(($N$72/3)*COS($K$73)))),($H21*'Alternative 1'!$B$39))))</f>
        <v>171388.17220035256</v>
      </c>
      <c r="BJ21" s="105">
        <f>BH21*'Alternative 1'!$K22/'Alternative 1'!$L22</f>
        <v>1144562.9088980129</v>
      </c>
      <c r="BK21" s="105">
        <f>BI21/'Alternative 1'!$M22</f>
        <v>72233.032224048642</v>
      </c>
      <c r="BL21" s="105">
        <f t="shared" si="9"/>
        <v>1.2167959411220615</v>
      </c>
      <c r="BN21" s="105">
        <f>'Alternative 1'!$B$39*$B21*$C21*COS($K$83)-($N$82/3)*$E21*SIN($K$83)-($N$82/3)*$F21*SIN($K$83)-($N$82/3)*$G21*SIN($K$83)</f>
        <v>65486.326646216068</v>
      </c>
      <c r="BO21" s="106">
        <f>IF(($A21&lt;'Alternative 1'!$B$27),(($H21*'Alternative 1'!$B$39)+(3*($N$82/3)*COS($K$83))),IF(($A21&lt;'Alternative 1'!$B$28),(($H21*'Alternative 1'!$B$39)+(2*(($N$82/3)*COS($K$83)))),IF(($A21&lt;'Alternative 1'!$B$29),(($H$3*'Alternative 1'!$B$39+(($N$82/3)*COS($K$83)))),($H21*'Alternative 1'!$B$39))))</f>
        <v>157772.5200404714</v>
      </c>
      <c r="BP21" s="105">
        <f>BN21*'Alternative 1'!$K22/'Alternative 1'!$L22</f>
        <v>521124.06970846024</v>
      </c>
      <c r="BQ21" s="105">
        <f>BO21/'Alternative 1'!$M22</f>
        <v>66494.59748500245</v>
      </c>
      <c r="BR21" s="105">
        <f t="shared" si="10"/>
        <v>0.58761866719346267</v>
      </c>
      <c r="BT21" s="105">
        <f>'Alternative 1'!$B$39*$B21*$C21*COS($K$93)-($K$92/3)*$E21*SIN($K$93)-($K$92/3)*$F21*SIN($K$93)-($K$92/3)*$G21*SIN($K$93)</f>
        <v>-6.7311531484404128</v>
      </c>
      <c r="BU21" s="106">
        <f>IF(($A21&lt;'Alternative 1'!$B$27),(($H21*'Alternative 1'!$B$39)+(3*($N$92/3)*COS($K$93))),IF(($A21&lt;'Alternative 1'!$B$28),(($H21*'Alternative 1'!$B$39)+(2*(($N$92/3)*COS($K$93)))),IF(($A21&lt;'Alternative 1'!$B$29),(($H$3*'Alternative 1'!$B$39+(($N$92/3)*COS($K$93)))),($H21*'Alternative 1'!$B$39))))</f>
        <v>153059.95331250579</v>
      </c>
      <c r="BV21" s="105">
        <f>BT21*'Alternative 1'!$K22/'Alternative 1'!$L22</f>
        <v>-53.564860058445028</v>
      </c>
      <c r="BW21" s="105">
        <f>BU21/'Alternative 1'!$M22</f>
        <v>64508.445348895955</v>
      </c>
      <c r="BX21" s="105">
        <f t="shared" si="11"/>
        <v>6.4454880488837504E-2</v>
      </c>
      <c r="BZ21" s="104">
        <v>150</v>
      </c>
      <c r="CA21" s="104">
        <v>-150</v>
      </c>
    </row>
    <row r="22" spans="1:79" ht="15" customHeight="1" x14ac:dyDescent="0.25">
      <c r="A22" s="18">
        <f>IF('Alternative 1'!F23&gt;0,'Alternative 1'!F23,"x")</f>
        <v>20</v>
      </c>
      <c r="B22" s="18">
        <f t="shared" si="17"/>
        <v>17</v>
      </c>
      <c r="C22" s="18">
        <f t="shared" si="12"/>
        <v>8.5</v>
      </c>
      <c r="D22" s="18">
        <f t="shared" si="13"/>
        <v>20</v>
      </c>
      <c r="E22" s="101">
        <f>IF($A22&lt;='Alternative 1'!$B$27, IF($A22='Alternative 1'!$B$27,0,E23+1),0)</f>
        <v>0</v>
      </c>
      <c r="F22" s="101">
        <f>IF($A22&lt;=('Alternative 1'!$B$28), IF($A22=ROUNDDOWN('Alternative 1'!$B$28,0),0,F23+1),0)</f>
        <v>2</v>
      </c>
      <c r="G22" s="101">
        <f>IF($A22&lt;=('Alternative 1'!$B$29), IF($A22=ROUNDDOWN('Alternative 1'!$B$29,0),0,G23+1),0)</f>
        <v>9</v>
      </c>
      <c r="H22" s="18">
        <f t="shared" si="14"/>
        <v>17</v>
      </c>
      <c r="J22" s="104">
        <f t="shared" si="15"/>
        <v>19</v>
      </c>
      <c r="K22" s="104">
        <f t="shared" si="16"/>
        <v>0.33161255787892258</v>
      </c>
      <c r="L22" s="105">
        <f>'Alternative 1'!$B$27*SIN(K22)+'Alternative 1'!$B$28*SIN(K22)+'Alternative 1'!$B$29*SIN(K22)</f>
        <v>22.138634503086649</v>
      </c>
      <c r="M22" s="104">
        <f>(('Alternative 1'!$B$27)*(((('Alternative 1'!$B$28-'Alternative 1'!$B$27)/2)+'Alternative 1'!$B$27)*'Alternative 1'!$B$39)*COS('Alternative 1-Tilt Up (3pt)'!K22))+(('Alternative 1'!$B$28)*((('Alternative 1'!$B$28-'Alternative 1'!$B$27)/2)+(('Alternative 1'!$B$29-'Alternative 1'!$B$28)/2))*('Alternative 1'!$B$39)*COS('Alternative 1-Tilt Up (3pt)'!K22))+(('Alternative 1'!$B$29)*((('Alternative 1'!$B$12-'Alternative 1'!$B$29+(('Alternative 1'!$B$29-'Alternative 1'!$B$28)/2)*('Alternative 1'!$B$39)*COS('Alternative 1-Tilt Up (3pt)'!K22)))))</f>
        <v>4487548.1163721401</v>
      </c>
      <c r="N22" s="109">
        <f t="shared" si="0"/>
        <v>608106.35575737106</v>
      </c>
      <c r="O22" s="104">
        <f>(((('Alternative 1'!$B$28-'Alternative 1'!$B$27)/2)+'Alternative 1'!$B$27)*('Alternative 1'!$B$39)*COS('Alternative 1-Tilt Up (3pt)'!K22))+(((('Alternative 1'!$B$28-'Alternative 1'!$B$27)/2)+(('Alternative 1'!$B$29-'Alternative 1'!$B$28)/2))*('Alternative 1'!$B$39)*COS('Alternative 1-Tilt Up (3pt)'!K22))+(((('Alternative 1'!$B$12-'Alternative 1'!$B$29)+(('Alternative 1'!$B$29-'Alternative 1'!$B$28)/2))*('Alternative 1'!$B$39)*COS('Alternative 1-Tilt Up (3pt)'!K22)))</f>
        <v>289442.05807467678</v>
      </c>
      <c r="P22" s="104">
        <f t="shared" si="1"/>
        <v>574975.85530860093</v>
      </c>
      <c r="R22" s="105">
        <f>'Alternative 1'!$B$39*$B22*$C22*COS($K$5)-($N$5/3)*$E22*SIN($K$5)-($N$5/3)*$F22*SIN($K$5)-($N$5/3)*$G22*SIN($K$5)</f>
        <v>460696.97712476423</v>
      </c>
      <c r="S22" s="106">
        <f>IF(($A22&lt;'Alternative 1'!$B$27),(($H22*'Alternative 1'!$B$39)+(3*($N$5/3)*COS($K$5))),IF(($A22&lt;'Alternative 1'!$B$28),(($H22*'Alternative 1'!$B$39)+(2*(($N$5/3)*COS($K$5)))),IF(($A22&lt;'Alternative 1'!$B$29),(($H$3*'Alternative 1'!$B$39+(($N$5/3)*COS($K$5)))),($H22*'Alternative 1'!$B$39))))</f>
        <v>4139500.3767221067</v>
      </c>
      <c r="T22" s="105">
        <f>R22*'Alternative 1'!$K23/'Alternative 1'!$L23</f>
        <v>3666113.1554783098</v>
      </c>
      <c r="U22" s="105">
        <f>S22/'Alternative 1'!$M23</f>
        <v>1785251.201511838</v>
      </c>
      <c r="V22" s="105">
        <f t="shared" si="2"/>
        <v>5.4513643569901475</v>
      </c>
      <c r="X22" s="105">
        <f>'Alternative 1'!$B$39*$B22*$C22*COS($K$13)-($N$12/3)*$E22*SIN($K$13)-($N$12/3)*$F22*SIN($K$13)-($N$12/3)*$G22*SIN($K$13)</f>
        <v>368320.67775858566</v>
      </c>
      <c r="Y22" s="106">
        <f>IF(($A22&lt;'Alternative 1'!$B$27),(($H22*'Alternative 1'!$B$39)+(3*($N$12/3)*COS($K$13))),IF(($A22&lt;'Alternative 1'!$B$28),(($H22*'Alternative 1'!$B$39)+(2*(($N$12/3)*COS($K$13)))),IF(($A22&lt;'Alternative 1'!$B$29),(($H$3*'Alternative 1'!$B$39+(($N$12/3)*COS($K$13)))),($H22*'Alternative 1'!$B$39))))</f>
        <v>1012513.7465907219</v>
      </c>
      <c r="Z22" s="105">
        <f>X22*'Alternative 1'!$K23/'Alternative 1'!$L23</f>
        <v>2931005.3011260666</v>
      </c>
      <c r="AA22" s="105">
        <f>Y22/'Alternative 1'!$M23</f>
        <v>436668.97406582511</v>
      </c>
      <c r="AB22" s="105">
        <f t="shared" si="3"/>
        <v>3.367674275191892</v>
      </c>
      <c r="AD22" s="105">
        <f>'Alternative 1'!$B$39*$B22*$C22*COS($K$23)-($N$22/3)*$E22*SIN($K$23)-($N$22/3)*$F22*SIN($K$23)-($N$22/3)*$G22*SIN($K$23)</f>
        <v>392019.44373640732</v>
      </c>
      <c r="AE22" s="106">
        <f>IF(($A22&lt;'Alternative 1'!$B$27),(($H22*'Alternative 1'!$B$39)+(3*($N$22/3)*COS($K$23))),IF(($A22&lt;'Alternative 1'!$B$28),(($H22*'Alternative 1'!$B$39)+(2*(($N$22/3)*COS($K$23)))),IF(($A22&lt;'Alternative 1'!$B$29),(($H$3*'Alternative 1'!$B$39+(($N$22/3)*COS($K$23)))),($H22*'Alternative 1'!$B$39))))</f>
        <v>525511.99267839675</v>
      </c>
      <c r="AF22" s="105">
        <f>AD22*'Alternative 1'!$K23/'Alternative 1'!$L23</f>
        <v>3119594.2479477529</v>
      </c>
      <c r="AG22" s="105">
        <f>AE22/'Alternative 1'!$M23</f>
        <v>226638.68364734523</v>
      </c>
      <c r="AH22" s="105">
        <f t="shared" si="4"/>
        <v>3.346232931595098</v>
      </c>
      <c r="AJ22" s="105">
        <f>'Alternative 1'!$B$39*$B22*$C22*COS($K$33)-($N$32/3)*$E22*SIN($K$33)-($N$32/3)*$F22*SIN($K$33)-($N$32/3)*$G22*SIN($K$33)</f>
        <v>371576.44973742915</v>
      </c>
      <c r="AK22" s="106">
        <f>IF(($A22&lt;'Alternative 1'!$B$27),(($H22*'Alternative 1'!$B$39)+(3*($N$32/3)*COS($K$33))),IF(($A22&lt;'Alternative 1'!$B$28),(($H22*'Alternative 1'!$B$39)+(2*(($N$32/3)*COS($K$33)))),IF(($A22&lt;'Alternative 1'!$B$29),(($H$3*'Alternative 1'!$B$39+(($N$32/3)*COS($K$33)))),($H22*'Alternative 1'!$B$39))))</f>
        <v>362648.92220264336</v>
      </c>
      <c r="AL22" s="105">
        <f>AJ22*'Alternative 1'!$K23/'Alternative 1'!$L23</f>
        <v>2956913.9332108032</v>
      </c>
      <c r="AM22" s="105">
        <f>AK22/'Alternative 1'!$M23</f>
        <v>156400.37810599399</v>
      </c>
      <c r="AN22" s="105">
        <f t="shared" si="5"/>
        <v>3.1133143113167971</v>
      </c>
      <c r="AP22" s="105">
        <f>'Alternative 1'!$B$39*$B22*$C22*COS($K$43)-($N$42/3)*$E22*SIN($K$43)-($N$42/3)*$F22*SIN($K$43)-($N$42/3)*$G22*SIN($K$43)</f>
        <v>331830.83419329982</v>
      </c>
      <c r="AQ22" s="106">
        <f>IF(($A22&lt;'Alternative 1'!$B$27),(($H22*'Alternative 1'!$B$39)+(3*($N$42/3)*COS($K$43))),IF(($A22&lt;'Alternative 1'!$B$28),(($H22*'Alternative 1'!$B$39)+(2*(($N$42/3)*COS($K$43)))),IF(($A22&lt;'Alternative 1'!$B$29),(($H$3*'Alternative 1'!$B$39+(($N$42/3)*COS($K$43)))),($H22*'Alternative 1'!$B$39))))</f>
        <v>276609.84234372526</v>
      </c>
      <c r="AR22" s="105">
        <f>AP22*'Alternative 1'!$K23/'Alternative 1'!$L23</f>
        <v>2640628.1070516822</v>
      </c>
      <c r="AS22" s="105">
        <f>AQ22/'Alternative 1'!$M23</f>
        <v>119294.11968919037</v>
      </c>
      <c r="AT22" s="105">
        <f t="shared" si="6"/>
        <v>2.7599222267408723</v>
      </c>
      <c r="AV22" s="105">
        <f>'Alternative 1'!$B$39*$B22*$C22*COS($K$53)-($N$52/3)*$E22*SIN($K$53)-($N$52/3)*$F22*SIN($K$53)-($N$52/3)*$G22*SIN($K$53)</f>
        <v>278545.7354983805</v>
      </c>
      <c r="AW22" s="106">
        <f>IF(($A22&lt;'Alternative 1'!$B$27),(($H22*'Alternative 1'!$B$39)+(3*($N$52/3)*COS($K$53))),IF(($A22&lt;'Alternative 1'!$B$28),(($H22*'Alternative 1'!$B$39)+(2*(($N$52/3)*COS($K$53)))),IF(($A22&lt;'Alternative 1'!$B$29),(($H$3*'Alternative 1'!$B$39+(($N$52/3)*COS($K$53)))),($H22*'Alternative 1'!$B$39))))</f>
        <v>222557.41946229781</v>
      </c>
      <c r="AX22" s="105">
        <f>AV22*'Alternative 1'!$K23/'Alternative 1'!$L23</f>
        <v>2216598.406367321</v>
      </c>
      <c r="AY22" s="105">
        <f>AW22/'Alternative 1'!$M23</f>
        <v>95982.815398379724</v>
      </c>
      <c r="AZ22" s="105">
        <f t="shared" si="7"/>
        <v>2.3125812217657007</v>
      </c>
      <c r="BB22" s="105">
        <f>'Alternative 1'!$B$39*$B22*$C22*COS($K$63)-($N$62/3)*$E22*SIN($K$63)-($N$62/3)*$F22*SIN($K$63)-($N$62/3)*$G22*SIN($K$63)</f>
        <v>214841.50904709712</v>
      </c>
      <c r="BC22" s="106">
        <f>IF(($A22&lt;'Alternative 1'!$B$27),(($H22*'Alternative 1'!$B$39)+(3*($N$62/3)*COS($K$63))),IF(($A22&lt;'Alternative 1'!$B$28),(($H22*'Alternative 1'!$B$39)+(2*(($N$62/3)*COS($K$63)))),IF(($A22&lt;'Alternative 1'!$B$29),(($H$3*'Alternative 1'!$B$39+(($N$62/3)*COS($K$63)))),($H22*'Alternative 1'!$B$39))))</f>
        <v>186495.78038745612</v>
      </c>
      <c r="BD22" s="105">
        <f>BB22*'Alternative 1'!$K23/'Alternative 1'!$L23</f>
        <v>1709655.8513929022</v>
      </c>
      <c r="BE22" s="105">
        <f>BC22/'Alternative 1'!$M23</f>
        <v>80430.435007530134</v>
      </c>
      <c r="BF22" s="105">
        <f t="shared" si="8"/>
        <v>1.7900862864004323</v>
      </c>
      <c r="BH22" s="105">
        <f>'Alternative 1'!$B$39*$B22*$C22*COS($K$73)-($N$72/3)*$E22*SIN($K$73)-($N$72/3)*$F22*SIN($K$73)-($N$72/3)*$G22*SIN($K$73)</f>
        <v>143290.83112156249</v>
      </c>
      <c r="BI22" s="106">
        <f>IF(($A22&lt;'Alternative 1'!$B$27),(($H22*'Alternative 1'!$B$39)+(3*($N$72/3)*COS($K$73))),IF(($A22&lt;'Alternative 1'!$B$28),(($H22*'Alternative 1'!$B$39)+(2*(($N$72/3)*COS($K$73)))),IF(($A22&lt;'Alternative 1'!$B$29),(($H$3*'Alternative 1'!$B$39+(($N$72/3)*COS($K$73)))),($H22*'Alternative 1'!$B$39))))</f>
        <v>162884.84146076889</v>
      </c>
      <c r="BJ22" s="105">
        <f>BH22*'Alternative 1'!$K23/'Alternative 1'!$L23</f>
        <v>1140273.1667846732</v>
      </c>
      <c r="BK22" s="105">
        <f>BI22/'Alternative 1'!$M23</f>
        <v>70247.694760730359</v>
      </c>
      <c r="BL22" s="105">
        <f t="shared" si="9"/>
        <v>1.2105208615454035</v>
      </c>
      <c r="BN22" s="105">
        <f>'Alternative 1'!$B$39*$B22*$C22*COS($K$83)-($N$82/3)*$E22*SIN($K$83)-($N$82/3)*$F22*SIN($K$83)-($N$82/3)*$G22*SIN($K$83)</f>
        <v>66372.332631274505</v>
      </c>
      <c r="BO22" s="106">
        <f>IF(($A22&lt;'Alternative 1'!$B$27),(($H22*'Alternative 1'!$B$39)+(3*($N$82/3)*COS($K$83))),IF(($A22&lt;'Alternative 1'!$B$28),(($H22*'Alternative 1'!$B$39)+(2*(($N$82/3)*COS($K$83)))),IF(($A22&lt;'Alternative 1'!$B$29),(($H$3*'Alternative 1'!$B$39+(($N$82/3)*COS($K$83)))),($H22*'Alternative 1'!$B$39))))</f>
        <v>149269.18930088769</v>
      </c>
      <c r="BP22" s="105">
        <f>BN22*'Alternative 1'!$K23/'Alternative 1'!$L23</f>
        <v>528174.68727041478</v>
      </c>
      <c r="BQ22" s="105">
        <f>BO22/'Alternative 1'!$M23</f>
        <v>64375.643265220388</v>
      </c>
      <c r="BR22" s="105">
        <f t="shared" si="10"/>
        <v>0.59255033053563511</v>
      </c>
      <c r="BT22" s="105">
        <f>'Alternative 1'!$B$39*$B22*$C22*COS($K$93)-($K$92/3)*$E22*SIN($K$93)-($K$92/3)*$F22*SIN($K$93)-($K$92/3)*$G22*SIN($K$93)</f>
        <v>-5.6955911255995604</v>
      </c>
      <c r="BU22" s="106">
        <f>IF(($A22&lt;'Alternative 1'!$B$27),(($H22*'Alternative 1'!$B$39)+(3*($N$92/3)*COS($K$93))),IF(($A22&lt;'Alternative 1'!$B$28),(($H22*'Alternative 1'!$B$39)+(2*(($N$92/3)*COS($K$93)))),IF(($A22&lt;'Alternative 1'!$B$29),(($H$3*'Alternative 1'!$B$39+(($N$92/3)*COS($K$93)))),($H22*'Alternative 1'!$B$39))))</f>
        <v>144556.62257292212</v>
      </c>
      <c r="BV22" s="105">
        <f>BT22*'Alternative 1'!$K23/'Alternative 1'!$L23</f>
        <v>-45.324112357115027</v>
      </c>
      <c r="BW22" s="105">
        <f>BU22/'Alternative 1'!$M23</f>
        <v>62343.244509898315</v>
      </c>
      <c r="BX22" s="105">
        <f t="shared" si="11"/>
        <v>6.2297920397541201E-2</v>
      </c>
      <c r="BZ22" s="104">
        <v>150</v>
      </c>
      <c r="CA22" s="104">
        <v>-150</v>
      </c>
    </row>
    <row r="23" spans="1:79" ht="15" customHeight="1" x14ac:dyDescent="0.25">
      <c r="A23" s="18">
        <f>IF('Alternative 1'!F24&gt;0,'Alternative 1'!F24,"x")</f>
        <v>21</v>
      </c>
      <c r="B23" s="18">
        <f t="shared" si="17"/>
        <v>16</v>
      </c>
      <c r="C23" s="18">
        <f t="shared" si="12"/>
        <v>8</v>
      </c>
      <c r="D23" s="18">
        <f t="shared" si="13"/>
        <v>21</v>
      </c>
      <c r="E23" s="101">
        <f>IF($A23&lt;='Alternative 1'!$B$27, IF($A23='Alternative 1'!$B$27,0,E24+1),0)</f>
        <v>0</v>
      </c>
      <c r="F23" s="101">
        <f>IF($A23&lt;=('Alternative 1'!$B$28), IF($A23=ROUNDDOWN('Alternative 1'!$B$28,0),0,F24+1),0)</f>
        <v>1</v>
      </c>
      <c r="G23" s="101">
        <f>IF($A23&lt;=('Alternative 1'!$B$29), IF($A23=ROUNDDOWN('Alternative 1'!$B$29,0),0,G24+1),0)</f>
        <v>8</v>
      </c>
      <c r="H23" s="18">
        <f t="shared" si="14"/>
        <v>16</v>
      </c>
      <c r="J23" s="104">
        <f t="shared" si="15"/>
        <v>20</v>
      </c>
      <c r="K23" s="109">
        <f t="shared" si="16"/>
        <v>0.3490658503988659</v>
      </c>
      <c r="L23" s="105">
        <f>'Alternative 1'!$B$27*SIN(K23)+'Alternative 1'!$B$28*SIN(K23)+'Alternative 1'!$B$29*SIN(K23)</f>
        <v>23.257369746145471</v>
      </c>
      <c r="M23" s="104">
        <f>(('Alternative 1'!$B$27)*(((('Alternative 1'!$B$28-'Alternative 1'!$B$27)/2)+'Alternative 1'!$B$27)*'Alternative 1'!$B$39)*COS('Alternative 1-Tilt Up (3pt)'!K23))+(('Alternative 1'!$B$28)*((('Alternative 1'!$B$28-'Alternative 1'!$B$27)/2)+(('Alternative 1'!$B$29-'Alternative 1'!$B$28)/2))*('Alternative 1'!$B$39)*COS('Alternative 1-Tilt Up (3pt)'!K23))+(('Alternative 1'!$B$29)*((('Alternative 1'!$B$12-'Alternative 1'!$B$29+(('Alternative 1'!$B$29-'Alternative 1'!$B$28)/2)*('Alternative 1'!$B$39)*COS('Alternative 1-Tilt Up (3pt)'!K23)))))</f>
        <v>4459898.6195925968</v>
      </c>
      <c r="N23" s="104">
        <f t="shared" si="0"/>
        <v>575288.43565791682</v>
      </c>
      <c r="O23" s="104">
        <f>(((('Alternative 1'!$B$28-'Alternative 1'!$B$27)/2)+'Alternative 1'!$B$27)*('Alternative 1'!$B$39)*COS('Alternative 1-Tilt Up (3pt)'!K23))+(((('Alternative 1'!$B$28-'Alternative 1'!$B$27)/2)+(('Alternative 1'!$B$29-'Alternative 1'!$B$28)/2))*('Alternative 1'!$B$39)*COS('Alternative 1-Tilt Up (3pt)'!K23))+(((('Alternative 1'!$B$12-'Alternative 1'!$B$29)+(('Alternative 1'!$B$29-'Alternative 1'!$B$28)/2))*('Alternative 1'!$B$39)*COS('Alternative 1-Tilt Up (3pt)'!K23)))</f>
        <v>287658.61733119469</v>
      </c>
      <c r="P23" s="109">
        <f t="shared" si="1"/>
        <v>540594.2978112133</v>
      </c>
      <c r="R23" s="105">
        <f>'Alternative 1'!$B$39*$B23*$C23*COS($K$5)-($N$5/3)*$E23*SIN($K$5)-($N$5/3)*$F23*SIN($K$5)-($N$5/3)*$G23*SIN($K$5)</f>
        <v>459983.9998817899</v>
      </c>
      <c r="S23" s="106">
        <f>IF(($A23&lt;'Alternative 1'!$B$27),(($H23*'Alternative 1'!$B$39)+(3*($N$5/3)*COS($K$5))),IF(($A23&lt;'Alternative 1'!$B$28),(($H23*'Alternative 1'!$B$39)+(2*(($N$5/3)*COS($K$5)))),IF(($A23&lt;'Alternative 1'!$B$29),(($H$3*'Alternative 1'!$B$39+(($N$5/3)*COS($K$5)))),($H23*'Alternative 1'!$B$39))))</f>
        <v>4130997.0459825229</v>
      </c>
      <c r="T23" s="105">
        <f>R23*'Alternative 1'!$K24/'Alternative 1'!$L24</f>
        <v>3660439.4580593742</v>
      </c>
      <c r="U23" s="105">
        <f>S23/'Alternative 1'!$M24</f>
        <v>1823555.929524665</v>
      </c>
      <c r="V23" s="105">
        <f t="shared" si="2"/>
        <v>5.4839953875840388</v>
      </c>
      <c r="X23" s="105">
        <f>'Alternative 1'!$B$39*$B23*$C23*COS($K$13)-($N$12/3)*$E23*SIN($K$13)-($N$12/3)*$F23*SIN($K$13)-($N$12/3)*$G23*SIN($K$13)</f>
        <v>383191.52718135819</v>
      </c>
      <c r="Y23" s="106">
        <f>IF(($A23&lt;'Alternative 1'!$B$27),(($H23*'Alternative 1'!$B$39)+(3*($N$12/3)*COS($K$13))),IF(($A23&lt;'Alternative 1'!$B$28),(($H23*'Alternative 1'!$B$39)+(2*(($N$12/3)*COS($K$13)))),IF(($A23&lt;'Alternative 1'!$B$29),(($H$3*'Alternative 1'!$B$39+(($N$12/3)*COS($K$13)))),($H23*'Alternative 1'!$B$39))))</f>
        <v>1004010.4158511382</v>
      </c>
      <c r="Z23" s="105">
        <f>X23*'Alternative 1'!$K24/'Alternative 1'!$L24</f>
        <v>3049343.8607628481</v>
      </c>
      <c r="AA23" s="105">
        <f>Y23/'Alternative 1'!$M24</f>
        <v>443202.72485075356</v>
      </c>
      <c r="AB23" s="105">
        <f t="shared" si="3"/>
        <v>3.492546585613602</v>
      </c>
      <c r="AD23" s="105">
        <f>'Alternative 1'!$B$39*$B23*$C23*COS($K$23)-($N$22/3)*$E23*SIN($K$23)-($N$22/3)*$F23*SIN($K$23)-($N$22/3)*$G23*SIN($K$23)</f>
        <v>398832.32609520038</v>
      </c>
      <c r="AE23" s="106">
        <f>IF(($A23&lt;'Alternative 1'!$B$27),(($H23*'Alternative 1'!$B$39)+(3*($N$22/3)*COS($K$23))),IF(($A23&lt;'Alternative 1'!$B$28),(($H23*'Alternative 1'!$B$39)+(2*(($N$22/3)*COS($K$23)))),IF(($A23&lt;'Alternative 1'!$B$29),(($H$3*'Alternative 1'!$B$39+(($N$22/3)*COS($K$23)))),($H23*'Alternative 1'!$B$39))))</f>
        <v>517008.66193881317</v>
      </c>
      <c r="AF23" s="105">
        <f>AD23*'Alternative 1'!$K24/'Alternative 1'!$L24</f>
        <v>3173809.4889466832</v>
      </c>
      <c r="AG23" s="105">
        <f>AE23/'Alternative 1'!$M24</f>
        <v>228224.37309923084</v>
      </c>
      <c r="AH23" s="105">
        <f t="shared" si="4"/>
        <v>3.4020338620459141</v>
      </c>
      <c r="AJ23" s="105">
        <f>'Alternative 1'!$B$39*$B23*$C23*COS($K$33)-($N$32/3)*$E23*SIN($K$33)-($N$32/3)*$F23*SIN($K$33)-($N$32/3)*$G23*SIN($K$33)</f>
        <v>375984.44042203389</v>
      </c>
      <c r="AK23" s="106">
        <f>IF(($A23&lt;'Alternative 1'!$B$27),(($H23*'Alternative 1'!$B$39)+(3*($N$32/3)*COS($K$33))),IF(($A23&lt;'Alternative 1'!$B$28),(($H23*'Alternative 1'!$B$39)+(2*(($N$32/3)*COS($K$33)))),IF(($A23&lt;'Alternative 1'!$B$29),(($H$3*'Alternative 1'!$B$39+(($N$32/3)*COS($K$33)))),($H23*'Alternative 1'!$B$39))))</f>
        <v>354145.59146305971</v>
      </c>
      <c r="AL23" s="105">
        <f>AJ23*'Alternative 1'!$K24/'Alternative 1'!$L24</f>
        <v>2991991.6381675676</v>
      </c>
      <c r="AM23" s="105">
        <f>AK23/'Alternative 1'!$M24</f>
        <v>156331.33745654445</v>
      </c>
      <c r="AN23" s="105">
        <f t="shared" si="5"/>
        <v>3.148322975624112</v>
      </c>
      <c r="AP23" s="105">
        <f>'Alternative 1'!$B$39*$B23*$C23*COS($K$43)-($N$42/3)*$E23*SIN($K$43)-($N$42/3)*$F23*SIN($K$43)-($N$42/3)*$G23*SIN($K$43)</f>
        <v>335156.80939124897</v>
      </c>
      <c r="AQ23" s="106">
        <f>IF(($A23&lt;'Alternative 1'!$B$27),(($H23*'Alternative 1'!$B$39)+(3*($N$42/3)*COS($K$43))),IF(($A23&lt;'Alternative 1'!$B$28),(($H23*'Alternative 1'!$B$39)+(2*(($N$42/3)*COS($K$43)))),IF(($A23&lt;'Alternative 1'!$B$29),(($H$3*'Alternative 1'!$B$39+(($N$42/3)*COS($K$43)))),($H23*'Alternative 1'!$B$39))))</f>
        <v>268106.51160414168</v>
      </c>
      <c r="AR23" s="105">
        <f>AP23*'Alternative 1'!$K24/'Alternative 1'!$L24</f>
        <v>2667095.399075381</v>
      </c>
      <c r="AS23" s="105">
        <f>AQ23/'Alternative 1'!$M24</f>
        <v>118350.90016715892</v>
      </c>
      <c r="AT23" s="105">
        <f t="shared" si="6"/>
        <v>2.7854462992425399</v>
      </c>
      <c r="AV23" s="105">
        <f>'Alternative 1'!$B$39*$B23*$C23*COS($K$53)-($N$52/3)*$E23*SIN($K$53)-($N$52/3)*$F23*SIN($K$53)-($N$52/3)*$G23*SIN($K$53)</f>
        <v>281317.17734873295</v>
      </c>
      <c r="AW23" s="106">
        <f>IF(($A23&lt;'Alternative 1'!$B$27),(($H23*'Alternative 1'!$B$39)+(3*($N$52/3)*COS($K$53))),IF(($A23&lt;'Alternative 1'!$B$28),(($H23*'Alternative 1'!$B$39)+(2*(($N$52/3)*COS($K$53)))),IF(($A23&lt;'Alternative 1'!$B$29),(($H$3*'Alternative 1'!$B$39+(($N$52/3)*COS($K$53)))),($H23*'Alternative 1'!$B$39))))</f>
        <v>214054.08872271416</v>
      </c>
      <c r="AX23" s="105">
        <f>AV23*'Alternative 1'!$K24/'Alternative 1'!$L24</f>
        <v>2238652.8584946869</v>
      </c>
      <c r="AY23" s="105">
        <f>AW23/'Alternative 1'!$M24</f>
        <v>94490.409551107572</v>
      </c>
      <c r="AZ23" s="105">
        <f t="shared" si="7"/>
        <v>2.3331432680457946</v>
      </c>
      <c r="BB23" s="105">
        <f>'Alternative 1'!$B$39*$B23*$C23*COS($K$63)-($N$62/3)*$E23*SIN($K$63)-($N$62/3)*$F23*SIN($K$63)-($N$62/3)*$G23*SIN($K$63)</f>
        <v>217329.78260695416</v>
      </c>
      <c r="BC23" s="106">
        <f>IF(($A23&lt;'Alternative 1'!$B$27),(($H23*'Alternative 1'!$B$39)+(3*($N$62/3)*COS($K$63))),IF(($A23&lt;'Alternative 1'!$B$28),(($H23*'Alternative 1'!$B$39)+(2*(($N$62/3)*COS($K$63)))),IF(($A23&lt;'Alternative 1'!$B$29),(($H$3*'Alternative 1'!$B$39+(($N$62/3)*COS($K$63)))),($H23*'Alternative 1'!$B$39))))</f>
        <v>177992.44964787248</v>
      </c>
      <c r="BD23" s="105">
        <f>BB23*'Alternative 1'!$K24/'Alternative 1'!$L24</f>
        <v>1729456.9199589554</v>
      </c>
      <c r="BE23" s="105">
        <f>BC23/'Alternative 1'!$M24</f>
        <v>78571.633761311445</v>
      </c>
      <c r="BF23" s="105">
        <f t="shared" si="8"/>
        <v>1.8080285537202667</v>
      </c>
      <c r="BH23" s="105">
        <f>'Alternative 1'!$B$39*$B23*$C23*COS($K$73)-($N$72/3)*$E23*SIN($K$73)-($N$72/3)*$F23*SIN($K$73)-($N$72/3)*$G23*SIN($K$73)</f>
        <v>145660.07708282676</v>
      </c>
      <c r="BI23" s="106">
        <f>IF(($A23&lt;'Alternative 1'!$B$27),(($H23*'Alternative 1'!$B$39)+(3*($N$72/3)*COS($K$73))),IF(($A23&lt;'Alternative 1'!$B$28),(($H23*'Alternative 1'!$B$39)+(2*(($N$72/3)*COS($K$73)))),IF(($A23&lt;'Alternative 1'!$B$29),(($H$3*'Alternative 1'!$B$39+(($N$72/3)*COS($K$73)))),($H23*'Alternative 1'!$B$39))))</f>
        <v>154381.51072118524</v>
      </c>
      <c r="BJ23" s="105">
        <f>BH23*'Alternative 1'!$K24/'Alternative 1'!$L24</f>
        <v>1159127.0430166475</v>
      </c>
      <c r="BK23" s="105">
        <f>BI23/'Alternative 1'!$M24</f>
        <v>68149.000386814616</v>
      </c>
      <c r="BL23" s="105">
        <f t="shared" si="9"/>
        <v>1.227276043403462</v>
      </c>
      <c r="BN23" s="105">
        <f>'Alternative 1'!$B$39*$B23*$C23*COS($K$83)-($N$82/3)*$E23*SIN($K$83)-($N$82/3)*$F23*SIN($K$83)-($N$82/3)*$G23*SIN($K$83)</f>
        <v>68734.926503360824</v>
      </c>
      <c r="BO23" s="106">
        <f>IF(($A23&lt;'Alternative 1'!$B$27),(($H23*'Alternative 1'!$B$39)+(3*($N$82/3)*COS($K$83))),IF(($A23&lt;'Alternative 1'!$B$28),(($H23*'Alternative 1'!$B$39)+(2*(($N$82/3)*COS($K$83)))),IF(($A23&lt;'Alternative 1'!$B$29),(($H$3*'Alternative 1'!$B$39+(($N$82/3)*COS($K$83)))),($H23*'Alternative 1'!$B$39))))</f>
        <v>140765.85856130405</v>
      </c>
      <c r="BP23" s="105">
        <f>BN23*'Alternative 1'!$K24/'Alternative 1'!$L24</f>
        <v>546975.62781394797</v>
      </c>
      <c r="BQ23" s="105">
        <f>BO23/'Alternative 1'!$M24</f>
        <v>62138.610412161099</v>
      </c>
      <c r="BR23" s="105">
        <f t="shared" si="10"/>
        <v>0.60911423822610911</v>
      </c>
      <c r="BT23" s="105">
        <f>'Alternative 1'!$B$39*$B23*$C23*COS($K$93)-($K$92/3)*$E23*SIN($K$93)-($K$92/3)*$F23*SIN($K$93)-($K$92/3)*$G23*SIN($K$93)</f>
        <v>-4.6600291027581857</v>
      </c>
      <c r="BU23" s="106">
        <f>IF(($A23&lt;'Alternative 1'!$B$27),(($H23*'Alternative 1'!$B$39)+(3*($N$92/3)*COS($K$93))),IF(($A23&lt;'Alternative 1'!$B$28),(($H23*'Alternative 1'!$B$39)+(2*(($N$92/3)*COS($K$93)))),IF(($A23&lt;'Alternative 1'!$B$29),(($H$3*'Alternative 1'!$B$39+(($N$92/3)*COS($K$93)))),($H23*'Alternative 1'!$B$39))))</f>
        <v>136053.29183333847</v>
      </c>
      <c r="BV23" s="105">
        <f>BT23*'Alternative 1'!$K24/'Alternative 1'!$L24</f>
        <v>-37.083364655780876</v>
      </c>
      <c r="BW23" s="105">
        <f>BU23/'Alternative 1'!$M24</f>
        <v>60058.330783682606</v>
      </c>
      <c r="BX23" s="105">
        <f t="shared" si="11"/>
        <v>6.0021247419026827E-2</v>
      </c>
      <c r="BZ23" s="104">
        <v>150</v>
      </c>
      <c r="CA23" s="104">
        <v>-150</v>
      </c>
    </row>
    <row r="24" spans="1:79" ht="15" customHeight="1" x14ac:dyDescent="0.25">
      <c r="A24" s="18">
        <f>IF('Alternative 1'!F25&gt;0,'Alternative 1'!F25,"x")</f>
        <v>22</v>
      </c>
      <c r="B24" s="18">
        <f t="shared" si="17"/>
        <v>15</v>
      </c>
      <c r="C24" s="18">
        <f t="shared" si="12"/>
        <v>7.5</v>
      </c>
      <c r="D24" s="18">
        <f t="shared" si="13"/>
        <v>22</v>
      </c>
      <c r="E24" s="101">
        <f>IF($A24&lt;='Alternative 1'!$B$27, IF($A24='Alternative 1'!$B$27,0,E25+1),0)</f>
        <v>0</v>
      </c>
      <c r="F24" s="101">
        <f>IF($A24&lt;=('Alternative 1'!$B$28), IF($A24=ROUNDDOWN('Alternative 1'!$B$28,0),0,F25+1),0)</f>
        <v>0</v>
      </c>
      <c r="G24" s="101">
        <f>IF($A24&lt;=('Alternative 1'!$B$29), IF($A24=ROUNDDOWN('Alternative 1'!$B$29,0),0,G25+1),0)</f>
        <v>7</v>
      </c>
      <c r="H24" s="18">
        <f t="shared" si="14"/>
        <v>15</v>
      </c>
      <c r="J24" s="104">
        <f t="shared" si="15"/>
        <v>21</v>
      </c>
      <c r="K24" s="104">
        <f t="shared" si="16"/>
        <v>0.36651914291880922</v>
      </c>
      <c r="L24" s="105">
        <f>'Alternative 1'!$B$27*SIN(K24)+'Alternative 1'!$B$28*SIN(K24)+'Alternative 1'!$B$29*SIN(K24)</f>
        <v>24.369020569080419</v>
      </c>
      <c r="M24" s="104">
        <f>(('Alternative 1'!$B$27)*(((('Alternative 1'!$B$28-'Alternative 1'!$B$27)/2)+'Alternative 1'!$B$27)*'Alternative 1'!$B$39)*COS('Alternative 1-Tilt Up (3pt)'!K24))+(('Alternative 1'!$B$28)*((('Alternative 1'!$B$28-'Alternative 1'!$B$27)/2)+(('Alternative 1'!$B$29-'Alternative 1'!$B$28)/2))*('Alternative 1'!$B$39)*COS('Alternative 1-Tilt Up (3pt)'!K24))+(('Alternative 1'!$B$29)*((('Alternative 1'!$B$12-'Alternative 1'!$B$29+(('Alternative 1'!$B$29-'Alternative 1'!$B$28)/2)*('Alternative 1'!$B$39)*COS('Alternative 1-Tilt Up (3pt)'!K24)))))</f>
        <v>4430890.6540806461</v>
      </c>
      <c r="N24" s="104">
        <f t="shared" si="0"/>
        <v>545474.19846277172</v>
      </c>
      <c r="O24" s="104">
        <f>(((('Alternative 1'!$B$28-'Alternative 1'!$B$27)/2)+'Alternative 1'!$B$27)*('Alternative 1'!$B$39)*COS('Alternative 1-Tilt Up (3pt)'!K24))+(((('Alternative 1'!$B$28-'Alternative 1'!$B$27)/2)+(('Alternative 1'!$B$29-'Alternative 1'!$B$28)/2))*('Alternative 1'!$B$39)*COS('Alternative 1-Tilt Up (3pt)'!K24))+(((('Alternative 1'!$B$12-'Alternative 1'!$B$29)+(('Alternative 1'!$B$29-'Alternative 1'!$B$28)/2))*('Alternative 1'!$B$39)*COS('Alternative 1-Tilt Up (3pt)'!K24)))</f>
        <v>285787.55298626184</v>
      </c>
      <c r="P24" s="104">
        <f t="shared" si="1"/>
        <v>509244.03484409367</v>
      </c>
      <c r="R24" s="105">
        <f>'Alternative 1'!$B$39*$B24*$C24*COS($K$5)-($N$5/3)*$E24*SIN($K$5)-($N$5/3)*$F24*SIN($K$5)-($N$5/3)*$G24*SIN($K$5)</f>
        <v>467769.17337906495</v>
      </c>
      <c r="S24" s="106">
        <f>IF(($A24&lt;'Alternative 1'!$B$27),(($H24*'Alternative 1'!$B$39)+(3*($N$5/3)*COS($K$5))),IF(($A24&lt;'Alternative 1'!$B$28),(($H24*'Alternative 1'!$B$39)+(2*(($N$5/3)*COS($K$5)))),IF(($A24&lt;'Alternative 1'!$B$29),(($H$3*'Alternative 1'!$B$39+(($N$5/3)*COS($K$5)))),($H24*'Alternative 1'!$B$39))))</f>
        <v>4122493.7152429395</v>
      </c>
      <c r="T24" s="105">
        <f>R24*'Alternative 1'!$K25/'Alternative 1'!$L25</f>
        <v>3722391.9526343746</v>
      </c>
      <c r="U24" s="105">
        <f>S24/'Alternative 1'!$M25</f>
        <v>1863185.6520284293</v>
      </c>
      <c r="V24" s="105">
        <f t="shared" si="2"/>
        <v>5.5855776046628041</v>
      </c>
      <c r="X24" s="105">
        <f>'Alternative 1'!$B$39*$B24*$C24*COS($K$13)-($N$12/3)*$E24*SIN($K$13)-($N$12/3)*$F24*SIN($K$13)-($N$12/3)*$G24*SIN($K$13)</f>
        <v>406436.52264289965</v>
      </c>
      <c r="Y24" s="106">
        <f>IF(($A24&lt;'Alternative 1'!$B$27),(($H24*'Alternative 1'!$B$39)+(3*($N$12/3)*COS($K$13))),IF(($A24&lt;'Alternative 1'!$B$28),(($H24*'Alternative 1'!$B$39)+(2*(($N$12/3)*COS($K$13)))),IF(($A24&lt;'Alternative 1'!$B$29),(($H$3*'Alternative 1'!$B$39+(($N$12/3)*COS($K$13)))),($H24*'Alternative 1'!$B$39))))</f>
        <v>995507.0851115546</v>
      </c>
      <c r="Z24" s="105">
        <f>X24*'Alternative 1'!$K25/'Alternative 1'!$L25</f>
        <v>3234321.81349969</v>
      </c>
      <c r="AA24" s="105">
        <f>Y24/'Alternative 1'!$M25</f>
        <v>449925.37177541538</v>
      </c>
      <c r="AB24" s="105">
        <f t="shared" si="3"/>
        <v>3.6842471852751051</v>
      </c>
      <c r="AD24" s="105">
        <f>'Alternative 1'!$B$39*$B24*$C24*COS($K$23)-($N$22/3)*$E24*SIN($K$23)-($N$22/3)*$F24*SIN($K$23)-($N$22/3)*$G24*SIN($K$23)</f>
        <v>413635.72560208238</v>
      </c>
      <c r="AE24" s="106">
        <f>IF(($A24&lt;'Alternative 1'!$B$27),(($H24*'Alternative 1'!$B$39)+(3*($N$22/3)*COS($K$23))),IF(($A24&lt;'Alternative 1'!$B$28),(($H24*'Alternative 1'!$B$39)+(2*(($N$22/3)*COS($K$23)))),IF(($A24&lt;'Alternative 1'!$B$29),(($H$3*'Alternative 1'!$B$39+(($N$22/3)*COS($K$23)))),($H24*'Alternative 1'!$B$39))))</f>
        <v>508505.33119922946</v>
      </c>
      <c r="AF24" s="105">
        <f>AD24*'Alternative 1'!$K25/'Alternative 1'!$L25</f>
        <v>3291611.2987538348</v>
      </c>
      <c r="AG24" s="105">
        <f>AE24/'Alternative 1'!$M25</f>
        <v>229822.0209692996</v>
      </c>
      <c r="AH24" s="105">
        <f t="shared" si="4"/>
        <v>3.5214333197231342</v>
      </c>
      <c r="AJ24" s="105">
        <f>'Alternative 1'!$B$39*$B24*$C24*COS($K$33)-($N$32/3)*$E24*SIN($K$33)-($N$32/3)*$F24*SIN($K$33)-($N$32/3)*$G24*SIN($K$33)</f>
        <v>387756.53154389927</v>
      </c>
      <c r="AK24" s="106">
        <f>IF(($A24&lt;'Alternative 1'!$B$27),(($H24*'Alternative 1'!$B$39)+(3*($N$32/3)*COS($K$33))),IF(($A24&lt;'Alternative 1'!$B$28),(($H24*'Alternative 1'!$B$39)+(2*(($N$32/3)*COS($K$33)))),IF(($A24&lt;'Alternative 1'!$B$29),(($H$3*'Alternative 1'!$B$39+(($N$32/3)*COS($K$33)))),($H24*'Alternative 1'!$B$39))))</f>
        <v>345642.26072347607</v>
      </c>
      <c r="AL24" s="105">
        <f>AJ24*'Alternative 1'!$K25/'Alternative 1'!$L25</f>
        <v>3085671.0419238294</v>
      </c>
      <c r="AM24" s="105">
        <f>AK24/'Alternative 1'!$M25</f>
        <v>156215.08373280789</v>
      </c>
      <c r="AN24" s="105">
        <f t="shared" si="5"/>
        <v>3.2418861256566376</v>
      </c>
      <c r="AP24" s="105">
        <f>'Alternative 1'!$B$39*$B24*$C24*COS($K$43)-($N$42/3)*$E24*SIN($K$43)-($N$42/3)*$F24*SIN($K$43)-($N$42/3)*$G24*SIN($K$43)</f>
        <v>344996.71385025902</v>
      </c>
      <c r="AQ24" s="106">
        <f>IF(($A24&lt;'Alternative 1'!$B$27),(($H24*'Alternative 1'!$B$39)+(3*($N$42/3)*COS($K$43))),IF(($A24&lt;'Alternative 1'!$B$28),(($H24*'Alternative 1'!$B$39)+(2*(($N$42/3)*COS($K$43)))),IF(($A24&lt;'Alternative 1'!$B$29),(($H$3*'Alternative 1'!$B$39+(($N$42/3)*COS($K$43)))),($H24*'Alternative 1'!$B$39))))</f>
        <v>259603.18086455797</v>
      </c>
      <c r="AR24" s="105">
        <f>AP24*'Alternative 1'!$K25/'Alternative 1'!$L25</f>
        <v>2745398.9369257209</v>
      </c>
      <c r="AS24" s="105">
        <f>AQ24/'Alternative 1'!$M25</f>
        <v>117329.20780918201</v>
      </c>
      <c r="AT24" s="105">
        <f t="shared" si="6"/>
        <v>2.8627281447349029</v>
      </c>
      <c r="AV24" s="105">
        <f>'Alternative 1'!$B$39*$B24*$C24*COS($K$53)-($N$52/3)*$E24*SIN($K$53)-($N$52/3)*$F24*SIN($K$53)-($N$52/3)*$G24*SIN($K$53)</f>
        <v>289554.45483955642</v>
      </c>
      <c r="AW24" s="106">
        <f>IF(($A24&lt;'Alternative 1'!$B$27),(($H24*'Alternative 1'!$B$39)+(3*($N$52/3)*COS($K$53))),IF(($A24&lt;'Alternative 1'!$B$28),(($H24*'Alternative 1'!$B$39)+(2*(($N$52/3)*COS($K$53)))),IF(($A24&lt;'Alternative 1'!$B$29),(($H$3*'Alternative 1'!$B$39+(($N$52/3)*COS($K$53)))),($H24*'Alternative 1'!$B$39))))</f>
        <v>205550.75798313052</v>
      </c>
      <c r="AX24" s="105">
        <f>AV24*'Alternative 1'!$K25/'Alternative 1'!$L25</f>
        <v>2304203.0853768028</v>
      </c>
      <c r="AY24" s="105">
        <f>AW24/'Alternative 1'!$M25</f>
        <v>92899.892514491759</v>
      </c>
      <c r="AZ24" s="105">
        <f t="shared" si="7"/>
        <v>2.3971029778912949</v>
      </c>
      <c r="BB24" s="105">
        <f>'Alternative 1'!$B$39*$B24*$C24*COS($K$63)-($N$62/3)*$E24*SIN($K$63)-($N$62/3)*$F24*SIN($K$63)-($N$62/3)*$G24*SIN($K$63)</f>
        <v>224069.721536603</v>
      </c>
      <c r="BC24" s="106">
        <f>IF(($A24&lt;'Alternative 1'!$B$27),(($H24*'Alternative 1'!$B$39)+(3*($N$62/3)*COS($K$63))),IF(($A24&lt;'Alternative 1'!$B$28),(($H24*'Alternative 1'!$B$39)+(2*(($N$62/3)*COS($K$63)))),IF(($A24&lt;'Alternative 1'!$B$29),(($H$3*'Alternative 1'!$B$39+(($N$62/3)*COS($K$63)))),($H24*'Alternative 1'!$B$39))))</f>
        <v>169489.11890828883</v>
      </c>
      <c r="BD24" s="105">
        <f>BB24*'Alternative 1'!$K25/'Alternative 1'!$L25</f>
        <v>1783091.6951018672</v>
      </c>
      <c r="BE24" s="105">
        <f>BC24/'Alternative 1'!$M25</f>
        <v>76601.61939294904</v>
      </c>
      <c r="BF24" s="105">
        <f t="shared" si="8"/>
        <v>1.8596933144948162</v>
      </c>
      <c r="BH24" s="105">
        <f>'Alternative 1'!$B$39*$B24*$C24*COS($K$73)-($N$72/3)*$E24*SIN($K$73)-($N$72/3)*$F24*SIN($K$73)-($N$72/3)*$G24*SIN($K$73)</f>
        <v>150937.63344238893</v>
      </c>
      <c r="BI24" s="106">
        <f>IF(($A24&lt;'Alternative 1'!$B$27),(($H24*'Alternative 1'!$B$39)+(3*($N$72/3)*COS($K$73))),IF(($A24&lt;'Alternative 1'!$B$28),(($H24*'Alternative 1'!$B$39)+(2*(($N$72/3)*COS($K$73)))),IF(($A24&lt;'Alternative 1'!$B$29),(($H$3*'Alternative 1'!$B$39+(($N$72/3)*COS($K$73)))),($H24*'Alternative 1'!$B$39))))</f>
        <v>145878.17998160157</v>
      </c>
      <c r="BJ24" s="105">
        <f>BH24*'Alternative 1'!$K25/'Alternative 1'!$L25</f>
        <v>1201124.5375939328</v>
      </c>
      <c r="BK24" s="105">
        <f>BI24/'Alternative 1'!$M25</f>
        <v>65930.514552579189</v>
      </c>
      <c r="BL24" s="105">
        <f t="shared" si="9"/>
        <v>1.267055052146512</v>
      </c>
      <c r="BN24" s="105">
        <f>'Alternative 1'!$B$39*$B24*$C24*COS($K$83)-($N$82/3)*$E24*SIN($K$83)-($N$82/3)*$F24*SIN($K$83)-($N$82/3)*$G24*SIN($K$83)</f>
        <v>72574.108262475042</v>
      </c>
      <c r="BO24" s="106">
        <f>IF(($A24&lt;'Alternative 1'!$B$27),(($H24*'Alternative 1'!$B$39)+(3*($N$82/3)*COS($K$83))),IF(($A24&lt;'Alternative 1'!$B$28),(($H24*'Alternative 1'!$B$39)+(2*(($N$82/3)*COS($K$83)))),IF(($A24&lt;'Alternative 1'!$B$29),(($H$3*'Alternative 1'!$B$39+(($N$82/3)*COS($K$83)))),($H24*'Alternative 1'!$B$39))))</f>
        <v>132262.5278217204</v>
      </c>
      <c r="BP24" s="105">
        <f>BN24*'Alternative 1'!$K25/'Alternative 1'!$L25</f>
        <v>577526.89133905957</v>
      </c>
      <c r="BQ24" s="105">
        <f>BO24/'Alternative 1'!$M25</f>
        <v>59776.839253208716</v>
      </c>
      <c r="BR24" s="105">
        <f t="shared" si="10"/>
        <v>0.6373037305922683</v>
      </c>
      <c r="BT24" s="105">
        <f>'Alternative 1'!$B$39*$B24*$C24*COS($K$93)-($K$92/3)*$E24*SIN($K$93)-($K$92/3)*$F24*SIN($K$93)-($K$92/3)*$G24*SIN($K$93)</f>
        <v>-3.624467079916291</v>
      </c>
      <c r="BU24" s="106">
        <f>IF(($A24&lt;'Alternative 1'!$B$27),(($H24*'Alternative 1'!$B$39)+(3*($N$92/3)*COS($K$93))),IF(($A24&lt;'Alternative 1'!$B$28),(($H24*'Alternative 1'!$B$39)+(2*(($N$92/3)*COS($K$93)))),IF(($A24&lt;'Alternative 1'!$B$29),(($H$3*'Alternative 1'!$B$39+(($N$92/3)*COS($K$93)))),($H24*'Alternative 1'!$B$39))))</f>
        <v>127549.96109375481</v>
      </c>
      <c r="BV24" s="105">
        <f>BT24*'Alternative 1'!$K25/'Alternative 1'!$L25</f>
        <v>-28.842616954442583</v>
      </c>
      <c r="BW24" s="105">
        <f>BU24/'Alternative 1'!$M25</f>
        <v>57646.966579465996</v>
      </c>
      <c r="BX24" s="105">
        <f t="shared" si="11"/>
        <v>5.7618123962511557E-2</v>
      </c>
      <c r="BZ24" s="104">
        <v>150</v>
      </c>
      <c r="CA24" s="104">
        <v>-150</v>
      </c>
    </row>
    <row r="25" spans="1:79" ht="15" customHeight="1" x14ac:dyDescent="0.25">
      <c r="A25" s="18">
        <f>IF('Alternative 1'!F26&gt;0,'Alternative 1'!F26,"x")</f>
        <v>23</v>
      </c>
      <c r="B25" s="18">
        <f t="shared" si="17"/>
        <v>14</v>
      </c>
      <c r="C25" s="18">
        <f t="shared" si="12"/>
        <v>7</v>
      </c>
      <c r="D25" s="18">
        <f t="shared" si="13"/>
        <v>23</v>
      </c>
      <c r="E25" s="101">
        <f>IF($A25&lt;='Alternative 1'!$B$27, IF($A25='Alternative 1'!$B$27,0,E26+1),0)</f>
        <v>0</v>
      </c>
      <c r="F25" s="101">
        <f>IF($A25&lt;=('Alternative 1'!$B$28), IF($A25=ROUNDDOWN('Alternative 1'!$B$28,0),0,F26+1),0)</f>
        <v>0</v>
      </c>
      <c r="G25" s="101">
        <f>IF($A25&lt;=('Alternative 1'!$B$29), IF($A25=ROUNDDOWN('Alternative 1'!$B$29,0),0,G26+1),0)</f>
        <v>6</v>
      </c>
      <c r="H25" s="18">
        <f t="shared" si="14"/>
        <v>14</v>
      </c>
      <c r="J25" s="104">
        <f t="shared" si="15"/>
        <v>22</v>
      </c>
      <c r="K25" s="104">
        <f t="shared" si="16"/>
        <v>0.38397243543875248</v>
      </c>
      <c r="L25" s="105">
        <f>'Alternative 1'!$B$27*SIN(K25)+'Alternative 1'!$B$28*SIN(K25)+'Alternative 1'!$B$29*SIN(K25)</f>
        <v>25.473248352282017</v>
      </c>
      <c r="M25" s="104">
        <f>(('Alternative 1'!$B$27)*(((('Alternative 1'!$B$28-'Alternative 1'!$B$27)/2)+'Alternative 1'!$B$27)*'Alternative 1'!$B$39)*COS('Alternative 1-Tilt Up (3pt)'!K25))+(('Alternative 1'!$B$28)*((('Alternative 1'!$B$28-'Alternative 1'!$B$27)/2)+(('Alternative 1'!$B$29-'Alternative 1'!$B$28)/2))*('Alternative 1'!$B$39)*COS('Alternative 1-Tilt Up (3pt)'!K25))+(('Alternative 1'!$B$29)*((('Alternative 1'!$B$12-'Alternative 1'!$B$29+(('Alternative 1'!$B$29-'Alternative 1'!$B$28)/2)*('Alternative 1'!$B$39)*COS('Alternative 1-Tilt Up (3pt)'!K25)))))</f>
        <v>4400533.0559435887</v>
      </c>
      <c r="N25" s="104">
        <f t="shared" si="0"/>
        <v>518253.46281947987</v>
      </c>
      <c r="O25" s="104">
        <f>(((('Alternative 1'!$B$28-'Alternative 1'!$B$27)/2)+'Alternative 1'!$B$27)*('Alternative 1'!$B$39)*COS('Alternative 1-Tilt Up (3pt)'!K25))+(((('Alternative 1'!$B$28-'Alternative 1'!$B$27)/2)+(('Alternative 1'!$B$29-'Alternative 1'!$B$28)/2))*('Alternative 1'!$B$39)*COS('Alternative 1-Tilt Up (3pt)'!K25))+(((('Alternative 1'!$B$12-'Alternative 1'!$B$29)+(('Alternative 1'!$B$29-'Alternative 1'!$B$28)/2))*('Alternative 1'!$B$39)*COS('Alternative 1-Tilt Up (3pt)'!K25)))</f>
        <v>283829.43498420325</v>
      </c>
      <c r="P25" s="104">
        <f t="shared" si="1"/>
        <v>480516.24329955061</v>
      </c>
      <c r="R25" s="105">
        <f>'Alternative 1'!$B$39*$B25*$C25*COS($K$5)-($N$5/3)*$E25*SIN($K$5)-($N$5/3)*$F25*SIN($K$5)-($N$5/3)*$G25*SIN($K$5)</f>
        <v>414299.24263101909</v>
      </c>
      <c r="S25" s="106">
        <f>IF(($A25&lt;'Alternative 1'!$B$27),(($H25*'Alternative 1'!$B$39)+(3*($N$5/3)*COS($K$5))),IF(($A25&lt;'Alternative 1'!$B$28),(($H25*'Alternative 1'!$B$39)+(2*(($N$5/3)*COS($K$5)))),IF(($A25&lt;'Alternative 1'!$B$29),(($H$3*'Alternative 1'!$B$39+(($N$5/3)*COS($K$5)))),($H25*'Alternative 1'!$B$39))))</f>
        <v>2303591.7836996038</v>
      </c>
      <c r="T25" s="105">
        <f>R25*'Alternative 1'!$K26/'Alternative 1'!$L26</f>
        <v>3296891.4039627947</v>
      </c>
      <c r="U25" s="105">
        <f>S25/'Alternative 1'!$M26</f>
        <v>1066241.4086968531</v>
      </c>
      <c r="V25" s="105">
        <f t="shared" si="2"/>
        <v>4.3631328126596474</v>
      </c>
      <c r="X25" s="105">
        <f>'Alternative 1'!$B$39*$B25*$C25*COS($K$13)-($N$12/3)*$E25*SIN($K$13)-($N$12/3)*$F25*SIN($K$13)-($N$12/3)*$G25*SIN($K$13)</f>
        <v>361533.53461197967</v>
      </c>
      <c r="Y25" s="106">
        <f>IF(($A25&lt;'Alternative 1'!$B$27),(($H25*'Alternative 1'!$B$39)+(3*($N$12/3)*COS($K$13))),IF(($A25&lt;'Alternative 1'!$B$28),(($H25*'Alternative 1'!$B$39)+(2*(($N$12/3)*COS($K$13)))),IF(($A25&lt;'Alternative 1'!$B$29),(($H$3*'Alternative 1'!$B$39+(($N$12/3)*COS($K$13)))),($H25*'Alternative 1'!$B$39))))</f>
        <v>740098.46863391146</v>
      </c>
      <c r="Z25" s="105">
        <f>X25*'Alternative 1'!$K26/'Alternative 1'!$L26</f>
        <v>2876994.8864426906</v>
      </c>
      <c r="AA25" s="105">
        <f>Y25/'Alternative 1'!$M26</f>
        <v>342562.27138614847</v>
      </c>
      <c r="AB25" s="105">
        <f t="shared" si="3"/>
        <v>3.2195571578288389</v>
      </c>
      <c r="AD25" s="105">
        <f>'Alternative 1'!$B$39*$B25*$C25*COS($K$23)-($N$22/3)*$E25*SIN($K$23)-($N$22/3)*$F25*SIN($K$23)-($N$22/3)*$G25*SIN($K$23)</f>
        <v>367101.43460592447</v>
      </c>
      <c r="AE25" s="106">
        <f>IF(($A25&lt;'Alternative 1'!$B$27),(($H25*'Alternative 1'!$B$39)+(3*($N$22/3)*COS($K$23))),IF(($A25&lt;'Alternative 1'!$B$28),(($H25*'Alternative 1'!$B$39)+(2*(($N$22/3)*COS($K$23)))),IF(($A25&lt;'Alternative 1'!$B$29),(($H$3*'Alternative 1'!$B$39+(($N$22/3)*COS($K$23)))),($H25*'Alternative 1'!$B$39))))</f>
        <v>496597.59167774895</v>
      </c>
      <c r="AF25" s="105">
        <f>AD25*'Alternative 1'!$K26/'Alternative 1'!$L26</f>
        <v>2921302.8642019206</v>
      </c>
      <c r="AG25" s="105">
        <f>AE25/'Alternative 1'!$M26</f>
        <v>229855.35868493764</v>
      </c>
      <c r="AH25" s="105">
        <f t="shared" si="4"/>
        <v>3.151158222886858</v>
      </c>
      <c r="AJ25" s="105">
        <f>'Alternative 1'!$B$39*$B25*$C25*COS($K$33)-($N$32/3)*$E25*SIN($K$33)-($N$32/3)*$F25*SIN($K$33)-($N$32/3)*$G25*SIN($K$33)</f>
        <v>343934.89915332315</v>
      </c>
      <c r="AK25" s="106">
        <f>IF(($A25&lt;'Alternative 1'!$B$27),(($H25*'Alternative 1'!$B$39)+(3*($N$32/3)*COS($K$33))),IF(($A25&lt;'Alternative 1'!$B$28),(($H25*'Alternative 1'!$B$39)+(2*(($N$32/3)*COS($K$33)))),IF(($A25&lt;'Alternative 1'!$B$29),(($H$3*'Alternative 1'!$B$39+(($N$32/3)*COS($K$33)))),($H25*'Alternative 1'!$B$39))))</f>
        <v>415166.05643987219</v>
      </c>
      <c r="AL25" s="105">
        <f>AJ25*'Alternative 1'!$K26/'Alternative 1'!$L26</f>
        <v>2736949.2769053499</v>
      </c>
      <c r="AM25" s="105">
        <f>AK25/'Alternative 1'!$M26</f>
        <v>192163.92591513594</v>
      </c>
      <c r="AN25" s="105">
        <f t="shared" si="5"/>
        <v>2.9291132028204858</v>
      </c>
      <c r="AP25" s="105">
        <f>'Alternative 1'!$B$39*$B25*$C25*COS($K$43)-($N$42/3)*$E25*SIN($K$43)-($N$42/3)*$F25*SIN($K$43)-($N$42/3)*$G25*SIN($K$43)</f>
        <v>305947.64356760343</v>
      </c>
      <c r="AQ25" s="106">
        <f>IF(($A25&lt;'Alternative 1'!$B$27),(($H25*'Alternative 1'!$B$39)+(3*($N$42/3)*COS($K$43))),IF(($A25&lt;'Alternative 1'!$B$28),(($H25*'Alternative 1'!$B$39)+(2*(($N$42/3)*COS($K$43)))),IF(($A25&lt;'Alternative 1'!$B$29),(($H$3*'Alternative 1'!$B$39+(($N$42/3)*COS($K$43)))),($H25*'Alternative 1'!$B$39))))</f>
        <v>372146.51651041314</v>
      </c>
      <c r="AR25" s="105">
        <f>AP25*'Alternative 1'!$K26/'Alternative 1'!$L26</f>
        <v>2434656.0465210564</v>
      </c>
      <c r="AS25" s="105">
        <f>AQ25/'Alternative 1'!$M26</f>
        <v>172251.88456282209</v>
      </c>
      <c r="AT25" s="105">
        <f t="shared" si="6"/>
        <v>2.6069079310838785</v>
      </c>
      <c r="AV25" s="105">
        <f>'Alternative 1'!$B$39*$B25*$C25*COS($K$53)-($N$52/3)*$E25*SIN($K$53)-($N$52/3)*$F25*SIN($K$53)-($N$52/3)*$G25*SIN($K$53)</f>
        <v>256778.70301178866</v>
      </c>
      <c r="AW25" s="106">
        <f>IF(($A25&lt;'Alternative 1'!$B$27),(($H25*'Alternative 1'!$B$39)+(3*($N$52/3)*COS($K$53))),IF(($A25&lt;'Alternative 1'!$B$28),(($H25*'Alternative 1'!$B$39)+(2*(($N$52/3)*COS($K$53)))),IF(($A25&lt;'Alternative 1'!$B$29),(($H$3*'Alternative 1'!$B$39+(($N$52/3)*COS($K$53)))),($H25*'Alternative 1'!$B$39))))</f>
        <v>345120.30506969942</v>
      </c>
      <c r="AX25" s="105">
        <f>AV25*'Alternative 1'!$K26/'Alternative 1'!$L26</f>
        <v>2043381.7192232967</v>
      </c>
      <c r="AY25" s="105">
        <f>AW25/'Alternative 1'!$M26</f>
        <v>159742.52159226753</v>
      </c>
      <c r="AZ25" s="105">
        <f t="shared" si="7"/>
        <v>2.2031242408155642</v>
      </c>
      <c r="BB25" s="105">
        <f>'Alternative 1'!$B$39*$B25*$C25*COS($K$63)-($N$62/3)*$E25*SIN($K$63)-($N$62/3)*$F25*SIN($K$63)-($N$62/3)*$G25*SIN($K$63)</f>
        <v>198740.94975533264</v>
      </c>
      <c r="BC25" s="106">
        <f>IF(($A25&lt;'Alternative 1'!$B$27),(($H25*'Alternative 1'!$B$39)+(3*($N$62/3)*COS($K$63))),IF(($A25&lt;'Alternative 1'!$B$28),(($H25*'Alternative 1'!$B$39)+(2*(($N$62/3)*COS($K$63)))),IF(($A25&lt;'Alternative 1'!$B$29),(($H$3*'Alternative 1'!$B$39+(($N$62/3)*COS($K$63)))),($H25*'Alternative 1'!$B$39))))</f>
        <v>327089.4855322786</v>
      </c>
      <c r="BD25" s="105">
        <f>BB25*'Alternative 1'!$K26/'Alternative 1'!$L26</f>
        <v>1581531.5632795226</v>
      </c>
      <c r="BE25" s="105">
        <f>BC25/'Alternative 1'!$M26</f>
        <v>151396.76929380154</v>
      </c>
      <c r="BF25" s="105">
        <f t="shared" si="8"/>
        <v>1.7329283325733242</v>
      </c>
      <c r="BH25" s="105">
        <f>'Alternative 1'!$B$39*$B25*$C25*COS($K$73)-($N$72/3)*$E25*SIN($K$73)-($N$72/3)*$F25*SIN($K$73)-($N$72/3)*$G25*SIN($K$73)</f>
        <v>133945.31643365874</v>
      </c>
      <c r="BI25" s="106">
        <f>IF(($A25&lt;'Alternative 1'!$B$27),(($H25*'Alternative 1'!$B$39)+(3*($N$72/3)*COS($K$73))),IF(($A25&lt;'Alternative 1'!$B$28),(($H25*'Alternative 1'!$B$39)+(2*(($N$72/3)*COS($K$73)))),IF(($A25&lt;'Alternative 1'!$B$29),(($H$3*'Alternative 1'!$B$39+(($N$72/3)*COS($K$73)))),($H25*'Alternative 1'!$B$39))))</f>
        <v>315284.01606893499</v>
      </c>
      <c r="BJ25" s="105">
        <f>BH25*'Alternative 1'!$K26/'Alternative 1'!$L26</f>
        <v>1065903.8610517185</v>
      </c>
      <c r="BK25" s="105">
        <f>BI25/'Alternative 1'!$M26</f>
        <v>145932.4850052426</v>
      </c>
      <c r="BL25" s="105">
        <f t="shared" si="9"/>
        <v>1.211836346056961</v>
      </c>
      <c r="BN25" s="105">
        <f>'Alternative 1'!$B$39*$B25*$C25*COS($K$83)-($N$82/3)*$E25*SIN($K$83)-($N$82/3)*$F25*SIN($K$83)-($N$82/3)*$G25*SIN($K$83)</f>
        <v>64526.730904593875</v>
      </c>
      <c r="BO25" s="106">
        <f>IF(($A25&lt;'Alternative 1'!$B$27),(($H25*'Alternative 1'!$B$39)+(3*($N$82/3)*COS($K$83))),IF(($A25&lt;'Alternative 1'!$B$28),(($H25*'Alternative 1'!$B$39)+(2*(($N$82/3)*COS($K$83)))),IF(($A25&lt;'Alternative 1'!$B$29),(($H$3*'Alternative 1'!$B$39+(($N$82/3)*COS($K$83)))),($H25*'Alternative 1'!$B$39))))</f>
        <v>308476.18998899439</v>
      </c>
      <c r="BP25" s="105">
        <f>BN25*'Alternative 1'!$K26/'Alternative 1'!$L26</f>
        <v>513487.84297596017</v>
      </c>
      <c r="BQ25" s="105">
        <f>BO25/'Alternative 1'!$M26</f>
        <v>142781.41191972338</v>
      </c>
      <c r="BR25" s="105">
        <f t="shared" si="10"/>
        <v>0.65626925489568366</v>
      </c>
      <c r="BT25" s="105">
        <f>'Alternative 1'!$B$39*$B25*$C25*COS($K$93)-($K$92/3)*$E25*SIN($K$93)-($K$92/3)*$F25*SIN($K$93)-($K$92/3)*$G25*SIN($K$93)</f>
        <v>-3.1066860684988593</v>
      </c>
      <c r="BU25" s="106">
        <f>IF(($A25&lt;'Alternative 1'!$B$27),(($H25*'Alternative 1'!$B$39)+(3*($N$92/3)*COS($K$93))),IF(($A25&lt;'Alternative 1'!$B$28),(($H25*'Alternative 1'!$B$39)+(2*(($N$92/3)*COS($K$93)))),IF(($A25&lt;'Alternative 1'!$B$29),(($H$3*'Alternative 1'!$B$39+(($N$92/3)*COS($K$93)))),($H25*'Alternative 1'!$B$39))))</f>
        <v>306119.90662501159</v>
      </c>
      <c r="BV25" s="105">
        <f>BT25*'Alternative 1'!$K26/'Alternative 1'!$L26</f>
        <v>-24.722243103801411</v>
      </c>
      <c r="BW25" s="105">
        <f>BU25/'Alternative 1'!$M26</f>
        <v>141690.78166523139</v>
      </c>
      <c r="BX25" s="105">
        <f t="shared" si="11"/>
        <v>0.14166605942212759</v>
      </c>
      <c r="BZ25" s="104">
        <v>150</v>
      </c>
      <c r="CA25" s="104">
        <v>-150</v>
      </c>
    </row>
    <row r="26" spans="1:79" ht="15" customHeight="1" x14ac:dyDescent="0.25">
      <c r="A26" s="18">
        <f>IF('Alternative 1'!F27&gt;0,'Alternative 1'!F27,"x")</f>
        <v>24</v>
      </c>
      <c r="B26" s="18">
        <f t="shared" si="17"/>
        <v>13</v>
      </c>
      <c r="C26" s="18">
        <f t="shared" si="12"/>
        <v>6.5</v>
      </c>
      <c r="D26" s="18">
        <f t="shared" si="13"/>
        <v>24</v>
      </c>
      <c r="E26" s="101">
        <f>IF($A26&lt;='Alternative 1'!$B$27, IF($A26='Alternative 1'!$B$27,0,E27+1),0)</f>
        <v>0</v>
      </c>
      <c r="F26" s="101">
        <f>IF($A26&lt;=('Alternative 1'!$B$28), IF($A26=ROUNDDOWN('Alternative 1'!$B$28,0),0,F27+1),0)</f>
        <v>0</v>
      </c>
      <c r="G26" s="101">
        <f>IF($A26&lt;=('Alternative 1'!$B$29), IF($A26=ROUNDDOWN('Alternative 1'!$B$29,0),0,G27+1),0)</f>
        <v>5</v>
      </c>
      <c r="H26" s="18">
        <f t="shared" si="14"/>
        <v>13</v>
      </c>
      <c r="J26" s="104">
        <f t="shared" si="15"/>
        <v>23</v>
      </c>
      <c r="K26" s="104">
        <f t="shared" si="16"/>
        <v>0.40142572795869574</v>
      </c>
      <c r="L26" s="105">
        <f>'Alternative 1'!$B$27*SIN(K26)+'Alternative 1'!$B$28*SIN(K26)+'Alternative 1'!$B$29*SIN(K26)</f>
        <v>26.56971673727061</v>
      </c>
      <c r="M26" s="104">
        <f>(('Alternative 1'!$B$27)*(((('Alternative 1'!$B$28-'Alternative 1'!$B$27)/2)+'Alternative 1'!$B$27)*'Alternative 1'!$B$39)*COS('Alternative 1-Tilt Up (3pt)'!K26))+(('Alternative 1'!$B$28)*((('Alternative 1'!$B$28-'Alternative 1'!$B$27)/2)+(('Alternative 1'!$B$29-'Alternative 1'!$B$28)/2))*('Alternative 1'!$B$39)*COS('Alternative 1-Tilt Up (3pt)'!K26))+(('Alternative 1'!$B$29)*((('Alternative 1'!$B$12-'Alternative 1'!$B$29+(('Alternative 1'!$B$29-'Alternative 1'!$B$28)/2)*('Alternative 1'!$B$39)*COS('Alternative 1-Tilt Up (3pt)'!K26)))))</f>
        <v>4368835.0723998984</v>
      </c>
      <c r="N26" s="104">
        <f t="shared" si="0"/>
        <v>493287.3521686655</v>
      </c>
      <c r="O26" s="104">
        <f>(((('Alternative 1'!$B$28-'Alternative 1'!$B$27)/2)+'Alternative 1'!$B$27)*('Alternative 1'!$B$39)*COS('Alternative 1-Tilt Up (3pt)'!K26))+(((('Alternative 1'!$B$28-'Alternative 1'!$B$27)/2)+(('Alternative 1'!$B$29-'Alternative 1'!$B$28)/2))*('Alternative 1'!$B$39)*COS('Alternative 1-Tilt Up (3pt)'!K26))+(((('Alternative 1'!$B$12-'Alternative 1'!$B$29)+(('Alternative 1'!$B$29-'Alternative 1'!$B$28)/2))*('Alternative 1'!$B$39)*COS('Alternative 1-Tilt Up (3pt)'!K26)))</f>
        <v>281784.85978673096</v>
      </c>
      <c r="P26" s="104">
        <f t="shared" si="1"/>
        <v>454073.40181795979</v>
      </c>
      <c r="R26" s="105">
        <f>'Alternative 1'!$B$39*$B26*$C26*COS($K$5)-($N$5/3)*$E26*SIN($K$5)-($N$5/3)*$F26*SIN($K$5)-($N$5/3)*$G26*SIN($K$5)</f>
        <v>369327.4626232225</v>
      </c>
      <c r="S26" s="106">
        <f>IF(($A26&lt;'Alternative 1'!$B$27),(($H26*'Alternative 1'!$B$39)+(3*($N$5/3)*COS($K$5))),IF(($A26&lt;'Alternative 1'!$B$28),(($H26*'Alternative 1'!$B$39)+(2*(($N$5/3)*COS($K$5)))),IF(($A26&lt;'Alternative 1'!$B$29),(($H$3*'Alternative 1'!$B$39+(($N$5/3)*COS($K$5)))),($H26*'Alternative 1'!$B$39))))</f>
        <v>2303591.7836996038</v>
      </c>
      <c r="T26" s="105">
        <f>R26*'Alternative 1'!$K27/'Alternative 1'!$L27</f>
        <v>2939017.0472851526</v>
      </c>
      <c r="U26" s="105">
        <f>S26/'Alternative 1'!$M27</f>
        <v>1092280.9329647063</v>
      </c>
      <c r="V26" s="105">
        <f t="shared" si="2"/>
        <v>4.0312979802498585</v>
      </c>
      <c r="X26" s="105">
        <f>'Alternative 1'!$B$39*$B26*$C26*COS($K$13)-($N$12/3)*$E26*SIN($K$13)-($N$12/3)*$F26*SIN($K$13)-($N$12/3)*$G26*SIN($K$13)</f>
        <v>325004.69261982857</v>
      </c>
      <c r="Y26" s="106">
        <f>IF(($A26&lt;'Alternative 1'!$B$27),(($H26*'Alternative 1'!$B$39)+(3*($N$12/3)*COS($K$13))),IF(($A26&lt;'Alternative 1'!$B$28),(($H26*'Alternative 1'!$B$39)+(2*(($N$12/3)*COS($K$13)))),IF(($A26&lt;'Alternative 1'!$B$29),(($H$3*'Alternative 1'!$B$39+(($N$12/3)*COS($K$13)))),($H26*'Alternative 1'!$B$39))))</f>
        <v>740098.46863391146</v>
      </c>
      <c r="Z26" s="105">
        <f>X26*'Alternative 1'!$K27/'Alternative 1'!$L27</f>
        <v>2586307.3524857522</v>
      </c>
      <c r="AA26" s="105">
        <f>Y26/'Alternative 1'!$M27</f>
        <v>350928.2553990116</v>
      </c>
      <c r="AB26" s="105">
        <f t="shared" si="3"/>
        <v>2.9372356078847637</v>
      </c>
      <c r="AD26" s="105">
        <f>'Alternative 1'!$B$39*$B26*$C26*COS($K$23)-($N$22/3)*$E26*SIN($K$23)-($N$22/3)*$F26*SIN($K$23)-($N$22/3)*$G26*SIN($K$23)</f>
        <v>328557.66075785505</v>
      </c>
      <c r="AE26" s="106">
        <f>IF(($A26&lt;'Alternative 1'!$B$27),(($H26*'Alternative 1'!$B$39)+(3*($N$22/3)*COS($K$23))),IF(($A26&lt;'Alternative 1'!$B$28),(($H26*'Alternative 1'!$B$39)+(2*(($N$22/3)*COS($K$23)))),IF(($A26&lt;'Alternative 1'!$B$29),(($H$3*'Alternative 1'!$B$39+(($N$22/3)*COS($K$23)))),($H26*'Alternative 1'!$B$39))))</f>
        <v>496597.59167774895</v>
      </c>
      <c r="AF26" s="105">
        <f>AD26*'Alternative 1'!$K27/'Alternative 1'!$L27</f>
        <v>2614580.9984582257</v>
      </c>
      <c r="AG26" s="105">
        <f>AE26/'Alternative 1'!$M27</f>
        <v>235468.83809190206</v>
      </c>
      <c r="AH26" s="105">
        <f t="shared" si="4"/>
        <v>2.8500498365501277</v>
      </c>
      <c r="AJ26" s="105">
        <f>'Alternative 1'!$B$39*$B26*$C26*COS($K$33)-($N$32/3)*$E26*SIN($K$33)-($N$32/3)*$F26*SIN($K$33)-($N$32/3)*$G26*SIN($K$33)</f>
        <v>307477.3672000076</v>
      </c>
      <c r="AK26" s="106">
        <f>IF(($A26&lt;'Alternative 1'!$B$27),(($H26*'Alternative 1'!$B$39)+(3*($N$32/3)*COS($K$33))),IF(($A26&lt;'Alternative 1'!$B$28),(($H26*'Alternative 1'!$B$39)+(2*(($N$32/3)*COS($K$33)))),IF(($A26&lt;'Alternative 1'!$B$29),(($H$3*'Alternative 1'!$B$39+(($N$32/3)*COS($K$33)))),($H26*'Alternative 1'!$B$39))))</f>
        <v>415166.05643987219</v>
      </c>
      <c r="AL26" s="105">
        <f>AJ26*'Alternative 1'!$K27/'Alternative 1'!$L27</f>
        <v>2446829.2106863689</v>
      </c>
      <c r="AM26" s="105">
        <f>AK26/'Alternative 1'!$M27</f>
        <v>196856.91304868649</v>
      </c>
      <c r="AN26" s="105">
        <f t="shared" si="5"/>
        <v>2.6436861237350553</v>
      </c>
      <c r="AP26" s="105">
        <f>'Alternative 1'!$B$39*$B26*$C26*COS($K$43)-($N$42/3)*$E26*SIN($K$43)-($N$42/3)*$F26*SIN($K$43)-($N$42/3)*$G26*SIN($K$43)</f>
        <v>273412.50254600856</v>
      </c>
      <c r="AQ26" s="106">
        <f>IF(($A26&lt;'Alternative 1'!$B$27),(($H26*'Alternative 1'!$B$39)+(3*($N$42/3)*COS($K$43))),IF(($A26&lt;'Alternative 1'!$B$28),(($H26*'Alternative 1'!$B$39)+(2*(($N$42/3)*COS($K$43)))),IF(($A26&lt;'Alternative 1'!$B$29),(($H$3*'Alternative 1'!$B$39+(($N$42/3)*COS($K$43)))),($H26*'Alternative 1'!$B$39))))</f>
        <v>372146.51651041314</v>
      </c>
      <c r="AR26" s="105">
        <f>AP26*'Alternative 1'!$K27/'Alternative 1'!$L27</f>
        <v>2175749.4019430336</v>
      </c>
      <c r="AS26" s="105">
        <f>AQ26/'Alternative 1'!$M27</f>
        <v>176458.58399474437</v>
      </c>
      <c r="AT26" s="105">
        <f t="shared" si="6"/>
        <v>2.352207985937778</v>
      </c>
      <c r="AV26" s="105">
        <f>'Alternative 1'!$B$39*$B26*$C26*COS($K$53)-($N$52/3)*$E26*SIN($K$53)-($N$52/3)*$F26*SIN($K$53)-($N$52/3)*$G26*SIN($K$53)</f>
        <v>229468.78682449184</v>
      </c>
      <c r="AW26" s="106">
        <f>IF(($A26&lt;'Alternative 1'!$B$27),(($H26*'Alternative 1'!$B$39)+(3*($N$52/3)*COS($K$53))),IF(($A26&lt;'Alternative 1'!$B$28),(($H26*'Alternative 1'!$B$39)+(2*(($N$52/3)*COS($K$53)))),IF(($A26&lt;'Alternative 1'!$B$29),(($H$3*'Alternative 1'!$B$39+(($N$52/3)*COS($K$53)))),($H26*'Alternative 1'!$B$39))))</f>
        <v>345120.30506969942</v>
      </c>
      <c r="AX26" s="105">
        <f>AV26*'Alternative 1'!$K27/'Alternative 1'!$L27</f>
        <v>1826056.1278245398</v>
      </c>
      <c r="AY26" s="105">
        <f>AW26/'Alternative 1'!$M27</f>
        <v>163643.71998287752</v>
      </c>
      <c r="AZ26" s="105">
        <f t="shared" si="7"/>
        <v>1.9896998478074175</v>
      </c>
      <c r="BB26" s="105">
        <f>'Alternative 1'!$B$39*$B26*$C26*COS($K$63)-($N$62/3)*$E26*SIN($K$63)-($N$62/3)*$F26*SIN($K$63)-($N$62/3)*$G26*SIN($K$63)</f>
        <v>177663.84334385398</v>
      </c>
      <c r="BC26" s="106">
        <f>IF(($A26&lt;'Alternative 1'!$B$27),(($H26*'Alternative 1'!$B$39)+(3*($N$62/3)*COS($K$63))),IF(($A26&lt;'Alternative 1'!$B$28),(($H26*'Alternative 1'!$B$39)+(2*(($N$62/3)*COS($K$63)))),IF(($A26&lt;'Alternative 1'!$B$29),(($H$3*'Alternative 1'!$B$39+(($N$62/3)*COS($K$63)))),($H26*'Alternative 1'!$B$39))))</f>
        <v>327089.4855322786</v>
      </c>
      <c r="BD26" s="105">
        <f>BB26*'Alternative 1'!$K27/'Alternative 1'!$L27</f>
        <v>1413805.1380340368</v>
      </c>
      <c r="BE26" s="105">
        <f>BC26/'Alternative 1'!$M27</f>
        <v>155094.14947050912</v>
      </c>
      <c r="BF26" s="105">
        <f t="shared" si="8"/>
        <v>1.5688992875045458</v>
      </c>
      <c r="BH26" s="105">
        <f>'Alternative 1'!$B$39*$B26*$C26*COS($K$73)-($N$72/3)*$E26*SIN($K$73)-($N$72/3)*$F26*SIN($K$73)-($N$72/3)*$G26*SIN($K$73)</f>
        <v>119861.30982322655</v>
      </c>
      <c r="BI26" s="106">
        <f>IF(($A26&lt;'Alternative 1'!$B$27),(($H26*'Alternative 1'!$B$39)+(3*($N$72/3)*COS($K$73))),IF(($A26&lt;'Alternative 1'!$B$28),(($H26*'Alternative 1'!$B$39)+(2*(($N$72/3)*COS($K$73)))),IF(($A26&lt;'Alternative 1'!$B$29),(($H$3*'Alternative 1'!$B$39+(($N$72/3)*COS($K$73)))),($H26*'Alternative 1'!$B$39))))</f>
        <v>315284.01606893499</v>
      </c>
      <c r="BJ26" s="105">
        <f>BH26*'Alternative 1'!$K27/'Alternative 1'!$L27</f>
        <v>953826.80285481678</v>
      </c>
      <c r="BK26" s="105">
        <f>BI26/'Alternative 1'!$M27</f>
        <v>149496.4175760161</v>
      </c>
      <c r="BL26" s="105">
        <f t="shared" si="9"/>
        <v>1.1033232204308328</v>
      </c>
      <c r="BN26" s="105">
        <f>'Alternative 1'!$B$39*$B26*$C26*COS($K$83)-($N$82/3)*$E26*SIN($K$83)-($N$82/3)*$F26*SIN($K$83)-($N$82/3)*$G26*SIN($K$83)</f>
        <v>57955.941433740591</v>
      </c>
      <c r="BO26" s="106">
        <f>IF(($A26&lt;'Alternative 1'!$B$27),(($H26*'Alternative 1'!$B$39)+(3*($N$82/3)*COS($K$83))),IF(($A26&lt;'Alternative 1'!$B$28),(($H26*'Alternative 1'!$B$39)+(2*(($N$82/3)*COS($K$83)))),IF(($A26&lt;'Alternative 1'!$B$29),(($H$3*'Alternative 1'!$B$39+(($N$82/3)*COS($K$83)))),($H26*'Alternative 1'!$B$39))))</f>
        <v>308476.18998899439</v>
      </c>
      <c r="BP26" s="105">
        <f>BN26*'Alternative 1'!$K27/'Alternative 1'!$L27</f>
        <v>461199.11759443936</v>
      </c>
      <c r="BQ26" s="105">
        <f>BO26/'Alternative 1'!$M27</f>
        <v>146268.38964386375</v>
      </c>
      <c r="BR26" s="105">
        <f t="shared" si="10"/>
        <v>0.60746750723830312</v>
      </c>
      <c r="BT26" s="105">
        <f>'Alternative 1'!$B$39*$B26*$C26*COS($K$93)-($K$92/3)*$E26*SIN($K$93)-($K$92/3)*$F26*SIN($K$93)-($K$92/3)*$G26*SIN($K$93)</f>
        <v>-2.5889050570809067</v>
      </c>
      <c r="BU26" s="106">
        <f>IF(($A26&lt;'Alternative 1'!$B$27),(($H26*'Alternative 1'!$B$39)+(3*($N$92/3)*COS($K$93))),IF(($A26&lt;'Alternative 1'!$B$28),(($H26*'Alternative 1'!$B$39)+(2*(($N$92/3)*COS($K$93)))),IF(($A26&lt;'Alternative 1'!$B$29),(($H$3*'Alternative 1'!$B$39+(($N$92/3)*COS($K$93)))),($H26*'Alternative 1'!$B$39))))</f>
        <v>306119.90662501159</v>
      </c>
      <c r="BV26" s="105">
        <f>BT26*'Alternative 1'!$K27/'Alternative 1'!$L27</f>
        <v>-20.601869253156099</v>
      </c>
      <c r="BW26" s="105">
        <f>BU26/'Alternative 1'!$M27</f>
        <v>145151.12424582223</v>
      </c>
      <c r="BX26" s="105">
        <f t="shared" si="11"/>
        <v>0.14513052237656907</v>
      </c>
      <c r="BZ26" s="104">
        <v>150</v>
      </c>
      <c r="CA26" s="104">
        <v>-150</v>
      </c>
    </row>
    <row r="27" spans="1:79" ht="15" customHeight="1" x14ac:dyDescent="0.25">
      <c r="A27" s="18">
        <f>IF('Alternative 1'!F28&gt;0,'Alternative 1'!F28,"x")</f>
        <v>25</v>
      </c>
      <c r="B27" s="18">
        <f t="shared" si="17"/>
        <v>12</v>
      </c>
      <c r="C27" s="18">
        <f t="shared" si="12"/>
        <v>6</v>
      </c>
      <c r="D27" s="18">
        <f t="shared" si="13"/>
        <v>25</v>
      </c>
      <c r="E27" s="101">
        <f>IF($A27&lt;='Alternative 1'!$B$27, IF($A27='Alternative 1'!$B$27,0,E28+1),0)</f>
        <v>0</v>
      </c>
      <c r="F27" s="101">
        <f>IF($A27&lt;=('Alternative 1'!$B$28), IF($A27=ROUNDDOWN('Alternative 1'!$B$28,0),0,F28+1),0)</f>
        <v>0</v>
      </c>
      <c r="G27" s="101">
        <f>IF($A27&lt;=('Alternative 1'!$B$29), IF($A27=ROUNDDOWN('Alternative 1'!$B$29,0),0,G28+1),0)</f>
        <v>4</v>
      </c>
      <c r="H27" s="18">
        <f t="shared" si="14"/>
        <v>12</v>
      </c>
      <c r="J27" s="104">
        <f t="shared" si="15"/>
        <v>24</v>
      </c>
      <c r="K27" s="104">
        <f t="shared" si="16"/>
        <v>0.41887902047863906</v>
      </c>
      <c r="L27" s="105">
        <f>'Alternative 1'!$B$27*SIN(K27)+'Alternative 1'!$B$28*SIN(K27)+'Alternative 1'!$B$29*SIN(K27)</f>
        <v>27.65809172915441</v>
      </c>
      <c r="M27" s="104">
        <f>(('Alternative 1'!$B$27)*(((('Alternative 1'!$B$28-'Alternative 1'!$B$27)/2)+'Alternative 1'!$B$27)*'Alternative 1'!$B$39)*COS('Alternative 1-Tilt Up (3pt)'!K27))+(('Alternative 1'!$B$28)*((('Alternative 1'!$B$28-'Alternative 1'!$B$27)/2)+(('Alternative 1'!$B$29-'Alternative 1'!$B$28)/2))*('Alternative 1'!$B$39)*COS('Alternative 1-Tilt Up (3pt)'!K27))+(('Alternative 1'!$B$29)*((('Alternative 1'!$B$12-'Alternative 1'!$B$29+(('Alternative 1'!$B$29-'Alternative 1'!$B$28)/2)*('Alternative 1'!$B$39)*COS('Alternative 1-Tilt Up (3pt)'!K27)))))</f>
        <v>4335806.3589624269</v>
      </c>
      <c r="N27" s="104">
        <f t="shared" si="0"/>
        <v>470293.43905082764</v>
      </c>
      <c r="O27" s="104">
        <f>(((('Alternative 1'!$B$28-'Alternative 1'!$B$27)/2)+'Alternative 1'!$B$27)*('Alternative 1'!$B$39)*COS('Alternative 1-Tilt Up (3pt)'!K27))+(((('Alternative 1'!$B$28-'Alternative 1'!$B$27)/2)+(('Alternative 1'!$B$29-'Alternative 1'!$B$28)/2))*('Alternative 1'!$B$39)*COS('Alternative 1-Tilt Up (3pt)'!K27))+(((('Alternative 1'!$B$12-'Alternative 1'!$B$29)+(('Alternative 1'!$B$29-'Alternative 1'!$B$28)/2))*('Alternative 1'!$B$39)*COS('Alternative 1-Tilt Up (3pt)'!K27)))</f>
        <v>279654.45019125642</v>
      </c>
      <c r="P27" s="104">
        <f t="shared" si="1"/>
        <v>429634.43500400096</v>
      </c>
      <c r="R27" s="105">
        <f>'Alternative 1'!$B$39*$B27*$C27*COS($K$5)-($N$5/3)*$E27*SIN($K$5)-($N$5/3)*$F27*SIN($K$5)-($N$5/3)*$G27*SIN($K$5)</f>
        <v>332853.83335567551</v>
      </c>
      <c r="S27" s="106">
        <f>IF(($A27&lt;'Alternative 1'!$B$27),(($H27*'Alternative 1'!$B$39)+(3*($N$5/3)*COS($K$5))),IF(($A27&lt;'Alternative 1'!$B$28),(($H27*'Alternative 1'!$B$39)+(2*(($N$5/3)*COS($K$5)))),IF(($A27&lt;'Alternative 1'!$B$29),(($H$3*'Alternative 1'!$B$39+(($N$5/3)*COS($K$5)))),($H27*'Alternative 1'!$B$39))))</f>
        <v>2303591.7836996038</v>
      </c>
      <c r="T27" s="105">
        <f>R27*'Alternative 1'!$K28/'Alternative 1'!$L28</f>
        <v>2648768.8826014493</v>
      </c>
      <c r="U27" s="105">
        <f>S27/'Alternative 1'!$M28</f>
        <v>1119286.1345808781</v>
      </c>
      <c r="V27" s="105">
        <f t="shared" si="2"/>
        <v>3.7680550171823275</v>
      </c>
      <c r="X27" s="105">
        <f>'Alternative 1'!$B$39*$B27*$C27*COS($K$13)-($N$12/3)*$E27*SIN($K$13)-($N$12/3)*$F27*SIN($K$13)-($N$12/3)*$G27*SIN($K$13)</f>
        <v>296849.99666644656</v>
      </c>
      <c r="Y27" s="106">
        <f>IF(($A27&lt;'Alternative 1'!$B$27),(($H27*'Alternative 1'!$B$39)+(3*($N$12/3)*COS($K$13))),IF(($A27&lt;'Alternative 1'!$B$28),(($H27*'Alternative 1'!$B$39)+(2*(($N$12/3)*COS($K$13)))),IF(($A27&lt;'Alternative 1'!$B$29),(($H$3*'Alternative 1'!$B$39+(($N$12/3)*COS($K$13)))),($H27*'Alternative 1'!$B$39))))</f>
        <v>740098.46863391146</v>
      </c>
      <c r="Z27" s="105">
        <f>X27*'Alternative 1'!$K28/'Alternative 1'!$L28</f>
        <v>2362259.2116288771</v>
      </c>
      <c r="AA27" s="105">
        <f>Y27/'Alternative 1'!$M28</f>
        <v>359604.49244009884</v>
      </c>
      <c r="AB27" s="105">
        <f t="shared" si="3"/>
        <v>2.7218637040689759</v>
      </c>
      <c r="AD27" s="105">
        <f>'Alternative 1'!$B$39*$B27*$C27*COS($K$23)-($N$22/3)*$E27*SIN($K$23)-($N$22/3)*$F27*SIN($K$23)-($N$22/3)*$G27*SIN($K$23)</f>
        <v>298004.40405787452</v>
      </c>
      <c r="AE27" s="106">
        <f>IF(($A27&lt;'Alternative 1'!$B$27),(($H27*'Alternative 1'!$B$39)+(3*($N$22/3)*COS($K$23))),IF(($A27&lt;'Alternative 1'!$B$28),(($H27*'Alternative 1'!$B$39)+(2*(($N$22/3)*COS($K$23)))),IF(($A27&lt;'Alternative 1'!$B$29),(($H$3*'Alternative 1'!$B$39+(($N$22/3)*COS($K$23)))),($H27*'Alternative 1'!$B$39))))</f>
        <v>496597.59167774895</v>
      </c>
      <c r="AF27" s="105">
        <f>AD27*'Alternative 1'!$K28/'Alternative 1'!$L28</f>
        <v>2371445.7015227526</v>
      </c>
      <c r="AG27" s="105">
        <f>AE27/'Alternative 1'!$M28</f>
        <v>241290.49372562079</v>
      </c>
      <c r="AH27" s="105">
        <f t="shared" si="4"/>
        <v>2.6127361952483734</v>
      </c>
      <c r="AJ27" s="105">
        <f>'Alternative 1'!$B$39*$B27*$C27*COS($K$33)-($N$32/3)*$E27*SIN($K$33)-($N$32/3)*$F27*SIN($K$33)-($N$32/3)*$G27*SIN($K$33)</f>
        <v>278383.93568395253</v>
      </c>
      <c r="AK27" s="106">
        <f>IF(($A27&lt;'Alternative 1'!$B$27),(($H27*'Alternative 1'!$B$39)+(3*($N$32/3)*COS($K$33))),IF(($A27&lt;'Alternative 1'!$B$28),(($H27*'Alternative 1'!$B$39)+(2*(($N$32/3)*COS($K$33)))),IF(($A27&lt;'Alternative 1'!$B$29),(($H$3*'Alternative 1'!$B$39+(($N$32/3)*COS($K$33)))),($H27*'Alternative 1'!$B$39))))</f>
        <v>415166.05643987219</v>
      </c>
      <c r="AL27" s="105">
        <f>AJ27*'Alternative 1'!$K28/'Alternative 1'!$L28</f>
        <v>2215310.8432668853</v>
      </c>
      <c r="AM27" s="105">
        <f>AK27/'Alternative 1'!$M28</f>
        <v>201723.93989679567</v>
      </c>
      <c r="AN27" s="105">
        <f t="shared" si="5"/>
        <v>2.4170347831636807</v>
      </c>
      <c r="AP27" s="105">
        <f>'Alternative 1'!$B$39*$B27*$C27*COS($K$43)-($N$42/3)*$E27*SIN($K$43)-($N$42/3)*$F27*SIN($K$43)-($N$42/3)*$G27*SIN($K$43)</f>
        <v>247391.29078547464</v>
      </c>
      <c r="AQ27" s="106">
        <f>IF(($A27&lt;'Alternative 1'!$B$27),(($H27*'Alternative 1'!$B$39)+(3*($N$42/3)*COS($K$43))),IF(($A27&lt;'Alternative 1'!$B$28),(($H27*'Alternative 1'!$B$39)+(2*(($N$42/3)*COS($K$43)))),IF(($A27&lt;'Alternative 1'!$B$29),(($H$3*'Alternative 1'!$B$39+(($N$42/3)*COS($K$43)))),($H27*'Alternative 1'!$B$39))))</f>
        <v>372146.51651041314</v>
      </c>
      <c r="AR27" s="105">
        <f>AP27*'Alternative 1'!$K28/'Alternative 1'!$L28</f>
        <v>1968679.0031916536</v>
      </c>
      <c r="AS27" s="105">
        <f>AQ27/'Alternative 1'!$M28</f>
        <v>180821.2891321014</v>
      </c>
      <c r="AT27" s="105">
        <f t="shared" si="6"/>
        <v>2.1495002923237552</v>
      </c>
      <c r="AV27" s="105">
        <f>'Alternative 1'!$B$39*$B27*$C27*COS($K$53)-($N$52/3)*$E27*SIN($K$53)-($N$52/3)*$F27*SIN($K$53)-($N$52/3)*$G27*SIN($K$53)</f>
        <v>207624.70627766609</v>
      </c>
      <c r="AW27" s="106">
        <f>IF(($A27&lt;'Alternative 1'!$B$27),(($H27*'Alternative 1'!$B$39)+(3*($N$52/3)*COS($K$53))),IF(($A27&lt;'Alternative 1'!$B$28),(($H27*'Alternative 1'!$B$39)+(2*(($N$52/3)*COS($K$53)))),IF(($A27&lt;'Alternative 1'!$B$29),(($H$3*'Alternative 1'!$B$39+(($N$52/3)*COS($K$53)))),($H27*'Alternative 1'!$B$39))))</f>
        <v>345120.30506969942</v>
      </c>
      <c r="AX27" s="105">
        <f>AV27*'Alternative 1'!$K28/'Alternative 1'!$L28</f>
        <v>1652226.3111805336</v>
      </c>
      <c r="AY27" s="105">
        <f>AW27/'Alternative 1'!$M28</f>
        <v>167689.59455414111</v>
      </c>
      <c r="AZ27" s="105">
        <f t="shared" si="7"/>
        <v>1.8199159057346748</v>
      </c>
      <c r="BB27" s="105">
        <f>'Alternative 1'!$B$39*$B27*$C27*COS($K$63)-($N$62/3)*$E27*SIN($K$63)-($N$62/3)*$F27*SIN($K$63)-($N$62/3)*$G27*SIN($K$63)</f>
        <v>160838.40230216726</v>
      </c>
      <c r="BC27" s="106">
        <f>IF(($A27&lt;'Alternative 1'!$B$27),(($H27*'Alternative 1'!$B$39)+(3*($N$62/3)*COS($K$63))),IF(($A27&lt;'Alternative 1'!$B$28),(($H27*'Alternative 1'!$B$39)+(2*(($N$62/3)*COS($K$63)))),IF(($A27&lt;'Alternative 1'!$B$29),(($H$3*'Alternative 1'!$B$39+(($N$62/3)*COS($K$63)))),($H27*'Alternative 1'!$B$39))))</f>
        <v>327089.4855322786</v>
      </c>
      <c r="BD27" s="105">
        <f>BB27*'Alternative 1'!$K28/'Alternative 1'!$L28</f>
        <v>1279912.4193654112</v>
      </c>
      <c r="BE27" s="105">
        <f>BC27/'Alternative 1'!$M28</f>
        <v>158928.64721695575</v>
      </c>
      <c r="BF27" s="105">
        <f t="shared" si="8"/>
        <v>1.4388410665823668</v>
      </c>
      <c r="BH27" s="105">
        <f>'Alternative 1'!$B$39*$B27*$C27*COS($K$73)-($N$72/3)*$E27*SIN($K$73)-($N$72/3)*$F27*SIN($K$73)-($N$72/3)*$G27*SIN($K$73)</f>
        <v>108685.6136110923</v>
      </c>
      <c r="BI27" s="106">
        <f>IF(($A27&lt;'Alternative 1'!$B$27),(($H27*'Alternative 1'!$B$39)+(3*($N$72/3)*COS($K$73))),IF(($A27&lt;'Alternative 1'!$B$28),(($H27*'Alternative 1'!$B$39)+(2*(($N$72/3)*COS($K$73)))),IF(($A27&lt;'Alternative 1'!$B$29),(($H$3*'Alternative 1'!$B$39+(($N$72/3)*COS($K$73)))),($H27*'Alternative 1'!$B$39))))</f>
        <v>315284.01606893499</v>
      </c>
      <c r="BJ27" s="105">
        <f>BH27*'Alternative 1'!$K28/'Alternative 1'!$L28</f>
        <v>864893.36300322681</v>
      </c>
      <c r="BK27" s="105">
        <f>BI27/'Alternative 1'!$M28</f>
        <v>153192.5188039098</v>
      </c>
      <c r="BL27" s="105">
        <f t="shared" si="9"/>
        <v>1.0180858818071366</v>
      </c>
      <c r="BN27" s="105">
        <f>'Alternative 1'!$B$39*$B27*$C27*COS($K$83)-($N$82/3)*$E27*SIN($K$83)-($N$82/3)*$F27*SIN($K$83)-($N$82/3)*$G27*SIN($K$83)</f>
        <v>52861.739849915204</v>
      </c>
      <c r="BO27" s="106">
        <f>IF(($A27&lt;'Alternative 1'!$B$27),(($H27*'Alternative 1'!$B$39)+(3*($N$82/3)*COS($K$83))),IF(($A27&lt;'Alternative 1'!$B$28),(($H27*'Alternative 1'!$B$39)+(2*(($N$82/3)*COS($K$83)))),IF(($A27&lt;'Alternative 1'!$B$29),(($H$3*'Alternative 1'!$B$39+(($N$82/3)*COS($K$83)))),($H27*'Alternative 1'!$B$39))))</f>
        <v>308476.18998899439</v>
      </c>
      <c r="BP27" s="105">
        <f>BN27*'Alternative 1'!$K28/'Alternative 1'!$L28</f>
        <v>420660.71519449714</v>
      </c>
      <c r="BQ27" s="105">
        <f>BO27/'Alternative 1'!$M28</f>
        <v>149884.68214993548</v>
      </c>
      <c r="BR27" s="105">
        <f t="shared" si="10"/>
        <v>0.57054539734443266</v>
      </c>
      <c r="BT27" s="105">
        <f>'Alternative 1'!$B$39*$B27*$C27*COS($K$93)-($K$92/3)*$E27*SIN($K$93)-($K$92/3)*$F27*SIN($K$93)-($K$92/3)*$G27*SIN($K$93)</f>
        <v>-2.0711240456624336</v>
      </c>
      <c r="BU27" s="106">
        <f>IF(($A27&lt;'Alternative 1'!$B$27),(($H27*'Alternative 1'!$B$39)+(3*($N$92/3)*COS($K$93))),IF(($A27&lt;'Alternative 1'!$B$28),(($H27*'Alternative 1'!$B$39)+(2*(($N$92/3)*COS($K$93)))),IF(($A27&lt;'Alternative 1'!$B$29),(($H$3*'Alternative 1'!$B$39+(($N$92/3)*COS($K$93)))),($H27*'Alternative 1'!$B$39))))</f>
        <v>306119.90662501159</v>
      </c>
      <c r="BV27" s="105">
        <f>BT27*'Alternative 1'!$K28/'Alternative 1'!$L28</f>
        <v>-16.481495402506642</v>
      </c>
      <c r="BW27" s="105">
        <f>BU27/'Alternative 1'!$M28</f>
        <v>148739.79384241864</v>
      </c>
      <c r="BX27" s="105">
        <f t="shared" si="11"/>
        <v>0.14872331234701613</v>
      </c>
      <c r="BZ27" s="104">
        <v>150</v>
      </c>
      <c r="CA27" s="104">
        <v>-150</v>
      </c>
    </row>
    <row r="28" spans="1:79" ht="15" customHeight="1" x14ac:dyDescent="0.25">
      <c r="A28" s="18">
        <f>IF('Alternative 1'!F29&gt;0,'Alternative 1'!F29,"x")</f>
        <v>26</v>
      </c>
      <c r="B28" s="18">
        <f t="shared" si="17"/>
        <v>11</v>
      </c>
      <c r="C28" s="18">
        <f t="shared" si="12"/>
        <v>5.5</v>
      </c>
      <c r="D28" s="18">
        <f t="shared" si="13"/>
        <v>26</v>
      </c>
      <c r="E28" s="101">
        <f>IF($A28&lt;='Alternative 1'!$B$27, IF($A28='Alternative 1'!$B$27,0,E29+1),0)</f>
        <v>0</v>
      </c>
      <c r="F28" s="101">
        <f>IF($A28&lt;=('Alternative 1'!$B$28), IF($A28=ROUNDDOWN('Alternative 1'!$B$28,0),0,F29+1),0)</f>
        <v>0</v>
      </c>
      <c r="G28" s="101">
        <f>IF($A28&lt;=('Alternative 1'!$B$29), IF($A28=ROUNDDOWN('Alternative 1'!$B$29,0),0,G29+1),0)</f>
        <v>3</v>
      </c>
      <c r="H28" s="18">
        <f t="shared" si="14"/>
        <v>11</v>
      </c>
      <c r="J28" s="104">
        <f t="shared" si="15"/>
        <v>25</v>
      </c>
      <c r="K28" s="104">
        <f t="shared" si="16"/>
        <v>0.43633231299858238</v>
      </c>
      <c r="L28" s="105">
        <f>'Alternative 1'!$B$27*SIN(K28)+'Alternative 1'!$B$28*SIN(K28)+'Alternative 1'!$B$29*SIN(K28)</f>
        <v>28.738041798367561</v>
      </c>
      <c r="M28" s="104">
        <f>(('Alternative 1'!$B$27)*(((('Alternative 1'!$B$28-'Alternative 1'!$B$27)/2)+'Alternative 1'!$B$27)*'Alternative 1'!$B$39)*COS('Alternative 1-Tilt Up (3pt)'!K28))+(('Alternative 1'!$B$28)*((('Alternative 1'!$B$28-'Alternative 1'!$B$27)/2)+(('Alternative 1'!$B$29-'Alternative 1'!$B$28)/2))*('Alternative 1'!$B$39)*COS('Alternative 1-Tilt Up (3pt)'!K28))+(('Alternative 1'!$B$29)*((('Alternative 1'!$B$12-'Alternative 1'!$B$29+(('Alternative 1'!$B$29-'Alternative 1'!$B$28)/2)*('Alternative 1'!$B$39)*COS('Alternative 1-Tilt Up (3pt)'!K28)))))</f>
        <v>4301456.976497245</v>
      </c>
      <c r="N28" s="104">
        <f t="shared" si="0"/>
        <v>449034.45474927098</v>
      </c>
      <c r="O28" s="104">
        <f>(((('Alternative 1'!$B$28-'Alternative 1'!$B$27)/2)+'Alternative 1'!$B$27)*('Alternative 1'!$B$39)*COS('Alternative 1-Tilt Up (3pt)'!K28))+(((('Alternative 1'!$B$28-'Alternative 1'!$B$27)/2)+(('Alternative 1'!$B$29-'Alternative 1'!$B$28)/2))*('Alternative 1'!$B$39)*COS('Alternative 1-Tilt Up (3pt)'!K28))+(((('Alternative 1'!$B$12-'Alternative 1'!$B$29)+(('Alternative 1'!$B$29-'Alternative 1'!$B$28)/2))*('Alternative 1'!$B$39)*COS('Alternative 1-Tilt Up (3pt)'!K28)))</f>
        <v>277438.8551411801</v>
      </c>
      <c r="P28" s="104">
        <f t="shared" si="1"/>
        <v>406963.42298702052</v>
      </c>
      <c r="R28" s="105">
        <f>'Alternative 1'!$B$39*$B28*$C28*COS($K$5)-($N$5/3)*$E28*SIN($K$5)-($N$5/3)*$F28*SIN($K$5)-($N$5/3)*$G28*SIN($K$5)</f>
        <v>304878.35482837772</v>
      </c>
      <c r="S28" s="106">
        <f>IF(($A28&lt;'Alternative 1'!$B$27),(($H28*'Alternative 1'!$B$39)+(3*($N$5/3)*COS($K$5))),IF(($A28&lt;'Alternative 1'!$B$28),(($H28*'Alternative 1'!$B$39)+(2*(($N$5/3)*COS($K$5)))),IF(($A28&lt;'Alternative 1'!$B$29),(($H$3*'Alternative 1'!$B$39+(($N$5/3)*COS($K$5)))),($H28*'Alternative 1'!$B$39))))</f>
        <v>2303591.7836996038</v>
      </c>
      <c r="T28" s="105">
        <f>R28*'Alternative 1'!$K29/'Alternative 1'!$L29</f>
        <v>2426146.9099116824</v>
      </c>
      <c r="U28" s="105">
        <f>S28/'Alternative 1'!$M29</f>
        <v>1147305.3601726778</v>
      </c>
      <c r="V28" s="105">
        <f t="shared" si="2"/>
        <v>3.5734522700843603</v>
      </c>
      <c r="X28" s="105">
        <f>'Alternative 1'!$B$39*$B28*$C28*COS($K$13)-($N$12/3)*$E28*SIN($K$13)-($N$12/3)*$F28*SIN($K$13)-($N$12/3)*$G28*SIN($K$13)</f>
        <v>277069.44675183354</v>
      </c>
      <c r="Y28" s="106">
        <f>IF(($A28&lt;'Alternative 1'!$B$27),(($H28*'Alternative 1'!$B$39)+(3*($N$12/3)*COS($K$13))),IF(($A28&lt;'Alternative 1'!$B$28),(($H28*'Alternative 1'!$B$39)+(2*(($N$12/3)*COS($K$13)))),IF(($A28&lt;'Alternative 1'!$B$29),(($H$3*'Alternative 1'!$B$39+(($N$12/3)*COS($K$13)))),($H28*'Alternative 1'!$B$39))))</f>
        <v>740098.46863391146</v>
      </c>
      <c r="Z28" s="105">
        <f>X28*'Alternative 1'!$K29/'Alternative 1'!$L29</f>
        <v>2204850.4638720644</v>
      </c>
      <c r="AA28" s="105">
        <f>Y28/'Alternative 1'!$M29</f>
        <v>368606.51532433362</v>
      </c>
      <c r="AB28" s="105">
        <f t="shared" si="3"/>
        <v>2.5734569791963979</v>
      </c>
      <c r="AD28" s="105">
        <f>'Alternative 1'!$B$39*$B28*$C28*COS($K$23)-($N$22/3)*$E28*SIN($K$23)-($N$22/3)*$F28*SIN($K$23)-($N$22/3)*$G28*SIN($K$23)</f>
        <v>275441.66450598277</v>
      </c>
      <c r="AE28" s="106">
        <f>IF(($A28&lt;'Alternative 1'!$B$27),(($H28*'Alternative 1'!$B$39)+(3*($N$22/3)*COS($K$23))),IF(($A28&lt;'Alternative 1'!$B$28),(($H28*'Alternative 1'!$B$39)+(2*(($N$22/3)*COS($K$23)))),IF(($A28&lt;'Alternative 1'!$B$29),(($H$3*'Alternative 1'!$B$39+(($N$22/3)*COS($K$23)))),($H28*'Alternative 1'!$B$39))))</f>
        <v>496597.59167774895</v>
      </c>
      <c r="AF28" s="105">
        <f>AD28*'Alternative 1'!$K29/'Alternative 1'!$L29</f>
        <v>2191896.9733955003</v>
      </c>
      <c r="AG28" s="105">
        <f>AE28/'Alternative 1'!$M29</f>
        <v>247330.74792691713</v>
      </c>
      <c r="AH28" s="105">
        <f t="shared" si="4"/>
        <v>2.4392277213224172</v>
      </c>
      <c r="AJ28" s="105">
        <f>'Alternative 1'!$B$39*$B28*$C28*COS($K$33)-($N$32/3)*$E28*SIN($K$33)-($N$32/3)*$F28*SIN($K$33)-($N$32/3)*$G28*SIN($K$33)</f>
        <v>256654.60460515809</v>
      </c>
      <c r="AK28" s="106">
        <f>IF(($A28&lt;'Alternative 1'!$B$27),(($H28*'Alternative 1'!$B$39)+(3*($N$32/3)*COS($K$33))),IF(($A28&lt;'Alternative 1'!$B$28),(($H28*'Alternative 1'!$B$39)+(2*(($N$32/3)*COS($K$33)))),IF(($A28&lt;'Alternative 1'!$B$29),(($H$3*'Alternative 1'!$B$39+(($N$32/3)*COS($K$33)))),($H28*'Alternative 1'!$B$39))))</f>
        <v>415166.05643987219</v>
      </c>
      <c r="AL28" s="105">
        <f>AJ28*'Alternative 1'!$K29/'Alternative 1'!$L29</f>
        <v>2042394.1746468993</v>
      </c>
      <c r="AM28" s="105">
        <f>AK28/'Alternative 1'!$M29</f>
        <v>206773.71975612667</v>
      </c>
      <c r="AN28" s="105">
        <f t="shared" si="5"/>
        <v>2.2491678944030258</v>
      </c>
      <c r="AP28" s="105">
        <f>'Alternative 1'!$B$39*$B28*$C28*COS($K$43)-($N$42/3)*$E28*SIN($K$43)-($N$42/3)*$F28*SIN($K$43)-($N$42/3)*$G28*SIN($K$43)</f>
        <v>227884.00828600145</v>
      </c>
      <c r="AQ28" s="106">
        <f>IF(($A28&lt;'Alternative 1'!$B$27),(($H28*'Alternative 1'!$B$39)+(3*($N$42/3)*COS($K$43))),IF(($A28&lt;'Alternative 1'!$B$28),(($H28*'Alternative 1'!$B$39)+(2*(($N$42/3)*COS($K$43)))),IF(($A28&lt;'Alternative 1'!$B$29),(($H$3*'Alternative 1'!$B$39+(($N$42/3)*COS($K$43)))),($H28*'Alternative 1'!$B$39))))</f>
        <v>372146.51651041314</v>
      </c>
      <c r="AR28" s="105">
        <f>AP28*'Alternative 1'!$K29/'Alternative 1'!$L29</f>
        <v>1813444.8502669148</v>
      </c>
      <c r="AS28" s="105">
        <f>AQ28/'Alternative 1'!$M29</f>
        <v>185347.81039906014</v>
      </c>
      <c r="AT28" s="105">
        <f t="shared" si="6"/>
        <v>1.9987926606659749</v>
      </c>
      <c r="AV28" s="105">
        <f>'Alternative 1'!$B$39*$B28*$C28*COS($K$53)-($N$52/3)*$E28*SIN($K$53)-($N$52/3)*$F28*SIN($K$53)-($N$52/3)*$G28*SIN($K$53)</f>
        <v>191246.46137131139</v>
      </c>
      <c r="AW28" s="106">
        <f>IF(($A28&lt;'Alternative 1'!$B$27),(($H28*'Alternative 1'!$B$39)+(3*($N$52/3)*COS($K$53))),IF(($A28&lt;'Alternative 1'!$B$28),(($H28*'Alternative 1'!$B$39)+(2*(($N$52/3)*COS($K$53)))),IF(($A28&lt;'Alternative 1'!$B$29),(($H$3*'Alternative 1'!$B$39+(($N$52/3)*COS($K$53)))),($H28*'Alternative 1'!$B$39))))</f>
        <v>345120.30506969942</v>
      </c>
      <c r="AX28" s="105">
        <f>AV28*'Alternative 1'!$K29/'Alternative 1'!$L29</f>
        <v>1521892.2692912777</v>
      </c>
      <c r="AY28" s="105">
        <f>AW28/'Alternative 1'!$M29</f>
        <v>171887.3885176742</v>
      </c>
      <c r="AZ28" s="105">
        <f t="shared" si="7"/>
        <v>1.6937796578089521</v>
      </c>
      <c r="BB28" s="105">
        <f>'Alternative 1'!$B$39*$B28*$C28*COS($K$63)-($N$62/3)*$E28*SIN($K$63)-($N$62/3)*$F28*SIN($K$63)-($N$62/3)*$G28*SIN($K$63)</f>
        <v>148264.62663027231</v>
      </c>
      <c r="BC28" s="106">
        <f>IF(($A28&lt;'Alternative 1'!$B$27),(($H28*'Alternative 1'!$B$39)+(3*($N$62/3)*COS($K$63))),IF(($A28&lt;'Alternative 1'!$B$28),(($H28*'Alternative 1'!$B$39)+(2*(($N$62/3)*COS($K$63)))),IF(($A28&lt;'Alternative 1'!$B$29),(($H$3*'Alternative 1'!$B$39+(($N$62/3)*COS($K$63)))),($H28*'Alternative 1'!$B$39))))</f>
        <v>327089.4855322786</v>
      </c>
      <c r="BD28" s="105">
        <f>BB28*'Alternative 1'!$K29/'Alternative 1'!$L29</f>
        <v>1179853.4072736441</v>
      </c>
      <c r="BE28" s="105">
        <f>BC28/'Alternative 1'!$M29</f>
        <v>162907.12732297339</v>
      </c>
      <c r="BF28" s="105">
        <f t="shared" si="8"/>
        <v>1.3427605345966176</v>
      </c>
      <c r="BH28" s="105">
        <f>'Alternative 1'!$B$39*$B28*$C28*COS($K$73)-($N$72/3)*$E28*SIN($K$73)-($N$72/3)*$F28*SIN($K$73)-($N$72/3)*$G28*SIN($K$73)</f>
        <v>100418.22779725598</v>
      </c>
      <c r="BI28" s="106">
        <f>IF(($A28&lt;'Alternative 1'!$B$27),(($H28*'Alternative 1'!$B$39)+(3*($N$72/3)*COS($K$73))),IF(($A28&lt;'Alternative 1'!$B$28),(($H28*'Alternative 1'!$B$39)+(2*(($N$72/3)*COS($K$73)))),IF(($A28&lt;'Alternative 1'!$B$29),(($H$3*'Alternative 1'!$B$39+(($N$72/3)*COS($K$73)))),($H28*'Alternative 1'!$B$39))))</f>
        <v>315284.01606893499</v>
      </c>
      <c r="BJ28" s="105">
        <f>BH28*'Alternative 1'!$K29/'Alternative 1'!$L29</f>
        <v>799103.54149694892</v>
      </c>
      <c r="BK28" s="105">
        <f>BI28/'Alternative 1'!$M29</f>
        <v>157027.40571149223</v>
      </c>
      <c r="BL28" s="105">
        <f t="shared" si="9"/>
        <v>0.95613094720844105</v>
      </c>
      <c r="BN28" s="105">
        <f>'Alternative 1'!$B$39*$B28*$C28*COS($K$83)-($N$82/3)*$E28*SIN($K$83)-($N$82/3)*$F28*SIN($K$83)-($N$82/3)*$G28*SIN($K$83)</f>
        <v>49244.126153117708</v>
      </c>
      <c r="BO28" s="106">
        <f>IF(($A28&lt;'Alternative 1'!$B$27),(($H28*'Alternative 1'!$B$39)+(3*($N$82/3)*COS($K$83))),IF(($A28&lt;'Alternative 1'!$B$28),(($H28*'Alternative 1'!$B$39)+(2*(($N$82/3)*COS($K$83)))),IF(($A28&lt;'Alternative 1'!$B$29),(($H$3*'Alternative 1'!$B$39+(($N$82/3)*COS($K$83)))),($H28*'Alternative 1'!$B$39))))</f>
        <v>308476.18998899439</v>
      </c>
      <c r="BP28" s="105">
        <f>BN28*'Alternative 1'!$K29/'Alternative 1'!$L29</f>
        <v>391872.63577613333</v>
      </c>
      <c r="BQ28" s="105">
        <f>BO28/'Alternative 1'!$M29</f>
        <v>153636.76358127283</v>
      </c>
      <c r="BR28" s="105">
        <f t="shared" si="10"/>
        <v>0.54550939935740617</v>
      </c>
      <c r="BT28" s="105">
        <f>'Alternative 1'!$B$39*$B28*$C28*COS($K$93)-($K$92/3)*$E28*SIN($K$93)-($K$92/3)*$F28*SIN($K$93)-($K$92/3)*$G28*SIN($K$93)</f>
        <v>-1.5533430342434396</v>
      </c>
      <c r="BU28" s="106">
        <f>IF(($A28&lt;'Alternative 1'!$B$27),(($H28*'Alternative 1'!$B$39)+(3*($N$92/3)*COS($K$93))),IF(($A28&lt;'Alternative 1'!$B$28),(($H28*'Alternative 1'!$B$39)+(2*(($N$92/3)*COS($K$93)))),IF(($A28&lt;'Alternative 1'!$B$29),(($H$3*'Alternative 1'!$B$39+(($N$92/3)*COS($K$93)))),($H28*'Alternative 1'!$B$39))))</f>
        <v>306119.90662501159</v>
      </c>
      <c r="BV28" s="105">
        <f>BT28*'Alternative 1'!$K29/'Alternative 1'!$L29</f>
        <v>-12.361121551853039</v>
      </c>
      <c r="BW28" s="105">
        <f>BU28/'Alternative 1'!$M29</f>
        <v>152463.21514586319</v>
      </c>
      <c r="BX28" s="105">
        <f t="shared" si="11"/>
        <v>0.15245085402431133</v>
      </c>
      <c r="BZ28" s="104">
        <v>150</v>
      </c>
      <c r="CA28" s="104">
        <v>-150</v>
      </c>
    </row>
    <row r="29" spans="1:79" ht="15" customHeight="1" x14ac:dyDescent="0.25">
      <c r="A29" s="18">
        <f>IF('Alternative 1'!F30&gt;0,'Alternative 1'!F30,"x")</f>
        <v>27</v>
      </c>
      <c r="B29" s="18">
        <f t="shared" si="17"/>
        <v>10</v>
      </c>
      <c r="C29" s="18">
        <f t="shared" si="12"/>
        <v>5</v>
      </c>
      <c r="D29" s="18">
        <f t="shared" si="13"/>
        <v>27</v>
      </c>
      <c r="E29" s="101">
        <f>IF($A29&lt;='Alternative 1'!$B$27, IF($A29='Alternative 1'!$B$27,0,E30+1),0)</f>
        <v>0</v>
      </c>
      <c r="F29" s="101">
        <f>IF($A29&lt;=('Alternative 1'!$B$28), IF($A29=ROUNDDOWN('Alternative 1'!$B$28,0),0,F30+1),0)</f>
        <v>0</v>
      </c>
      <c r="G29" s="101">
        <f>IF($A29&lt;=('Alternative 1'!$B$29), IF($A29=ROUNDDOWN('Alternative 1'!$B$29,0),0,G30+1),0)</f>
        <v>2</v>
      </c>
      <c r="H29" s="18">
        <f t="shared" si="14"/>
        <v>10</v>
      </c>
      <c r="J29" s="104">
        <f t="shared" si="15"/>
        <v>26</v>
      </c>
      <c r="K29" s="104">
        <f t="shared" si="16"/>
        <v>0.4537856055185257</v>
      </c>
      <c r="L29" s="105">
        <f>'Alternative 1'!$B$27*SIN(K29)+'Alternative 1'!$B$28*SIN(K29)+'Alternative 1'!$B$29*SIN(K29)</f>
        <v>29.809237981657262</v>
      </c>
      <c r="M29" s="104">
        <f>(('Alternative 1'!$B$27)*(((('Alternative 1'!$B$28-'Alternative 1'!$B$27)/2)+'Alternative 1'!$B$27)*'Alternative 1'!$B$39)*COS('Alternative 1-Tilt Up (3pt)'!K29))+(('Alternative 1'!$B$28)*((('Alternative 1'!$B$28-'Alternative 1'!$B$27)/2)+(('Alternative 1'!$B$29-'Alternative 1'!$B$28)/2))*('Alternative 1'!$B$39)*COS('Alternative 1-Tilt Up (3pt)'!K29))+(('Alternative 1'!$B$29)*((('Alternative 1'!$B$12-'Alternative 1'!$B$29+(('Alternative 1'!$B$29-'Alternative 1'!$B$28)/2)*('Alternative 1'!$B$39)*COS('Alternative 1-Tilt Up (3pt)'!K29)))))</f>
        <v>4265797.3881590012</v>
      </c>
      <c r="N29" s="104">
        <f t="shared" si="0"/>
        <v>429309.60437001835</v>
      </c>
      <c r="O29" s="104">
        <f>(((('Alternative 1'!$B$28-'Alternative 1'!$B$27)/2)+'Alternative 1'!$B$27)*('Alternative 1'!$B$39)*COS('Alternative 1-Tilt Up (3pt)'!K29))+(((('Alternative 1'!$B$28-'Alternative 1'!$B$27)/2)+(('Alternative 1'!$B$29-'Alternative 1'!$B$28)/2))*('Alternative 1'!$B$39)*COS('Alternative 1-Tilt Up (3pt)'!K29))+(((('Alternative 1'!$B$12-'Alternative 1'!$B$29)+(('Alternative 1'!$B$29-'Alternative 1'!$B$28)/2))*('Alternative 1'!$B$39)*COS('Alternative 1-Tilt Up (3pt)'!K29)))</f>
        <v>275138.7495282173</v>
      </c>
      <c r="P29" s="104">
        <f t="shared" si="1"/>
        <v>385860.91642682336</v>
      </c>
      <c r="R29" s="105">
        <f>'Alternative 1'!$B$39*$B29*$C29*COS($K$5)-($N$5/3)*$E29*SIN($K$5)-($N$5/3)*$F29*SIN($K$5)-($N$5/3)*$G29*SIN($K$5)</f>
        <v>285401.02704132942</v>
      </c>
      <c r="S29" s="106">
        <f>IF(($A29&lt;'Alternative 1'!$B$27),(($H29*'Alternative 1'!$B$39)+(3*($N$5/3)*COS($K$5))),IF(($A29&lt;'Alternative 1'!$B$28),(($H29*'Alternative 1'!$B$39)+(2*(($N$5/3)*COS($K$5)))),IF(($A29&lt;'Alternative 1'!$B$29),(($H$3*'Alternative 1'!$B$39+(($N$5/3)*COS($K$5)))),($H29*'Alternative 1'!$B$39))))</f>
        <v>2303591.7836996038</v>
      </c>
      <c r="T29" s="105">
        <f>R29*'Alternative 1'!$K30/'Alternative 1'!$L30</f>
        <v>2271151.1292158542</v>
      </c>
      <c r="U29" s="105">
        <f>S29/'Alternative 1'!$M30</f>
        <v>1176390.0202672526</v>
      </c>
      <c r="V29" s="105">
        <f t="shared" si="2"/>
        <v>3.447541149483107</v>
      </c>
      <c r="X29" s="105">
        <f>'Alternative 1'!$B$39*$B29*$C29*COS($K$13)-($N$12/3)*$E29*SIN($K$13)-($N$12/3)*$F29*SIN($K$13)-($N$12/3)*$G29*SIN($K$13)</f>
        <v>265663.04287598946</v>
      </c>
      <c r="Y29" s="106">
        <f>IF(($A29&lt;'Alternative 1'!$B$27),(($H29*'Alternative 1'!$B$39)+(3*($N$12/3)*COS($K$13))),IF(($A29&lt;'Alternative 1'!$B$28),(($H29*'Alternative 1'!$B$39)+(2*(($N$12/3)*COS($K$13)))),IF(($A29&lt;'Alternative 1'!$B$29),(($H$3*'Alternative 1'!$B$39+(($N$12/3)*COS($K$13)))),($H29*'Alternative 1'!$B$39))))</f>
        <v>740098.46863391146</v>
      </c>
      <c r="Z29" s="105">
        <f>X29*'Alternative 1'!$K30/'Alternative 1'!$L30</f>
        <v>2114081.1092153136</v>
      </c>
      <c r="AA29" s="105">
        <f>Y29/'Alternative 1'!$M30</f>
        <v>377950.84123704478</v>
      </c>
      <c r="AB29" s="105">
        <f t="shared" si="3"/>
        <v>2.4920319504523585</v>
      </c>
      <c r="AD29" s="105">
        <f>'Alternative 1'!$B$39*$B29*$C29*COS($K$23)-($N$22/3)*$E29*SIN($K$23)-($N$22/3)*$F29*SIN($K$23)-($N$22/3)*$G29*SIN($K$23)</f>
        <v>260869.44210217966</v>
      </c>
      <c r="AE29" s="106">
        <f>IF(($A29&lt;'Alternative 1'!$B$27),(($H29*'Alternative 1'!$B$39)+(3*($N$22/3)*COS($K$23))),IF(($A29&lt;'Alternative 1'!$B$28),(($H29*'Alternative 1'!$B$39)+(2*(($N$22/3)*COS($K$23)))),IF(($A29&lt;'Alternative 1'!$B$29),(($H$3*'Alternative 1'!$B$39+(($N$22/3)*COS($K$23)))),($H29*'Alternative 1'!$B$39))))</f>
        <v>496597.59167774895</v>
      </c>
      <c r="AF29" s="105">
        <f>AD29*'Alternative 1'!$K30/'Alternative 1'!$L30</f>
        <v>2075934.8140764683</v>
      </c>
      <c r="AG29" s="105">
        <f>AE29/'Alternative 1'!$M30</f>
        <v>253600.68353787661</v>
      </c>
      <c r="AH29" s="105">
        <f t="shared" si="4"/>
        <v>2.3295354976143452</v>
      </c>
      <c r="AJ29" s="105">
        <f>'Alternative 1'!$B$39*$B29*$C29*COS($K$33)-($N$32/3)*$E29*SIN($K$33)-($N$32/3)*$F29*SIN($K$33)-($N$32/3)*$G29*SIN($K$33)</f>
        <v>242289.37396362418</v>
      </c>
      <c r="AK29" s="106">
        <f>IF(($A29&lt;'Alternative 1'!$B$27),(($H29*'Alternative 1'!$B$39)+(3*($N$32/3)*COS($K$33))),IF(($A29&lt;'Alternative 1'!$B$28),(($H29*'Alternative 1'!$B$39)+(2*(($N$32/3)*COS($K$33)))),IF(($A29&lt;'Alternative 1'!$B$29),(($H$3*'Alternative 1'!$B$39+(($N$32/3)*COS($K$33)))),($H29*'Alternative 1'!$B$39))))</f>
        <v>415166.05643987219</v>
      </c>
      <c r="AL29" s="105">
        <f>AJ29*'Alternative 1'!$K30/'Alternative 1'!$L30</f>
        <v>1928079.2048264113</v>
      </c>
      <c r="AM29" s="105">
        <f>AK29/'Alternative 1'!$M30</f>
        <v>212015.51811632319</v>
      </c>
      <c r="AN29" s="105">
        <f t="shared" si="5"/>
        <v>2.1400947229427345</v>
      </c>
      <c r="AP29" s="105">
        <f>'Alternative 1'!$B$39*$B29*$C29*COS($K$43)-($N$42/3)*$E29*SIN($K$43)-($N$42/3)*$F29*SIN($K$43)-($N$42/3)*$G29*SIN($K$43)</f>
        <v>214890.65504758919</v>
      </c>
      <c r="AQ29" s="106">
        <f>IF(($A29&lt;'Alternative 1'!$B$27),(($H29*'Alternative 1'!$B$39)+(3*($N$42/3)*COS($K$43))),IF(($A29&lt;'Alternative 1'!$B$28),(($H29*'Alternative 1'!$B$39)+(2*(($N$42/3)*COS($K$43)))),IF(($A29&lt;'Alternative 1'!$B$29),(($H$3*'Alternative 1'!$B$39+(($N$42/3)*COS($K$43)))),($H29*'Alternative 1'!$B$39))))</f>
        <v>372146.51651041314</v>
      </c>
      <c r="AR29" s="105">
        <f>AP29*'Alternative 1'!$K30/'Alternative 1'!$L30</f>
        <v>1710046.9431688192</v>
      </c>
      <c r="AS29" s="105">
        <f>AQ29/'Alternative 1'!$M30</f>
        <v>190046.45319448735</v>
      </c>
      <c r="AT29" s="105">
        <f t="shared" si="6"/>
        <v>1.9000933963633067</v>
      </c>
      <c r="AV29" s="105">
        <f>'Alternative 1'!$B$39*$B29*$C29*COS($K$53)-($N$52/3)*$E29*SIN($K$53)-($N$52/3)*$F29*SIN($K$53)-($N$52/3)*$G29*SIN($K$53)</f>
        <v>180334.05210542775</v>
      </c>
      <c r="AW29" s="106">
        <f>IF(($A29&lt;'Alternative 1'!$B$27),(($H29*'Alternative 1'!$B$39)+(3*($N$52/3)*COS($K$53))),IF(($A29&lt;'Alternative 1'!$B$28),(($H29*'Alternative 1'!$B$39)+(2*(($N$52/3)*COS($K$53)))),IF(($A29&lt;'Alternative 1'!$B$29),(($H$3*'Alternative 1'!$B$39+(($N$52/3)*COS($K$53)))),($H29*'Alternative 1'!$B$39))))</f>
        <v>345120.30506969942</v>
      </c>
      <c r="AX29" s="105">
        <f>AV29*'Alternative 1'!$K30/'Alternative 1'!$L30</f>
        <v>1435054.0021567724</v>
      </c>
      <c r="AY29" s="105">
        <f>AW29/'Alternative 1'!$M30</f>
        <v>176244.80411349106</v>
      </c>
      <c r="AZ29" s="105">
        <f t="shared" si="7"/>
        <v>1.6112988062702633</v>
      </c>
      <c r="BB29" s="105">
        <f>'Alternative 1'!$B$39*$B29*$C29*COS($K$63)-($N$62/3)*$E29*SIN($K$63)-($N$62/3)*$F29*SIN($K$63)-($N$62/3)*$G29*SIN($K$63)</f>
        <v>139942.51632816924</v>
      </c>
      <c r="BC29" s="106">
        <f>IF(($A29&lt;'Alternative 1'!$B$27),(($H29*'Alternative 1'!$B$39)+(3*($N$62/3)*COS($K$63))),IF(($A29&lt;'Alternative 1'!$B$28),(($H29*'Alternative 1'!$B$39)+(2*(($N$62/3)*COS($K$63)))),IF(($A29&lt;'Alternative 1'!$B$29),(($H$3*'Alternative 1'!$B$39+(($N$62/3)*COS($K$63)))),($H29*'Alternative 1'!$B$39))))</f>
        <v>327089.4855322786</v>
      </c>
      <c r="BD29" s="105">
        <f>BB29*'Alternative 1'!$K30/'Alternative 1'!$L30</f>
        <v>1113628.1017587373</v>
      </c>
      <c r="BE29" s="105">
        <f>BC29/'Alternative 1'!$M30</f>
        <v>167036.88962484151</v>
      </c>
      <c r="BF29" s="105">
        <f t="shared" si="8"/>
        <v>1.2806649913835788</v>
      </c>
      <c r="BH29" s="105">
        <f>'Alternative 1'!$B$39*$B29*$C29*COS($K$73)-($N$72/3)*$E29*SIN($K$73)-($N$72/3)*$F29*SIN($K$73)-($N$72/3)*$G29*SIN($K$73)</f>
        <v>95059.152381717679</v>
      </c>
      <c r="BI29" s="106">
        <f>IF(($A29&lt;'Alternative 1'!$B$27),(($H29*'Alternative 1'!$B$39)+(3*($N$72/3)*COS($K$73))),IF(($A29&lt;'Alternative 1'!$B$28),(($H29*'Alternative 1'!$B$39)+(2*(($N$72/3)*COS($K$73)))),IF(($A29&lt;'Alternative 1'!$B$29),(($H$3*'Alternative 1'!$B$39+(($N$72/3)*COS($K$73)))),($H29*'Alternative 1'!$B$39))))</f>
        <v>315284.01606893499</v>
      </c>
      <c r="BJ29" s="105">
        <f>BH29*'Alternative 1'!$K30/'Alternative 1'!$L30</f>
        <v>756457.33833598346</v>
      </c>
      <c r="BK29" s="105">
        <f>BI29/'Alternative 1'!$M30</f>
        <v>161008.11466587582</v>
      </c>
      <c r="BL29" s="105">
        <f t="shared" si="9"/>
        <v>0.91746545300185922</v>
      </c>
      <c r="BN29" s="105">
        <f>'Alternative 1'!$B$39*$B29*$C29*COS($K$83)-($N$82/3)*$E29*SIN($K$83)-($N$82/3)*$F29*SIN($K$83)-($N$82/3)*$G29*SIN($K$83)</f>
        <v>47103.100343348102</v>
      </c>
      <c r="BO29" s="106">
        <f>IF(($A29&lt;'Alternative 1'!$B$27),(($H29*'Alternative 1'!$B$39)+(3*($N$82/3)*COS($K$83))),IF(($A29&lt;'Alternative 1'!$B$28),(($H29*'Alternative 1'!$B$39)+(2*(($N$82/3)*COS($K$83)))),IF(($A29&lt;'Alternative 1'!$B$29),(($H$3*'Alternative 1'!$B$39+(($N$82/3)*COS($K$83)))),($H29*'Alternative 1'!$B$39))))</f>
        <v>308476.18998899439</v>
      </c>
      <c r="BP29" s="105">
        <f>BN29*'Alternative 1'!$K30/'Alternative 1'!$L30</f>
        <v>374834.87933934818</v>
      </c>
      <c r="BQ29" s="105">
        <f>BO29/'Alternative 1'!$M30</f>
        <v>157531.51837098229</v>
      </c>
      <c r="BR29" s="105">
        <f t="shared" si="10"/>
        <v>0.53236639771033045</v>
      </c>
      <c r="BT29" s="105">
        <f>'Alternative 1'!$B$39*$B29*$C29*COS($K$93)-($K$92/3)*$E29*SIN($K$93)-($K$92/3)*$F29*SIN($K$93)-($K$92/3)*$G29*SIN($K$93)</f>
        <v>-1.0355620228239244</v>
      </c>
      <c r="BU29" s="106">
        <f>IF(($A29&lt;'Alternative 1'!$B$27),(($H29*'Alternative 1'!$B$39)+(3*($N$92/3)*COS($K$93))),IF(($A29&lt;'Alternative 1'!$B$28),(($H29*'Alternative 1'!$B$39)+(2*(($N$92/3)*COS($K$93)))),IF(($A29&lt;'Alternative 1'!$B$29),(($H$3*'Alternative 1'!$B$39+(($N$92/3)*COS($K$93)))),($H29*'Alternative 1'!$B$39))))</f>
        <v>306119.90662501159</v>
      </c>
      <c r="BV29" s="105">
        <f>BT29*'Alternative 1'!$K30/'Alternative 1'!$L30</f>
        <v>-8.2407477011952892</v>
      </c>
      <c r="BW29" s="105">
        <f>BU29/'Alternative 1'!$M30</f>
        <v>156328.22000278818</v>
      </c>
      <c r="BX29" s="105">
        <f t="shared" si="11"/>
        <v>0.15631997925508698</v>
      </c>
      <c r="BZ29" s="104">
        <v>150</v>
      </c>
      <c r="CA29" s="104">
        <v>-150</v>
      </c>
    </row>
    <row r="30" spans="1:79" ht="15" customHeight="1" x14ac:dyDescent="0.25">
      <c r="A30" s="18">
        <f>IF('Alternative 1'!F31&gt;0,'Alternative 1'!F31,"x")</f>
        <v>28</v>
      </c>
      <c r="B30" s="18">
        <f t="shared" si="17"/>
        <v>9</v>
      </c>
      <c r="C30" s="18">
        <f t="shared" si="12"/>
        <v>4.5</v>
      </c>
      <c r="D30" s="18">
        <f t="shared" si="13"/>
        <v>28</v>
      </c>
      <c r="E30" s="101">
        <f>IF($A30&lt;='Alternative 1'!$B$27, IF($A30='Alternative 1'!$B$27,0,E31+1),0)</f>
        <v>0</v>
      </c>
      <c r="F30" s="101">
        <f>IF($A30&lt;=('Alternative 1'!$B$28), IF($A30=ROUNDDOWN('Alternative 1'!$B$28,0),0,F31+1),0)</f>
        <v>0</v>
      </c>
      <c r="G30" s="101">
        <f>IF($A30&lt;=('Alternative 1'!$B$29), IF($A30=ROUNDDOWN('Alternative 1'!$B$29,0),0,G31+1),0)</f>
        <v>1</v>
      </c>
      <c r="H30" s="18">
        <f t="shared" si="14"/>
        <v>9</v>
      </c>
      <c r="J30" s="104">
        <f t="shared" si="15"/>
        <v>27</v>
      </c>
      <c r="K30" s="104">
        <f t="shared" si="16"/>
        <v>0.47123889803846897</v>
      </c>
      <c r="L30" s="105">
        <f>'Alternative 1'!$B$27*SIN(K30)+'Alternative 1'!$B$28*SIN(K30)+'Alternative 1'!$B$29*SIN(K30)</f>
        <v>30.871353982289179</v>
      </c>
      <c r="M30" s="104">
        <f>(('Alternative 1'!$B$27)*(((('Alternative 1'!$B$28-'Alternative 1'!$B$27)/2)+'Alternative 1'!$B$27)*'Alternative 1'!$B$39)*COS('Alternative 1-Tilt Up (3pt)'!K30))+(('Alternative 1'!$B$28)*((('Alternative 1'!$B$28-'Alternative 1'!$B$27)/2)+(('Alternative 1'!$B$29-'Alternative 1'!$B$28)/2))*('Alternative 1'!$B$39)*COS('Alternative 1-Tilt Up (3pt)'!K30))+(('Alternative 1'!$B$29)*((('Alternative 1'!$B$12-'Alternative 1'!$B$29+(('Alternative 1'!$B$29-'Alternative 1'!$B$28)/2)*('Alternative 1'!$B$39)*COS('Alternative 1-Tilt Up (3pt)'!K30)))))</f>
        <v>4228838.4562037447</v>
      </c>
      <c r="N30" s="104">
        <f t="shared" si="0"/>
        <v>410947.81187405833</v>
      </c>
      <c r="O30" s="104">
        <f>(((('Alternative 1'!$B$28-'Alternative 1'!$B$27)/2)+'Alternative 1'!$B$27)*('Alternative 1'!$B$39)*COS('Alternative 1-Tilt Up (3pt)'!K30))+(((('Alternative 1'!$B$28-'Alternative 1'!$B$27)/2)+(('Alternative 1'!$B$29-'Alternative 1'!$B$28)/2))*('Alternative 1'!$B$39)*COS('Alternative 1-Tilt Up (3pt)'!K30))+(((('Alternative 1'!$B$12-'Alternative 1'!$B$29)+(('Alternative 1'!$B$29-'Alternative 1'!$B$28)/2))*('Alternative 1'!$B$39)*COS('Alternative 1-Tilt Up (3pt)'!K30)))</f>
        <v>272754.83398681926</v>
      </c>
      <c r="P30" s="104">
        <f t="shared" si="1"/>
        <v>366157.18148072</v>
      </c>
      <c r="R30" s="105">
        <f>'Alternative 1'!$B$39*$B30*$C30*COS($K$5)-($N$5/3)*$E30*SIN($K$5)-($N$5/3)*$F30*SIN($K$5)-($N$5/3)*$G30*SIN($K$5)</f>
        <v>274421.84999453055</v>
      </c>
      <c r="S30" s="106">
        <f>IF(($A30&lt;'Alternative 1'!$B$27),(($H30*'Alternative 1'!$B$39)+(3*($N$5/3)*COS($K$5))),IF(($A30&lt;'Alternative 1'!$B$28),(($H30*'Alternative 1'!$B$39)+(2*(($N$5/3)*COS($K$5)))),IF(($A30&lt;'Alternative 1'!$B$29),(($H$3*'Alternative 1'!$B$39+(($N$5/3)*COS($K$5)))),($H30*'Alternative 1'!$B$39))))</f>
        <v>2303591.7836996038</v>
      </c>
      <c r="T30" s="105">
        <f>R30*'Alternative 1'!$K31/'Alternative 1'!$L31</f>
        <v>2183781.5405139639</v>
      </c>
      <c r="U30" s="105">
        <f>S30/'Alternative 1'!$M31</f>
        <v>1206594.8252839653</v>
      </c>
      <c r="V30" s="105">
        <f t="shared" si="2"/>
        <v>3.3903763657979296</v>
      </c>
      <c r="X30" s="105">
        <f>'Alternative 1'!$B$39*$B30*$C30*COS($K$13)-($N$12/3)*$E30*SIN($K$13)-($N$12/3)*$F30*SIN($K$13)-($N$12/3)*$G30*SIN($K$13)</f>
        <v>262630.78503891447</v>
      </c>
      <c r="Y30" s="106">
        <f>IF(($A30&lt;'Alternative 1'!$B$27),(($H30*'Alternative 1'!$B$39)+(3*($N$12/3)*COS($K$13))),IF(($A30&lt;'Alternative 1'!$B$28),(($H30*'Alternative 1'!$B$39)+(2*(($N$12/3)*COS($K$13)))),IF(($A30&lt;'Alternative 1'!$B$29),(($H$3*'Alternative 1'!$B$39+(($N$12/3)*COS($K$13)))),($H30*'Alternative 1'!$B$39))))</f>
        <v>740098.46863391146</v>
      </c>
      <c r="Z30" s="105">
        <f>X30*'Alternative 1'!$K31/'Alternative 1'!$L31</f>
        <v>2089951.1476586259</v>
      </c>
      <c r="AA30" s="105">
        <f>Y30/'Alternative 1'!$M31</f>
        <v>387655.04755364888</v>
      </c>
      <c r="AB30" s="105">
        <f t="shared" si="3"/>
        <v>2.477606195212275</v>
      </c>
      <c r="AD30" s="105">
        <f>'Alternative 1'!$B$39*$B30*$C30*COS($K$23)-($N$22/3)*$E30*SIN($K$23)-($N$22/3)*$F30*SIN($K$23)-($N$22/3)*$G30*SIN($K$23)</f>
        <v>254287.73684646533</v>
      </c>
      <c r="AE30" s="106">
        <f>IF(($A30&lt;'Alternative 1'!$B$27),(($H30*'Alternative 1'!$B$39)+(3*($N$22/3)*COS($K$23))),IF(($A30&lt;'Alternative 1'!$B$28),(($H30*'Alternative 1'!$B$39)+(2*(($N$22/3)*COS($K$23)))),IF(($A30&lt;'Alternative 1'!$B$29),(($H$3*'Alternative 1'!$B$39+(($N$22/3)*COS($K$23)))),($H30*'Alternative 1'!$B$39))))</f>
        <v>496597.59167774895</v>
      </c>
      <c r="AF30" s="105">
        <f>AD30*'Alternative 1'!$K31/'Alternative 1'!$L31</f>
        <v>2023559.2235656574</v>
      </c>
      <c r="AG30" s="105">
        <f>AE30/'Alternative 1'!$M31</f>
        <v>260112.09477598494</v>
      </c>
      <c r="AH30" s="105">
        <f t="shared" si="4"/>
        <v>2.2836713183416419</v>
      </c>
      <c r="AJ30" s="105">
        <f>'Alternative 1'!$B$39*$B30*$C30*COS($K$33)-($N$32/3)*$E30*SIN($K$33)-($N$32/3)*$F30*SIN($K$33)-($N$32/3)*$G30*SIN($K$33)</f>
        <v>235288.24375935085</v>
      </c>
      <c r="AK30" s="106">
        <f>IF(($A30&lt;'Alternative 1'!$B$27),(($H30*'Alternative 1'!$B$39)+(3*($N$32/3)*COS($K$33))),IF(($A30&lt;'Alternative 1'!$B$28),(($H30*'Alternative 1'!$B$39)+(2*(($N$32/3)*COS($K$33)))),IF(($A30&lt;'Alternative 1'!$B$29),(($H$3*'Alternative 1'!$B$39+(($N$32/3)*COS($K$33)))),($H30*'Alternative 1'!$B$39))))</f>
        <v>415166.05643987219</v>
      </c>
      <c r="AL30" s="105">
        <f>AJ30*'Alternative 1'!$K31/'Alternative 1'!$L31</f>
        <v>1872365.9338054205</v>
      </c>
      <c r="AM30" s="105">
        <f>AK30/'Alternative 1'!$M31</f>
        <v>217459.19519186151</v>
      </c>
      <c r="AN30" s="105">
        <f t="shared" si="5"/>
        <v>2.089825128997282</v>
      </c>
      <c r="AP30" s="105">
        <f>'Alternative 1'!$B$39*$B30*$C30*COS($K$43)-($N$42/3)*$E30*SIN($K$43)-($N$42/3)*$F30*SIN($K$43)-($N$42/3)*$G30*SIN($K$43)</f>
        <v>208411.23107023776</v>
      </c>
      <c r="AQ30" s="106">
        <f>IF(($A30&lt;'Alternative 1'!$B$27),(($H30*'Alternative 1'!$B$39)+(3*($N$42/3)*COS($K$43))),IF(($A30&lt;'Alternative 1'!$B$28),(($H30*'Alternative 1'!$B$39)+(2*(($N$42/3)*COS($K$43)))),IF(($A30&lt;'Alternative 1'!$B$29),(($H$3*'Alternative 1'!$B$39+(($N$42/3)*COS($K$43)))),($H30*'Alternative 1'!$B$39))))</f>
        <v>372146.51651041314</v>
      </c>
      <c r="AR30" s="105">
        <f>AP30*'Alternative 1'!$K31/'Alternative 1'!$L31</f>
        <v>1658485.2818973656</v>
      </c>
      <c r="AS30" s="105">
        <f>AQ30/'Alternative 1'!$M31</f>
        <v>194926.05601664766</v>
      </c>
      <c r="AT30" s="105">
        <f t="shared" si="6"/>
        <v>1.8534113379140134</v>
      </c>
      <c r="AV30" s="105">
        <f>'Alternative 1'!$B$39*$B30*$C30*COS($K$53)-($N$52/3)*$E30*SIN($K$53)-($N$52/3)*$F30*SIN($K$53)-($N$52/3)*$G30*SIN($K$53)</f>
        <v>174887.47848001518</v>
      </c>
      <c r="AW30" s="106">
        <f>IF(($A30&lt;'Alternative 1'!$B$27),(($H30*'Alternative 1'!$B$39)+(3*($N$52/3)*COS($K$53))),IF(($A30&lt;'Alternative 1'!$B$28),(($H30*'Alternative 1'!$B$39)+(2*(($N$52/3)*COS($K$53)))),IF(($A30&lt;'Alternative 1'!$B$29),(($H$3*'Alternative 1'!$B$39+(($N$52/3)*COS($K$53)))),($H30*'Alternative 1'!$B$39))))</f>
        <v>345120.30506969942</v>
      </c>
      <c r="AX30" s="105">
        <f>AV30*'Alternative 1'!$K31/'Alternative 1'!$L31</f>
        <v>1391711.5097770174</v>
      </c>
      <c r="AY30" s="105">
        <f>AW30/'Alternative 1'!$M31</f>
        <v>180770.03796599121</v>
      </c>
      <c r="AZ30" s="105">
        <f t="shared" si="7"/>
        <v>1.5724815477430087</v>
      </c>
      <c r="BB30" s="105">
        <f>'Alternative 1'!$B$39*$B30*$C30*COS($K$63)-($N$62/3)*$E30*SIN($K$63)-($N$62/3)*$F30*SIN($K$63)-($N$62/3)*$G30*SIN($K$63)</f>
        <v>135872.07139585796</v>
      </c>
      <c r="BC30" s="106">
        <f>IF(($A30&lt;'Alternative 1'!$B$27),(($H30*'Alternative 1'!$B$39)+(3*($N$62/3)*COS($K$63))),IF(($A30&lt;'Alternative 1'!$B$28),(($H30*'Alternative 1'!$B$39)+(2*(($N$62/3)*COS($K$63)))),IF(($A30&lt;'Alternative 1'!$B$29),(($H$3*'Alternative 1'!$B$39+(($N$62/3)*COS($K$63)))),($H30*'Alternative 1'!$B$39))))</f>
        <v>327089.4855322786</v>
      </c>
      <c r="BD30" s="105">
        <f>BB30*'Alternative 1'!$K31/'Alternative 1'!$L31</f>
        <v>1081236.5028206892</v>
      </c>
      <c r="BE30" s="105">
        <f>BC30/'Alternative 1'!$M31</f>
        <v>171325.70251409936</v>
      </c>
      <c r="BF30" s="105">
        <f t="shared" si="8"/>
        <v>1.2525622053347887</v>
      </c>
      <c r="BH30" s="105">
        <f>'Alternative 1'!$B$39*$B30*$C30*COS($K$73)-($N$72/3)*$E30*SIN($K$73)-($N$72/3)*$F30*SIN($K$73)-($N$72/3)*$G30*SIN($K$73)</f>
        <v>92608.387364477327</v>
      </c>
      <c r="BI30" s="106">
        <f>IF(($A30&lt;'Alternative 1'!$B$27),(($H30*'Alternative 1'!$B$39)+(3*($N$72/3)*COS($K$73))),IF(($A30&lt;'Alternative 1'!$B$28),(($H30*'Alternative 1'!$B$39)+(2*(($N$72/3)*COS($K$73)))),IF(($A30&lt;'Alternative 1'!$B$29),(($H$3*'Alternative 1'!$B$39+(($N$72/3)*COS($K$73)))),($H30*'Alternative 1'!$B$39))))</f>
        <v>315284.01606893499</v>
      </c>
      <c r="BJ30" s="105">
        <f>BH30*'Alternative 1'!$K31/'Alternative 1'!$L31</f>
        <v>736954.75352032995</v>
      </c>
      <c r="BK30" s="105">
        <f>BI30/'Alternative 1'!$M31</f>
        <v>165142.13367811337</v>
      </c>
      <c r="BL30" s="105">
        <f t="shared" si="9"/>
        <v>0.90209688719844328</v>
      </c>
      <c r="BN30" s="105">
        <f>'Alternative 1'!$B$39*$B30*$C30*COS($K$83)-($N$82/3)*$E30*SIN($K$83)-($N$82/3)*$F30*SIN($K$83)-($N$82/3)*$G30*SIN($K$83)</f>
        <v>46438.662420606401</v>
      </c>
      <c r="BO30" s="106">
        <f>IF(($A30&lt;'Alternative 1'!$B$27),(($H30*'Alternative 1'!$B$39)+(3*($N$82/3)*COS($K$83))),IF(($A30&lt;'Alternative 1'!$B$28),(($H30*'Alternative 1'!$B$39)+(2*(($N$82/3)*COS($K$83)))),IF(($A30&lt;'Alternative 1'!$B$29),(($H$3*'Alternative 1'!$B$39+(($N$82/3)*COS($K$83)))),($H30*'Alternative 1'!$B$39))))</f>
        <v>308476.18998899439</v>
      </c>
      <c r="BP30" s="105">
        <f>BN30*'Alternative 1'!$K31/'Alternative 1'!$L31</f>
        <v>369547.44588414149</v>
      </c>
      <c r="BQ30" s="105">
        <f>BO30/'Alternative 1'!$M31</f>
        <v>161576.27284390893</v>
      </c>
      <c r="BR30" s="105">
        <f t="shared" si="10"/>
        <v>0.53112371872805031</v>
      </c>
      <c r="BT30" s="105">
        <f>'Alternative 1'!$B$39*$B30*$C30*COS($K$93)-($K$92/3)*$E30*SIN($K$93)-($K$92/3)*$F30*SIN($K$93)-($K$92/3)*$G30*SIN($K$93)</f>
        <v>-0.51778101140388832</v>
      </c>
      <c r="BU30" s="106">
        <f>IF(($A30&lt;'Alternative 1'!$B$27),(($H30*'Alternative 1'!$B$39)+(3*($N$92/3)*COS($K$93))),IF(($A30&lt;'Alternative 1'!$B$28),(($H30*'Alternative 1'!$B$39)+(2*(($N$92/3)*COS($K$93)))),IF(($A30&lt;'Alternative 1'!$B$29),(($H$3*'Alternative 1'!$B$39+(($N$92/3)*COS($K$93)))),($H30*'Alternative 1'!$B$39))))</f>
        <v>306119.90662501159</v>
      </c>
      <c r="BV30" s="105">
        <f>BT30*'Alternative 1'!$K31/'Alternative 1'!$L31</f>
        <v>-4.1203738505333956</v>
      </c>
      <c r="BW30" s="105">
        <f>BU30/'Alternative 1'!$M31</f>
        <v>160342.07877619163</v>
      </c>
      <c r="BX30" s="105">
        <f t="shared" si="11"/>
        <v>0.16033795840234108</v>
      </c>
      <c r="BZ30" s="104">
        <v>150</v>
      </c>
      <c r="CA30" s="104">
        <v>-150</v>
      </c>
    </row>
    <row r="31" spans="1:79" ht="15" customHeight="1" x14ac:dyDescent="0.25">
      <c r="A31" s="18">
        <f>IF('Alternative 1'!F32&gt;0,'Alternative 1'!F32,"x")</f>
        <v>29</v>
      </c>
      <c r="B31" s="18">
        <f t="shared" si="17"/>
        <v>8</v>
      </c>
      <c r="C31" s="18">
        <f t="shared" si="12"/>
        <v>4</v>
      </c>
      <c r="D31" s="18">
        <f t="shared" si="13"/>
        <v>29</v>
      </c>
      <c r="E31" s="101">
        <f>IF($A31&lt;='Alternative 1'!$B$27, IF($A31='Alternative 1'!$B$27,0,E32+1),0)</f>
        <v>0</v>
      </c>
      <c r="F31" s="101">
        <f>IF($A31&lt;=('Alternative 1'!$B$28), IF($A31=ROUNDDOWN('Alternative 1'!$B$28,0),0,F32+1),0)</f>
        <v>0</v>
      </c>
      <c r="G31" s="101">
        <f>IF($A31&lt;=('Alternative 1'!$B$29), IF($A31=ROUNDDOWN('Alternative 1'!$B$29,0),0,G32+1),0)</f>
        <v>0</v>
      </c>
      <c r="H31" s="18">
        <f t="shared" si="14"/>
        <v>8</v>
      </c>
      <c r="J31" s="104">
        <f t="shared" si="15"/>
        <v>28</v>
      </c>
      <c r="K31" s="104">
        <f t="shared" si="16"/>
        <v>0.48869219055841229</v>
      </c>
      <c r="L31" s="105">
        <f>'Alternative 1'!$B$27*SIN(K31)+'Alternative 1'!$B$28*SIN(K31)+'Alternative 1'!$B$29*SIN(K31)</f>
        <v>31.924066269440576</v>
      </c>
      <c r="M31" s="104">
        <f>(('Alternative 1'!$B$27)*(((('Alternative 1'!$B$28-'Alternative 1'!$B$27)/2)+'Alternative 1'!$B$27)*'Alternative 1'!$B$39)*COS('Alternative 1-Tilt Up (3pt)'!K31))+(('Alternative 1'!$B$28)*((('Alternative 1'!$B$28-'Alternative 1'!$B$27)/2)+(('Alternative 1'!$B$29-'Alternative 1'!$B$28)/2))*('Alternative 1'!$B$39)*COS('Alternative 1-Tilt Up (3pt)'!K31))+(('Alternative 1'!$B$29)*((('Alternative 1'!$B$12-'Alternative 1'!$B$29+(('Alternative 1'!$B$29-'Alternative 1'!$B$28)/2)*('Alternative 1'!$B$39)*COS('Alternative 1-Tilt Up (3pt)'!K31)))))</f>
        <v>4190591.4386801785</v>
      </c>
      <c r="N31" s="104">
        <f t="shared" si="0"/>
        <v>393802.41257282783</v>
      </c>
      <c r="O31" s="104">
        <f>(((('Alternative 1'!$B$28-'Alternative 1'!$B$27)/2)+'Alternative 1'!$B$27)*('Alternative 1'!$B$39)*COS('Alternative 1-Tilt Up (3pt)'!K31))+(((('Alternative 1'!$B$28-'Alternative 1'!$B$27)/2)+(('Alternative 1'!$B$29-'Alternative 1'!$B$28)/2))*('Alternative 1'!$B$39)*COS('Alternative 1-Tilt Up (3pt)'!K31))+(((('Alternative 1'!$B$12-'Alternative 1'!$B$29)+(('Alternative 1'!$B$29-'Alternative 1'!$B$28)/2))*('Alternative 1'!$B$39)*COS('Alternative 1-Tilt Up (3pt)'!K31)))</f>
        <v>270287.83468075341</v>
      </c>
      <c r="P31" s="104">
        <f t="shared" si="1"/>
        <v>347706.8922432164</v>
      </c>
      <c r="R31" s="105">
        <f>'Alternative 1'!$B$39*$B31*$C31*COS($K$5)-($N$5/3)*$E31*SIN($K$5)-($N$5/3)*$F31*SIN($K$5)-($N$5/3)*$G31*SIN($K$5)</f>
        <v>271940.82368798106</v>
      </c>
      <c r="S31" s="106">
        <f>IF(($A31&lt;'Alternative 1'!$B$27),(($H31*'Alternative 1'!$B$39)+(3*($N$5/3)*COS($K$5))),IF(($A31&lt;'Alternative 1'!$B$28),(($H31*'Alternative 1'!$B$39)+(2*(($N$5/3)*COS($K$5)))),IF(($A31&lt;'Alternative 1'!$B$29),(($H$3*'Alternative 1'!$B$39+(($N$5/3)*COS($K$5)))),($H31*'Alternative 1'!$B$39))))</f>
        <v>2303591.7836996038</v>
      </c>
      <c r="T31" s="105">
        <f>R31*'Alternative 1'!$K32/'Alternative 1'!$L32</f>
        <v>2164038.143806011</v>
      </c>
      <c r="U31" s="105">
        <f>S31/'Alternative 1'!$M32</f>
        <v>1237978.0430087</v>
      </c>
      <c r="V31" s="105">
        <f t="shared" si="2"/>
        <v>3.402016186814711</v>
      </c>
      <c r="X31" s="105">
        <f>'Alternative 1'!$B$39*$B31*$C31*COS($K$13)-($N$12/3)*$E31*SIN($K$13)-($N$12/3)*$F31*SIN($K$13)-($N$12/3)*$G31*SIN($K$13)</f>
        <v>267972.67324060854</v>
      </c>
      <c r="Y31" s="106">
        <f>IF(($A31&lt;'Alternative 1'!$B$27),(($H31*'Alternative 1'!$B$39)+(3*($N$12/3)*COS($K$13))),IF(($A31&lt;'Alternative 1'!$B$28),(($H31*'Alternative 1'!$B$39)+(2*(($N$12/3)*COS($K$13)))),IF(($A31&lt;'Alternative 1'!$B$29),(($H$3*'Alternative 1'!$B$39+(($N$12/3)*COS($K$13)))),($H31*'Alternative 1'!$B$39))))</f>
        <v>740098.46863391146</v>
      </c>
      <c r="Z31" s="105">
        <f>X31*'Alternative 1'!$K32/'Alternative 1'!$L32</f>
        <v>2132460.5792020005</v>
      </c>
      <c r="AA31" s="105">
        <f>Y31/'Alternative 1'!$M32</f>
        <v>397737.85456105118</v>
      </c>
      <c r="AB31" s="105">
        <f t="shared" si="3"/>
        <v>2.5301984337630521</v>
      </c>
      <c r="AD31" s="105">
        <f>'Alternative 1'!$B$39*$B31*$C31*COS($K$23)-($N$22/3)*$E31*SIN($K$23)-($N$22/3)*$F31*SIN($K$23)-($N$22/3)*$G31*SIN($K$23)</f>
        <v>255696.54873883972</v>
      </c>
      <c r="AE31" s="106">
        <f>IF(($A31&lt;'Alternative 1'!$B$27),(($H31*'Alternative 1'!$B$39)+(3*($N$22/3)*COS($K$23))),IF(($A31&lt;'Alternative 1'!$B$28),(($H31*'Alternative 1'!$B$39)+(2*(($N$22/3)*COS($K$23)))),IF(($A31&lt;'Alternative 1'!$B$29),(($H$3*'Alternative 1'!$B$39+(($N$22/3)*COS($K$23)))),($H31*'Alternative 1'!$B$39))))</f>
        <v>496597.59167774895</v>
      </c>
      <c r="AF31" s="105">
        <f>AD31*'Alternative 1'!$K32/'Alternative 1'!$L32</f>
        <v>2034770.2018630668</v>
      </c>
      <c r="AG31" s="105">
        <f>AE31/'Alternative 1'!$M32</f>
        <v>266877.54273924005</v>
      </c>
      <c r="AH31" s="105">
        <f t="shared" si="4"/>
        <v>2.3016477446023069</v>
      </c>
      <c r="AJ31" s="105">
        <f>'Alternative 1'!$B$39*$B31*$C31*COS($K$33)-($N$32/3)*$E31*SIN($K$33)-($N$32/3)*$F31*SIN($K$33)-($N$32/3)*$G31*SIN($K$33)</f>
        <v>235651.21399233805</v>
      </c>
      <c r="AK31" s="106">
        <f>IF(($A31&lt;'Alternative 1'!$B$27),(($H31*'Alternative 1'!$B$39)+(3*($N$32/3)*COS($K$33))),IF(($A31&lt;'Alternative 1'!$B$28),(($H31*'Alternative 1'!$B$39)+(2*(($N$32/3)*COS($K$33)))),IF(($A31&lt;'Alternative 1'!$B$29),(($H$3*'Alternative 1'!$B$39+(($N$32/3)*COS($K$33)))),($H31*'Alternative 1'!$B$39))))</f>
        <v>415166.05643987219</v>
      </c>
      <c r="AL31" s="105">
        <f>AJ31*'Alternative 1'!$K32/'Alternative 1'!$L32</f>
        <v>1875254.3615839276</v>
      </c>
      <c r="AM31" s="105">
        <f>AK31/'Alternative 1'!$M32</f>
        <v>223115.25232549425</v>
      </c>
      <c r="AN31" s="105">
        <f t="shared" si="5"/>
        <v>2.0983696139094219</v>
      </c>
      <c r="AP31" s="105">
        <f>'Alternative 1'!$B$39*$B31*$C31*COS($K$43)-($N$42/3)*$E31*SIN($K$43)-($N$42/3)*$F31*SIN($K$43)-($N$42/3)*$G31*SIN($K$43)</f>
        <v>208445.73635394714</v>
      </c>
      <c r="AQ31" s="106">
        <f>IF(($A31&lt;'Alternative 1'!$B$27),(($H31*'Alternative 1'!$B$39)+(3*($N$42/3)*COS($K$43))),IF(($A31&lt;'Alternative 1'!$B$28),(($H31*'Alternative 1'!$B$39)+(2*(($N$42/3)*COS($K$43)))),IF(($A31&lt;'Alternative 1'!$B$29),(($H$3*'Alternative 1'!$B$39+(($N$42/3)*COS($K$43)))),($H31*'Alternative 1'!$B$39))))</f>
        <v>372146.51651041314</v>
      </c>
      <c r="AR31" s="105">
        <f>AP31*'Alternative 1'!$K32/'Alternative 1'!$L32</f>
        <v>1658759.8664525538</v>
      </c>
      <c r="AS31" s="105">
        <f>AQ31/'Alternative 1'!$M32</f>
        <v>199996.03205831899</v>
      </c>
      <c r="AT31" s="105">
        <f t="shared" si="6"/>
        <v>1.8587558985108728</v>
      </c>
      <c r="AV31" s="105">
        <f>'Alternative 1'!$B$39*$B31*$C31*COS($K$53)-($N$52/3)*$E31*SIN($K$53)-($N$52/3)*$F31*SIN($K$53)-($N$52/3)*$G31*SIN($K$53)</f>
        <v>174906.74049507361</v>
      </c>
      <c r="AW31" s="106">
        <f>IF(($A31&lt;'Alternative 1'!$B$27),(($H31*'Alternative 1'!$B$39)+(3*($N$52/3)*COS($K$53))),IF(($A31&lt;'Alternative 1'!$B$28),(($H31*'Alternative 1'!$B$39)+(2*(($N$52/3)*COS($K$53)))),IF(($A31&lt;'Alternative 1'!$B$29),(($H$3*'Alternative 1'!$B$39+(($N$52/3)*COS($K$53)))),($H31*'Alternative 1'!$B$39))))</f>
        <v>345120.30506969942</v>
      </c>
      <c r="AX31" s="105">
        <f>AV31*'Alternative 1'!$K32/'Alternative 1'!$L32</f>
        <v>1391864.7921520122</v>
      </c>
      <c r="AY31" s="105">
        <f>AW31/'Alternative 1'!$M32</f>
        <v>185471.81965833364</v>
      </c>
      <c r="AZ31" s="105">
        <f t="shared" si="7"/>
        <v>1.577336611810346</v>
      </c>
      <c r="BB31" s="105">
        <f>'Alternative 1'!$B$39*$B31*$C31*COS($K$63)-($N$62/3)*$E31*SIN($K$63)-($N$62/3)*$F31*SIN($K$63)-($N$62/3)*$G31*SIN($K$63)</f>
        <v>136053.2918333385</v>
      </c>
      <c r="BC31" s="106">
        <f>IF(($A31&lt;'Alternative 1'!$B$27),(($H31*'Alternative 1'!$B$39)+(3*($N$62/3)*COS($K$63))),IF(($A31&lt;'Alternative 1'!$B$28),(($H31*'Alternative 1'!$B$39)+(2*(($N$62/3)*COS($K$63)))),IF(($A31&lt;'Alternative 1'!$B$29),(($H$3*'Alternative 1'!$B$39+(($N$62/3)*COS($K$63)))),($H31*'Alternative 1'!$B$39))))</f>
        <v>327089.4855322786</v>
      </c>
      <c r="BD31" s="105">
        <f>BB31*'Alternative 1'!$K32/'Alternative 1'!$L32</f>
        <v>1082678.6104595007</v>
      </c>
      <c r="BE31" s="105">
        <f>BC31/'Alternative 1'!$M32</f>
        <v>175781.83949660108</v>
      </c>
      <c r="BF31" s="105">
        <f t="shared" si="8"/>
        <v>1.2584604499561018</v>
      </c>
      <c r="BH31" s="105">
        <f>'Alternative 1'!$B$39*$B31*$C31*COS($K$73)-($N$72/3)*$E31*SIN($K$73)-($N$72/3)*$F31*SIN($K$73)-($N$72/3)*$G31*SIN($K$73)</f>
        <v>93065.932745534941</v>
      </c>
      <c r="BI31" s="106">
        <f>IF(($A31&lt;'Alternative 1'!$B$27),(($H31*'Alternative 1'!$B$39)+(3*($N$72/3)*COS($K$73))),IF(($A31&lt;'Alternative 1'!$B$28),(($H31*'Alternative 1'!$B$39)+(2*(($N$72/3)*COS($K$73)))),IF(($A31&lt;'Alternative 1'!$B$29),(($H$3*'Alternative 1'!$B$39+(($N$72/3)*COS($K$73)))),($H31*'Alternative 1'!$B$39))))</f>
        <v>315284.01606893499</v>
      </c>
      <c r="BJ31" s="105">
        <f>BH31*'Alternative 1'!$K32/'Alternative 1'!$L32</f>
        <v>740595.78704998852</v>
      </c>
      <c r="BK31" s="105">
        <f>BI31/'Alternative 1'!$M32</f>
        <v>169437.43764274602</v>
      </c>
      <c r="BL31" s="105">
        <f t="shared" si="9"/>
        <v>0.91003322469273451</v>
      </c>
      <c r="BN31" s="105">
        <f>'Alternative 1'!$B$39*$B31*$C31*COS($K$83)-($N$82/3)*$E31*SIN($K$83)-($N$82/3)*$F31*SIN($K$83)-($N$82/3)*$G31*SIN($K$83)</f>
        <v>47250.812384892582</v>
      </c>
      <c r="BO31" s="106">
        <f>IF(($A31&lt;'Alternative 1'!$B$27),(($H31*'Alternative 1'!$B$39)+(3*($N$82/3)*COS($K$83))),IF(($A31&lt;'Alternative 1'!$B$28),(($H31*'Alternative 1'!$B$39)+(2*(($N$82/3)*COS($K$83)))),IF(($A31&lt;'Alternative 1'!$B$29),(($H$3*'Alternative 1'!$B$39+(($N$82/3)*COS($K$83)))),($H31*'Alternative 1'!$B$39))))</f>
        <v>308476.18998899439</v>
      </c>
      <c r="BP31" s="105">
        <f>BN31*'Alternative 1'!$K32/'Alternative 1'!$L32</f>
        <v>376010.33541051333</v>
      </c>
      <c r="BQ31" s="105">
        <f>BO31/'Alternative 1'!$M32</f>
        <v>165778.82969526798</v>
      </c>
      <c r="BR31" s="105">
        <f t="shared" si="10"/>
        <v>0.54178916510578123</v>
      </c>
      <c r="BT31" s="105">
        <f>'Alternative 1'!$B$39*$B31*$C31*COS($K$93)-($K$92/3)*$E31*SIN($K$93)-($K$92/3)*$F31*SIN($K$93)-($K$92/3)*$G31*SIN($K$93)</f>
        <v>1.6668548027484621E-11</v>
      </c>
      <c r="BU31" s="106">
        <f>IF(($A31&lt;'Alternative 1'!$B$27),(($H31*'Alternative 1'!$B$39)+(3*($N$92/3)*COS($K$93))),IF(($A31&lt;'Alternative 1'!$B$28),(($H31*'Alternative 1'!$B$39)+(2*(($N$92/3)*COS($K$93)))),IF(($A31&lt;'Alternative 1'!$B$29),(($H$3*'Alternative 1'!$B$39+(($N$92/3)*COS($K$93)))),($H31*'Alternative 1'!$B$39))))</f>
        <v>306119.90662501159</v>
      </c>
      <c r="BV31" s="105">
        <f>BT31*'Alternative 1'!$K32/'Alternative 1'!$L32</f>
        <v>1.3264420267670685E-10</v>
      </c>
      <c r="BW31" s="105">
        <f>BU31/'Alternative 1'!$M32</f>
        <v>164512.5345607053</v>
      </c>
      <c r="BX31" s="105">
        <f t="shared" si="11"/>
        <v>0.16451253456070544</v>
      </c>
      <c r="BZ31" s="104">
        <v>150</v>
      </c>
      <c r="CA31" s="104">
        <v>-150</v>
      </c>
    </row>
    <row r="32" spans="1:79" ht="15" customHeight="1" x14ac:dyDescent="0.25">
      <c r="A32" s="18">
        <f>IF('Alternative 1'!F33&gt;0,'Alternative 1'!F33,"x")</f>
        <v>30</v>
      </c>
      <c r="B32" s="18">
        <f t="shared" si="17"/>
        <v>7</v>
      </c>
      <c r="C32" s="18">
        <f t="shared" si="12"/>
        <v>3.5</v>
      </c>
      <c r="D32" s="18">
        <f t="shared" si="13"/>
        <v>30</v>
      </c>
      <c r="E32" s="101">
        <f>IF($A32&lt;='Alternative 1'!$B$27, IF($A32='Alternative 1'!$B$27,0,E33+1),0)</f>
        <v>0</v>
      </c>
      <c r="F32" s="101">
        <f>IF($A32&lt;=('Alternative 1'!$B$28), IF($A32=ROUNDDOWN('Alternative 1'!$B$28,0),0,F33+1),0)</f>
        <v>0</v>
      </c>
      <c r="G32" s="101">
        <f>IF($A32&lt;=('Alternative 1'!$B$29), IF($A32=ROUNDDOWN('Alternative 1'!$B$29,0),0,G33+1),0)</f>
        <v>0</v>
      </c>
      <c r="H32" s="18">
        <f t="shared" si="14"/>
        <v>7</v>
      </c>
      <c r="J32" s="104">
        <f t="shared" si="15"/>
        <v>29</v>
      </c>
      <c r="K32" s="104">
        <f t="shared" si="16"/>
        <v>0.50614548307835561</v>
      </c>
      <c r="L32" s="105">
        <f>'Alternative 1'!$B$27*SIN(K32)+'Alternative 1'!$B$28*SIN(K32)+'Alternative 1'!$B$29*SIN(K32)</f>
        <v>32.967054176750921</v>
      </c>
      <c r="M32" s="104">
        <f>(('Alternative 1'!$B$27)*(((('Alternative 1'!$B$28-'Alternative 1'!$B$27)/2)+'Alternative 1'!$B$27)*'Alternative 1'!$B$39)*COS('Alternative 1-Tilt Up (3pt)'!K32))+(('Alternative 1'!$B$28)*((('Alternative 1'!$B$28-'Alternative 1'!$B$27)/2)+(('Alternative 1'!$B$29-'Alternative 1'!$B$28)/2))*('Alternative 1'!$B$39)*COS('Alternative 1-Tilt Up (3pt)'!K32))+(('Alternative 1'!$B$29)*((('Alternative 1'!$B$12-'Alternative 1'!$B$29+(('Alternative 1'!$B$29-'Alternative 1'!$B$28)/2)*('Alternative 1'!$B$39)*COS('Alternative 1-Tilt Up (3pt)'!K32)))))</f>
        <v>4151067.9860003474</v>
      </c>
      <c r="N32" s="109">
        <f t="shared" si="0"/>
        <v>377746.94369821221</v>
      </c>
      <c r="O32" s="104">
        <f>(((('Alternative 1'!$B$28-'Alternative 1'!$B$27)/2)+'Alternative 1'!$B$27)*('Alternative 1'!$B$39)*COS('Alternative 1-Tilt Up (3pt)'!K32))+(((('Alternative 1'!$B$28-'Alternative 1'!$B$27)/2)+(('Alternative 1'!$B$29-'Alternative 1'!$B$28)/2))*('Alternative 1'!$B$39)*COS('Alternative 1-Tilt Up (3pt)'!K32))+(((('Alternative 1'!$B$12-'Alternative 1'!$B$29)+(('Alternative 1'!$B$29-'Alternative 1'!$B$28)/2))*('Alternative 1'!$B$39)*COS('Alternative 1-Tilt Up (3pt)'!K32)))</f>
        <v>267738.50308190676</v>
      </c>
      <c r="P32" s="104">
        <f t="shared" si="1"/>
        <v>330384.92127013218</v>
      </c>
      <c r="R32" s="105">
        <f>'Alternative 1'!$B$39*$B32*$C32*COS($K$5)-($N$5/3)*$E32*SIN($K$5)-($N$5/3)*$F32*SIN($K$5)-($N$5/3)*$G32*SIN($K$5)</f>
        <v>208204.69313611049</v>
      </c>
      <c r="S32" s="106">
        <f>IF(($A32&lt;'Alternative 1'!$B$27),(($H32*'Alternative 1'!$B$39)+(3*($N$5/3)*COS($K$5))),IF(($A32&lt;'Alternative 1'!$B$28),(($H32*'Alternative 1'!$B$39)+(2*(($N$5/3)*COS($K$5)))),IF(($A32&lt;'Alternative 1'!$B$29),(($H$3*'Alternative 1'!$B$39+(($N$5/3)*COS($K$5)))),($H32*'Alternative 1'!$B$39))))</f>
        <v>59523.315177085584</v>
      </c>
      <c r="T32" s="105">
        <f>R32*'Alternative 1'!$K33/'Alternative 1'!$L33</f>
        <v>1656841.7038514772</v>
      </c>
      <c r="U32" s="105">
        <f>S32/'Alternative 1'!$M33</f>
        <v>32831.524552058392</v>
      </c>
      <c r="V32" s="105">
        <f t="shared" si="2"/>
        <v>1.6896732284035356</v>
      </c>
      <c r="X32" s="105">
        <f>'Alternative 1'!$B$39*$B32*$C32*COS($K$13)-($N$12/3)*$E32*SIN($K$13)-($N$12/3)*$F32*SIN($K$13)-($N$12/3)*$G32*SIN($K$13)</f>
        <v>205166.5779498409</v>
      </c>
      <c r="Y32" s="106">
        <f>IF(($A32&lt;'Alternative 1'!$B$27),(($H32*'Alternative 1'!$B$39)+(3*($N$12/3)*COS($K$13))),IF(($A32&lt;'Alternative 1'!$B$28),(($H32*'Alternative 1'!$B$39)+(2*(($N$12/3)*COS($K$13)))),IF(($A32&lt;'Alternative 1'!$B$29),(($H$3*'Alternative 1'!$B$39+(($N$12/3)*COS($K$13)))),($H32*'Alternative 1'!$B$39))))</f>
        <v>59523.315177085584</v>
      </c>
      <c r="Z32" s="105">
        <f>X32*'Alternative 1'!$K33/'Alternative 1'!$L33</f>
        <v>1632665.1309515317</v>
      </c>
      <c r="AA32" s="105">
        <f>Y32/'Alternative 1'!$M33</f>
        <v>32831.524552058392</v>
      </c>
      <c r="AB32" s="105">
        <f t="shared" si="3"/>
        <v>1.6654966555035902</v>
      </c>
      <c r="AD32" s="105">
        <f>'Alternative 1'!$B$39*$B32*$C32*COS($K$23)-($N$22/3)*$E32*SIN($K$23)-($N$22/3)*$F32*SIN($K$23)-($N$22/3)*$G32*SIN($K$23)</f>
        <v>195767.67012817418</v>
      </c>
      <c r="AE32" s="106">
        <f>IF(($A32&lt;'Alternative 1'!$B$27),(($H32*'Alternative 1'!$B$39)+(3*($N$22/3)*COS($K$23))),IF(($A32&lt;'Alternative 1'!$B$28),(($H32*'Alternative 1'!$B$39)+(2*(($N$22/3)*COS($K$23)))),IF(($A32&lt;'Alternative 1'!$B$29),(($H$3*'Alternative 1'!$B$39+(($N$22/3)*COS($K$23)))),($H32*'Alternative 1'!$B$39))))</f>
        <v>59523.315177085584</v>
      </c>
      <c r="AF32" s="105">
        <f>AD32*'Alternative 1'!$K33/'Alternative 1'!$L33</f>
        <v>1557870.935801411</v>
      </c>
      <c r="AG32" s="105">
        <f>AE32/'Alternative 1'!$M33</f>
        <v>32831.524552058392</v>
      </c>
      <c r="AH32" s="105">
        <f t="shared" si="4"/>
        <v>1.5907024603534694</v>
      </c>
      <c r="AJ32" s="105">
        <f>'Alternative 1'!$B$39*$B32*$C32*COS($K$33)-($N$32/3)*$E32*SIN($K$33)-($N$32/3)*$F32*SIN($K$33)-($N$32/3)*$G32*SIN($K$33)</f>
        <v>180420.46071288383</v>
      </c>
      <c r="AK32" s="106">
        <f>IF(($A32&lt;'Alternative 1'!$B$27),(($H32*'Alternative 1'!$B$39)+(3*($N$32/3)*COS($K$33))),IF(($A32&lt;'Alternative 1'!$B$28),(($H32*'Alternative 1'!$B$39)+(2*(($N$32/3)*COS($K$33)))),IF(($A32&lt;'Alternative 1'!$B$29),(($H$3*'Alternative 1'!$B$39+(($N$32/3)*COS($K$33)))),($H32*'Alternative 1'!$B$39))))</f>
        <v>59523.315177085584</v>
      </c>
      <c r="AL32" s="105">
        <f>AJ32*'Alternative 1'!$K33/'Alternative 1'!$L33</f>
        <v>1435741.6205876947</v>
      </c>
      <c r="AM32" s="105">
        <f>AK32/'Alternative 1'!$M33</f>
        <v>32831.524552058392</v>
      </c>
      <c r="AN32" s="105">
        <f t="shared" si="5"/>
        <v>1.468573145139753</v>
      </c>
      <c r="AP32" s="105">
        <f>'Alternative 1'!$B$39*$B32*$C32*COS($K$43)-($N$42/3)*$E32*SIN($K$43)-($N$42/3)*$F32*SIN($K$43)-($N$42/3)*$G32*SIN($K$43)</f>
        <v>159591.26689599079</v>
      </c>
      <c r="AQ32" s="106">
        <f>IF(($A32&lt;'Alternative 1'!$B$27),(($H32*'Alternative 1'!$B$39)+(3*($N$42/3)*COS($K$43))),IF(($A32&lt;'Alternative 1'!$B$28),(($H32*'Alternative 1'!$B$39)+(2*(($N$42/3)*COS($K$43)))),IF(($A32&lt;'Alternative 1'!$B$29),(($H$3*'Alternative 1'!$B$39+(($N$42/3)*COS($K$43)))),($H32*'Alternative 1'!$B$39))))</f>
        <v>59523.315177085584</v>
      </c>
      <c r="AR32" s="105">
        <f>AP32*'Alternative 1'!$K33/'Alternative 1'!$L33</f>
        <v>1269988.0227527367</v>
      </c>
      <c r="AS32" s="105">
        <f>AQ32/'Alternative 1'!$M33</f>
        <v>32831.524552058392</v>
      </c>
      <c r="AT32" s="105">
        <f t="shared" si="6"/>
        <v>1.3028195473047952</v>
      </c>
      <c r="AV32" s="105">
        <f>'Alternative 1'!$B$39*$B32*$C32*COS($K$53)-($N$52/3)*$E32*SIN($K$53)-($N$52/3)*$F32*SIN($K$53)-($N$52/3)*$G32*SIN($K$53)</f>
        <v>133912.97319154075</v>
      </c>
      <c r="AW32" s="106">
        <f>IF(($A32&lt;'Alternative 1'!$B$27),(($H32*'Alternative 1'!$B$39)+(3*($N$52/3)*COS($K$53))),IF(($A32&lt;'Alternative 1'!$B$28),(($H32*'Alternative 1'!$B$39)+(2*(($N$52/3)*COS($K$53)))),IF(($A32&lt;'Alternative 1'!$B$29),(($H$3*'Alternative 1'!$B$39+(($N$52/3)*COS($K$53)))),($H32*'Alternative 1'!$B$39))))</f>
        <v>59523.315177085584</v>
      </c>
      <c r="AX32" s="105">
        <f>AV32*'Alternative 1'!$K33/'Alternative 1'!$L33</f>
        <v>1065646.4814913846</v>
      </c>
      <c r="AY32" s="105">
        <f>AW32/'Alternative 1'!$M33</f>
        <v>32831.524552058392</v>
      </c>
      <c r="AZ32" s="105">
        <f t="shared" si="7"/>
        <v>1.0984780060434429</v>
      </c>
      <c r="BB32" s="105">
        <f>'Alternative 1'!$B$39*$B32*$C32*COS($K$63)-($N$62/3)*$E32*SIN($K$63)-($N$62/3)*$F32*SIN($K$63)-($N$62/3)*$G32*SIN($K$63)</f>
        <v>104165.8015598998</v>
      </c>
      <c r="BC32" s="106">
        <f>IF(($A32&lt;'Alternative 1'!$B$27),(($H32*'Alternative 1'!$B$39)+(3*($N$62/3)*COS($K$63))),IF(($A32&lt;'Alternative 1'!$B$28),(($H32*'Alternative 1'!$B$39)+(2*(($N$62/3)*COS($K$63)))),IF(($A32&lt;'Alternative 1'!$B$29),(($H$3*'Alternative 1'!$B$39+(($N$62/3)*COS($K$63)))),($H32*'Alternative 1'!$B$39))))</f>
        <v>59523.315177085584</v>
      </c>
      <c r="BD32" s="105">
        <f>BB32*'Alternative 1'!$K33/'Alternative 1'!$L33</f>
        <v>828925.81113305525</v>
      </c>
      <c r="BE32" s="105">
        <f>BC32/'Alternative 1'!$M33</f>
        <v>32831.524552058392</v>
      </c>
      <c r="BF32" s="105">
        <f t="shared" si="8"/>
        <v>0.8617573356851137</v>
      </c>
      <c r="BH32" s="105">
        <f>'Alternative 1'!$B$39*$B32*$C32*COS($K$73)-($N$72/3)*$E32*SIN($K$73)-($N$72/3)*$F32*SIN($K$73)-($N$72/3)*$G32*SIN($K$73)</f>
        <v>71253.604758300193</v>
      </c>
      <c r="BI32" s="106">
        <f>IF(($A32&lt;'Alternative 1'!$B$27),(($H32*'Alternative 1'!$B$39)+(3*($N$72/3)*COS($K$73))),IF(($A32&lt;'Alternative 1'!$B$28),(($H32*'Alternative 1'!$B$39)+(2*(($N$72/3)*COS($K$73)))),IF(($A32&lt;'Alternative 1'!$B$29),(($H$3*'Alternative 1'!$B$39+(($N$72/3)*COS($K$73)))),($H32*'Alternative 1'!$B$39))))</f>
        <v>59523.315177085584</v>
      </c>
      <c r="BJ32" s="105">
        <f>BH32*'Alternative 1'!$K33/'Alternative 1'!$L33</f>
        <v>567018.6494601476</v>
      </c>
      <c r="BK32" s="105">
        <f>BI32/'Alternative 1'!$M33</f>
        <v>32831.524552058392</v>
      </c>
      <c r="BL32" s="105">
        <f t="shared" si="9"/>
        <v>0.59985017401220608</v>
      </c>
      <c r="BN32" s="105">
        <f>'Alternative 1'!$B$39*$B32*$C32*COS($K$83)-($N$82/3)*$E32*SIN($K$83)-($N$82/3)*$F32*SIN($K$83)-($N$82/3)*$G32*SIN($K$83)</f>
        <v>36176.403232183387</v>
      </c>
      <c r="BO32" s="106">
        <f>IF(($A32&lt;'Alternative 1'!$B$27),(($H32*'Alternative 1'!$B$39)+(3*($N$82/3)*COS($K$83))),IF(($A32&lt;'Alternative 1'!$B$28),(($H32*'Alternative 1'!$B$39)+(2*(($N$82/3)*COS($K$83)))),IF(($A32&lt;'Alternative 1'!$B$29),(($H$3*'Alternative 1'!$B$39+(($N$82/3)*COS($K$83)))),($H32*'Alternative 1'!$B$39))))</f>
        <v>59523.315177085584</v>
      </c>
      <c r="BP32" s="105">
        <f>BN32*'Alternative 1'!$K33/'Alternative 1'!$L33</f>
        <v>287882.91304867429</v>
      </c>
      <c r="BQ32" s="105">
        <f>BO32/'Alternative 1'!$M33</f>
        <v>32831.524552058392</v>
      </c>
      <c r="BR32" s="105">
        <f t="shared" si="10"/>
        <v>0.32071443760073265</v>
      </c>
      <c r="BT32" s="105">
        <f>'Alternative 1'!$B$39*$B32*$C32*COS($K$93)-($K$92/3)*$E32*SIN($K$93)-($K$92/3)*$F32*SIN($K$93)-($K$92/3)*$G32*SIN($K$93)</f>
        <v>1.2761857083542913E-11</v>
      </c>
      <c r="BU32" s="106">
        <f>IF(($A32&lt;'Alternative 1'!$B$27),(($H32*'Alternative 1'!$B$39)+(3*($N$92/3)*COS($K$93))),IF(($A32&lt;'Alternative 1'!$B$28),(($H32*'Alternative 1'!$B$39)+(2*(($N$92/3)*COS($K$93)))),IF(($A32&lt;'Alternative 1'!$B$29),(($H$3*'Alternative 1'!$B$39+(($N$92/3)*COS($K$93)))),($H32*'Alternative 1'!$B$39))))</f>
        <v>59523.315177085584</v>
      </c>
      <c r="BV32" s="105">
        <f>BT32*'Alternative 1'!$K33/'Alternative 1'!$L33</f>
        <v>1.0155571767435369E-10</v>
      </c>
      <c r="BW32" s="105">
        <f>BU32/'Alternative 1'!$M33</f>
        <v>32831.524552058392</v>
      </c>
      <c r="BX32" s="105">
        <f t="shared" si="11"/>
        <v>3.2831524552058497E-2</v>
      </c>
      <c r="BZ32" s="104">
        <v>150</v>
      </c>
      <c r="CA32" s="104">
        <v>-150</v>
      </c>
    </row>
    <row r="33" spans="1:79" ht="15" customHeight="1" x14ac:dyDescent="0.25">
      <c r="A33" s="18">
        <f>IF('Alternative 1'!F34&gt;0,'Alternative 1'!F34,"x")</f>
        <v>31</v>
      </c>
      <c r="B33" s="18">
        <f t="shared" si="17"/>
        <v>6</v>
      </c>
      <c r="C33" s="18">
        <f t="shared" si="12"/>
        <v>3</v>
      </c>
      <c r="D33" s="18">
        <f t="shared" si="13"/>
        <v>31</v>
      </c>
      <c r="E33" s="101">
        <f>IF($A33&lt;='Alternative 1'!$B$27, IF($A33='Alternative 1'!$B$27,0,E34+1),0)</f>
        <v>0</v>
      </c>
      <c r="F33" s="101">
        <f>IF($A33&lt;=('Alternative 1'!$B$28), IF($A33=ROUNDDOWN('Alternative 1'!$B$28,0),0,F34+1),0)</f>
        <v>0</v>
      </c>
      <c r="G33" s="101">
        <f>IF($A33&lt;=('Alternative 1'!$B$29), IF($A33=ROUNDDOWN('Alternative 1'!$B$29,0),0,G34+1),0)</f>
        <v>0</v>
      </c>
      <c r="H33" s="18">
        <f t="shared" si="14"/>
        <v>6</v>
      </c>
      <c r="J33" s="104">
        <f t="shared" si="15"/>
        <v>30</v>
      </c>
      <c r="K33" s="109">
        <f t="shared" si="16"/>
        <v>0.52359877559829882</v>
      </c>
      <c r="L33" s="105">
        <f>'Alternative 1'!$B$27*SIN(K33)+'Alternative 1'!$B$28*SIN(K33)+'Alternative 1'!$B$29*SIN(K33)</f>
        <v>33.999999999999993</v>
      </c>
      <c r="M33" s="104">
        <f>(('Alternative 1'!$B$27)*(((('Alternative 1'!$B$28-'Alternative 1'!$B$27)/2)+'Alternative 1'!$B$27)*'Alternative 1'!$B$39)*COS('Alternative 1-Tilt Up (3pt)'!K33))+(('Alternative 1'!$B$28)*((('Alternative 1'!$B$28-'Alternative 1'!$B$27)/2)+(('Alternative 1'!$B$29-'Alternative 1'!$B$28)/2))*('Alternative 1'!$B$39)*COS('Alternative 1-Tilt Up (3pt)'!K33))+(('Alternative 1'!$B$29)*((('Alternative 1'!$B$12-'Alternative 1'!$B$29+(('Alternative 1'!$B$29-'Alternative 1'!$B$28)/2)*('Alternative 1'!$B$39)*COS('Alternative 1-Tilt Up (3pt)'!K33)))))</f>
        <v>4110280.1373908115</v>
      </c>
      <c r="N33" s="104">
        <f t="shared" si="0"/>
        <v>362671.77682860108</v>
      </c>
      <c r="O33" s="104">
        <f>(((('Alternative 1'!$B$28-'Alternative 1'!$B$27)/2)+'Alternative 1'!$B$27)*('Alternative 1'!$B$39)*COS('Alternative 1-Tilt Up (3pt)'!K33))+(((('Alternative 1'!$B$28-'Alternative 1'!$B$27)/2)+(('Alternative 1'!$B$29-'Alternative 1'!$B$28)/2))*('Alternative 1'!$B$39)*COS('Alternative 1-Tilt Up (3pt)'!K33))+(((('Alternative 1'!$B$12-'Alternative 1'!$B$29)+(('Alternative 1'!$B$29-'Alternative 1'!$B$28)/2))*('Alternative 1'!$B$39)*COS('Alternative 1-Tilt Up (3pt)'!K33)))</f>
        <v>265107.61574138032</v>
      </c>
      <c r="P33" s="109">
        <f t="shared" si="1"/>
        <v>314082.97196920909</v>
      </c>
      <c r="R33" s="105">
        <f>'Alternative 1'!$B$39*$B33*$C33*COS($K$5)-($N$5/3)*$E33*SIN($K$5)-($N$5/3)*$F33*SIN($K$5)-($N$5/3)*$G33*SIN($K$5)</f>
        <v>152966.71332448936</v>
      </c>
      <c r="S33" s="106">
        <f>IF(($A33&lt;'Alternative 1'!$B$27),(($H33*'Alternative 1'!$B$39)+(3*($N$5/3)*COS($K$5))),IF(($A33&lt;'Alternative 1'!$B$28),(($H33*'Alternative 1'!$B$39)+(2*(($N$5/3)*COS($K$5)))),IF(($A33&lt;'Alternative 1'!$B$29),(($H$3*'Alternative 1'!$B$39+(($N$5/3)*COS($K$5)))),($H33*'Alternative 1'!$B$39))))</f>
        <v>51019.984437501931</v>
      </c>
      <c r="T33" s="105">
        <f>R33*'Alternative 1'!$K34/'Alternative 1'!$L34</f>
        <v>1217271.4558908816</v>
      </c>
      <c r="U33" s="105">
        <f>S33/'Alternative 1'!$M34</f>
        <v>28892.800152912245</v>
      </c>
      <c r="V33" s="105">
        <f t="shared" si="2"/>
        <v>1.2461642560437938</v>
      </c>
      <c r="X33" s="105">
        <f>'Alternative 1'!$B$39*$B33*$C33*COS($K$13)-($N$12/3)*$E33*SIN($K$13)-($N$12/3)*$F33*SIN($K$13)-($N$12/3)*$G33*SIN($K$13)</f>
        <v>150734.6286978423</v>
      </c>
      <c r="Y33" s="106">
        <f>IF(($A33&lt;'Alternative 1'!$B$27),(($H33*'Alternative 1'!$B$39)+(3*($N$12/3)*COS($K$13))),IF(($A33&lt;'Alternative 1'!$B$28),(($H33*'Alternative 1'!$B$39)+(2*(($N$12/3)*COS($K$13)))),IF(($A33&lt;'Alternative 1'!$B$29),(($H$3*'Alternative 1'!$B$39+(($N$12/3)*COS($K$13)))),($H33*'Alternative 1'!$B$39))))</f>
        <v>51019.984437501931</v>
      </c>
      <c r="Z33" s="105">
        <f>X33*'Alternative 1'!$K34/'Alternative 1'!$L34</f>
        <v>1199509.0758011255</v>
      </c>
      <c r="AA33" s="105">
        <f>Y33/'Alternative 1'!$M34</f>
        <v>28892.800152912245</v>
      </c>
      <c r="AB33" s="105">
        <f t="shared" si="3"/>
        <v>1.2284018759540378</v>
      </c>
      <c r="AD33" s="105">
        <f>'Alternative 1'!$B$39*$B33*$C33*COS($K$23)-($N$22/3)*$E33*SIN($K$23)-($N$22/3)*$F33*SIN($K$23)-($N$22/3)*$G33*SIN($K$23)</f>
        <v>143829.30866559735</v>
      </c>
      <c r="AE33" s="106">
        <f>IF(($A33&lt;'Alternative 1'!$B$27),(($H33*'Alternative 1'!$B$39)+(3*($N$22/3)*COS($K$23))),IF(($A33&lt;'Alternative 1'!$B$28),(($H33*'Alternative 1'!$B$39)+(2*(($N$22/3)*COS($K$23)))),IF(($A33&lt;'Alternative 1'!$B$29),(($H$3*'Alternative 1'!$B$39+(($N$22/3)*COS($K$23)))),($H33*'Alternative 1'!$B$39))))</f>
        <v>51019.984437501931</v>
      </c>
      <c r="AF33" s="105">
        <f>AD33*'Alternative 1'!$K34/'Alternative 1'!$L34</f>
        <v>1144558.2385479754</v>
      </c>
      <c r="AG33" s="105">
        <f>AE33/'Alternative 1'!$M34</f>
        <v>28892.800152912245</v>
      </c>
      <c r="AH33" s="105">
        <f t="shared" si="4"/>
        <v>1.1734510387008876</v>
      </c>
      <c r="AJ33" s="105">
        <f>'Alternative 1'!$B$39*$B33*$C33*COS($K$33)-($N$32/3)*$E33*SIN($K$33)-($N$32/3)*$F33*SIN($K$33)-($N$32/3)*$G33*SIN($K$33)</f>
        <v>132553.80787069016</v>
      </c>
      <c r="AK33" s="106">
        <f>IF(($A33&lt;'Alternative 1'!$B$27),(($H33*'Alternative 1'!$B$39)+(3*($N$32/3)*COS($K$33))),IF(($A33&lt;'Alternative 1'!$B$28),(($H33*'Alternative 1'!$B$39)+(2*(($N$32/3)*COS($K$33)))),IF(($A33&lt;'Alternative 1'!$B$29),(($H$3*'Alternative 1'!$B$39+(($N$32/3)*COS($K$33)))),($H33*'Alternative 1'!$B$39))))</f>
        <v>51019.984437501931</v>
      </c>
      <c r="AL33" s="105">
        <f>AJ33*'Alternative 1'!$K34/'Alternative 1'!$L34</f>
        <v>1054830.5783909594</v>
      </c>
      <c r="AM33" s="105">
        <f>AK33/'Alternative 1'!$M34</f>
        <v>28892.800152912245</v>
      </c>
      <c r="AN33" s="105">
        <f t="shared" si="5"/>
        <v>1.0837233785438718</v>
      </c>
      <c r="AP33" s="105">
        <f>'Alternative 1'!$B$39*$B33*$C33*COS($K$43)-($N$42/3)*$E33*SIN($K$43)-($N$42/3)*$F33*SIN($K$43)-($N$42/3)*$G33*SIN($K$43)</f>
        <v>117250.72669909528</v>
      </c>
      <c r="AQ33" s="106">
        <f>IF(($A33&lt;'Alternative 1'!$B$27),(($H33*'Alternative 1'!$B$39)+(3*($N$42/3)*COS($K$43))),IF(($A33&lt;'Alternative 1'!$B$28),(($H33*'Alternative 1'!$B$39)+(2*(($N$42/3)*COS($K$43)))),IF(($A33&lt;'Alternative 1'!$B$29),(($H$3*'Alternative 1'!$B$39+(($N$42/3)*COS($K$43)))),($H33*'Alternative 1'!$B$39))))</f>
        <v>51019.984437501931</v>
      </c>
      <c r="AR33" s="105">
        <f>AP33*'Alternative 1'!$K34/'Alternative 1'!$L34</f>
        <v>933052.42487956176</v>
      </c>
      <c r="AS33" s="105">
        <f>AQ33/'Alternative 1'!$M34</f>
        <v>28892.800152912245</v>
      </c>
      <c r="AT33" s="105">
        <f t="shared" si="6"/>
        <v>0.96194522503247404</v>
      </c>
      <c r="AV33" s="105">
        <f>'Alternative 1'!$B$39*$B33*$C33*COS($K$53)-($N$52/3)*$E33*SIN($K$53)-($N$52/3)*$F33*SIN($K$53)-($N$52/3)*$G33*SIN($K$53)</f>
        <v>98385.041528478905</v>
      </c>
      <c r="AW33" s="106">
        <f>IF(($A33&lt;'Alternative 1'!$B$27),(($H33*'Alternative 1'!$B$39)+(3*($N$52/3)*COS($K$53))),IF(($A33&lt;'Alternative 1'!$B$28),(($H33*'Alternative 1'!$B$39)+(2*(($N$52/3)*COS($K$53)))),IF(($A33&lt;'Alternative 1'!$B$29),(($H$3*'Alternative 1'!$B$39+(($N$52/3)*COS($K$53)))),($H33*'Alternative 1'!$B$39))))</f>
        <v>51019.984437501931</v>
      </c>
      <c r="AX33" s="105">
        <f>AV33*'Alternative 1'!$K34/'Alternative 1'!$L34</f>
        <v>782923.94558550697</v>
      </c>
      <c r="AY33" s="105">
        <f>AW33/'Alternative 1'!$M34</f>
        <v>28892.800152912245</v>
      </c>
      <c r="AZ33" s="105">
        <f t="shared" si="7"/>
        <v>0.81181674573841922</v>
      </c>
      <c r="BB33" s="105">
        <f>'Alternative 1'!$B$39*$B33*$C33*COS($K$63)-($N$62/3)*$E33*SIN($K$63)-($N$62/3)*$F33*SIN($K$63)-($N$62/3)*$G33*SIN($K$63)</f>
        <v>76529.976656252911</v>
      </c>
      <c r="BC33" s="106">
        <f>IF(($A33&lt;'Alternative 1'!$B$27),(($H33*'Alternative 1'!$B$39)+(3*($N$62/3)*COS($K$63))),IF(($A33&lt;'Alternative 1'!$B$28),(($H33*'Alternative 1'!$B$39)+(2*(($N$62/3)*COS($K$63)))),IF(($A33&lt;'Alternative 1'!$B$29),(($H$3*'Alternative 1'!$B$39+(($N$62/3)*COS($K$63)))),($H33*'Alternative 1'!$B$39))))</f>
        <v>51019.984437501931</v>
      </c>
      <c r="BD33" s="105">
        <f>BB33*'Alternative 1'!$K34/'Alternative 1'!$L34</f>
        <v>609006.71838346915</v>
      </c>
      <c r="BE33" s="105">
        <f>BC33/'Alternative 1'!$M34</f>
        <v>28892.800152912245</v>
      </c>
      <c r="BF33" s="105">
        <f t="shared" si="8"/>
        <v>0.63789951853638138</v>
      </c>
      <c r="BH33" s="105">
        <f>'Alternative 1'!$B$39*$B33*$C33*COS($K$73)-($N$72/3)*$E33*SIN($K$73)-($N$72/3)*$F33*SIN($K$73)-($N$72/3)*$G33*SIN($K$73)</f>
        <v>52349.587169363411</v>
      </c>
      <c r="BI33" s="106">
        <f>IF(($A33&lt;'Alternative 1'!$B$27),(($H33*'Alternative 1'!$B$39)+(3*($N$72/3)*COS($K$73))),IF(($A33&lt;'Alternative 1'!$B$28),(($H33*'Alternative 1'!$B$39)+(2*(($N$72/3)*COS($K$73)))),IF(($A33&lt;'Alternative 1'!$B$29),(($H$3*'Alternative 1'!$B$39+(($N$72/3)*COS($K$73)))),($H33*'Alternative 1'!$B$39))))</f>
        <v>51019.984437501931</v>
      </c>
      <c r="BJ33" s="105">
        <f>BH33*'Alternative 1'!$K34/'Alternative 1'!$L34</f>
        <v>416585.13021561864</v>
      </c>
      <c r="BK33" s="105">
        <f>BI33/'Alternative 1'!$M34</f>
        <v>28892.800152912245</v>
      </c>
      <c r="BL33" s="105">
        <f t="shared" si="9"/>
        <v>0.44547793036853089</v>
      </c>
      <c r="BN33" s="105">
        <f>'Alternative 1'!$B$39*$B33*$C33*COS($K$83)-($N$82/3)*$E33*SIN($K$83)-($N$82/3)*$F33*SIN($K$83)-($N$82/3)*$G33*SIN($K$83)</f>
        <v>26578.581966502079</v>
      </c>
      <c r="BO33" s="106">
        <f>IF(($A33&lt;'Alternative 1'!$B$27),(($H33*'Alternative 1'!$B$39)+(3*($N$82/3)*COS($K$83))),IF(($A33&lt;'Alternative 1'!$B$28),(($H33*'Alternative 1'!$B$39)+(2*(($N$82/3)*COS($K$83)))),IF(($A33&lt;'Alternative 1'!$B$29),(($H$3*'Alternative 1'!$B$39+(($N$82/3)*COS($K$83)))),($H33*'Alternative 1'!$B$39))))</f>
        <v>51019.984437501931</v>
      </c>
      <c r="BP33" s="105">
        <f>BN33*'Alternative 1'!$K34/'Alternative 1'!$L34</f>
        <v>211505.81366841376</v>
      </c>
      <c r="BQ33" s="105">
        <f>BO33/'Alternative 1'!$M34</f>
        <v>28892.800152912245</v>
      </c>
      <c r="BR33" s="105">
        <f t="shared" si="10"/>
        <v>0.24039861382132599</v>
      </c>
      <c r="BT33" s="105">
        <f>'Alternative 1'!$B$39*$B33*$C33*COS($K$93)-($K$92/3)*$E33*SIN($K$93)-($K$92/3)*$F33*SIN($K$93)-($K$92/3)*$G33*SIN($K$93)</f>
        <v>9.3760582654600995E-12</v>
      </c>
      <c r="BU33" s="106">
        <f>IF(($A33&lt;'Alternative 1'!$B$27),(($H33*'Alternative 1'!$B$39)+(3*($N$92/3)*COS($K$93))),IF(($A33&lt;'Alternative 1'!$B$28),(($H33*'Alternative 1'!$B$39)+(2*(($N$92/3)*COS($K$93)))),IF(($A33&lt;'Alternative 1'!$B$29),(($H$3*'Alternative 1'!$B$39+(($N$92/3)*COS($K$93)))),($H33*'Alternative 1'!$B$39))))</f>
        <v>51019.984437501931</v>
      </c>
      <c r="BV33" s="105">
        <f>BT33*'Alternative 1'!$K34/'Alternative 1'!$L34</f>
        <v>7.4612364005647623E-11</v>
      </c>
      <c r="BW33" s="105">
        <f>BU33/'Alternative 1'!$M34</f>
        <v>28892.800152912245</v>
      </c>
      <c r="BX33" s="105">
        <f t="shared" si="11"/>
        <v>2.8892800152912321E-2</v>
      </c>
      <c r="BZ33" s="104">
        <v>150</v>
      </c>
      <c r="CA33" s="104">
        <v>-150</v>
      </c>
    </row>
    <row r="34" spans="1:79" ht="15" customHeight="1" x14ac:dyDescent="0.25">
      <c r="A34" s="18">
        <f>IF('Alternative 1'!F35&gt;0,'Alternative 1'!F35,"x")</f>
        <v>32</v>
      </c>
      <c r="B34" s="18">
        <f t="shared" si="17"/>
        <v>5</v>
      </c>
      <c r="C34" s="18">
        <f t="shared" si="12"/>
        <v>2.5</v>
      </c>
      <c r="D34" s="18">
        <f t="shared" si="13"/>
        <v>32</v>
      </c>
      <c r="E34" s="101">
        <f>IF($A34&lt;='Alternative 1'!$B$27, IF($A34='Alternative 1'!$B$27,0,E35+1),0)</f>
        <v>0</v>
      </c>
      <c r="F34" s="101">
        <f>IF($A34&lt;=('Alternative 1'!$B$28), IF($A34=ROUNDDOWN('Alternative 1'!$B$28,0),0,F35+1),0)</f>
        <v>0</v>
      </c>
      <c r="G34" s="101">
        <f>IF($A34&lt;=('Alternative 1'!$B$29), IF($A34=ROUNDDOWN('Alternative 1'!$B$29,0),0,G35+1),0)</f>
        <v>0</v>
      </c>
      <c r="H34" s="18">
        <f t="shared" si="14"/>
        <v>5</v>
      </c>
      <c r="J34" s="104">
        <f t="shared" si="15"/>
        <v>31</v>
      </c>
      <c r="K34" s="104">
        <f t="shared" si="16"/>
        <v>0.54105206811824214</v>
      </c>
      <c r="L34" s="105">
        <f>'Alternative 1'!$B$27*SIN(K34)+'Alternative 1'!$B$28*SIN(K34)+'Alternative 1'!$B$29*SIN(K34)</f>
        <v>35.022589093883681</v>
      </c>
      <c r="M34" s="104">
        <f>(('Alternative 1'!$B$27)*(((('Alternative 1'!$B$28-'Alternative 1'!$B$27)/2)+'Alternative 1'!$B$27)*'Alternative 1'!$B$39)*COS('Alternative 1-Tilt Up (3pt)'!K34))+(('Alternative 1'!$B$28)*((('Alternative 1'!$B$28-'Alternative 1'!$B$27)/2)+(('Alternative 1'!$B$29-'Alternative 1'!$B$28)/2))*('Alternative 1'!$B$39)*COS('Alternative 1-Tilt Up (3pt)'!K34))+(('Alternative 1'!$B$29)*((('Alternative 1'!$B$12-'Alternative 1'!$B$29+(('Alternative 1'!$B$29-'Alternative 1'!$B$28)/2)*('Alternative 1'!$B$39)*COS('Alternative 1-Tilt Up (3pt)'!K34)))))</f>
        <v>4068240.3172253761</v>
      </c>
      <c r="N34" s="104">
        <f t="shared" si="0"/>
        <v>348481.40207337076</v>
      </c>
      <c r="O34" s="104">
        <f>(((('Alternative 1'!$B$28-'Alternative 1'!$B$27)/2)+'Alternative 1'!$B$27)*('Alternative 1'!$B$39)*COS('Alternative 1-Tilt Up (3pt)'!K34))+(((('Alternative 1'!$B$28-'Alternative 1'!$B$27)/2)+(('Alternative 1'!$B$29-'Alternative 1'!$B$28)/2))*('Alternative 1'!$B$39)*COS('Alternative 1-Tilt Up (3pt)'!K34))+(((('Alternative 1'!$B$12-'Alternative 1'!$B$29)+(('Alternative 1'!$B$29-'Alternative 1'!$B$28)/2))*('Alternative 1'!$B$39)*COS('Alternative 1-Tilt Up (3pt)'!K34)))</f>
        <v>262395.97405294381</v>
      </c>
      <c r="P34" s="104">
        <f t="shared" si="1"/>
        <v>298706.86276011873</v>
      </c>
      <c r="R34" s="105">
        <f>'Alternative 1'!$B$39*$B34*$C34*COS($K$5)-($N$5/3)*$E34*SIN($K$5)-($N$5/3)*$F34*SIN($K$5)-($N$5/3)*$G34*SIN($K$5)</f>
        <v>106226.88425311761</v>
      </c>
      <c r="S34" s="106">
        <f>IF(($A34&lt;'Alternative 1'!$B$27),(($H34*'Alternative 1'!$B$39)+(3*($N$5/3)*COS($K$5))),IF(($A34&lt;'Alternative 1'!$B$28),(($H34*'Alternative 1'!$B$39)+(2*(($N$5/3)*COS($K$5)))),IF(($A34&lt;'Alternative 1'!$B$29),(($H$3*'Alternative 1'!$B$39+(($N$5/3)*COS($K$5)))),($H34*'Alternative 1'!$B$39))))</f>
        <v>42516.653697918271</v>
      </c>
      <c r="T34" s="105">
        <f>R34*'Alternative 1'!$K35/'Alternative 1'!$L35</f>
        <v>845327.39992422319</v>
      </c>
      <c r="U34" s="105">
        <f>S34/'Alternative 1'!$M35</f>
        <v>24729.002155000053</v>
      </c>
      <c r="V34" s="105">
        <f t="shared" si="2"/>
        <v>0.87005640207922319</v>
      </c>
      <c r="X34" s="105">
        <f>'Alternative 1'!$B$39*$B34*$C34*COS($K$13)-($N$12/3)*$E34*SIN($K$13)-($N$12/3)*$F34*SIN($K$13)-($N$12/3)*$G34*SIN($K$13)</f>
        <v>104676.82548461269</v>
      </c>
      <c r="Y34" s="106">
        <f>IF(($A34&lt;'Alternative 1'!$B$27),(($H34*'Alternative 1'!$B$39)+(3*($N$12/3)*COS($K$13))),IF(($A34&lt;'Alternative 1'!$B$28),(($H34*'Alternative 1'!$B$39)+(2*(($N$12/3)*COS($K$13)))),IF(($A34&lt;'Alternative 1'!$B$29),(($H$3*'Alternative 1'!$B$39+(($N$12/3)*COS($K$13)))),($H34*'Alternative 1'!$B$39))))</f>
        <v>42516.653697918271</v>
      </c>
      <c r="Z34" s="105">
        <f>X34*'Alternative 1'!$K35/'Alternative 1'!$L35</f>
        <v>832992.41375078144</v>
      </c>
      <c r="AA34" s="105">
        <f>Y34/'Alternative 1'!$M35</f>
        <v>24729.002155000053</v>
      </c>
      <c r="AB34" s="105">
        <f t="shared" si="3"/>
        <v>0.85772141590578155</v>
      </c>
      <c r="AD34" s="105">
        <f>'Alternative 1'!$B$39*$B34*$C34*COS($K$23)-($N$22/3)*$E34*SIN($K$23)-($N$22/3)*$F34*SIN($K$23)-($N$22/3)*$G34*SIN($K$23)</f>
        <v>99881.464351109273</v>
      </c>
      <c r="AE34" s="106">
        <f>IF(($A34&lt;'Alternative 1'!$B$27),(($H34*'Alternative 1'!$B$39)+(3*($N$22/3)*COS($K$23))),IF(($A34&lt;'Alternative 1'!$B$28),(($H34*'Alternative 1'!$B$39)+(2*(($N$22/3)*COS($K$23)))),IF(($A34&lt;'Alternative 1'!$B$29),(($H$3*'Alternative 1'!$B$39+(($N$22/3)*COS($K$23)))),($H34*'Alternative 1'!$B$39))))</f>
        <v>42516.653697918271</v>
      </c>
      <c r="AF34" s="105">
        <f>AD34*'Alternative 1'!$K35/'Alternative 1'!$L35</f>
        <v>794832.11010276072</v>
      </c>
      <c r="AG34" s="105">
        <f>AE34/'Alternative 1'!$M35</f>
        <v>24729.002155000053</v>
      </c>
      <c r="AH34" s="105">
        <f t="shared" si="4"/>
        <v>0.81956111225776074</v>
      </c>
      <c r="AJ34" s="105">
        <f>'Alternative 1'!$B$39*$B34*$C34*COS($K$33)-($N$32/3)*$E34*SIN($K$33)-($N$32/3)*$F34*SIN($K$33)-($N$32/3)*$G34*SIN($K$33)</f>
        <v>92051.255465757058</v>
      </c>
      <c r="AK34" s="106">
        <f>IF(($A34&lt;'Alternative 1'!$B$27),(($H34*'Alternative 1'!$B$39)+(3*($N$32/3)*COS($K$33))),IF(($A34&lt;'Alternative 1'!$B$28),(($H34*'Alternative 1'!$B$39)+(2*(($N$32/3)*COS($K$33)))),IF(($A34&lt;'Alternative 1'!$B$29),(($H$3*'Alternative 1'!$B$39+(($N$32/3)*COS($K$33)))),($H34*'Alternative 1'!$B$39))))</f>
        <v>42516.653697918271</v>
      </c>
      <c r="AL34" s="105">
        <f>AJ34*'Alternative 1'!$K35/'Alternative 1'!$L35</f>
        <v>732521.23499372182</v>
      </c>
      <c r="AM34" s="105">
        <f>AK34/'Alternative 1'!$M35</f>
        <v>24729.002155000053</v>
      </c>
      <c r="AN34" s="105">
        <f t="shared" si="5"/>
        <v>0.75725023714872197</v>
      </c>
      <c r="AP34" s="105">
        <f>'Alternative 1'!$B$39*$B34*$C34*COS($K$43)-($N$42/3)*$E34*SIN($K$43)-($N$42/3)*$F34*SIN($K$43)-($N$42/3)*$G34*SIN($K$43)</f>
        <v>81424.115763260605</v>
      </c>
      <c r="AQ34" s="106">
        <f>IF(($A34&lt;'Alternative 1'!$B$27),(($H34*'Alternative 1'!$B$39)+(3*($N$42/3)*COS($K$43))),IF(($A34&lt;'Alternative 1'!$B$28),(($H34*'Alternative 1'!$B$39)+(2*(($N$42/3)*COS($K$43)))),IF(($A34&lt;'Alternative 1'!$B$29),(($H$3*'Alternative 1'!$B$39+(($N$42/3)*COS($K$43)))),($H34*'Alternative 1'!$B$39))))</f>
        <v>42516.653697918271</v>
      </c>
      <c r="AR34" s="105">
        <f>AP34*'Alternative 1'!$K35/'Alternative 1'!$L35</f>
        <v>647953.07283302885</v>
      </c>
      <c r="AS34" s="105">
        <f>AQ34/'Alternative 1'!$M35</f>
        <v>24729.002155000053</v>
      </c>
      <c r="AT34" s="105">
        <f t="shared" si="6"/>
        <v>0.67268207498802901</v>
      </c>
      <c r="AV34" s="105">
        <f>'Alternative 1'!$B$39*$B34*$C34*COS($K$53)-($N$52/3)*$E34*SIN($K$53)-($N$52/3)*$F34*SIN($K$53)-($N$52/3)*$G34*SIN($K$53)</f>
        <v>68322.945505888129</v>
      </c>
      <c r="AW34" s="106">
        <f>IF(($A34&lt;'Alternative 1'!$B$27),(($H34*'Alternative 1'!$B$39)+(3*($N$52/3)*COS($K$53))),IF(($A34&lt;'Alternative 1'!$B$28),(($H34*'Alternative 1'!$B$39)+(2*(($N$52/3)*COS($K$53)))),IF(($A34&lt;'Alternative 1'!$B$29),(($H$3*'Alternative 1'!$B$39+(($N$52/3)*COS($K$53)))),($H34*'Alternative 1'!$B$39))))</f>
        <v>42516.653697918271</v>
      </c>
      <c r="AX34" s="105">
        <f>AV34*'Alternative 1'!$K35/'Alternative 1'!$L35</f>
        <v>543697.1844343798</v>
      </c>
      <c r="AY34" s="105">
        <f>AW34/'Alternative 1'!$M35</f>
        <v>24729.002155000053</v>
      </c>
      <c r="AZ34" s="105">
        <f t="shared" si="7"/>
        <v>0.56842618658937982</v>
      </c>
      <c r="BB34" s="105">
        <f>'Alternative 1'!$B$39*$B34*$C34*COS($K$63)-($N$62/3)*$E34*SIN($K$63)-($N$62/3)*$F34*SIN($K$63)-($N$62/3)*$G34*SIN($K$63)</f>
        <v>53145.817122397857</v>
      </c>
      <c r="BC34" s="106">
        <f>IF(($A34&lt;'Alternative 1'!$B$27),(($H34*'Alternative 1'!$B$39)+(3*($N$62/3)*COS($K$63))),IF(($A34&lt;'Alternative 1'!$B$28),(($H34*'Alternative 1'!$B$39)+(2*(($N$62/3)*COS($K$63)))),IF(($A34&lt;'Alternative 1'!$B$29),(($H$3*'Alternative 1'!$B$39+(($N$62/3)*COS($K$63)))),($H34*'Alternative 1'!$B$39))))</f>
        <v>42516.653697918271</v>
      </c>
      <c r="BD34" s="105">
        <f>BB34*'Alternative 1'!$K35/'Alternative 1'!$L35</f>
        <v>422921.33221074246</v>
      </c>
      <c r="BE34" s="105">
        <f>BC34/'Alternative 1'!$M35</f>
        <v>24729.002155000053</v>
      </c>
      <c r="BF34" s="105">
        <f t="shared" si="8"/>
        <v>0.44765033436574253</v>
      </c>
      <c r="BH34" s="105">
        <f>'Alternative 1'!$B$39*$B34*$C34*COS($K$73)-($N$72/3)*$E34*SIN($K$73)-($N$72/3)*$F34*SIN($K$73)-($N$72/3)*$G34*SIN($K$73)</f>
        <v>36353.879978724588</v>
      </c>
      <c r="BI34" s="106">
        <f>IF(($A34&lt;'Alternative 1'!$B$27),(($H34*'Alternative 1'!$B$39)+(3*($N$72/3)*COS($K$73))),IF(($A34&lt;'Alternative 1'!$B$28),(($H34*'Alternative 1'!$B$39)+(2*(($N$72/3)*COS($K$73)))),IF(($A34&lt;'Alternative 1'!$B$29),(($H$3*'Alternative 1'!$B$39+(($N$72/3)*COS($K$73)))),($H34*'Alternative 1'!$B$39))))</f>
        <v>42516.653697918271</v>
      </c>
      <c r="BJ34" s="105">
        <f>BH34*'Alternative 1'!$K35/'Alternative 1'!$L35</f>
        <v>289295.22931640182</v>
      </c>
      <c r="BK34" s="105">
        <f>BI34/'Alternative 1'!$M35</f>
        <v>24729.002155000053</v>
      </c>
      <c r="BL34" s="105">
        <f t="shared" si="9"/>
        <v>0.31402423147140185</v>
      </c>
      <c r="BN34" s="105">
        <f>'Alternative 1'!$B$39*$B34*$C34*COS($K$83)-($N$82/3)*$E34*SIN($K$83)-($N$82/3)*$F34*SIN($K$83)-($N$82/3)*$G34*SIN($K$83)</f>
        <v>18457.348587848664</v>
      </c>
      <c r="BO34" s="106">
        <f>IF(($A34&lt;'Alternative 1'!$B$27),(($H34*'Alternative 1'!$B$39)+(3*($N$82/3)*COS($K$83))),IF(($A34&lt;'Alternative 1'!$B$28),(($H34*'Alternative 1'!$B$39)+(2*(($N$82/3)*COS($K$83)))),IF(($A34&lt;'Alternative 1'!$B$29),(($H$3*'Alternative 1'!$B$39+(($N$82/3)*COS($K$83)))),($H34*'Alternative 1'!$B$39))))</f>
        <v>42516.653697918271</v>
      </c>
      <c r="BP34" s="105">
        <f>BN34*'Alternative 1'!$K35/'Alternative 1'!$L35</f>
        <v>146879.03726973175</v>
      </c>
      <c r="BQ34" s="105">
        <f>BO34/'Alternative 1'!$M35</f>
        <v>24729.002155000053</v>
      </c>
      <c r="BR34" s="105">
        <f t="shared" si="10"/>
        <v>0.1716080394247318</v>
      </c>
      <c r="BT34" s="105">
        <f>'Alternative 1'!$B$39*$B34*$C34*COS($K$93)-($K$92/3)*$E34*SIN($K$93)-($K$92/3)*$F34*SIN($K$93)-($K$92/3)*$G34*SIN($K$93)</f>
        <v>6.5111515732361798E-12</v>
      </c>
      <c r="BU34" s="106">
        <f>IF(($A34&lt;'Alternative 1'!$B$27),(($H34*'Alternative 1'!$B$39)+(3*($N$92/3)*COS($K$93))),IF(($A34&lt;'Alternative 1'!$B$28),(($H34*'Alternative 1'!$B$39)+(2*(($N$92/3)*COS($K$93)))),IF(($A34&lt;'Alternative 1'!$B$29),(($H$3*'Alternative 1'!$B$39+(($N$92/3)*COS($K$93)))),($H34*'Alternative 1'!$B$39))))</f>
        <v>42516.653697918271</v>
      </c>
      <c r="BV34" s="105">
        <f>BT34*'Alternative 1'!$K35/'Alternative 1'!$L35</f>
        <v>5.181414167058862E-11</v>
      </c>
      <c r="BW34" s="105">
        <f>BU34/'Alternative 1'!$M35</f>
        <v>24729.002155000053</v>
      </c>
      <c r="BX34" s="105">
        <f t="shared" si="11"/>
        <v>2.4729002155000103E-2</v>
      </c>
      <c r="BZ34" s="104">
        <v>150</v>
      </c>
      <c r="CA34" s="104">
        <v>-150</v>
      </c>
    </row>
    <row r="35" spans="1:79" ht="15" customHeight="1" x14ac:dyDescent="0.25">
      <c r="A35" s="18">
        <f>IF('Alternative 1'!F36&gt;0,'Alternative 1'!F36,"x")</f>
        <v>33</v>
      </c>
      <c r="B35" s="18">
        <f t="shared" si="17"/>
        <v>4</v>
      </c>
      <c r="C35" s="18">
        <f t="shared" si="12"/>
        <v>2</v>
      </c>
      <c r="D35" s="18">
        <f t="shared" si="13"/>
        <v>33</v>
      </c>
      <c r="E35" s="101">
        <f>IF($A35&lt;='Alternative 1'!$B$27, IF($A35='Alternative 1'!$B$27,0,E36+1),0)</f>
        <v>0</v>
      </c>
      <c r="F35" s="101">
        <f>IF($A35&lt;=('Alternative 1'!$B$28), IF($A35=ROUNDDOWN('Alternative 1'!$B$28,0),0,F36+1),0)</f>
        <v>0</v>
      </c>
      <c r="G35" s="101">
        <f>IF($A35&lt;=('Alternative 1'!$B$29), IF($A35=ROUNDDOWN('Alternative 1'!$B$29,0),0,G36+1),0)</f>
        <v>0</v>
      </c>
      <c r="H35" s="18">
        <f t="shared" si="14"/>
        <v>4</v>
      </c>
      <c r="J35" s="104">
        <f t="shared" si="15"/>
        <v>32</v>
      </c>
      <c r="K35" s="104">
        <f t="shared" si="16"/>
        <v>0.55850536063818546</v>
      </c>
      <c r="L35" s="105">
        <f>'Alternative 1'!$B$27*SIN(K35)+'Alternative 1'!$B$28*SIN(K35)+'Alternative 1'!$B$29*SIN(K35)</f>
        <v>36.034509967857936</v>
      </c>
      <c r="M35" s="104">
        <f>(('Alternative 1'!$B$27)*(((('Alternative 1'!$B$28-'Alternative 1'!$B$27)/2)+'Alternative 1'!$B$27)*'Alternative 1'!$B$39)*COS('Alternative 1-Tilt Up (3pt)'!K35))+(('Alternative 1'!$B$28)*((('Alternative 1'!$B$28-'Alternative 1'!$B$27)/2)+(('Alternative 1'!$B$29-'Alternative 1'!$B$28)/2))*('Alternative 1'!$B$39)*COS('Alternative 1-Tilt Up (3pt)'!K35))+(('Alternative 1'!$B$29)*((('Alternative 1'!$B$12-'Alternative 1'!$B$29+(('Alternative 1'!$B$29-'Alternative 1'!$B$28)/2)*('Alternative 1'!$B$39)*COS('Alternative 1-Tilt Up (3pt)'!K35)))))</f>
        <v>4024961.3312405124</v>
      </c>
      <c r="N35" s="104">
        <f t="shared" si="0"/>
        <v>335092.2214425031</v>
      </c>
      <c r="O35" s="104">
        <f>(((('Alternative 1'!$B$28-'Alternative 1'!$B$27)/2)+'Alternative 1'!$B$27)*('Alternative 1'!$B$39)*COS('Alternative 1-Tilt Up (3pt)'!K35))+(((('Alternative 1'!$B$28-'Alternative 1'!$B$27)/2)+(('Alternative 1'!$B$29-'Alternative 1'!$B$28)/2))*('Alternative 1'!$B$39)*COS('Alternative 1-Tilt Up (3pt)'!K35))+(((('Alternative 1'!$B$12-'Alternative 1'!$B$29)+(('Alternative 1'!$B$29-'Alternative 1'!$B$28)/2))*('Alternative 1'!$B$39)*COS('Alternative 1-Tilt Up (3pt)'!K35)))</f>
        <v>259604.40400892391</v>
      </c>
      <c r="P35" s="104">
        <f t="shared" si="1"/>
        <v>284174.32043114223</v>
      </c>
      <c r="R35" s="105">
        <f>'Alternative 1'!$B$39*$B35*$C35*COS($K$5)-($N$5/3)*$E35*SIN($K$5)-($N$5/3)*$F35*SIN($K$5)-($N$5/3)*$G35*SIN($K$5)</f>
        <v>67985.205921995264</v>
      </c>
      <c r="S35" s="106">
        <f>IF(($A35&lt;'Alternative 1'!$B$27),(($H35*'Alternative 1'!$B$39)+(3*($N$5/3)*COS($K$5))),IF(($A35&lt;'Alternative 1'!$B$28),(($H35*'Alternative 1'!$B$39)+(2*(($N$5/3)*COS($K$5)))),IF(($A35&lt;'Alternative 1'!$B$29),(($H$3*'Alternative 1'!$B$39+(($N$5/3)*COS($K$5)))),($H35*'Alternative 1'!$B$39))))</f>
        <v>34013.322958334618</v>
      </c>
      <c r="T35" s="105">
        <f>R35*'Alternative 1'!$K36/'Alternative 1'!$L36</f>
        <v>541009.53595150274</v>
      </c>
      <c r="U35" s="105">
        <f>S35/'Alternative 1'!$M36</f>
        <v>20325.992104669225</v>
      </c>
      <c r="V35" s="105">
        <f t="shared" si="2"/>
        <v>0.56133552805617193</v>
      </c>
      <c r="X35" s="105">
        <f>'Alternative 1'!$B$39*$B35*$C35*COS($K$13)-($N$12/3)*$E35*SIN($K$13)-($N$12/3)*$F35*SIN($K$13)-($N$12/3)*$G35*SIN($K$13)</f>
        <v>66993.168310152134</v>
      </c>
      <c r="Y35" s="106">
        <f>IF(($A35&lt;'Alternative 1'!$B$27),(($H35*'Alternative 1'!$B$39)+(3*($N$12/3)*COS($K$13))),IF(($A35&lt;'Alternative 1'!$B$28),(($H35*'Alternative 1'!$B$39)+(2*(($N$12/3)*COS($K$13)))),IF(($A35&lt;'Alternative 1'!$B$29),(($H$3*'Alternative 1'!$B$39+(($N$12/3)*COS($K$13)))),($H35*'Alternative 1'!$B$39))))</f>
        <v>34013.322958334618</v>
      </c>
      <c r="Z35" s="105">
        <f>X35*'Alternative 1'!$K36/'Alternative 1'!$L36</f>
        <v>533115.14480050013</v>
      </c>
      <c r="AA35" s="105">
        <f>Y35/'Alternative 1'!$M36</f>
        <v>20325.992104669225</v>
      </c>
      <c r="AB35" s="105">
        <f t="shared" si="3"/>
        <v>0.55344113690516938</v>
      </c>
      <c r="AD35" s="105">
        <f>'Alternative 1'!$B$39*$B35*$C35*COS($K$23)-($N$22/3)*$E35*SIN($K$23)-($N$22/3)*$F35*SIN($K$23)-($N$22/3)*$G35*SIN($K$23)</f>
        <v>63924.137184709929</v>
      </c>
      <c r="AE35" s="106">
        <f>IF(($A35&lt;'Alternative 1'!$B$27),(($H35*'Alternative 1'!$B$39)+(3*($N$22/3)*COS($K$23))),IF(($A35&lt;'Alternative 1'!$B$28),(($H35*'Alternative 1'!$B$39)+(2*(($N$22/3)*COS($K$23)))),IF(($A35&lt;'Alternative 1'!$B$29),(($H$3*'Alternative 1'!$B$39+(($N$22/3)*COS($K$23)))),($H35*'Alternative 1'!$B$39))))</f>
        <v>34013.322958334618</v>
      </c>
      <c r="AF35" s="105">
        <f>AD35*'Alternative 1'!$K36/'Alternative 1'!$L36</f>
        <v>508692.55046576675</v>
      </c>
      <c r="AG35" s="105">
        <f>AE35/'Alternative 1'!$M36</f>
        <v>20325.992104669225</v>
      </c>
      <c r="AH35" s="105">
        <f t="shared" si="4"/>
        <v>0.52901854257043601</v>
      </c>
      <c r="AJ35" s="105">
        <f>'Alternative 1'!$B$39*$B35*$C35*COS($K$33)-($N$32/3)*$E35*SIN($K$33)-($N$32/3)*$F35*SIN($K$33)-($N$32/3)*$G35*SIN($K$33)</f>
        <v>58912.803498084511</v>
      </c>
      <c r="AK35" s="106">
        <f>IF(($A35&lt;'Alternative 1'!$B$27),(($H35*'Alternative 1'!$B$39)+(3*($N$32/3)*COS($K$33))),IF(($A35&lt;'Alternative 1'!$B$28),(($H35*'Alternative 1'!$B$39)+(2*(($N$32/3)*COS($K$33)))),IF(($A35&lt;'Alternative 1'!$B$29),(($H$3*'Alternative 1'!$B$39+(($N$32/3)*COS($K$33)))),($H35*'Alternative 1'!$B$39))))</f>
        <v>34013.322958334618</v>
      </c>
      <c r="AL35" s="105">
        <f>AJ35*'Alternative 1'!$K36/'Alternative 1'!$L36</f>
        <v>468813.59039598191</v>
      </c>
      <c r="AM35" s="105">
        <f>AK35/'Alternative 1'!$M36</f>
        <v>20325.992104669225</v>
      </c>
      <c r="AN35" s="105">
        <f t="shared" si="5"/>
        <v>0.48913958250065115</v>
      </c>
      <c r="AP35" s="105">
        <f>'Alternative 1'!$B$39*$B35*$C35*COS($K$43)-($N$42/3)*$E35*SIN($K$43)-($N$42/3)*$F35*SIN($K$43)-($N$42/3)*$G35*SIN($K$43)</f>
        <v>52111.434088486785</v>
      </c>
      <c r="AQ35" s="106">
        <f>IF(($A35&lt;'Alternative 1'!$B$27),(($H35*'Alternative 1'!$B$39)+(3*($N$42/3)*COS($K$43))),IF(($A35&lt;'Alternative 1'!$B$28),(($H35*'Alternative 1'!$B$39)+(2*(($N$42/3)*COS($K$43)))),IF(($A35&lt;'Alternative 1'!$B$29),(($H$3*'Alternative 1'!$B$39+(($N$42/3)*COS($K$43)))),($H35*'Alternative 1'!$B$39))))</f>
        <v>34013.322958334618</v>
      </c>
      <c r="AR35" s="105">
        <f>AP35*'Alternative 1'!$K36/'Alternative 1'!$L36</f>
        <v>414689.96661313844</v>
      </c>
      <c r="AS35" s="105">
        <f>AQ35/'Alternative 1'!$M36</f>
        <v>20325.992104669225</v>
      </c>
      <c r="AT35" s="105">
        <f t="shared" si="6"/>
        <v>0.43501595871780768</v>
      </c>
      <c r="AV35" s="105">
        <f>'Alternative 1'!$B$39*$B35*$C35*COS($K$53)-($N$52/3)*$E35*SIN($K$53)-($N$52/3)*$F35*SIN($K$53)-($N$52/3)*$G35*SIN($K$53)</f>
        <v>43726.685123768402</v>
      </c>
      <c r="AW35" s="106">
        <f>IF(($A35&lt;'Alternative 1'!$B$27),(($H35*'Alternative 1'!$B$39)+(3*($N$52/3)*COS($K$53))),IF(($A35&lt;'Alternative 1'!$B$28),(($H35*'Alternative 1'!$B$39)+(2*(($N$52/3)*COS($K$53)))),IF(($A35&lt;'Alternative 1'!$B$29),(($H$3*'Alternative 1'!$B$39+(($N$52/3)*COS($K$53)))),($H35*'Alternative 1'!$B$39))))</f>
        <v>34013.322958334618</v>
      </c>
      <c r="AX35" s="105">
        <f>AV35*'Alternative 1'!$K36/'Alternative 1'!$L36</f>
        <v>347966.19803800306</v>
      </c>
      <c r="AY35" s="105">
        <f>AW35/'Alternative 1'!$M36</f>
        <v>20325.992104669225</v>
      </c>
      <c r="AZ35" s="105">
        <f t="shared" si="7"/>
        <v>0.36829219014267228</v>
      </c>
      <c r="BB35" s="105">
        <f>'Alternative 1'!$B$39*$B35*$C35*COS($K$63)-($N$62/3)*$E35*SIN($K$63)-($N$62/3)*$F35*SIN($K$63)-($N$62/3)*$G35*SIN($K$63)</f>
        <v>34013.322958334626</v>
      </c>
      <c r="BC35" s="106">
        <f>IF(($A35&lt;'Alternative 1'!$B$27),(($H35*'Alternative 1'!$B$39)+(3*($N$62/3)*COS($K$63))),IF(($A35&lt;'Alternative 1'!$B$28),(($H35*'Alternative 1'!$B$39)+(2*(($N$62/3)*COS($K$63)))),IF(($A35&lt;'Alternative 1'!$B$29),(($H$3*'Alternative 1'!$B$39+(($N$62/3)*COS($K$63)))),($H35*'Alternative 1'!$B$39))))</f>
        <v>34013.322958334618</v>
      </c>
      <c r="BD35" s="105">
        <f>BB35*'Alternative 1'!$K36/'Alternative 1'!$L36</f>
        <v>270669.65261487511</v>
      </c>
      <c r="BE35" s="105">
        <f>BC35/'Alternative 1'!$M36</f>
        <v>20325.992104669225</v>
      </c>
      <c r="BF35" s="105">
        <f t="shared" si="8"/>
        <v>0.29099564471954431</v>
      </c>
      <c r="BH35" s="105">
        <f>'Alternative 1'!$B$39*$B35*$C35*COS($K$73)-($N$72/3)*$E35*SIN($K$73)-($N$72/3)*$F35*SIN($K$73)-($N$72/3)*$G35*SIN($K$73)</f>
        <v>23266.483186383735</v>
      </c>
      <c r="BI35" s="106">
        <f>IF(($A35&lt;'Alternative 1'!$B$27),(($H35*'Alternative 1'!$B$39)+(3*($N$72/3)*COS($K$73))),IF(($A35&lt;'Alternative 1'!$B$28),(($H35*'Alternative 1'!$B$39)+(2*(($N$72/3)*COS($K$73)))),IF(($A35&lt;'Alternative 1'!$B$29),(($H$3*'Alternative 1'!$B$39+(($N$72/3)*COS($K$73)))),($H35*'Alternative 1'!$B$39))))</f>
        <v>34013.322958334618</v>
      </c>
      <c r="BJ35" s="105">
        <f>BH35*'Alternative 1'!$K36/'Alternative 1'!$L36</f>
        <v>185148.94676249713</v>
      </c>
      <c r="BK35" s="105">
        <f>BI35/'Alternative 1'!$M36</f>
        <v>20325.992104669225</v>
      </c>
      <c r="BL35" s="105">
        <f t="shared" si="9"/>
        <v>0.20547493886716633</v>
      </c>
      <c r="BN35" s="105">
        <f>'Alternative 1'!$B$39*$B35*$C35*COS($K$83)-($N$82/3)*$E35*SIN($K$83)-($N$82/3)*$F35*SIN($K$83)-($N$82/3)*$G35*SIN($K$83)</f>
        <v>11812.703096223146</v>
      </c>
      <c r="BO35" s="106">
        <f>IF(($A35&lt;'Alternative 1'!$B$27),(($H35*'Alternative 1'!$B$39)+(3*($N$82/3)*COS($K$83))),IF(($A35&lt;'Alternative 1'!$B$28),(($H35*'Alternative 1'!$B$39)+(2*(($N$82/3)*COS($K$83)))),IF(($A35&lt;'Alternative 1'!$B$29),(($H$3*'Alternative 1'!$B$39+(($N$82/3)*COS($K$83)))),($H35*'Alternative 1'!$B$39))))</f>
        <v>34013.322958334618</v>
      </c>
      <c r="BP35" s="105">
        <f>BN35*'Alternative 1'!$K36/'Alternative 1'!$L36</f>
        <v>94002.583852628319</v>
      </c>
      <c r="BQ35" s="105">
        <f>BO35/'Alternative 1'!$M36</f>
        <v>20325.992104669225</v>
      </c>
      <c r="BR35" s="105">
        <f t="shared" si="10"/>
        <v>0.11432857595729755</v>
      </c>
      <c r="BT35" s="105">
        <f>'Alternative 1'!$B$39*$B35*$C35*COS($K$93)-($K$92/3)*$E35*SIN($K$93)-($K$92/3)*$F35*SIN($K$93)-($K$92/3)*$G35*SIN($K$93)</f>
        <v>4.1671370068711553E-12</v>
      </c>
      <c r="BU35" s="106">
        <f>IF(($A35&lt;'Alternative 1'!$B$27),(($H35*'Alternative 1'!$B$39)+(3*($N$92/3)*COS($K$93))),IF(($A35&lt;'Alternative 1'!$B$28),(($H35*'Alternative 1'!$B$39)+(2*(($N$92/3)*COS($K$93)))),IF(($A35&lt;'Alternative 1'!$B$29),(($H$3*'Alternative 1'!$B$39+(($N$92/3)*COS($K$93)))),($H35*'Alternative 1'!$B$39))))</f>
        <v>34013.322958334618</v>
      </c>
      <c r="BV35" s="105">
        <f>BT35*'Alternative 1'!$K36/'Alternative 1'!$L36</f>
        <v>3.3161050669176718E-11</v>
      </c>
      <c r="BW35" s="105">
        <f>BU35/'Alternative 1'!$M36</f>
        <v>20325.992104669225</v>
      </c>
      <c r="BX35" s="105">
        <f t="shared" si="11"/>
        <v>2.0325992104669257E-2</v>
      </c>
      <c r="BZ35" s="104">
        <v>150</v>
      </c>
      <c r="CA35" s="104">
        <v>-150</v>
      </c>
    </row>
    <row r="36" spans="1:79" ht="15" customHeight="1" x14ac:dyDescent="0.25">
      <c r="A36" s="18">
        <f>IF('Alternative 1'!F37&gt;0,'Alternative 1'!F37,"x")</f>
        <v>34</v>
      </c>
      <c r="B36" s="18">
        <f t="shared" si="17"/>
        <v>3</v>
      </c>
      <c r="C36" s="18">
        <f t="shared" si="12"/>
        <v>1.5</v>
      </c>
      <c r="D36" s="18">
        <f t="shared" si="13"/>
        <v>34</v>
      </c>
      <c r="E36" s="101">
        <f>IF($A36&lt;='Alternative 1'!$B$27, IF($A36='Alternative 1'!$B$27,0,E37+1),0)</f>
        <v>0</v>
      </c>
      <c r="F36" s="101">
        <f>IF($A36&lt;=('Alternative 1'!$B$28), IF($A36=ROUNDDOWN('Alternative 1'!$B$28,0),0,F37+1),0)</f>
        <v>0</v>
      </c>
      <c r="G36" s="101">
        <f>IF($A36&lt;=('Alternative 1'!$B$29), IF($A36=ROUNDDOWN('Alternative 1'!$B$29,0),0,G37+1),0)</f>
        <v>0</v>
      </c>
      <c r="H36" s="18">
        <f t="shared" si="14"/>
        <v>3</v>
      </c>
      <c r="J36" s="104">
        <f t="shared" si="15"/>
        <v>33</v>
      </c>
      <c r="K36" s="104">
        <f t="shared" si="16"/>
        <v>0.57595865315812877</v>
      </c>
      <c r="L36" s="105">
        <f>'Alternative 1'!$B$27*SIN(K36)+'Alternative 1'!$B$28*SIN(K36)+'Alternative 1'!$B$29*SIN(K36)</f>
        <v>37.035454381021843</v>
      </c>
      <c r="M36" s="104">
        <f>(('Alternative 1'!$B$27)*(((('Alternative 1'!$B$28-'Alternative 1'!$B$27)/2)+'Alternative 1'!$B$27)*'Alternative 1'!$B$39)*COS('Alternative 1-Tilt Up (3pt)'!K36))+(('Alternative 1'!$B$28)*((('Alternative 1'!$B$28-'Alternative 1'!$B$27)/2)+(('Alternative 1'!$B$29-'Alternative 1'!$B$28)/2))*('Alternative 1'!$B$39)*COS('Alternative 1-Tilt Up (3pt)'!K36))+(('Alternative 1'!$B$29)*((('Alternative 1'!$B$12-'Alternative 1'!$B$29+(('Alternative 1'!$B$29-'Alternative 1'!$B$28)/2)*('Alternative 1'!$B$39)*COS('Alternative 1-Tilt Up (3pt)'!K36)))))</f>
        <v>3980456.3626346057</v>
      </c>
      <c r="N36" s="104">
        <f t="shared" si="0"/>
        <v>322430.74339120183</v>
      </c>
      <c r="O36" s="104">
        <f>(((('Alternative 1'!$B$28-'Alternative 1'!$B$27)/2)+'Alternative 1'!$B$27)*('Alternative 1'!$B$39)*COS('Alternative 1-Tilt Up (3pt)'!K36))+(((('Alternative 1'!$B$28-'Alternative 1'!$B$27)/2)+(('Alternative 1'!$B$29-'Alternative 1'!$B$28)/2))*('Alternative 1'!$B$39)*COS('Alternative 1-Tilt Up (3pt)'!K36))+(((('Alternative 1'!$B$12-'Alternative 1'!$B$29)+(('Alternative 1'!$B$29-'Alternative 1'!$B$28)/2))*('Alternative 1'!$B$39)*COS('Alternative 1-Tilt Up (3pt)'!K36)))</f>
        <v>256733.75594859861</v>
      </c>
      <c r="P36" s="104">
        <f t="shared" si="1"/>
        <v>270413.17468296451</v>
      </c>
      <c r="R36" s="105">
        <f>'Alternative 1'!$B$39*$B36*$C36*COS($K$5)-($N$5/3)*$E36*SIN($K$5)-($N$5/3)*$F36*SIN($K$5)-($N$5/3)*$G36*SIN($K$5)</f>
        <v>38241.678331122341</v>
      </c>
      <c r="S36" s="106">
        <f>IF(($A36&lt;'Alternative 1'!$B$27),(($H36*'Alternative 1'!$B$39)+(3*($N$5/3)*COS($K$5))),IF(($A36&lt;'Alternative 1'!$B$28),(($H36*'Alternative 1'!$B$39)+(2*(($N$5/3)*COS($K$5)))),IF(($A36&lt;'Alternative 1'!$B$29),(($H$3*'Alternative 1'!$B$39+(($N$5/3)*COS($K$5)))),($H36*'Alternative 1'!$B$39))))</f>
        <v>25509.992218750966</v>
      </c>
      <c r="T36" s="105">
        <f>R36*'Alternative 1'!$K37/'Alternative 1'!$L37</f>
        <v>304317.86397272034</v>
      </c>
      <c r="U36" s="105">
        <f>S36/'Alternative 1'!$M37</f>
        <v>15668.573693450064</v>
      </c>
      <c r="V36" s="105">
        <f t="shared" si="2"/>
        <v>0.31998643766617041</v>
      </c>
      <c r="X36" s="105">
        <f>'Alternative 1'!$B$39*$B36*$C36*COS($K$13)-($N$12/3)*$E36*SIN($K$13)-($N$12/3)*$F36*SIN($K$13)-($N$12/3)*$G36*SIN($K$13)</f>
        <v>37683.657174460575</v>
      </c>
      <c r="Y36" s="106">
        <f>IF(($A36&lt;'Alternative 1'!$B$27),(($H36*'Alternative 1'!$B$39)+(3*($N$12/3)*COS($K$13))),IF(($A36&lt;'Alternative 1'!$B$28),(($H36*'Alternative 1'!$B$39)+(2*(($N$12/3)*COS($K$13)))),IF(($A36&lt;'Alternative 1'!$B$29),(($H$3*'Alternative 1'!$B$39+(($N$12/3)*COS($K$13)))),($H36*'Alternative 1'!$B$39))))</f>
        <v>25509.992218750966</v>
      </c>
      <c r="Z36" s="105">
        <f>X36*'Alternative 1'!$K37/'Alternative 1'!$L37</f>
        <v>299877.26895028137</v>
      </c>
      <c r="AA36" s="105">
        <f>Y36/'Alternative 1'!$M37</f>
        <v>15668.573693450064</v>
      </c>
      <c r="AB36" s="105">
        <f t="shared" si="3"/>
        <v>0.31554584264373142</v>
      </c>
      <c r="AD36" s="105">
        <f>'Alternative 1'!$B$39*$B36*$C36*COS($K$23)-($N$22/3)*$E36*SIN($K$23)-($N$22/3)*$F36*SIN($K$23)-($N$22/3)*$G36*SIN($K$23)</f>
        <v>35957.327166399336</v>
      </c>
      <c r="AE36" s="106">
        <f>IF(($A36&lt;'Alternative 1'!$B$27),(($H36*'Alternative 1'!$B$39)+(3*($N$22/3)*COS($K$23))),IF(($A36&lt;'Alternative 1'!$B$28),(($H36*'Alternative 1'!$B$39)+(2*(($N$22/3)*COS($K$23)))),IF(($A36&lt;'Alternative 1'!$B$29),(($H$3*'Alternative 1'!$B$39+(($N$22/3)*COS($K$23)))),($H36*'Alternative 1'!$B$39))))</f>
        <v>25509.992218750966</v>
      </c>
      <c r="AF36" s="105">
        <f>AD36*'Alternative 1'!$K37/'Alternative 1'!$L37</f>
        <v>286139.5596369938</v>
      </c>
      <c r="AG36" s="105">
        <f>AE36/'Alternative 1'!$M37</f>
        <v>15668.573693450064</v>
      </c>
      <c r="AH36" s="105">
        <f t="shared" si="4"/>
        <v>0.30180813333044387</v>
      </c>
      <c r="AJ36" s="105">
        <f>'Alternative 1'!$B$39*$B36*$C36*COS($K$33)-($N$32/3)*$E36*SIN($K$33)-($N$32/3)*$F36*SIN($K$33)-($N$32/3)*$G36*SIN($K$33)</f>
        <v>33138.451967672539</v>
      </c>
      <c r="AK36" s="106">
        <f>IF(($A36&lt;'Alternative 1'!$B$27),(($H36*'Alternative 1'!$B$39)+(3*($N$32/3)*COS($K$33))),IF(($A36&lt;'Alternative 1'!$B$28),(($H36*'Alternative 1'!$B$39)+(2*(($N$32/3)*COS($K$33)))),IF(($A36&lt;'Alternative 1'!$B$29),(($H$3*'Alternative 1'!$B$39+(($N$32/3)*COS($K$33)))),($H36*'Alternative 1'!$B$39))))</f>
        <v>25509.992218750966</v>
      </c>
      <c r="AL36" s="105">
        <f>AJ36*'Alternative 1'!$K37/'Alternative 1'!$L37</f>
        <v>263707.64459773985</v>
      </c>
      <c r="AM36" s="105">
        <f>AK36/'Alternative 1'!$M37</f>
        <v>15668.573693450064</v>
      </c>
      <c r="AN36" s="105">
        <f t="shared" si="5"/>
        <v>0.27937621829118992</v>
      </c>
      <c r="AP36" s="105">
        <f>'Alternative 1'!$B$39*$B36*$C36*COS($K$43)-($N$42/3)*$E36*SIN($K$43)-($N$42/3)*$F36*SIN($K$43)-($N$42/3)*$G36*SIN($K$43)</f>
        <v>29312.681674773819</v>
      </c>
      <c r="AQ36" s="106">
        <f>IF(($A36&lt;'Alternative 1'!$B$27),(($H36*'Alternative 1'!$B$39)+(3*($N$42/3)*COS($K$43))),IF(($A36&lt;'Alternative 1'!$B$28),(($H36*'Alternative 1'!$B$39)+(2*(($N$42/3)*COS($K$43)))),IF(($A36&lt;'Alternative 1'!$B$29),(($H$3*'Alternative 1'!$B$39+(($N$42/3)*COS($K$43)))),($H36*'Alternative 1'!$B$39))))</f>
        <v>25509.992218750966</v>
      </c>
      <c r="AR36" s="105">
        <f>AP36*'Alternative 1'!$K37/'Alternative 1'!$L37</f>
        <v>233263.10621989041</v>
      </c>
      <c r="AS36" s="105">
        <f>AQ36/'Alternative 1'!$M37</f>
        <v>15668.573693450064</v>
      </c>
      <c r="AT36" s="105">
        <f t="shared" si="6"/>
        <v>0.24893167991334048</v>
      </c>
      <c r="AV36" s="105">
        <f>'Alternative 1'!$B$39*$B36*$C36*COS($K$53)-($N$52/3)*$E36*SIN($K$53)-($N$52/3)*$F36*SIN($K$53)-($N$52/3)*$G36*SIN($K$53)</f>
        <v>24596.260382119726</v>
      </c>
      <c r="AW36" s="106">
        <f>IF(($A36&lt;'Alternative 1'!$B$27),(($H36*'Alternative 1'!$B$39)+(3*($N$52/3)*COS($K$53))),IF(($A36&lt;'Alternative 1'!$B$28),(($H36*'Alternative 1'!$B$39)+(2*(($N$52/3)*COS($K$53)))),IF(($A36&lt;'Alternative 1'!$B$29),(($H$3*'Alternative 1'!$B$39+(($N$52/3)*COS($K$53)))),($H36*'Alternative 1'!$B$39))))</f>
        <v>25509.992218750966</v>
      </c>
      <c r="AX36" s="105">
        <f>AV36*'Alternative 1'!$K37/'Alternative 1'!$L37</f>
        <v>195730.98639637674</v>
      </c>
      <c r="AY36" s="105">
        <f>AW36/'Alternative 1'!$M37</f>
        <v>15668.573693450064</v>
      </c>
      <c r="AZ36" s="105">
        <f t="shared" si="7"/>
        <v>0.21139956008982683</v>
      </c>
      <c r="BB36" s="105">
        <f>'Alternative 1'!$B$39*$B36*$C36*COS($K$63)-($N$62/3)*$E36*SIN($K$63)-($N$62/3)*$F36*SIN($K$63)-($N$62/3)*$G36*SIN($K$63)</f>
        <v>19132.494164063228</v>
      </c>
      <c r="BC36" s="106">
        <f>IF(($A36&lt;'Alternative 1'!$B$27),(($H36*'Alternative 1'!$B$39)+(3*($N$62/3)*COS($K$63))),IF(($A36&lt;'Alternative 1'!$B$28),(($H36*'Alternative 1'!$B$39)+(2*(($N$62/3)*COS($K$63)))),IF(($A36&lt;'Alternative 1'!$B$29),(($H$3*'Alternative 1'!$B$39+(($N$62/3)*COS($K$63)))),($H36*'Alternative 1'!$B$39))))</f>
        <v>25509.992218750966</v>
      </c>
      <c r="BD36" s="105">
        <f>BB36*'Alternative 1'!$K37/'Alternative 1'!$L37</f>
        <v>152251.67959586729</v>
      </c>
      <c r="BE36" s="105">
        <f>BC36/'Alternative 1'!$M37</f>
        <v>15668.573693450064</v>
      </c>
      <c r="BF36" s="105">
        <f t="shared" si="8"/>
        <v>0.16792025328931737</v>
      </c>
      <c r="BH36" s="105">
        <f>'Alternative 1'!$B$39*$B36*$C36*COS($K$73)-($N$72/3)*$E36*SIN($K$73)-($N$72/3)*$F36*SIN($K$73)-($N$72/3)*$G36*SIN($K$73)</f>
        <v>13087.396792340853</v>
      </c>
      <c r="BI36" s="106">
        <f>IF(($A36&lt;'Alternative 1'!$B$27),(($H36*'Alternative 1'!$B$39)+(3*($N$72/3)*COS($K$73))),IF(($A36&lt;'Alternative 1'!$B$28),(($H36*'Alternative 1'!$B$39)+(2*(($N$72/3)*COS($K$73)))),IF(($A36&lt;'Alternative 1'!$B$29),(($H$3*'Alternative 1'!$B$39+(($N$72/3)*COS($K$73)))),($H36*'Alternative 1'!$B$39))))</f>
        <v>25509.992218750966</v>
      </c>
      <c r="BJ36" s="105">
        <f>BH36*'Alternative 1'!$K37/'Alternative 1'!$L37</f>
        <v>104146.28255390466</v>
      </c>
      <c r="BK36" s="105">
        <f>BI36/'Alternative 1'!$M37</f>
        <v>15668.573693450064</v>
      </c>
      <c r="BL36" s="105">
        <f t="shared" si="9"/>
        <v>0.11981485624735472</v>
      </c>
      <c r="BN36" s="105">
        <f>'Alternative 1'!$B$39*$B36*$C36*COS($K$83)-($N$82/3)*$E36*SIN($K$83)-($N$82/3)*$F36*SIN($K$83)-($N$82/3)*$G36*SIN($K$83)</f>
        <v>6644.6454916255198</v>
      </c>
      <c r="BO36" s="106">
        <f>IF(($A36&lt;'Alternative 1'!$B$27),(($H36*'Alternative 1'!$B$39)+(3*($N$82/3)*COS($K$83))),IF(($A36&lt;'Alternative 1'!$B$28),(($H36*'Alternative 1'!$B$39)+(2*(($N$82/3)*COS($K$83)))),IF(($A36&lt;'Alternative 1'!$B$29),(($H$3*'Alternative 1'!$B$39+(($N$82/3)*COS($K$83)))),($H36*'Alternative 1'!$B$39))))</f>
        <v>25509.992218750966</v>
      </c>
      <c r="BP36" s="105">
        <f>BN36*'Alternative 1'!$K37/'Alternative 1'!$L37</f>
        <v>52876.453417103439</v>
      </c>
      <c r="BQ36" s="105">
        <f>BO36/'Alternative 1'!$M37</f>
        <v>15668.573693450064</v>
      </c>
      <c r="BR36" s="105">
        <f t="shared" si="10"/>
        <v>6.8545027110553505E-2</v>
      </c>
      <c r="BT36" s="105">
        <f>'Alternative 1'!$B$39*$B36*$C36*COS($K$93)-($K$92/3)*$E36*SIN($K$93)-($K$92/3)*$F36*SIN($K$93)-($K$92/3)*$G36*SIN($K$93)</f>
        <v>2.3440145663650249E-12</v>
      </c>
      <c r="BU36" s="106">
        <f>IF(($A36&lt;'Alternative 1'!$B$27),(($H36*'Alternative 1'!$B$39)+(3*($N$92/3)*COS($K$93))),IF(($A36&lt;'Alternative 1'!$B$28),(($H36*'Alternative 1'!$B$39)+(2*(($N$92/3)*COS($K$93)))),IF(($A36&lt;'Alternative 1'!$B$29),(($H$3*'Alternative 1'!$B$39+(($N$92/3)*COS($K$93)))),($H36*'Alternative 1'!$B$39))))</f>
        <v>25509.992218750966</v>
      </c>
      <c r="BV36" s="105">
        <f>BT36*'Alternative 1'!$K37/'Alternative 1'!$L37</f>
        <v>1.8653091001411903E-11</v>
      </c>
      <c r="BW36" s="105">
        <f>BU36/'Alternative 1'!$M37</f>
        <v>15668.573693450064</v>
      </c>
      <c r="BX36" s="105">
        <f t="shared" si="11"/>
        <v>1.566857369345008E-2</v>
      </c>
      <c r="BZ36" s="104">
        <v>150</v>
      </c>
      <c r="CA36" s="104">
        <v>-150</v>
      </c>
    </row>
    <row r="37" spans="1:79" ht="15" customHeight="1" x14ac:dyDescent="0.25">
      <c r="A37" s="18">
        <f>IF('Alternative 1'!F38&gt;0,'Alternative 1'!F38,"x")</f>
        <v>35</v>
      </c>
      <c r="B37" s="18">
        <f t="shared" si="17"/>
        <v>2</v>
      </c>
      <c r="C37" s="18">
        <f t="shared" si="12"/>
        <v>1</v>
      </c>
      <c r="D37" s="18">
        <f t="shared" si="13"/>
        <v>35</v>
      </c>
      <c r="E37" s="101">
        <f>IF($A37&lt;='Alternative 1'!$B$27, IF($A37='Alternative 1'!$B$27,0,E38+1),0)</f>
        <v>0</v>
      </c>
      <c r="F37" s="101">
        <f>IF($A37&lt;=('Alternative 1'!$B$28), IF($A37=ROUNDDOWN('Alternative 1'!$B$28,0),0,F38+1),0)</f>
        <v>0</v>
      </c>
      <c r="G37" s="101">
        <f>IF($A37&lt;=('Alternative 1'!$B$29), IF($A37=ROUNDDOWN('Alternative 1'!$B$29,0),0,G38+1),0)</f>
        <v>0</v>
      </c>
      <c r="H37" s="18">
        <f t="shared" si="14"/>
        <v>2</v>
      </c>
      <c r="J37" s="104">
        <f t="shared" si="15"/>
        <v>34</v>
      </c>
      <c r="K37" s="104">
        <f t="shared" si="16"/>
        <v>0.59341194567807209</v>
      </c>
      <c r="L37" s="105">
        <f>'Alternative 1'!$B$27*SIN(K37)+'Alternative 1'!$B$28*SIN(K37)+'Alternative 1'!$B$29*SIN(K37)</f>
        <v>38.025117436010788</v>
      </c>
      <c r="M37" s="104">
        <f>(('Alternative 1'!$B$27)*(((('Alternative 1'!$B$28-'Alternative 1'!$B$27)/2)+'Alternative 1'!$B$27)*'Alternative 1'!$B$39)*COS('Alternative 1-Tilt Up (3pt)'!K37))+(('Alternative 1'!$B$28)*((('Alternative 1'!$B$28-'Alternative 1'!$B$27)/2)+(('Alternative 1'!$B$29-'Alternative 1'!$B$28)/2))*('Alternative 1'!$B$39)*COS('Alternative 1-Tilt Up (3pt)'!K37))+(('Alternative 1'!$B$29)*((('Alternative 1'!$B$12-'Alternative 1'!$B$29+(('Alternative 1'!$B$29-'Alternative 1'!$B$28)/2)*('Alternative 1'!$B$39)*COS('Alternative 1-Tilt Up (3pt)'!K37)))))</f>
        <v>3934738.9680522224</v>
      </c>
      <c r="N37" s="104">
        <f t="shared" si="0"/>
        <v>310432.09594345029</v>
      </c>
      <c r="O37" s="104">
        <f>(((('Alternative 1'!$B$28-'Alternative 1'!$B$27)/2)+'Alternative 1'!$B$27)*('Alternative 1'!$B$39)*COS('Alternative 1-Tilt Up (3pt)'!K37))+(((('Alternative 1'!$B$28-'Alternative 1'!$B$27)/2)+(('Alternative 1'!$B$29-'Alternative 1'!$B$28)/2))*('Alternative 1'!$B$39)*COS('Alternative 1-Tilt Up (3pt)'!K37))+(((('Alternative 1'!$B$12-'Alternative 1'!$B$29)+(('Alternative 1'!$B$29-'Alternative 1'!$B$28)/2))*('Alternative 1'!$B$39)*COS('Alternative 1-Tilt Up (3pt)'!K37)))</f>
        <v>253784.9042991756</v>
      </c>
      <c r="P37" s="104">
        <f t="shared" si="1"/>
        <v>257359.8712641318</v>
      </c>
      <c r="R37" s="105">
        <f>'Alternative 1'!$B$39*$B37*$C37*COS($K$5)-($N$5/3)*$E37*SIN($K$5)-($N$5/3)*$F37*SIN($K$5)-($N$5/3)*$G37*SIN($K$5)</f>
        <v>16996.301480498816</v>
      </c>
      <c r="S37" s="106">
        <f>IF(($A37&lt;'Alternative 1'!$B$27),(($H37*'Alternative 1'!$B$39)+(3*($N$5/3)*COS($K$5))),IF(($A37&lt;'Alternative 1'!$B$28),(($H37*'Alternative 1'!$B$39)+(2*(($N$5/3)*COS($K$5)))),IF(($A37&lt;'Alternative 1'!$B$29),(($H$3*'Alternative 1'!$B$39+(($N$5/3)*COS($K$5)))),($H37*'Alternative 1'!$B$39))))</f>
        <v>17006.661479167309</v>
      </c>
      <c r="T37" s="105">
        <f>R37*'Alternative 1'!$K38/'Alternative 1'!$L38</f>
        <v>135252.38398787571</v>
      </c>
      <c r="U37" s="105">
        <f>S37/'Alternative 1'!$M38</f>
        <v>10740.3990237737</v>
      </c>
      <c r="V37" s="105">
        <f t="shared" si="2"/>
        <v>0.14599278301164942</v>
      </c>
      <c r="X37" s="105">
        <f>'Alternative 1'!$B$39*$B37*$C37*COS($K$13)-($N$12/3)*$E37*SIN($K$13)-($N$12/3)*$F37*SIN($K$13)-($N$12/3)*$G37*SIN($K$13)</f>
        <v>16748.292077538033</v>
      </c>
      <c r="Y37" s="106">
        <f>IF(($A37&lt;'Alternative 1'!$B$27),(($H37*'Alternative 1'!$B$39)+(3*($N$12/3)*COS($K$13))),IF(($A37&lt;'Alternative 1'!$B$28),(($H37*'Alternative 1'!$B$39)+(2*(($N$12/3)*COS($K$13)))),IF(($A37&lt;'Alternative 1'!$B$29),(($H$3*'Alternative 1'!$B$39+(($N$12/3)*COS($K$13)))),($H37*'Alternative 1'!$B$39))))</f>
        <v>17006.661479167309</v>
      </c>
      <c r="Z37" s="105">
        <f>X37*'Alternative 1'!$K38/'Alternative 1'!$L38</f>
        <v>133278.78620012506</v>
      </c>
      <c r="AA37" s="105">
        <f>Y37/'Alternative 1'!$M38</f>
        <v>10740.3990237737</v>
      </c>
      <c r="AB37" s="105">
        <f t="shared" si="3"/>
        <v>0.14401918522389875</v>
      </c>
      <c r="AD37" s="105">
        <f>'Alternative 1'!$B$39*$B37*$C37*COS($K$23)-($N$22/3)*$E37*SIN($K$23)-($N$22/3)*$F37*SIN($K$23)-($N$22/3)*$G37*SIN($K$23)</f>
        <v>15981.034296177482</v>
      </c>
      <c r="AE37" s="106">
        <f>IF(($A37&lt;'Alternative 1'!$B$27),(($H37*'Alternative 1'!$B$39)+(3*($N$22/3)*COS($K$23))),IF(($A37&lt;'Alternative 1'!$B$28),(($H37*'Alternative 1'!$B$39)+(2*(($N$22/3)*COS($K$23)))),IF(($A37&lt;'Alternative 1'!$B$29),(($H$3*'Alternative 1'!$B$39+(($N$22/3)*COS($K$23)))),($H37*'Alternative 1'!$B$39))))</f>
        <v>17006.661479167309</v>
      </c>
      <c r="AF37" s="105">
        <f>AD37*'Alternative 1'!$K38/'Alternative 1'!$L38</f>
        <v>127173.1376164417</v>
      </c>
      <c r="AG37" s="105">
        <f>AE37/'Alternative 1'!$M38</f>
        <v>10740.3990237737</v>
      </c>
      <c r="AH37" s="105">
        <f t="shared" si="4"/>
        <v>0.13791353664021541</v>
      </c>
      <c r="AJ37" s="105">
        <f>'Alternative 1'!$B$39*$B37*$C37*COS($K$33)-($N$32/3)*$E37*SIN($K$33)-($N$32/3)*$F37*SIN($K$33)-($N$32/3)*$G37*SIN($K$33)</f>
        <v>14728.200874521128</v>
      </c>
      <c r="AK37" s="106">
        <f>IF(($A37&lt;'Alternative 1'!$B$27),(($H37*'Alternative 1'!$B$39)+(3*($N$32/3)*COS($K$33))),IF(($A37&lt;'Alternative 1'!$B$28),(($H37*'Alternative 1'!$B$39)+(2*(($N$32/3)*COS($K$33)))),IF(($A37&lt;'Alternative 1'!$B$29),(($H$3*'Alternative 1'!$B$39+(($N$32/3)*COS($K$33)))),($H37*'Alternative 1'!$B$39))))</f>
        <v>17006.661479167309</v>
      </c>
      <c r="AL37" s="105">
        <f>AJ37*'Alternative 1'!$K38/'Alternative 1'!$L38</f>
        <v>117203.39759899549</v>
      </c>
      <c r="AM37" s="105">
        <f>AK37/'Alternative 1'!$M38</f>
        <v>10740.3990237737</v>
      </c>
      <c r="AN37" s="105">
        <f t="shared" si="5"/>
        <v>0.1279437966227692</v>
      </c>
      <c r="AP37" s="105">
        <f>'Alternative 1'!$B$39*$B37*$C37*COS($K$43)-($N$42/3)*$E37*SIN($K$43)-($N$42/3)*$F37*SIN($K$43)-($N$42/3)*$G37*SIN($K$43)</f>
        <v>13027.858522121696</v>
      </c>
      <c r="AQ37" s="106">
        <f>IF(($A37&lt;'Alternative 1'!$B$27),(($H37*'Alternative 1'!$B$39)+(3*($N$42/3)*COS($K$43))),IF(($A37&lt;'Alternative 1'!$B$28),(($H37*'Alternative 1'!$B$39)+(2*(($N$42/3)*COS($K$43)))),IF(($A37&lt;'Alternative 1'!$B$29),(($H$3*'Alternative 1'!$B$39+(($N$42/3)*COS($K$43)))),($H37*'Alternative 1'!$B$39))))</f>
        <v>17006.661479167309</v>
      </c>
      <c r="AR37" s="105">
        <f>AP37*'Alternative 1'!$K38/'Alternative 1'!$L38</f>
        <v>103672.49165328463</v>
      </c>
      <c r="AS37" s="105">
        <f>AQ37/'Alternative 1'!$M38</f>
        <v>10740.3990237737</v>
      </c>
      <c r="AT37" s="105">
        <f t="shared" si="6"/>
        <v>0.11441289067705833</v>
      </c>
      <c r="AV37" s="105">
        <f>'Alternative 1'!$B$39*$B37*$C37*COS($K$53)-($N$52/3)*$E37*SIN($K$53)-($N$52/3)*$F37*SIN($K$53)-($N$52/3)*$G37*SIN($K$53)</f>
        <v>10931.671280942101</v>
      </c>
      <c r="AW37" s="106">
        <f>IF(($A37&lt;'Alternative 1'!$B$27),(($H37*'Alternative 1'!$B$39)+(3*($N$52/3)*COS($K$53))),IF(($A37&lt;'Alternative 1'!$B$28),(($H37*'Alternative 1'!$B$39)+(2*(($N$52/3)*COS($K$53)))),IF(($A37&lt;'Alternative 1'!$B$29),(($H$3*'Alternative 1'!$B$39+(($N$52/3)*COS($K$53)))),($H37*'Alternative 1'!$B$39))))</f>
        <v>17006.661479167309</v>
      </c>
      <c r="AX37" s="105">
        <f>AV37*'Alternative 1'!$K38/'Alternative 1'!$L38</f>
        <v>86991.549509500779</v>
      </c>
      <c r="AY37" s="105">
        <f>AW37/'Alternative 1'!$M38</f>
        <v>10740.3990237737</v>
      </c>
      <c r="AZ37" s="105">
        <f t="shared" si="7"/>
        <v>9.7731948533274479E-2</v>
      </c>
      <c r="BB37" s="105">
        <f>'Alternative 1'!$B$39*$B37*$C37*COS($K$63)-($N$62/3)*$E37*SIN($K$63)-($N$62/3)*$F37*SIN($K$63)-($N$62/3)*$G37*SIN($K$63)</f>
        <v>8503.3307395836564</v>
      </c>
      <c r="BC37" s="106">
        <f>IF(($A37&lt;'Alternative 1'!$B$27),(($H37*'Alternative 1'!$B$39)+(3*($N$62/3)*COS($K$63))),IF(($A37&lt;'Alternative 1'!$B$28),(($H37*'Alternative 1'!$B$39)+(2*(($N$62/3)*COS($K$63)))),IF(($A37&lt;'Alternative 1'!$B$29),(($H$3*'Alternative 1'!$B$39+(($N$62/3)*COS($K$63)))),($H37*'Alternative 1'!$B$39))))</f>
        <v>17006.661479167309</v>
      </c>
      <c r="BD37" s="105">
        <f>BB37*'Alternative 1'!$K38/'Alternative 1'!$L38</f>
        <v>67667.413153718793</v>
      </c>
      <c r="BE37" s="105">
        <f>BC37/'Alternative 1'!$M38</f>
        <v>10740.3990237737</v>
      </c>
      <c r="BF37" s="105">
        <f t="shared" si="8"/>
        <v>7.84078121774925E-2</v>
      </c>
      <c r="BH37" s="105">
        <f>'Alternative 1'!$B$39*$B37*$C37*COS($K$73)-($N$72/3)*$E37*SIN($K$73)-($N$72/3)*$F37*SIN($K$73)-($N$72/3)*$G37*SIN($K$73)</f>
        <v>5816.6207965959338</v>
      </c>
      <c r="BI37" s="106">
        <f>IF(($A37&lt;'Alternative 1'!$B$27),(($H37*'Alternative 1'!$B$39)+(3*($N$72/3)*COS($K$73))),IF(($A37&lt;'Alternative 1'!$B$28),(($H37*'Alternative 1'!$B$39)+(2*(($N$72/3)*COS($K$73)))),IF(($A37&lt;'Alternative 1'!$B$29),(($H$3*'Alternative 1'!$B$39+(($N$72/3)*COS($K$73)))),($H37*'Alternative 1'!$B$39))))</f>
        <v>17006.661479167309</v>
      </c>
      <c r="BJ37" s="105">
        <f>BH37*'Alternative 1'!$K38/'Alternative 1'!$L38</f>
        <v>46287.23669062429</v>
      </c>
      <c r="BK37" s="105">
        <f>BI37/'Alternative 1'!$M38</f>
        <v>10740.3990237737</v>
      </c>
      <c r="BL37" s="105">
        <f t="shared" si="9"/>
        <v>5.7027635714397992E-2</v>
      </c>
      <c r="BN37" s="105">
        <f>'Alternative 1'!$B$39*$B37*$C37*COS($K$83)-($N$82/3)*$E37*SIN($K$83)-($N$82/3)*$F37*SIN($K$83)-($N$82/3)*$G37*SIN($K$83)</f>
        <v>2953.1757740557864</v>
      </c>
      <c r="BO37" s="106">
        <f>IF(($A37&lt;'Alternative 1'!$B$27),(($H37*'Alternative 1'!$B$39)+(3*($N$82/3)*COS($K$83))),IF(($A37&lt;'Alternative 1'!$B$28),(($H37*'Alternative 1'!$B$39)+(2*(($N$82/3)*COS($K$83)))),IF(($A37&lt;'Alternative 1'!$B$29),(($H$3*'Alternative 1'!$B$39+(($N$82/3)*COS($K$83)))),($H37*'Alternative 1'!$B$39))))</f>
        <v>17006.661479167309</v>
      </c>
      <c r="BP37" s="105">
        <f>BN37*'Alternative 1'!$K38/'Alternative 1'!$L38</f>
        <v>23500.645963157083</v>
      </c>
      <c r="BQ37" s="105">
        <f>BO37/'Alternative 1'!$M38</f>
        <v>10740.3990237737</v>
      </c>
      <c r="BR37" s="105">
        <f t="shared" si="10"/>
        <v>3.4241044986930785E-2</v>
      </c>
      <c r="BT37" s="105">
        <f>'Alternative 1'!$B$39*$B37*$C37*COS($K$93)-($K$92/3)*$E37*SIN($K$93)-($K$92/3)*$F37*SIN($K$93)-($K$92/3)*$G37*SIN($K$93)</f>
        <v>1.0417842517177888E-12</v>
      </c>
      <c r="BU37" s="106">
        <f>IF(($A37&lt;'Alternative 1'!$B$27),(($H37*'Alternative 1'!$B$39)+(3*($N$92/3)*COS($K$93))),IF(($A37&lt;'Alternative 1'!$B$28),(($H37*'Alternative 1'!$B$39)+(2*(($N$92/3)*COS($K$93)))),IF(($A37&lt;'Alternative 1'!$B$29),(($H$3*'Alternative 1'!$B$39+(($N$92/3)*COS($K$93)))),($H37*'Alternative 1'!$B$39))))</f>
        <v>17006.661479167309</v>
      </c>
      <c r="BV37" s="105">
        <f>BT37*'Alternative 1'!$K38/'Alternative 1'!$L38</f>
        <v>8.2902626672941811E-12</v>
      </c>
      <c r="BW37" s="105">
        <f>BU37/'Alternative 1'!$M38</f>
        <v>10740.3990237737</v>
      </c>
      <c r="BX37" s="105">
        <f t="shared" si="11"/>
        <v>1.0740399023773708E-2</v>
      </c>
      <c r="BZ37" s="104">
        <v>150</v>
      </c>
      <c r="CA37" s="104">
        <v>-150</v>
      </c>
    </row>
    <row r="38" spans="1:79" ht="15" customHeight="1" x14ac:dyDescent="0.25">
      <c r="A38" s="18">
        <f>IF('Alternative 1'!F39&gt;0,'Alternative 1'!F39,"x")</f>
        <v>36</v>
      </c>
      <c r="B38" s="18">
        <f t="shared" si="17"/>
        <v>1</v>
      </c>
      <c r="C38" s="18">
        <f t="shared" si="12"/>
        <v>0.5</v>
      </c>
      <c r="D38" s="18">
        <f t="shared" si="13"/>
        <v>36</v>
      </c>
      <c r="E38" s="101">
        <f>IF($A38&lt;='Alternative 1'!$B$27, IF($A38='Alternative 1'!$B$27,0,E39+1),0)</f>
        <v>0</v>
      </c>
      <c r="F38" s="101">
        <f>IF($A38&lt;=('Alternative 1'!$B$28), IF($A38=ROUNDDOWN('Alternative 1'!$B$28,0),0,F39+1),0)</f>
        <v>0</v>
      </c>
      <c r="G38" s="101">
        <f>IF($A38&lt;=('Alternative 1'!$B$29), IF($A38=ROUNDDOWN('Alternative 1'!$B$29,0),0,G39+1),0)</f>
        <v>0</v>
      </c>
      <c r="H38" s="18">
        <f t="shared" si="14"/>
        <v>1</v>
      </c>
      <c r="J38" s="104">
        <f t="shared" si="15"/>
        <v>35</v>
      </c>
      <c r="K38" s="104">
        <f t="shared" si="16"/>
        <v>0.6108652381980153</v>
      </c>
      <c r="L38" s="105">
        <f>'Alternative 1'!$B$27*SIN(K38)+'Alternative 1'!$B$28*SIN(K38)+'Alternative 1'!$B$29*SIN(K38)</f>
        <v>39.003197671871135</v>
      </c>
      <c r="M38" s="104">
        <f>(('Alternative 1'!$B$27)*(((('Alternative 1'!$B$28-'Alternative 1'!$B$27)/2)+'Alternative 1'!$B$27)*'Alternative 1'!$B$39)*COS('Alternative 1-Tilt Up (3pt)'!K38))+(('Alternative 1'!$B$28)*((('Alternative 1'!$B$28-'Alternative 1'!$B$27)/2)+(('Alternative 1'!$B$29-'Alternative 1'!$B$28)/2))*('Alternative 1'!$B$39)*COS('Alternative 1-Tilt Up (3pt)'!K38))+(('Alternative 1'!$B$29)*((('Alternative 1'!$B$12-'Alternative 1'!$B$29+(('Alternative 1'!$B$29-'Alternative 1'!$B$28)/2)*('Alternative 1'!$B$39)*COS('Alternative 1-Tilt Up (3pt)'!K38)))))</f>
        <v>3887823.0734546264</v>
      </c>
      <c r="N38" s="104">
        <f t="shared" si="0"/>
        <v>299038.79467748106</v>
      </c>
      <c r="O38" s="104">
        <f>(((('Alternative 1'!$B$28-'Alternative 1'!$B$27)/2)+'Alternative 1'!$B$27)*('Alternative 1'!$B$39)*COS('Alternative 1-Tilt Up (3pt)'!K38))+(((('Alternative 1'!$B$28-'Alternative 1'!$B$27)/2)+(('Alternative 1'!$B$29-'Alternative 1'!$B$28)/2))*('Alternative 1'!$B$39)*COS('Alternative 1-Tilt Up (3pt)'!K38))+(((('Alternative 1'!$B$12-'Alternative 1'!$B$29)+(('Alternative 1'!$B$29-'Alternative 1'!$B$28)/2))*('Alternative 1'!$B$39)*COS('Alternative 1-Tilt Up (3pt)'!K38)))</f>
        <v>250758.74730943347</v>
      </c>
      <c r="P38" s="104">
        <f t="shared" si="1"/>
        <v>244958.23998177468</v>
      </c>
      <c r="R38" s="105">
        <f>'Alternative 1'!$B$39*$B38*$C38*COS($K$5)-($N$5/3)*$E38*SIN($K$5)-($N$5/3)*$F38*SIN($K$5)-($N$5/3)*$G38*SIN($K$5)</f>
        <v>4249.075370124704</v>
      </c>
      <c r="S38" s="106">
        <f>IF(($A38&lt;'Alternative 1'!$B$27),(($H38*'Alternative 1'!$B$39)+(3*($N$5/3)*COS($K$5))),IF(($A38&lt;'Alternative 1'!$B$28),(($H38*'Alternative 1'!$B$39)+(2*(($N$5/3)*COS($K$5)))),IF(($A38&lt;'Alternative 1'!$B$29),(($H$3*'Alternative 1'!$B$39+(($N$5/3)*COS($K$5)))),($H38*'Alternative 1'!$B$39))))</f>
        <v>8503.3307395836546</v>
      </c>
      <c r="T38" s="105">
        <f>R38*'Alternative 1'!$K39/'Alternative 1'!$L39</f>
        <v>33813.095996968928</v>
      </c>
      <c r="U38" s="105">
        <f>S38/'Alternative 1'!$M39</f>
        <v>5523.865186620912</v>
      </c>
      <c r="V38" s="105">
        <f t="shared" si="2"/>
        <v>3.9336961183589841E-2</v>
      </c>
      <c r="X38" s="105">
        <f>'Alternative 1'!$B$39*$B38*$C38*COS($K$13)-($N$12/3)*$E38*SIN($K$13)-($N$12/3)*$F38*SIN($K$13)-($N$12/3)*$G38*SIN($K$13)</f>
        <v>4187.0730193845084</v>
      </c>
      <c r="Y38" s="106">
        <f>IF(($A38&lt;'Alternative 1'!$B$27),(($H38*'Alternative 1'!$B$39)+(3*($N$12/3)*COS($K$13))),IF(($A38&lt;'Alternative 1'!$B$28),(($H38*'Alternative 1'!$B$39)+(2*(($N$12/3)*COS($K$13)))),IF(($A38&lt;'Alternative 1'!$B$29),(($H$3*'Alternative 1'!$B$39+(($N$12/3)*COS($K$13)))),($H38*'Alternative 1'!$B$39))))</f>
        <v>8503.3307395836546</v>
      </c>
      <c r="Z38" s="105">
        <f>X38*'Alternative 1'!$K39/'Alternative 1'!$L39</f>
        <v>33319.696550031258</v>
      </c>
      <c r="AA38" s="105">
        <f>Y38/'Alternative 1'!$M39</f>
        <v>5523.865186620912</v>
      </c>
      <c r="AB38" s="105">
        <f t="shared" si="3"/>
        <v>3.8843561736652168E-2</v>
      </c>
      <c r="AD38" s="105">
        <f>'Alternative 1'!$B$39*$B38*$C38*COS($K$23)-($N$22/3)*$E38*SIN($K$23)-($N$22/3)*$F38*SIN($K$23)-($N$22/3)*$G38*SIN($K$23)</f>
        <v>3995.2585740443706</v>
      </c>
      <c r="AE38" s="106">
        <f>IF(($A38&lt;'Alternative 1'!$B$27),(($H38*'Alternative 1'!$B$39)+(3*($N$22/3)*COS($K$23))),IF(($A38&lt;'Alternative 1'!$B$28),(($H38*'Alternative 1'!$B$39)+(2*(($N$22/3)*COS($K$23)))),IF(($A38&lt;'Alternative 1'!$B$29),(($H$3*'Alternative 1'!$B$39+(($N$22/3)*COS($K$23)))),($H38*'Alternative 1'!$B$39))))</f>
        <v>8503.3307395836546</v>
      </c>
      <c r="AF38" s="105">
        <f>AD38*'Alternative 1'!$K39/'Alternative 1'!$L39</f>
        <v>31793.284404110425</v>
      </c>
      <c r="AG38" s="105">
        <f>AE38/'Alternative 1'!$M39</f>
        <v>5523.865186620912</v>
      </c>
      <c r="AH38" s="105">
        <f t="shared" si="4"/>
        <v>3.731714959073134E-2</v>
      </c>
      <c r="AJ38" s="105">
        <f>'Alternative 1'!$B$39*$B38*$C38*COS($K$33)-($N$32/3)*$E38*SIN($K$33)-($N$32/3)*$F38*SIN($K$33)-($N$32/3)*$G38*SIN($K$33)</f>
        <v>3682.050218630282</v>
      </c>
      <c r="AK38" s="106">
        <f>IF(($A38&lt;'Alternative 1'!$B$27),(($H38*'Alternative 1'!$B$39)+(3*($N$32/3)*COS($K$33))),IF(($A38&lt;'Alternative 1'!$B$28),(($H38*'Alternative 1'!$B$39)+(2*(($N$32/3)*COS($K$33)))),IF(($A38&lt;'Alternative 1'!$B$29),(($H$3*'Alternative 1'!$B$39+(($N$32/3)*COS($K$33)))),($H38*'Alternative 1'!$B$39))))</f>
        <v>8503.3307395836546</v>
      </c>
      <c r="AL38" s="105">
        <f>AJ38*'Alternative 1'!$K39/'Alternative 1'!$L39</f>
        <v>29300.849399748869</v>
      </c>
      <c r="AM38" s="105">
        <f>AK38/'Alternative 1'!$M39</f>
        <v>5523.865186620912</v>
      </c>
      <c r="AN38" s="105">
        <f t="shared" si="5"/>
        <v>3.4824714586369779E-2</v>
      </c>
      <c r="AP38" s="105">
        <f>'Alternative 1'!$B$39*$B38*$C38*COS($K$43)-($N$42/3)*$E38*SIN($K$43)-($N$42/3)*$F38*SIN($K$43)-($N$42/3)*$G38*SIN($K$43)</f>
        <v>3256.9646305304241</v>
      </c>
      <c r="AQ38" s="106">
        <f>IF(($A38&lt;'Alternative 1'!$B$27),(($H38*'Alternative 1'!$B$39)+(3*($N$42/3)*COS($K$43))),IF(($A38&lt;'Alternative 1'!$B$28),(($H38*'Alternative 1'!$B$39)+(2*(($N$42/3)*COS($K$43)))),IF(($A38&lt;'Alternative 1'!$B$29),(($H$3*'Alternative 1'!$B$39+(($N$42/3)*COS($K$43)))),($H38*'Alternative 1'!$B$39))))</f>
        <v>8503.3307395836546</v>
      </c>
      <c r="AR38" s="105">
        <f>AP38*'Alternative 1'!$K39/'Alternative 1'!$L39</f>
        <v>25918.122913321156</v>
      </c>
      <c r="AS38" s="105">
        <f>AQ38/'Alternative 1'!$M39</f>
        <v>5523.865186620912</v>
      </c>
      <c r="AT38" s="105">
        <f t="shared" si="6"/>
        <v>3.1441988099942066E-2</v>
      </c>
      <c r="AV38" s="105">
        <f>'Alternative 1'!$B$39*$B38*$C38*COS($K$53)-($N$52/3)*$E38*SIN($K$53)-($N$52/3)*$F38*SIN($K$53)-($N$52/3)*$G38*SIN($K$53)</f>
        <v>2732.9178202355251</v>
      </c>
      <c r="AW38" s="106">
        <f>IF(($A38&lt;'Alternative 1'!$B$27),(($H38*'Alternative 1'!$B$39)+(3*($N$52/3)*COS($K$53))),IF(($A38&lt;'Alternative 1'!$B$28),(($H38*'Alternative 1'!$B$39)+(2*(($N$52/3)*COS($K$53)))),IF(($A38&lt;'Alternative 1'!$B$29),(($H$3*'Alternative 1'!$B$39+(($N$52/3)*COS($K$53)))),($H38*'Alternative 1'!$B$39))))</f>
        <v>8503.3307395836546</v>
      </c>
      <c r="AX38" s="105">
        <f>AV38*'Alternative 1'!$K39/'Alternative 1'!$L39</f>
        <v>21747.887377375191</v>
      </c>
      <c r="AY38" s="105">
        <f>AW38/'Alternative 1'!$M39</f>
        <v>5523.865186620912</v>
      </c>
      <c r="AZ38" s="105">
        <f t="shared" si="7"/>
        <v>2.7271752563996103E-2</v>
      </c>
      <c r="BB38" s="105">
        <f>'Alternative 1'!$B$39*$B38*$C38*COS($K$63)-($N$62/3)*$E38*SIN($K$63)-($N$62/3)*$F38*SIN($K$63)-($N$62/3)*$G38*SIN($K$63)</f>
        <v>2125.8326848959141</v>
      </c>
      <c r="BC38" s="106">
        <f>IF(($A38&lt;'Alternative 1'!$B$27),(($H38*'Alternative 1'!$B$39)+(3*($N$62/3)*COS($K$63))),IF(($A38&lt;'Alternative 1'!$B$28),(($H38*'Alternative 1'!$B$39)+(2*(($N$62/3)*COS($K$63)))),IF(($A38&lt;'Alternative 1'!$B$29),(($H$3*'Alternative 1'!$B$39+(($N$62/3)*COS($K$63)))),($H38*'Alternative 1'!$B$39))))</f>
        <v>8503.3307395836546</v>
      </c>
      <c r="BD38" s="105">
        <f>BB38*'Alternative 1'!$K39/'Alternative 1'!$L39</f>
        <v>16916.853288429698</v>
      </c>
      <c r="BE38" s="105">
        <f>BC38/'Alternative 1'!$M39</f>
        <v>5523.865186620912</v>
      </c>
      <c r="BF38" s="105">
        <f t="shared" si="8"/>
        <v>2.2440718475050608E-2</v>
      </c>
      <c r="BH38" s="105">
        <f>'Alternative 1'!$B$39*$B38*$C38*COS($K$73)-($N$72/3)*$E38*SIN($K$73)-($N$72/3)*$F38*SIN($K$73)-($N$72/3)*$G38*SIN($K$73)</f>
        <v>1454.1551991489835</v>
      </c>
      <c r="BI38" s="106">
        <f>IF(($A38&lt;'Alternative 1'!$B$27),(($H38*'Alternative 1'!$B$39)+(3*($N$72/3)*COS($K$73))),IF(($A38&lt;'Alternative 1'!$B$28),(($H38*'Alternative 1'!$B$39)+(2*(($N$72/3)*COS($K$73)))),IF(($A38&lt;'Alternative 1'!$B$29),(($H$3*'Alternative 1'!$B$39+(($N$72/3)*COS($K$73)))),($H38*'Alternative 1'!$B$39))))</f>
        <v>8503.3307395836546</v>
      </c>
      <c r="BJ38" s="105">
        <f>BH38*'Alternative 1'!$K39/'Alternative 1'!$L39</f>
        <v>11571.809172656072</v>
      </c>
      <c r="BK38" s="105">
        <f>BI38/'Alternative 1'!$M39</f>
        <v>5523.865186620912</v>
      </c>
      <c r="BL38" s="105">
        <f t="shared" si="9"/>
        <v>1.7095674359276985E-2</v>
      </c>
      <c r="BN38" s="105">
        <f>'Alternative 1'!$B$39*$B38*$C38*COS($K$83)-($N$82/3)*$E38*SIN($K$83)-($N$82/3)*$F38*SIN($K$83)-($N$82/3)*$G38*SIN($K$83)</f>
        <v>738.2939435139466</v>
      </c>
      <c r="BO38" s="106">
        <f>IF(($A38&lt;'Alternative 1'!$B$27),(($H38*'Alternative 1'!$B$39)+(3*($N$82/3)*COS($K$83))),IF(($A38&lt;'Alternative 1'!$B$28),(($H38*'Alternative 1'!$B$39)+(2*(($N$82/3)*COS($K$83)))),IF(($A38&lt;'Alternative 1'!$B$29),(($H$3*'Alternative 1'!$B$39+(($N$82/3)*COS($K$83)))),($H38*'Alternative 1'!$B$39))))</f>
        <v>8503.3307395836546</v>
      </c>
      <c r="BP38" s="105">
        <f>BN38*'Alternative 1'!$K39/'Alternative 1'!$L39</f>
        <v>5875.1614907892708</v>
      </c>
      <c r="BQ38" s="105">
        <f>BO38/'Alternative 1'!$M39</f>
        <v>5523.865186620912</v>
      </c>
      <c r="BR38" s="105">
        <f t="shared" si="10"/>
        <v>1.1399026677410183E-2</v>
      </c>
      <c r="BT38" s="105">
        <f>'Alternative 1'!$B$39*$B38*$C38*COS($K$93)-($K$92/3)*$E38*SIN($K$93)-($K$92/3)*$F38*SIN($K$93)-($K$92/3)*$G38*SIN($K$93)</f>
        <v>2.6044606292944721E-13</v>
      </c>
      <c r="BU38" s="106">
        <f>IF(($A38&lt;'Alternative 1'!$B$27),(($H38*'Alternative 1'!$B$39)+(3*($N$92/3)*COS($K$93))),IF(($A38&lt;'Alternative 1'!$B$28),(($H38*'Alternative 1'!$B$39)+(2*(($N$92/3)*COS($K$93)))),IF(($A38&lt;'Alternative 1'!$B$29),(($H$3*'Alternative 1'!$B$39+(($N$92/3)*COS($K$93)))),($H38*'Alternative 1'!$B$39))))</f>
        <v>8503.3307395836546</v>
      </c>
      <c r="BV38" s="105">
        <f>BT38*'Alternative 1'!$K39/'Alternative 1'!$L39</f>
        <v>2.0725656668235449E-12</v>
      </c>
      <c r="BW38" s="105">
        <f>BU38/'Alternative 1'!$M39</f>
        <v>5523.865186620912</v>
      </c>
      <c r="BX38" s="105">
        <f t="shared" si="11"/>
        <v>5.5238651866209142E-3</v>
      </c>
      <c r="BZ38" s="104">
        <v>150</v>
      </c>
      <c r="CA38" s="104">
        <v>-150</v>
      </c>
    </row>
    <row r="39" spans="1:79" ht="15" customHeight="1" x14ac:dyDescent="0.25">
      <c r="A39" s="18" t="str">
        <f>IF('Alternative 1'!F40&gt;0,'Alternative 1'!F40,"x")</f>
        <v>x</v>
      </c>
      <c r="B39" s="18" t="str">
        <f t="shared" si="17"/>
        <v>x</v>
      </c>
      <c r="C39" s="18">
        <f t="shared" si="12"/>
        <v>0</v>
      </c>
      <c r="D39" s="18" t="str">
        <f t="shared" si="13"/>
        <v>x</v>
      </c>
      <c r="E39" s="101">
        <f>IF($A39&lt;='Alternative 1'!$B$27, IF($A39='Alternative 1'!$B$27,0,E40+1),0)</f>
        <v>0</v>
      </c>
      <c r="F39" s="101">
        <f>IF($A39&lt;=('Alternative 1'!$B$28), IF($A39=ROUNDDOWN('Alternative 1'!$B$28,0),0,F40+1),0)</f>
        <v>0</v>
      </c>
      <c r="G39" s="101">
        <f>IF($A39&lt;=('Alternative 1'!$B$29), IF($A39=ROUNDDOWN('Alternative 1'!$B$29,0),0,G40+1),0)</f>
        <v>0</v>
      </c>
      <c r="H39" s="18" t="str">
        <f t="shared" si="14"/>
        <v>x</v>
      </c>
      <c r="J39" s="104">
        <f t="shared" si="15"/>
        <v>36</v>
      </c>
      <c r="K39" s="104">
        <f t="shared" si="16"/>
        <v>0.62831853071795862</v>
      </c>
      <c r="L39" s="105">
        <f>'Alternative 1'!$B$27*SIN(K39)+'Alternative 1'!$B$28*SIN(K39)+'Alternative 1'!$B$29*SIN(K39)</f>
        <v>39.969397155888174</v>
      </c>
      <c r="M39" s="104">
        <f>(('Alternative 1'!$B$27)*(((('Alternative 1'!$B$28-'Alternative 1'!$B$27)/2)+'Alternative 1'!$B$27)*'Alternative 1'!$B$39)*COS('Alternative 1-Tilt Up (3pt)'!K39))+(('Alternative 1'!$B$28)*((('Alternative 1'!$B$28-'Alternative 1'!$B$27)/2)+(('Alternative 1'!$B$29-'Alternative 1'!$B$28)/2))*('Alternative 1'!$B$39)*COS('Alternative 1-Tilt Up (3pt)'!K39))+(('Alternative 1'!$B$29)*((('Alternative 1'!$B$12-'Alternative 1'!$B$29+(('Alternative 1'!$B$29-'Alternative 1'!$B$28)/2)*('Alternative 1'!$B$39)*COS('Alternative 1-Tilt Up (3pt)'!K39)))))</f>
        <v>3839722.9698777962</v>
      </c>
      <c r="N39" s="104">
        <f t="shared" si="0"/>
        <v>288199.71601539198</v>
      </c>
      <c r="O39" s="104">
        <f>(((('Alternative 1'!$B$28-'Alternative 1'!$B$27)/2)+'Alternative 1'!$B$27)*('Alternative 1'!$B$39)*COS('Alternative 1-Tilt Up (3pt)'!K39))+(((('Alternative 1'!$B$28-'Alternative 1'!$B$27)/2)+(('Alternative 1'!$B$29-'Alternative 1'!$B$28)/2))*('Alternative 1'!$B$39)*COS('Alternative 1-Tilt Up (3pt)'!K39))+(((('Alternative 1'!$B$12-'Alternative 1'!$B$29)+(('Alternative 1'!$B$29-'Alternative 1'!$B$28)/2))*('Alternative 1'!$B$39)*COS('Alternative 1-Tilt Up (3pt)'!K39)))</f>
        <v>247656.20677610641</v>
      </c>
      <c r="P39" s="104">
        <f t="shared" si="1"/>
        <v>233158.46803048582</v>
      </c>
      <c r="R39" s="105" t="e">
        <f>'Alternative 1'!$B$39*$B39*$C39*COS($K$5)-($N$5/3)*$E39*SIN($K$5)-($N$5/3)*$F39*SIN($K$5)-($N$5/3)*$G39*SIN($K$5)</f>
        <v>#VALUE!</v>
      </c>
      <c r="S39" s="106" t="e">
        <f>IF(($A39&lt;'Alternative 1'!$B$27),(($H39*'Alternative 1'!$B$39)+(3*($N$5/3)*COS($K$5))),IF(($A39&lt;'Alternative 1'!$B$28),(($H39*'Alternative 1'!$B$39)+(2*(($N$5/3)*COS($K$5)))),IF(($A39&lt;'Alternative 1'!$B$29),(($H$3*'Alternative 1'!$B$39+(($N$5/3)*COS($K$5)))),($H39*'Alternative 1'!$B$39))))</f>
        <v>#VALUE!</v>
      </c>
      <c r="T39" s="105" t="e">
        <f>R39*'Alternative 1'!$K40/'Alternative 1'!$L40</f>
        <v>#VALUE!</v>
      </c>
      <c r="U39" s="105" t="e">
        <f>S39/'Alternative 1'!$M40</f>
        <v>#VALUE!</v>
      </c>
      <c r="V39" s="105" t="e">
        <f t="shared" si="2"/>
        <v>#VALUE!</v>
      </c>
      <c r="X39" s="105" t="e">
        <f>'Alternative 1'!$B$39*$B39*$C39*COS($K$13)-($N$12/3)*$E39*SIN($K$13)-($N$12/3)*$F39*SIN($K$13)-($N$12/3)*$G39*SIN($K$13)</f>
        <v>#VALUE!</v>
      </c>
      <c r="Y39" s="106" t="e">
        <f>IF(($A39&lt;'Alternative 1'!$B$27),(($H39*'Alternative 1'!$B$39)+(3*($N$12/3)*COS($K$13))),IF(($A39&lt;'Alternative 1'!$B$28),(($H39*'Alternative 1'!$B$39)+(2*(($N$12/3)*COS($K$13)))),IF(($A39&lt;'Alternative 1'!$B$29),(($H$3*'Alternative 1'!$B$39+(($N$12/3)*COS($K$13)))),($H39*'Alternative 1'!$B$39))))</f>
        <v>#VALUE!</v>
      </c>
      <c r="Z39" s="105" t="e">
        <f>X39*'Alternative 1'!$K40/'Alternative 1'!$L40</f>
        <v>#VALUE!</v>
      </c>
      <c r="AA39" s="105" t="e">
        <f>Y39/'Alternative 1'!$M40</f>
        <v>#VALUE!</v>
      </c>
      <c r="AB39" s="105" t="e">
        <f t="shared" si="3"/>
        <v>#VALUE!</v>
      </c>
      <c r="AD39" s="105" t="e">
        <f>'Alternative 1'!$B$39*$B39*$C39*COS($K$23)-($N$22/3)*$E39*SIN($K$23)-($N$22/3)*$F39*SIN($K$23)-($N$22/3)*$G39*SIN($K$23)</f>
        <v>#VALUE!</v>
      </c>
      <c r="AE39" s="106" t="e">
        <f>IF(($A39&lt;'Alternative 1'!$B$27),(($H39*'Alternative 1'!$B$39)+(3*($N$22/3)*COS($K$23))),IF(($A39&lt;'Alternative 1'!$B$28),(($H39*'Alternative 1'!$B$39)+(2*(($N$22/3)*COS($K$23)))),IF(($A39&lt;'Alternative 1'!$B$29),(($H$3*'Alternative 1'!$B$39+(($N$22/3)*COS($K$23)))),($H39*'Alternative 1'!$B$39))))</f>
        <v>#VALUE!</v>
      </c>
      <c r="AF39" s="105" t="e">
        <f>AD39*'Alternative 1'!$K40/'Alternative 1'!$L40</f>
        <v>#VALUE!</v>
      </c>
      <c r="AG39" s="105" t="e">
        <f>AE39/'Alternative 1'!$M40</f>
        <v>#VALUE!</v>
      </c>
      <c r="AH39" s="105" t="e">
        <f t="shared" si="4"/>
        <v>#VALUE!</v>
      </c>
      <c r="AJ39" s="105" t="e">
        <f>'Alternative 1'!$B$39*$B39*$C39*COS($K$33)-($N$32/3)*$E39*SIN($K$33)-($N$32/3)*$F39*SIN($K$33)-($N$32/3)*$G39*SIN($K$33)</f>
        <v>#VALUE!</v>
      </c>
      <c r="AK39" s="106" t="e">
        <f>IF(($A39&lt;'Alternative 1'!$B$27),(($H39*'Alternative 1'!$B$39)+(3*($N$32/3)*COS($K$33))),IF(($A39&lt;'Alternative 1'!$B$28),(($H39*'Alternative 1'!$B$39)+(2*(($N$32/3)*COS($K$33)))),IF(($A39&lt;'Alternative 1'!$B$29),(($H$3*'Alternative 1'!$B$39+(($N$32/3)*COS($K$33)))),($H39*'Alternative 1'!$B$39))))</f>
        <v>#VALUE!</v>
      </c>
      <c r="AL39" s="105" t="e">
        <f>AJ39*'Alternative 1'!$K40/'Alternative 1'!$L40</f>
        <v>#VALUE!</v>
      </c>
      <c r="AM39" s="105" t="e">
        <f>AK39/'Alternative 1'!$M40</f>
        <v>#VALUE!</v>
      </c>
      <c r="AN39" s="105" t="e">
        <f t="shared" si="5"/>
        <v>#VALUE!</v>
      </c>
      <c r="AP39" s="105" t="e">
        <f>'Alternative 1'!$B$39*$B39*$C39*COS($K$43)-($N$42/3)*$E39*SIN($K$43)-($N$42/3)*$F39*SIN($K$43)-($N$42/3)*$G39*SIN($K$43)</f>
        <v>#VALUE!</v>
      </c>
      <c r="AQ39" s="106" t="e">
        <f>IF(($A39&lt;'Alternative 1'!$B$27),(($H39*'Alternative 1'!$B$39)+(3*($N$42/3)*COS($K$43))),IF(($A39&lt;'Alternative 1'!$B$28),(($H39*'Alternative 1'!$B$39)+(2*(($N$42/3)*COS($K$43)))),IF(($A39&lt;'Alternative 1'!$B$29),(($H$3*'Alternative 1'!$B$39+(($N$42/3)*COS($K$43)))),($H39*'Alternative 1'!$B$39))))</f>
        <v>#VALUE!</v>
      </c>
      <c r="AR39" s="105" t="e">
        <f>AP39*'Alternative 1'!$K40/'Alternative 1'!$L40</f>
        <v>#VALUE!</v>
      </c>
      <c r="AS39" s="105" t="e">
        <f>AQ39/'Alternative 1'!$M40</f>
        <v>#VALUE!</v>
      </c>
      <c r="AT39" s="105" t="e">
        <f t="shared" si="6"/>
        <v>#VALUE!</v>
      </c>
      <c r="AV39" s="105" t="e">
        <f>'Alternative 1'!$B$39*$B39*$C39*COS($K$53)-($N$52/3)*$E39*SIN($K$53)-($N$52/3)*$F39*SIN($K$53)-($N$52/3)*$G39*SIN($K$53)</f>
        <v>#VALUE!</v>
      </c>
      <c r="AW39" s="106" t="e">
        <f>IF(($A39&lt;'Alternative 1'!$B$27),(($H39*'Alternative 1'!$B$39)+(3*($N$52/3)*COS($K$53))),IF(($A39&lt;'Alternative 1'!$B$28),(($H39*'Alternative 1'!$B$39)+(2*(($N$52/3)*COS($K$53)))),IF(($A39&lt;'Alternative 1'!$B$29),(($H$3*'Alternative 1'!$B$39+(($N$52/3)*COS($K$53)))),($H39*'Alternative 1'!$B$39))))</f>
        <v>#VALUE!</v>
      </c>
      <c r="AX39" s="105" t="e">
        <f>AV39*'Alternative 1'!$K40/'Alternative 1'!$L40</f>
        <v>#VALUE!</v>
      </c>
      <c r="AY39" s="105" t="e">
        <f>AW39/'Alternative 1'!$M40</f>
        <v>#VALUE!</v>
      </c>
      <c r="AZ39" s="105" t="e">
        <f t="shared" si="7"/>
        <v>#VALUE!</v>
      </c>
      <c r="BB39" s="105" t="e">
        <f>'Alternative 1'!$B$39*$B39*$C39*COS($K$63)-($N$62/3)*$E39*SIN($K$63)-($N$62/3)*$F39*SIN($K$63)-($N$62/3)*$G39*SIN($K$63)</f>
        <v>#VALUE!</v>
      </c>
      <c r="BC39" s="106" t="e">
        <f>IF(($A39&lt;'Alternative 1'!$B$27),(($H39*'Alternative 1'!$B$39)+(3*($N$62/3)*COS($K$63))),IF(($A39&lt;'Alternative 1'!$B$28),(($H39*'Alternative 1'!$B$39)+(2*(($N$62/3)*COS($K$63)))),IF(($A39&lt;'Alternative 1'!$B$29),(($H$3*'Alternative 1'!$B$39+(($N$62/3)*COS($K$63)))),($H39*'Alternative 1'!$B$39))))</f>
        <v>#VALUE!</v>
      </c>
      <c r="BD39" s="105" t="e">
        <f>BB39*'Alternative 1'!$K40/'Alternative 1'!$L40</f>
        <v>#VALUE!</v>
      </c>
      <c r="BE39" s="105" t="e">
        <f>BC39/'Alternative 1'!$M40</f>
        <v>#VALUE!</v>
      </c>
      <c r="BF39" s="105" t="e">
        <f t="shared" si="8"/>
        <v>#VALUE!</v>
      </c>
      <c r="BH39" s="105" t="e">
        <f>'Alternative 1'!$B$39*$B39*$C39*COS($K$73)-($N$72/3)*$E39*SIN($K$73)-($N$72/3)*$F39*SIN($K$73)-($N$72/3)*$G39*SIN($K$73)</f>
        <v>#VALUE!</v>
      </c>
      <c r="BI39" s="106" t="e">
        <f>IF(($A39&lt;'Alternative 1'!$B$27),(($H39*'Alternative 1'!$B$39)+(3*($N$72/3)*COS($K$73))),IF(($A39&lt;'Alternative 1'!$B$28),(($H39*'Alternative 1'!$B$39)+(2*(($N$72/3)*COS($K$73)))),IF(($A39&lt;'Alternative 1'!$B$29),(($H$3*'Alternative 1'!$B$39+(($N$72/3)*COS($K$73)))),($H39*'Alternative 1'!$B$39))))</f>
        <v>#VALUE!</v>
      </c>
      <c r="BJ39" s="105" t="e">
        <f>BH39*'Alternative 1'!$K40/'Alternative 1'!$L40</f>
        <v>#VALUE!</v>
      </c>
      <c r="BK39" s="105" t="e">
        <f>BI39/'Alternative 1'!$M40</f>
        <v>#VALUE!</v>
      </c>
      <c r="BL39" s="105" t="e">
        <f t="shared" si="9"/>
        <v>#VALUE!</v>
      </c>
      <c r="BN39" s="105" t="e">
        <f>'Alternative 1'!$B$39*$B39*$C39*COS($K$83)-($N$82/3)*$E39*SIN($K$83)-($N$82/3)*$F39*SIN($K$83)-($N$82/3)*$G39*SIN($K$83)</f>
        <v>#VALUE!</v>
      </c>
      <c r="BO39" s="106" t="e">
        <f>IF(($A39&lt;'Alternative 1'!$B$27),(($H39*'Alternative 1'!$B$39)+(3*($N$82/3)*COS($K$83))),IF(($A39&lt;'Alternative 1'!$B$28),(($H39*'Alternative 1'!$B$39)+(2*(($N$82/3)*COS($K$83)))),IF(($A39&lt;'Alternative 1'!$B$29),(($H$3*'Alternative 1'!$B$39+(($N$82/3)*COS($K$83)))),($H39*'Alternative 1'!$B$39))))</f>
        <v>#VALUE!</v>
      </c>
      <c r="BP39" s="105" t="e">
        <f>BN39*'Alternative 1'!$K40/'Alternative 1'!$L40</f>
        <v>#VALUE!</v>
      </c>
      <c r="BQ39" s="105" t="e">
        <f>BO39/'Alternative 1'!$M40</f>
        <v>#VALUE!</v>
      </c>
      <c r="BR39" s="105" t="e">
        <f t="shared" si="10"/>
        <v>#VALUE!</v>
      </c>
      <c r="BT39" s="105" t="e">
        <f>'Alternative 1'!$B$39*$B39*$C39*COS($K$93)-($K$92/3)*$E39*SIN($K$93)-($K$92/3)*$F39*SIN($K$93)-($K$92/3)*$G39*SIN($K$93)</f>
        <v>#VALUE!</v>
      </c>
      <c r="BU39" s="106" t="e">
        <f>IF(($A39&lt;'Alternative 1'!$B$27),(($H39*'Alternative 1'!$B$39)+(3*($N$92/3)*COS($K$93))),IF(($A39&lt;'Alternative 1'!$B$28),(($H39*'Alternative 1'!$B$39)+(2*(($N$92/3)*COS($K$93)))),IF(($A39&lt;'Alternative 1'!$B$29),(($H$3*'Alternative 1'!$B$39+(($N$92/3)*COS($K$93)))),($H39*'Alternative 1'!$B$39))))</f>
        <v>#VALUE!</v>
      </c>
      <c r="BV39" s="105" t="e">
        <f>BT39*'Alternative 1'!$K40/'Alternative 1'!$L40</f>
        <v>#VALUE!</v>
      </c>
      <c r="BW39" s="105" t="e">
        <f>BU39/'Alternative 1'!$M40</f>
        <v>#VALUE!</v>
      </c>
      <c r="BX39" s="105" t="e">
        <f t="shared" si="11"/>
        <v>#VALUE!</v>
      </c>
      <c r="BZ39" s="104">
        <v>150</v>
      </c>
      <c r="CA39" s="104">
        <v>-150</v>
      </c>
    </row>
    <row r="40" spans="1:79" ht="15" customHeight="1" x14ac:dyDescent="0.25">
      <c r="A40" s="18" t="str">
        <f>IF('Alternative 1'!F41&gt;0,'Alternative 1'!F41,"x")</f>
        <v>x</v>
      </c>
      <c r="B40" s="18" t="e">
        <f t="shared" si="17"/>
        <v>#VALUE!</v>
      </c>
      <c r="C40" s="18">
        <f t="shared" si="12"/>
        <v>0</v>
      </c>
      <c r="D40" s="18" t="str">
        <f t="shared" si="13"/>
        <v>x</v>
      </c>
      <c r="E40" s="101">
        <f>IF($A40&lt;='Alternative 1'!$B$27, IF($A40='Alternative 1'!$B$27,0,E41+1),0)</f>
        <v>0</v>
      </c>
      <c r="F40" s="101">
        <f>IF($A40&lt;=('Alternative 1'!$B$28), IF($A40=ROUNDDOWN('Alternative 1'!$B$28,0),0,F41+1),0)</f>
        <v>0</v>
      </c>
      <c r="G40" s="101">
        <f>IF($A40&lt;=('Alternative 1'!$B$29), IF($A40=ROUNDDOWN('Alternative 1'!$B$29,0),0,G41+1),0)</f>
        <v>0</v>
      </c>
      <c r="H40" s="18" t="e">
        <f t="shared" si="14"/>
        <v>#VALUE!</v>
      </c>
      <c r="J40" s="104">
        <f t="shared" si="15"/>
        <v>37</v>
      </c>
      <c r="K40" s="104">
        <f t="shared" si="16"/>
        <v>0.64577182323790194</v>
      </c>
      <c r="L40" s="105">
        <f>'Alternative 1'!$B$27*SIN(K40)+'Alternative 1'!$B$28*SIN(K40)+'Alternative 1'!$B$29*SIN(K40)</f>
        <v>40.923421574339287</v>
      </c>
      <c r="M40" s="104">
        <f>(('Alternative 1'!$B$27)*(((('Alternative 1'!$B$28-'Alternative 1'!$B$27)/2)+'Alternative 1'!$B$27)*'Alternative 1'!$B$39)*COS('Alternative 1-Tilt Up (3pt)'!K40))+(('Alternative 1'!$B$28)*((('Alternative 1'!$B$28-'Alternative 1'!$B$27)/2)+(('Alternative 1'!$B$29-'Alternative 1'!$B$28)/2))*('Alternative 1'!$B$39)*COS('Alternative 1-Tilt Up (3pt)'!K40))+(('Alternative 1'!$B$29)*((('Alternative 1'!$B$12-'Alternative 1'!$B$29+(('Alternative 1'!$B$29-'Alternative 1'!$B$28)/2)*('Alternative 1'!$B$39)*COS('Alternative 1-Tilt Up (3pt)'!K40)))))</f>
        <v>3790453.3090792373</v>
      </c>
      <c r="N40" s="104">
        <f t="shared" si="0"/>
        <v>277869.23697426205</v>
      </c>
      <c r="O40" s="104">
        <f>(((('Alternative 1'!$B$28-'Alternative 1'!$B$27)/2)+'Alternative 1'!$B$27)*('Alternative 1'!$B$39)*COS('Alternative 1-Tilt Up (3pt)'!K40))+(((('Alternative 1'!$B$28-'Alternative 1'!$B$27)/2)+(('Alternative 1'!$B$29-'Alternative 1'!$B$28)/2))*('Alternative 1'!$B$39)*COS('Alternative 1-Tilt Up (3pt)'!K40))+(((('Alternative 1'!$B$12-'Alternative 1'!$B$29)+(('Alternative 1'!$B$29-'Alternative 1'!$B$28)/2))*('Alternative 1'!$B$39)*COS('Alternative 1-Tilt Up (3pt)'!K40)))</f>
        <v>244478.22776309578</v>
      </c>
      <c r="P40" s="104">
        <f t="shared" si="1"/>
        <v>221916.23979739184</v>
      </c>
      <c r="R40" s="105" t="e">
        <f>'Alternative 1'!$B$39*$B40*$C40*COS($K$5)-($N$5/3)*$E40*SIN($K$5)-($N$5/3)*$F40*SIN($K$5)-($N$5/3)*$G40*SIN($K$5)</f>
        <v>#VALUE!</v>
      </c>
      <c r="S40" s="106" t="e">
        <f>IF(($A40&lt;'Alternative 1'!$B$27),(($H40*'Alternative 1'!$B$39)+(3*($N$5/3)*COS($K$5))),IF(($A40&lt;'Alternative 1'!$B$28),(($H40*'Alternative 1'!$B$39)+(2*(($N$5/3)*COS($K$5)))),IF(($A40&lt;'Alternative 1'!$B$29),(($H$3*'Alternative 1'!$B$39+(($N$5/3)*COS($K$5)))),($H40*'Alternative 1'!$B$39))))</f>
        <v>#VALUE!</v>
      </c>
      <c r="T40" s="105" t="e">
        <f>R40*'Alternative 1'!$K41/'Alternative 1'!$L41</f>
        <v>#VALUE!</v>
      </c>
      <c r="U40" s="105" t="e">
        <f>S40/'Alternative 1'!$M41</f>
        <v>#VALUE!</v>
      </c>
      <c r="V40" s="105" t="e">
        <f t="shared" si="2"/>
        <v>#VALUE!</v>
      </c>
      <c r="X40" s="105" t="e">
        <f>'Alternative 1'!$B$39*$B40*$C40*COS($K$13)-($N$12/3)*$E40*SIN($K$13)-($N$12/3)*$F40*SIN($K$13)-($N$12/3)*$G40*SIN($K$13)</f>
        <v>#VALUE!</v>
      </c>
      <c r="Y40" s="106" t="e">
        <f>IF(($A40&lt;'Alternative 1'!$B$27),(($H40*'Alternative 1'!$B$39)+(3*($N$12/3)*COS($K$13))),IF(($A40&lt;'Alternative 1'!$B$28),(($H40*'Alternative 1'!$B$39)+(2*(($N$12/3)*COS($K$13)))),IF(($A40&lt;'Alternative 1'!$B$29),(($H$3*'Alternative 1'!$B$39+(($N$12/3)*COS($K$13)))),($H40*'Alternative 1'!$B$39))))</f>
        <v>#VALUE!</v>
      </c>
      <c r="Z40" s="105" t="e">
        <f>X40*'Alternative 1'!$K41/'Alternative 1'!$L41</f>
        <v>#VALUE!</v>
      </c>
      <c r="AA40" s="105" t="e">
        <f>Y40/'Alternative 1'!$M41</f>
        <v>#VALUE!</v>
      </c>
      <c r="AB40" s="105" t="e">
        <f t="shared" si="3"/>
        <v>#VALUE!</v>
      </c>
      <c r="AD40" s="105" t="e">
        <f>'Alternative 1'!$B$39*$B40*$C40*COS($K$23)-($N$22/3)*$E40*SIN($K$23)-($N$22/3)*$F40*SIN($K$23)-($N$22/3)*$G40*SIN($K$23)</f>
        <v>#VALUE!</v>
      </c>
      <c r="AE40" s="106" t="e">
        <f>IF(($A40&lt;'Alternative 1'!$B$27),(($H40*'Alternative 1'!$B$39)+(3*($N$22/3)*COS($K$23))),IF(($A40&lt;'Alternative 1'!$B$28),(($H40*'Alternative 1'!$B$39)+(2*(($N$22/3)*COS($K$23)))),IF(($A40&lt;'Alternative 1'!$B$29),(($H$3*'Alternative 1'!$B$39+(($N$22/3)*COS($K$23)))),($H40*'Alternative 1'!$B$39))))</f>
        <v>#VALUE!</v>
      </c>
      <c r="AF40" s="105" t="e">
        <f>AD40*'Alternative 1'!$K41/'Alternative 1'!$L41</f>
        <v>#VALUE!</v>
      </c>
      <c r="AG40" s="105" t="e">
        <f>AE40/'Alternative 1'!$M41</f>
        <v>#VALUE!</v>
      </c>
      <c r="AH40" s="105" t="e">
        <f t="shared" si="4"/>
        <v>#VALUE!</v>
      </c>
      <c r="AJ40" s="105" t="e">
        <f>'Alternative 1'!$B$39*$B40*$C40*COS($K$33)-($N$32/3)*$E40*SIN($K$33)-($N$32/3)*$F40*SIN($K$33)-($N$32/3)*$G40*SIN($K$33)</f>
        <v>#VALUE!</v>
      </c>
      <c r="AK40" s="106" t="e">
        <f>IF(($A40&lt;'Alternative 1'!$B$27),(($H40*'Alternative 1'!$B$39)+(3*($N$32/3)*COS($K$33))),IF(($A40&lt;'Alternative 1'!$B$28),(($H40*'Alternative 1'!$B$39)+(2*(($N$32/3)*COS($K$33)))),IF(($A40&lt;'Alternative 1'!$B$29),(($H$3*'Alternative 1'!$B$39+(($N$32/3)*COS($K$33)))),($H40*'Alternative 1'!$B$39))))</f>
        <v>#VALUE!</v>
      </c>
      <c r="AL40" s="105" t="e">
        <f>AJ40*'Alternative 1'!$K41/'Alternative 1'!$L41</f>
        <v>#VALUE!</v>
      </c>
      <c r="AM40" s="105" t="e">
        <f>AK40/'Alternative 1'!$M41</f>
        <v>#VALUE!</v>
      </c>
      <c r="AN40" s="105" t="e">
        <f t="shared" si="5"/>
        <v>#VALUE!</v>
      </c>
      <c r="AP40" s="105" t="e">
        <f>'Alternative 1'!$B$39*$B40*$C40*COS($K$43)-($N$42/3)*$E40*SIN($K$43)-($N$42/3)*$F40*SIN($K$43)-($N$42/3)*$G40*SIN($K$43)</f>
        <v>#VALUE!</v>
      </c>
      <c r="AQ40" s="106" t="e">
        <f>IF(($A40&lt;'Alternative 1'!$B$27),(($H40*'Alternative 1'!$B$39)+(3*($N$42/3)*COS($K$43))),IF(($A40&lt;'Alternative 1'!$B$28),(($H40*'Alternative 1'!$B$39)+(2*(($N$42/3)*COS($K$43)))),IF(($A40&lt;'Alternative 1'!$B$29),(($H$3*'Alternative 1'!$B$39+(($N$42/3)*COS($K$43)))),($H40*'Alternative 1'!$B$39))))</f>
        <v>#VALUE!</v>
      </c>
      <c r="AR40" s="105" t="e">
        <f>AP40*'Alternative 1'!$K41/'Alternative 1'!$L41</f>
        <v>#VALUE!</v>
      </c>
      <c r="AS40" s="105" t="e">
        <f>AQ40/'Alternative 1'!$M41</f>
        <v>#VALUE!</v>
      </c>
      <c r="AT40" s="105" t="e">
        <f t="shared" si="6"/>
        <v>#VALUE!</v>
      </c>
      <c r="AV40" s="105" t="e">
        <f>'Alternative 1'!$B$39*$B40*$C40*COS($K$53)-($N$52/3)*$E40*SIN($K$53)-($N$52/3)*$F40*SIN($K$53)-($N$52/3)*$G40*SIN($K$53)</f>
        <v>#VALUE!</v>
      </c>
      <c r="AW40" s="106" t="e">
        <f>IF(($A40&lt;'Alternative 1'!$B$27),(($H40*'Alternative 1'!$B$39)+(3*($N$52/3)*COS($K$53))),IF(($A40&lt;'Alternative 1'!$B$28),(($H40*'Alternative 1'!$B$39)+(2*(($N$52/3)*COS($K$53)))),IF(($A40&lt;'Alternative 1'!$B$29),(($H$3*'Alternative 1'!$B$39+(($N$52/3)*COS($K$53)))),($H40*'Alternative 1'!$B$39))))</f>
        <v>#VALUE!</v>
      </c>
      <c r="AX40" s="105" t="e">
        <f>AV40*'Alternative 1'!$K41/'Alternative 1'!$L41</f>
        <v>#VALUE!</v>
      </c>
      <c r="AY40" s="105" t="e">
        <f>AW40/'Alternative 1'!$M41</f>
        <v>#VALUE!</v>
      </c>
      <c r="AZ40" s="105" t="e">
        <f t="shared" si="7"/>
        <v>#VALUE!</v>
      </c>
      <c r="BB40" s="105" t="e">
        <f>'Alternative 1'!$B$39*$B40*$C40*COS($K$63)-($N$62/3)*$E40*SIN($K$63)-($N$62/3)*$F40*SIN($K$63)-($N$62/3)*$G40*SIN($K$63)</f>
        <v>#VALUE!</v>
      </c>
      <c r="BC40" s="106" t="e">
        <f>IF(($A40&lt;'Alternative 1'!$B$27),(($H40*'Alternative 1'!$B$39)+(3*($N$62/3)*COS($K$63))),IF(($A40&lt;'Alternative 1'!$B$28),(($H40*'Alternative 1'!$B$39)+(2*(($N$62/3)*COS($K$63)))),IF(($A40&lt;'Alternative 1'!$B$29),(($H$3*'Alternative 1'!$B$39+(($N$62/3)*COS($K$63)))),($H40*'Alternative 1'!$B$39))))</f>
        <v>#VALUE!</v>
      </c>
      <c r="BD40" s="105" t="e">
        <f>BB40*'Alternative 1'!$K41/'Alternative 1'!$L41</f>
        <v>#VALUE!</v>
      </c>
      <c r="BE40" s="105" t="e">
        <f>BC40/'Alternative 1'!$M41</f>
        <v>#VALUE!</v>
      </c>
      <c r="BF40" s="105" t="e">
        <f t="shared" si="8"/>
        <v>#VALUE!</v>
      </c>
      <c r="BH40" s="105" t="e">
        <f>'Alternative 1'!$B$39*$B40*$C40*COS($K$73)-($N$72/3)*$E40*SIN($K$73)-($N$72/3)*$F40*SIN($K$73)-($N$72/3)*$G40*SIN($K$73)</f>
        <v>#VALUE!</v>
      </c>
      <c r="BI40" s="106" t="e">
        <f>IF(($A40&lt;'Alternative 1'!$B$27),(($H40*'Alternative 1'!$B$39)+(3*($N$72/3)*COS($K$73))),IF(($A40&lt;'Alternative 1'!$B$28),(($H40*'Alternative 1'!$B$39)+(2*(($N$72/3)*COS($K$73)))),IF(($A40&lt;'Alternative 1'!$B$29),(($H$3*'Alternative 1'!$B$39+(($N$72/3)*COS($K$73)))),($H40*'Alternative 1'!$B$39))))</f>
        <v>#VALUE!</v>
      </c>
      <c r="BJ40" s="105" t="e">
        <f>BH40*'Alternative 1'!$K41/'Alternative 1'!$L41</f>
        <v>#VALUE!</v>
      </c>
      <c r="BK40" s="105" t="e">
        <f>BI40/'Alternative 1'!$M41</f>
        <v>#VALUE!</v>
      </c>
      <c r="BL40" s="105" t="e">
        <f t="shared" si="9"/>
        <v>#VALUE!</v>
      </c>
      <c r="BN40" s="105" t="e">
        <f>'Alternative 1'!$B$39*$B40*$C40*COS($K$83)-($N$82/3)*$E40*SIN($K$83)-($N$82/3)*$F40*SIN($K$83)-($N$82/3)*$G40*SIN($K$83)</f>
        <v>#VALUE!</v>
      </c>
      <c r="BO40" s="106" t="e">
        <f>IF(($A40&lt;'Alternative 1'!$B$27),(($H40*'Alternative 1'!$B$39)+(3*($N$82/3)*COS($K$83))),IF(($A40&lt;'Alternative 1'!$B$28),(($H40*'Alternative 1'!$B$39)+(2*(($N$82/3)*COS($K$83)))),IF(($A40&lt;'Alternative 1'!$B$29),(($H$3*'Alternative 1'!$B$39+(($N$82/3)*COS($K$83)))),($H40*'Alternative 1'!$B$39))))</f>
        <v>#VALUE!</v>
      </c>
      <c r="BP40" s="105" t="e">
        <f>BN40*'Alternative 1'!$K41/'Alternative 1'!$L41</f>
        <v>#VALUE!</v>
      </c>
      <c r="BQ40" s="105" t="e">
        <f>BO40/'Alternative 1'!$M41</f>
        <v>#VALUE!</v>
      </c>
      <c r="BR40" s="105" t="e">
        <f t="shared" si="10"/>
        <v>#VALUE!</v>
      </c>
      <c r="BT40" s="105" t="e">
        <f>'Alternative 1'!$B$39*$B40*$C40*COS($K$93)-($K$92/3)*$E40*SIN($K$93)-($K$92/3)*$F40*SIN($K$93)-($K$92/3)*$G40*SIN($K$93)</f>
        <v>#VALUE!</v>
      </c>
      <c r="BU40" s="106" t="e">
        <f>IF(($A40&lt;'Alternative 1'!$B$27),(($H40*'Alternative 1'!$B$39)+(3*($N$92/3)*COS($K$93))),IF(($A40&lt;'Alternative 1'!$B$28),(($H40*'Alternative 1'!$B$39)+(2*(($N$92/3)*COS($K$93)))),IF(($A40&lt;'Alternative 1'!$B$29),(($H$3*'Alternative 1'!$B$39+(($N$92/3)*COS($K$93)))),($H40*'Alternative 1'!$B$39))))</f>
        <v>#VALUE!</v>
      </c>
      <c r="BV40" s="105" t="e">
        <f>BT40*'Alternative 1'!$K41/'Alternative 1'!$L41</f>
        <v>#VALUE!</v>
      </c>
      <c r="BW40" s="105" t="e">
        <f>BU40/'Alternative 1'!$M41</f>
        <v>#VALUE!</v>
      </c>
      <c r="BX40" s="105" t="e">
        <f t="shared" si="11"/>
        <v>#VALUE!</v>
      </c>
      <c r="BZ40" s="104">
        <v>150</v>
      </c>
      <c r="CA40" s="104">
        <v>-150</v>
      </c>
    </row>
    <row r="41" spans="1:79" ht="15" customHeight="1" x14ac:dyDescent="0.25">
      <c r="A41" s="18" t="str">
        <f>IF('Alternative 1'!F42&gt;0,'Alternative 1'!F42,"x")</f>
        <v>x</v>
      </c>
      <c r="B41" s="18" t="e">
        <f t="shared" si="17"/>
        <v>#VALUE!</v>
      </c>
      <c r="C41" s="18">
        <f t="shared" si="12"/>
        <v>0</v>
      </c>
      <c r="D41" s="18" t="str">
        <f t="shared" si="13"/>
        <v>x</v>
      </c>
      <c r="E41" s="101">
        <f>IF($A41&lt;='Alternative 1'!$B$27, IF($A41='Alternative 1'!$B$27,0,E42+1),0)</f>
        <v>0</v>
      </c>
      <c r="F41" s="101">
        <f>IF($A41&lt;=('Alternative 1'!$B$28), IF($A41=ROUNDDOWN('Alternative 1'!$B$28,0),0,F42+1),0)</f>
        <v>0</v>
      </c>
      <c r="G41" s="101">
        <f>IF($A41&lt;=('Alternative 1'!$B$29), IF($A41=ROUNDDOWN('Alternative 1'!$B$29,0),0,G42+1),0)</f>
        <v>0</v>
      </c>
      <c r="H41" s="18" t="e">
        <f t="shared" si="14"/>
        <v>#VALUE!</v>
      </c>
      <c r="J41" s="104">
        <f t="shared" si="15"/>
        <v>38</v>
      </c>
      <c r="K41" s="104">
        <f t="shared" si="16"/>
        <v>0.66322511575784515</v>
      </c>
      <c r="L41" s="105">
        <f>'Alternative 1'!$B$27*SIN(K41)+'Alternative 1'!$B$28*SIN(K41)+'Alternative 1'!$B$29*SIN(K41)</f>
        <v>41.86498032214476</v>
      </c>
      <c r="M41" s="104">
        <f>(('Alternative 1'!$B$27)*(((('Alternative 1'!$B$28-'Alternative 1'!$B$27)/2)+'Alternative 1'!$B$27)*'Alternative 1'!$B$39)*COS('Alternative 1-Tilt Up (3pt)'!K41))+(('Alternative 1'!$B$28)*((('Alternative 1'!$B$28-'Alternative 1'!$B$27)/2)+(('Alternative 1'!$B$29-'Alternative 1'!$B$28)/2))*('Alternative 1'!$B$39)*COS('Alternative 1-Tilt Up (3pt)'!K41))+(('Alternative 1'!$B$29)*((('Alternative 1'!$B$12-'Alternative 1'!$B$29+(('Alternative 1'!$B$29-'Alternative 1'!$B$28)/2)*('Alternative 1'!$B$39)*COS('Alternative 1-Tilt Up (3pt)'!K41)))))</f>
        <v>3740029.099074916</v>
      </c>
      <c r="N41" s="104">
        <f t="shared" si="0"/>
        <v>268006.51071343775</v>
      </c>
      <c r="O41" s="104">
        <f>(((('Alternative 1'!$B$28-'Alternative 1'!$B$27)/2)+'Alternative 1'!$B$27)*('Alternative 1'!$B$39)*COS('Alternative 1-Tilt Up (3pt)'!K41))+(((('Alternative 1'!$B$28-'Alternative 1'!$B$27)/2)+(('Alternative 1'!$B$29-'Alternative 1'!$B$28)/2))*('Alternative 1'!$B$39)*COS('Alternative 1-Tilt Up (3pt)'!K41))+(((('Alternative 1'!$B$12-'Alternative 1'!$B$29)+(('Alternative 1'!$B$29-'Alternative 1'!$B$28)/2))*('Alternative 1'!$B$39)*COS('Alternative 1-Tilt Up (3pt)'!K41)))</f>
        <v>241225.77831359472</v>
      </c>
      <c r="P41" s="104">
        <f t="shared" si="1"/>
        <v>211192.0124788041</v>
      </c>
      <c r="R41" s="105" t="e">
        <f>'Alternative 1'!$B$39*$B41*$C41*COS($K$5)-($N$5/3)*$E41*SIN($K$5)-($N$5/3)*$F41*SIN($K$5)-($N$5/3)*$G41*SIN($K$5)</f>
        <v>#VALUE!</v>
      </c>
      <c r="S41" s="106" t="e">
        <f>IF(($A41&lt;'Alternative 1'!$B$27),(($H41*'Alternative 1'!$B$39)+(3*($N$5/3)*COS($K$5))),IF(($A41&lt;'Alternative 1'!$B$28),(($H41*'Alternative 1'!$B$39)+(2*(($N$5/3)*COS($K$5)))),IF(($A41&lt;'Alternative 1'!$B$29),(($H$3*'Alternative 1'!$B$39+(($N$5/3)*COS($K$5)))),($H41*'Alternative 1'!$B$39))))</f>
        <v>#VALUE!</v>
      </c>
      <c r="T41" s="105" t="e">
        <f>R41*'Alternative 1'!$K42/'Alternative 1'!$L42</f>
        <v>#VALUE!</v>
      </c>
      <c r="U41" s="105" t="e">
        <f>S41/'Alternative 1'!$M42</f>
        <v>#VALUE!</v>
      </c>
      <c r="V41" s="105" t="e">
        <f t="shared" si="2"/>
        <v>#VALUE!</v>
      </c>
      <c r="X41" s="105" t="e">
        <f>'Alternative 1'!$B$39*$B41*$C41*COS($K$13)-($N$12/3)*$E41*SIN($K$13)-($N$12/3)*$F41*SIN($K$13)-($N$12/3)*$G41*SIN($K$13)</f>
        <v>#VALUE!</v>
      </c>
      <c r="Y41" s="106" t="e">
        <f>IF(($A41&lt;'Alternative 1'!$B$27),(($H41*'Alternative 1'!$B$39)+(3*($N$12/3)*COS($K$13))),IF(($A41&lt;'Alternative 1'!$B$28),(($H41*'Alternative 1'!$B$39)+(2*(($N$12/3)*COS($K$13)))),IF(($A41&lt;'Alternative 1'!$B$29),(($H$3*'Alternative 1'!$B$39+(($N$12/3)*COS($K$13)))),($H41*'Alternative 1'!$B$39))))</f>
        <v>#VALUE!</v>
      </c>
      <c r="Z41" s="105" t="e">
        <f>X41*'Alternative 1'!$K42/'Alternative 1'!$L42</f>
        <v>#VALUE!</v>
      </c>
      <c r="AA41" s="105" t="e">
        <f>Y41/'Alternative 1'!$M42</f>
        <v>#VALUE!</v>
      </c>
      <c r="AB41" s="105" t="e">
        <f t="shared" si="3"/>
        <v>#VALUE!</v>
      </c>
      <c r="AD41" s="105" t="e">
        <f>'Alternative 1'!$B$39*$B41*$C41*COS($K$23)-($N$22/3)*$E41*SIN($K$23)-($N$22/3)*$F41*SIN($K$23)-($N$22/3)*$G41*SIN($K$23)</f>
        <v>#VALUE!</v>
      </c>
      <c r="AE41" s="106" t="e">
        <f>IF(($A41&lt;'Alternative 1'!$B$27),(($H41*'Alternative 1'!$B$39)+(3*($N$22/3)*COS($K$23))),IF(($A41&lt;'Alternative 1'!$B$28),(($H41*'Alternative 1'!$B$39)+(2*(($N$22/3)*COS($K$23)))),IF(($A41&lt;'Alternative 1'!$B$29),(($H$3*'Alternative 1'!$B$39+(($N$22/3)*COS($K$23)))),($H41*'Alternative 1'!$B$39))))</f>
        <v>#VALUE!</v>
      </c>
      <c r="AF41" s="105" t="e">
        <f>AD41*'Alternative 1'!$K42/'Alternative 1'!$L42</f>
        <v>#VALUE!</v>
      </c>
      <c r="AG41" s="105" t="e">
        <f>AE41/'Alternative 1'!$M42</f>
        <v>#VALUE!</v>
      </c>
      <c r="AH41" s="105" t="e">
        <f t="shared" si="4"/>
        <v>#VALUE!</v>
      </c>
      <c r="AJ41" s="105" t="e">
        <f>'Alternative 1'!$B$39*$B41*$C41*COS($K$33)-($N$32/3)*$E41*SIN($K$33)-($N$32/3)*$F41*SIN($K$33)-($N$32/3)*$G41*SIN($K$33)</f>
        <v>#VALUE!</v>
      </c>
      <c r="AK41" s="106" t="e">
        <f>IF(($A41&lt;'Alternative 1'!$B$27),(($H41*'Alternative 1'!$B$39)+(3*($N$32/3)*COS($K$33))),IF(($A41&lt;'Alternative 1'!$B$28),(($H41*'Alternative 1'!$B$39)+(2*(($N$32/3)*COS($K$33)))),IF(($A41&lt;'Alternative 1'!$B$29),(($H$3*'Alternative 1'!$B$39+(($N$32/3)*COS($K$33)))),($H41*'Alternative 1'!$B$39))))</f>
        <v>#VALUE!</v>
      </c>
      <c r="AL41" s="105" t="e">
        <f>AJ41*'Alternative 1'!$K42/'Alternative 1'!$L42</f>
        <v>#VALUE!</v>
      </c>
      <c r="AM41" s="105" t="e">
        <f>AK41/'Alternative 1'!$M42</f>
        <v>#VALUE!</v>
      </c>
      <c r="AN41" s="105" t="e">
        <f t="shared" si="5"/>
        <v>#VALUE!</v>
      </c>
      <c r="AP41" s="105" t="e">
        <f>'Alternative 1'!$B$39*$B41*$C41*COS($K$43)-($N$42/3)*$E41*SIN($K$43)-($N$42/3)*$F41*SIN($K$43)-($N$42/3)*$G41*SIN($K$43)</f>
        <v>#VALUE!</v>
      </c>
      <c r="AQ41" s="106" t="e">
        <f>IF(($A41&lt;'Alternative 1'!$B$27),(($H41*'Alternative 1'!$B$39)+(3*($N$42/3)*COS($K$43))),IF(($A41&lt;'Alternative 1'!$B$28),(($H41*'Alternative 1'!$B$39)+(2*(($N$42/3)*COS($K$43)))),IF(($A41&lt;'Alternative 1'!$B$29),(($H$3*'Alternative 1'!$B$39+(($N$42/3)*COS($K$43)))),($H41*'Alternative 1'!$B$39))))</f>
        <v>#VALUE!</v>
      </c>
      <c r="AR41" s="105" t="e">
        <f>AP41*'Alternative 1'!$K42/'Alternative 1'!$L42</f>
        <v>#VALUE!</v>
      </c>
      <c r="AS41" s="105" t="e">
        <f>AQ41/'Alternative 1'!$M42</f>
        <v>#VALUE!</v>
      </c>
      <c r="AT41" s="105" t="e">
        <f t="shared" si="6"/>
        <v>#VALUE!</v>
      </c>
      <c r="AV41" s="105" t="e">
        <f>'Alternative 1'!$B$39*$B41*$C41*COS($K$53)-($N$52/3)*$E41*SIN($K$53)-($N$52/3)*$F41*SIN($K$53)-($N$52/3)*$G41*SIN($K$53)</f>
        <v>#VALUE!</v>
      </c>
      <c r="AW41" s="106" t="e">
        <f>IF(($A41&lt;'Alternative 1'!$B$27),(($H41*'Alternative 1'!$B$39)+(3*($N$52/3)*COS($K$53))),IF(($A41&lt;'Alternative 1'!$B$28),(($H41*'Alternative 1'!$B$39)+(2*(($N$52/3)*COS($K$53)))),IF(($A41&lt;'Alternative 1'!$B$29),(($H$3*'Alternative 1'!$B$39+(($N$52/3)*COS($K$53)))),($H41*'Alternative 1'!$B$39))))</f>
        <v>#VALUE!</v>
      </c>
      <c r="AX41" s="105" t="e">
        <f>AV41*'Alternative 1'!$K42/'Alternative 1'!$L42</f>
        <v>#VALUE!</v>
      </c>
      <c r="AY41" s="105" t="e">
        <f>AW41/'Alternative 1'!$M42</f>
        <v>#VALUE!</v>
      </c>
      <c r="AZ41" s="105" t="e">
        <f t="shared" si="7"/>
        <v>#VALUE!</v>
      </c>
      <c r="BB41" s="105" t="e">
        <f>'Alternative 1'!$B$39*$B41*$C41*COS($K$63)-($N$62/3)*$E41*SIN($K$63)-($N$62/3)*$F41*SIN($K$63)-($N$62/3)*$G41*SIN($K$63)</f>
        <v>#VALUE!</v>
      </c>
      <c r="BC41" s="106" t="e">
        <f>IF(($A41&lt;'Alternative 1'!$B$27),(($H41*'Alternative 1'!$B$39)+(3*($N$62/3)*COS($K$63))),IF(($A41&lt;'Alternative 1'!$B$28),(($H41*'Alternative 1'!$B$39)+(2*(($N$62/3)*COS($K$63)))),IF(($A41&lt;'Alternative 1'!$B$29),(($H$3*'Alternative 1'!$B$39+(($N$62/3)*COS($K$63)))),($H41*'Alternative 1'!$B$39))))</f>
        <v>#VALUE!</v>
      </c>
      <c r="BD41" s="105" t="e">
        <f>BB41*'Alternative 1'!$K42/'Alternative 1'!$L42</f>
        <v>#VALUE!</v>
      </c>
      <c r="BE41" s="105" t="e">
        <f>BC41/'Alternative 1'!$M42</f>
        <v>#VALUE!</v>
      </c>
      <c r="BF41" s="105" t="e">
        <f t="shared" si="8"/>
        <v>#VALUE!</v>
      </c>
      <c r="BH41" s="105" t="e">
        <f>'Alternative 1'!$B$39*$B41*$C41*COS($K$73)-($N$72/3)*$E41*SIN($K$73)-($N$72/3)*$F41*SIN($K$73)-($N$72/3)*$G41*SIN($K$73)</f>
        <v>#VALUE!</v>
      </c>
      <c r="BI41" s="106" t="e">
        <f>IF(($A41&lt;'Alternative 1'!$B$27),(($H41*'Alternative 1'!$B$39)+(3*($N$72/3)*COS($K$73))),IF(($A41&lt;'Alternative 1'!$B$28),(($H41*'Alternative 1'!$B$39)+(2*(($N$72/3)*COS($K$73)))),IF(($A41&lt;'Alternative 1'!$B$29),(($H$3*'Alternative 1'!$B$39+(($N$72/3)*COS($K$73)))),($H41*'Alternative 1'!$B$39))))</f>
        <v>#VALUE!</v>
      </c>
      <c r="BJ41" s="105" t="e">
        <f>BH41*'Alternative 1'!$K42/'Alternative 1'!$L42</f>
        <v>#VALUE!</v>
      </c>
      <c r="BK41" s="105" t="e">
        <f>BI41/'Alternative 1'!$M42</f>
        <v>#VALUE!</v>
      </c>
      <c r="BL41" s="105" t="e">
        <f t="shared" si="9"/>
        <v>#VALUE!</v>
      </c>
      <c r="BN41" s="105" t="e">
        <f>'Alternative 1'!$B$39*$B41*$C41*COS($K$83)-($N$82/3)*$E41*SIN($K$83)-($N$82/3)*$F41*SIN($K$83)-($N$82/3)*$G41*SIN($K$83)</f>
        <v>#VALUE!</v>
      </c>
      <c r="BO41" s="106" t="e">
        <f>IF(($A41&lt;'Alternative 1'!$B$27),(($H41*'Alternative 1'!$B$39)+(3*($N$82/3)*COS($K$83))),IF(($A41&lt;'Alternative 1'!$B$28),(($H41*'Alternative 1'!$B$39)+(2*(($N$82/3)*COS($K$83)))),IF(($A41&lt;'Alternative 1'!$B$29),(($H$3*'Alternative 1'!$B$39+(($N$82/3)*COS($K$83)))),($H41*'Alternative 1'!$B$39))))</f>
        <v>#VALUE!</v>
      </c>
      <c r="BP41" s="105" t="e">
        <f>BN41*'Alternative 1'!$K42/'Alternative 1'!$L42</f>
        <v>#VALUE!</v>
      </c>
      <c r="BQ41" s="105" t="e">
        <f>BO41/'Alternative 1'!$M42</f>
        <v>#VALUE!</v>
      </c>
      <c r="BR41" s="105" t="e">
        <f t="shared" si="10"/>
        <v>#VALUE!</v>
      </c>
      <c r="BT41" s="105" t="e">
        <f>'Alternative 1'!$B$39*$B41*$C41*COS($K$93)-($K$92/3)*$E41*SIN($K$93)-($K$92/3)*$F41*SIN($K$93)-($K$92/3)*$G41*SIN($K$93)</f>
        <v>#VALUE!</v>
      </c>
      <c r="BU41" s="106" t="e">
        <f>IF(($A41&lt;'Alternative 1'!$B$27),(($H41*'Alternative 1'!$B$39)+(3*($N$92/3)*COS($K$93))),IF(($A41&lt;'Alternative 1'!$B$28),(($H41*'Alternative 1'!$B$39)+(2*(($N$92/3)*COS($K$93)))),IF(($A41&lt;'Alternative 1'!$B$29),(($H$3*'Alternative 1'!$B$39+(($N$92/3)*COS($K$93)))),($H41*'Alternative 1'!$B$39))))</f>
        <v>#VALUE!</v>
      </c>
      <c r="BV41" s="105" t="e">
        <f>BT41*'Alternative 1'!$K42/'Alternative 1'!$L42</f>
        <v>#VALUE!</v>
      </c>
      <c r="BW41" s="105" t="e">
        <f>BU41/'Alternative 1'!$M42</f>
        <v>#VALUE!</v>
      </c>
      <c r="BX41" s="105" t="e">
        <f t="shared" si="11"/>
        <v>#VALUE!</v>
      </c>
      <c r="BZ41" s="104">
        <v>150</v>
      </c>
      <c r="CA41" s="104">
        <v>-150</v>
      </c>
    </row>
    <row r="42" spans="1:79" ht="15" customHeight="1" x14ac:dyDescent="0.25">
      <c r="A42" s="18" t="str">
        <f>IF('Alternative 1'!F43&gt;0,'Alternative 1'!F43,"x")</f>
        <v>x</v>
      </c>
      <c r="B42" s="18" t="e">
        <f t="shared" si="17"/>
        <v>#VALUE!</v>
      </c>
      <c r="C42" s="18">
        <f t="shared" si="12"/>
        <v>0</v>
      </c>
      <c r="D42" s="18" t="str">
        <f t="shared" si="13"/>
        <v>x</v>
      </c>
      <c r="E42" s="101">
        <f>IF($A42&lt;='Alternative 1'!$B$27, IF($A42='Alternative 1'!$B$27,0,E43+1),0)</f>
        <v>0</v>
      </c>
      <c r="F42" s="101">
        <f>IF($A42&lt;=('Alternative 1'!$B$28), IF($A42=ROUNDDOWN('Alternative 1'!$B$28,0),0,F43+1),0)</f>
        <v>0</v>
      </c>
      <c r="G42" s="101">
        <f>IF($A42&lt;=('Alternative 1'!$B$29), IF($A42=ROUNDDOWN('Alternative 1'!$B$29,0),0,G43+1),0)</f>
        <v>0</v>
      </c>
      <c r="H42" s="18" t="e">
        <f t="shared" si="14"/>
        <v>#VALUE!</v>
      </c>
      <c r="J42" s="104">
        <f t="shared" si="15"/>
        <v>39</v>
      </c>
      <c r="K42" s="104">
        <f t="shared" si="16"/>
        <v>0.68067840827778847</v>
      </c>
      <c r="L42" s="105">
        <f>'Alternative 1'!$B$27*SIN(K42)+'Alternative 1'!$B$28*SIN(K42)+'Alternative 1'!$B$29*SIN(K42)</f>
        <v>42.793786591388944</v>
      </c>
      <c r="M42" s="104">
        <f>(('Alternative 1'!$B$27)*(((('Alternative 1'!$B$28-'Alternative 1'!$B$27)/2)+'Alternative 1'!$B$27)*'Alternative 1'!$B$39)*COS('Alternative 1-Tilt Up (3pt)'!K42))+(('Alternative 1'!$B$28)*((('Alternative 1'!$B$28-'Alternative 1'!$B$27)/2)+(('Alternative 1'!$B$29-'Alternative 1'!$B$28)/2))*('Alternative 1'!$B$39)*COS('Alternative 1-Tilt Up (3pt)'!K42))+(('Alternative 1'!$B$29)*((('Alternative 1'!$B$12-'Alternative 1'!$B$29+(('Alternative 1'!$B$29-'Alternative 1'!$B$28)/2)*('Alternative 1'!$B$39)*COS('Alternative 1-Tilt Up (3pt)'!K42)))))</f>
        <v>3688465.6995676691</v>
      </c>
      <c r="N42" s="109">
        <f t="shared" si="0"/>
        <v>258574.85350290575</v>
      </c>
      <c r="O42" s="104">
        <f>(((('Alternative 1'!$B$28-'Alternative 1'!$B$27)/2)+'Alternative 1'!$B$27)*('Alternative 1'!$B$39)*COS('Alternative 1-Tilt Up (3pt)'!K42))+(((('Alternative 1'!$B$28-'Alternative 1'!$B$27)/2)+(('Alternative 1'!$B$29-'Alternative 1'!$B$28)/2))*('Alternative 1'!$B$39)*COS('Alternative 1-Tilt Up (3pt)'!K42))+(((('Alternative 1'!$B$12-'Alternative 1'!$B$29)+(('Alternative 1'!$B$29-'Alternative 1'!$B$28)/2))*('Alternative 1'!$B$39)*COS('Alternative 1-Tilt Up (3pt)'!K42)))</f>
        <v>237899.84915521275</v>
      </c>
      <c r="P42" s="104">
        <f t="shared" si="1"/>
        <v>200950.40313411108</v>
      </c>
      <c r="R42" s="105" t="e">
        <f>'Alternative 1'!$B$39*$B42*$C42*COS($K$5)-($N$5/3)*$E42*SIN($K$5)-($N$5/3)*$F42*SIN($K$5)-($N$5/3)*$G42*SIN($K$5)</f>
        <v>#VALUE!</v>
      </c>
      <c r="S42" s="106" t="e">
        <f>IF(($A42&lt;'Alternative 1'!$B$27),(($H42*'Alternative 1'!$B$39)+(3*($N$5/3)*COS($K$5))),IF(($A42&lt;'Alternative 1'!$B$28),(($H42*'Alternative 1'!$B$39)+(2*(($N$5/3)*COS($K$5)))),IF(($A42&lt;'Alternative 1'!$B$29),(($H$3*'Alternative 1'!$B$39+(($N$5/3)*COS($K$5)))),($H42*'Alternative 1'!$B$39))))</f>
        <v>#VALUE!</v>
      </c>
      <c r="T42" s="105" t="e">
        <f>R42*'Alternative 1'!$K43/'Alternative 1'!$L43</f>
        <v>#VALUE!</v>
      </c>
      <c r="U42" s="105" t="e">
        <f>S42/'Alternative 1'!$M43</f>
        <v>#VALUE!</v>
      </c>
      <c r="V42" s="105" t="e">
        <f t="shared" si="2"/>
        <v>#VALUE!</v>
      </c>
      <c r="X42" s="105" t="e">
        <f>'Alternative 1'!$B$39*$B42*$C42*COS($K$13)-($N$12/3)*$E42*SIN($K$13)-($N$12/3)*$F42*SIN($K$13)-($N$12/3)*$G42*SIN($K$13)</f>
        <v>#VALUE!</v>
      </c>
      <c r="Y42" s="106" t="e">
        <f>IF(($A42&lt;'Alternative 1'!$B$27),(($H42*'Alternative 1'!$B$39)+(3*($N$12/3)*COS($K$13))),IF(($A42&lt;'Alternative 1'!$B$28),(($H42*'Alternative 1'!$B$39)+(2*(($N$12/3)*COS($K$13)))),IF(($A42&lt;'Alternative 1'!$B$29),(($H$3*'Alternative 1'!$B$39+(($N$12/3)*COS($K$13)))),($H42*'Alternative 1'!$B$39))))</f>
        <v>#VALUE!</v>
      </c>
      <c r="Z42" s="105" t="e">
        <f>X42*'Alternative 1'!$K43/'Alternative 1'!$L43</f>
        <v>#VALUE!</v>
      </c>
      <c r="AA42" s="105" t="e">
        <f>Y42/'Alternative 1'!$M43</f>
        <v>#VALUE!</v>
      </c>
      <c r="AB42" s="105" t="e">
        <f t="shared" si="3"/>
        <v>#VALUE!</v>
      </c>
      <c r="AD42" s="105" t="e">
        <f>'Alternative 1'!$B$39*$B42*$C42*COS($K$23)-($N$22/3)*$E42*SIN($K$23)-($N$22/3)*$F42*SIN($K$23)-($N$22/3)*$G42*SIN($K$23)</f>
        <v>#VALUE!</v>
      </c>
      <c r="AE42" s="106" t="e">
        <f>IF(($A42&lt;'Alternative 1'!$B$27),(($H42*'Alternative 1'!$B$39)+(3*($N$22/3)*COS($K$23))),IF(($A42&lt;'Alternative 1'!$B$28),(($H42*'Alternative 1'!$B$39)+(2*(($N$22/3)*COS($K$23)))),IF(($A42&lt;'Alternative 1'!$B$29),(($H$3*'Alternative 1'!$B$39+(($N$22/3)*COS($K$23)))),($H42*'Alternative 1'!$B$39))))</f>
        <v>#VALUE!</v>
      </c>
      <c r="AF42" s="105" t="e">
        <f>AD42*'Alternative 1'!$K43/'Alternative 1'!$L43</f>
        <v>#VALUE!</v>
      </c>
      <c r="AG42" s="105" t="e">
        <f>AE42/'Alternative 1'!$M43</f>
        <v>#VALUE!</v>
      </c>
      <c r="AH42" s="105" t="e">
        <f t="shared" si="4"/>
        <v>#VALUE!</v>
      </c>
      <c r="AJ42" s="105" t="e">
        <f>'Alternative 1'!$B$39*$B42*$C42*COS($K$33)-($N$32/3)*$E42*SIN($K$33)-($N$32/3)*$F42*SIN($K$33)-($N$32/3)*$G42*SIN($K$33)</f>
        <v>#VALUE!</v>
      </c>
      <c r="AK42" s="106" t="e">
        <f>IF(($A42&lt;'Alternative 1'!$B$27),(($H42*'Alternative 1'!$B$39)+(3*($N$32/3)*COS($K$33))),IF(($A42&lt;'Alternative 1'!$B$28),(($H42*'Alternative 1'!$B$39)+(2*(($N$32/3)*COS($K$33)))),IF(($A42&lt;'Alternative 1'!$B$29),(($H$3*'Alternative 1'!$B$39+(($N$32/3)*COS($K$33)))),($H42*'Alternative 1'!$B$39))))</f>
        <v>#VALUE!</v>
      </c>
      <c r="AL42" s="105" t="e">
        <f>AJ42*'Alternative 1'!$K43/'Alternative 1'!$L43</f>
        <v>#VALUE!</v>
      </c>
      <c r="AM42" s="105" t="e">
        <f>AK42/'Alternative 1'!$M43</f>
        <v>#VALUE!</v>
      </c>
      <c r="AN42" s="105" t="e">
        <f t="shared" si="5"/>
        <v>#VALUE!</v>
      </c>
      <c r="AP42" s="105" t="e">
        <f>'Alternative 1'!$B$39*$B42*$C42*COS($K$43)-($N$42/3)*$E42*SIN($K$43)-($N$42/3)*$F42*SIN($K$43)-($N$42/3)*$G42*SIN($K$43)</f>
        <v>#VALUE!</v>
      </c>
      <c r="AQ42" s="106" t="e">
        <f>IF(($A42&lt;'Alternative 1'!$B$27),(($H42*'Alternative 1'!$B$39)+(3*($N$42/3)*COS($K$43))),IF(($A42&lt;'Alternative 1'!$B$28),(($H42*'Alternative 1'!$B$39)+(2*(($N$42/3)*COS($K$43)))),IF(($A42&lt;'Alternative 1'!$B$29),(($H$3*'Alternative 1'!$B$39+(($N$42/3)*COS($K$43)))),($H42*'Alternative 1'!$B$39))))</f>
        <v>#VALUE!</v>
      </c>
      <c r="AR42" s="105" t="e">
        <f>AP42*'Alternative 1'!$K43/'Alternative 1'!$L43</f>
        <v>#VALUE!</v>
      </c>
      <c r="AS42" s="105" t="e">
        <f>AQ42/'Alternative 1'!$M43</f>
        <v>#VALUE!</v>
      </c>
      <c r="AT42" s="105" t="e">
        <f t="shared" si="6"/>
        <v>#VALUE!</v>
      </c>
      <c r="AV42" s="105" t="e">
        <f>'Alternative 1'!$B$39*$B42*$C42*COS($K$53)-($N$52/3)*$E42*SIN($K$53)-($N$52/3)*$F42*SIN($K$53)-($N$52/3)*$G42*SIN($K$53)</f>
        <v>#VALUE!</v>
      </c>
      <c r="AW42" s="106" t="e">
        <f>IF(($A42&lt;'Alternative 1'!$B$27),(($H42*'Alternative 1'!$B$39)+(3*($N$52/3)*COS($K$53))),IF(($A42&lt;'Alternative 1'!$B$28),(($H42*'Alternative 1'!$B$39)+(2*(($N$52/3)*COS($K$53)))),IF(($A42&lt;'Alternative 1'!$B$29),(($H$3*'Alternative 1'!$B$39+(($N$52/3)*COS($K$53)))),($H42*'Alternative 1'!$B$39))))</f>
        <v>#VALUE!</v>
      </c>
      <c r="AX42" s="105" t="e">
        <f>AV42*'Alternative 1'!$K43/'Alternative 1'!$L43</f>
        <v>#VALUE!</v>
      </c>
      <c r="AY42" s="105" t="e">
        <f>AW42/'Alternative 1'!$M43</f>
        <v>#VALUE!</v>
      </c>
      <c r="AZ42" s="105" t="e">
        <f t="shared" si="7"/>
        <v>#VALUE!</v>
      </c>
      <c r="BB42" s="105" t="e">
        <f>'Alternative 1'!$B$39*$B42*$C42*COS($K$63)-($N$62/3)*$E42*SIN($K$63)-($N$62/3)*$F42*SIN($K$63)-($N$62/3)*$G42*SIN($K$63)</f>
        <v>#VALUE!</v>
      </c>
      <c r="BC42" s="106" t="e">
        <f>IF(($A42&lt;'Alternative 1'!$B$27),(($H42*'Alternative 1'!$B$39)+(3*($N$62/3)*COS($K$63))),IF(($A42&lt;'Alternative 1'!$B$28),(($H42*'Alternative 1'!$B$39)+(2*(($N$62/3)*COS($K$63)))),IF(($A42&lt;'Alternative 1'!$B$29),(($H$3*'Alternative 1'!$B$39+(($N$62/3)*COS($K$63)))),($H42*'Alternative 1'!$B$39))))</f>
        <v>#VALUE!</v>
      </c>
      <c r="BD42" s="105" t="e">
        <f>BB42*'Alternative 1'!$K43/'Alternative 1'!$L43</f>
        <v>#VALUE!</v>
      </c>
      <c r="BE42" s="105" t="e">
        <f>BC42/'Alternative 1'!$M43</f>
        <v>#VALUE!</v>
      </c>
      <c r="BF42" s="105" t="e">
        <f t="shared" si="8"/>
        <v>#VALUE!</v>
      </c>
      <c r="BH42" s="105" t="e">
        <f>'Alternative 1'!$B$39*$B42*$C42*COS($K$73)-($N$72/3)*$E42*SIN($K$73)-($N$72/3)*$F42*SIN($K$73)-($N$72/3)*$G42*SIN($K$73)</f>
        <v>#VALUE!</v>
      </c>
      <c r="BI42" s="106" t="e">
        <f>IF(($A42&lt;'Alternative 1'!$B$27),(($H42*'Alternative 1'!$B$39)+(3*($N$72/3)*COS($K$73))),IF(($A42&lt;'Alternative 1'!$B$28),(($H42*'Alternative 1'!$B$39)+(2*(($N$72/3)*COS($K$73)))),IF(($A42&lt;'Alternative 1'!$B$29),(($H$3*'Alternative 1'!$B$39+(($N$72/3)*COS($K$73)))),($H42*'Alternative 1'!$B$39))))</f>
        <v>#VALUE!</v>
      </c>
      <c r="BJ42" s="105" t="e">
        <f>BH42*'Alternative 1'!$K43/'Alternative 1'!$L43</f>
        <v>#VALUE!</v>
      </c>
      <c r="BK42" s="105" t="e">
        <f>BI42/'Alternative 1'!$M43</f>
        <v>#VALUE!</v>
      </c>
      <c r="BL42" s="105" t="e">
        <f t="shared" si="9"/>
        <v>#VALUE!</v>
      </c>
      <c r="BN42" s="105" t="e">
        <f>'Alternative 1'!$B$39*$B42*$C42*COS($K$83)-($N$82/3)*$E42*SIN($K$83)-($N$82/3)*$F42*SIN($K$83)-($N$82/3)*$G42*SIN($K$83)</f>
        <v>#VALUE!</v>
      </c>
      <c r="BO42" s="106" t="e">
        <f>IF(($A42&lt;'Alternative 1'!$B$27),(($H42*'Alternative 1'!$B$39)+(3*($N$82/3)*COS($K$83))),IF(($A42&lt;'Alternative 1'!$B$28),(($H42*'Alternative 1'!$B$39)+(2*(($N$82/3)*COS($K$83)))),IF(($A42&lt;'Alternative 1'!$B$29),(($H$3*'Alternative 1'!$B$39+(($N$82/3)*COS($K$83)))),($H42*'Alternative 1'!$B$39))))</f>
        <v>#VALUE!</v>
      </c>
      <c r="BP42" s="105" t="e">
        <f>BN42*'Alternative 1'!$K43/'Alternative 1'!$L43</f>
        <v>#VALUE!</v>
      </c>
      <c r="BQ42" s="105" t="e">
        <f>BO42/'Alternative 1'!$M43</f>
        <v>#VALUE!</v>
      </c>
      <c r="BR42" s="105" t="e">
        <f t="shared" si="10"/>
        <v>#VALUE!</v>
      </c>
      <c r="BT42" s="105" t="e">
        <f>'Alternative 1'!$B$39*$B42*$C42*COS($K$93)-($K$92/3)*$E42*SIN($K$93)-($K$92/3)*$F42*SIN($K$93)-($K$92/3)*$G42*SIN($K$93)</f>
        <v>#VALUE!</v>
      </c>
      <c r="BU42" s="106" t="e">
        <f>IF(($A42&lt;'Alternative 1'!$B$27),(($H42*'Alternative 1'!$B$39)+(3*($N$92/3)*COS($K$93))),IF(($A42&lt;'Alternative 1'!$B$28),(($H42*'Alternative 1'!$B$39)+(2*(($N$92/3)*COS($K$93)))),IF(($A42&lt;'Alternative 1'!$B$29),(($H$3*'Alternative 1'!$B$39+(($N$92/3)*COS($K$93)))),($H42*'Alternative 1'!$B$39))))</f>
        <v>#VALUE!</v>
      </c>
      <c r="BV42" s="105" t="e">
        <f>BT42*'Alternative 1'!$K43/'Alternative 1'!$L43</f>
        <v>#VALUE!</v>
      </c>
      <c r="BW42" s="105" t="e">
        <f>BU42/'Alternative 1'!$M43</f>
        <v>#VALUE!</v>
      </c>
      <c r="BX42" s="105" t="e">
        <f t="shared" si="11"/>
        <v>#VALUE!</v>
      </c>
      <c r="BZ42" s="104">
        <v>150</v>
      </c>
      <c r="CA42" s="104">
        <v>-150</v>
      </c>
    </row>
    <row r="43" spans="1:79" ht="15" customHeight="1" x14ac:dyDescent="0.25">
      <c r="A43" s="18" t="str">
        <f>IF('Alternative 1'!F44&gt;0,'Alternative 1'!F44,"x")</f>
        <v>x</v>
      </c>
      <c r="B43" s="18" t="e">
        <f t="shared" si="17"/>
        <v>#VALUE!</v>
      </c>
      <c r="C43" s="18">
        <f t="shared" si="12"/>
        <v>0</v>
      </c>
      <c r="D43" s="18" t="str">
        <f t="shared" si="13"/>
        <v>x</v>
      </c>
      <c r="E43" s="101">
        <f>IF($A43&lt;='Alternative 1'!$B$27, IF($A43='Alternative 1'!$B$27,0,E44+1),0)</f>
        <v>0</v>
      </c>
      <c r="F43" s="101">
        <f>IF($A43&lt;=('Alternative 1'!$B$28), IF($A43=ROUNDDOWN('Alternative 1'!$B$28,0),0,F44+1),0)</f>
        <v>0</v>
      </c>
      <c r="G43" s="101">
        <f>IF($A43&lt;=('Alternative 1'!$B$29), IF($A43=ROUNDDOWN('Alternative 1'!$B$29,0),0,G44+1),0)</f>
        <v>0</v>
      </c>
      <c r="H43" s="18" t="e">
        <f t="shared" si="14"/>
        <v>#VALUE!</v>
      </c>
      <c r="J43" s="104">
        <f t="shared" si="15"/>
        <v>40</v>
      </c>
      <c r="K43" s="109">
        <f t="shared" si="16"/>
        <v>0.69813170079773179</v>
      </c>
      <c r="L43" s="105">
        <f>'Alternative 1'!$B$27*SIN(K43)+'Alternative 1'!$B$28*SIN(K43)+'Alternative 1'!$B$29*SIN(K43)</f>
        <v>43.709557458684671</v>
      </c>
      <c r="M43" s="104">
        <f>(('Alternative 1'!$B$27)*(((('Alternative 1'!$B$28-'Alternative 1'!$B$27)/2)+'Alternative 1'!$B$27)*'Alternative 1'!$B$39)*COS('Alternative 1-Tilt Up (3pt)'!K43))+(('Alternative 1'!$B$28)*((('Alternative 1'!$B$28-'Alternative 1'!$B$27)/2)+(('Alternative 1'!$B$29-'Alternative 1'!$B$28)/2))*('Alternative 1'!$B$39)*COS('Alternative 1-Tilt Up (3pt)'!K43))+(('Alternative 1'!$B$29)*((('Alternative 1'!$B$12-'Alternative 1'!$B$29+(('Alternative 1'!$B$29-'Alternative 1'!$B$28)/2)*('Alternative 1'!$B$39)*COS('Alternative 1-Tilt Up (3pt)'!K43)))))</f>
        <v>3635778.8172684922</v>
      </c>
      <c r="N43" s="104">
        <f t="shared" si="0"/>
        <v>249541.22361260129</v>
      </c>
      <c r="O43" s="104">
        <f>(((('Alternative 1'!$B$28-'Alternative 1'!$B$27)/2)+'Alternative 1'!$B$27)*('Alternative 1'!$B$39)*COS('Alternative 1-Tilt Up (3pt)'!K43))+(((('Alternative 1'!$B$28-'Alternative 1'!$B$27)/2)+(('Alternative 1'!$B$29-'Alternative 1'!$B$28)/2))*('Alternative 1'!$B$39)*COS('Alternative 1-Tilt Up (3pt)'!K43))+(((('Alternative 1'!$B$12-'Alternative 1'!$B$29)+(('Alternative 1'!$B$29-'Alternative 1'!$B$28)/2))*('Alternative 1'!$B$39)*COS('Alternative 1-Tilt Up (3pt)'!K43)))</f>
        <v>234501.45339819053</v>
      </c>
      <c r="P43" s="109">
        <f t="shared" si="1"/>
        <v>191159.66767754353</v>
      </c>
      <c r="R43" s="105" t="e">
        <f>'Alternative 1'!$B$39*$B43*$C43*COS($K$5)-($N$5/3)*$E43*SIN($K$5)-($N$5/3)*$F43*SIN($K$5)-($N$5/3)*$G43*SIN($K$5)</f>
        <v>#VALUE!</v>
      </c>
      <c r="S43" s="106" t="e">
        <f>IF(($A43&lt;'Alternative 1'!$B$27),(($H43*'Alternative 1'!$B$39)+(3*($N$5/3)*COS($K$5))),IF(($A43&lt;'Alternative 1'!$B$28),(($H43*'Alternative 1'!$B$39)+(2*(($N$5/3)*COS($K$5)))),IF(($A43&lt;'Alternative 1'!$B$29),(($H$3*'Alternative 1'!$B$39+(($N$5/3)*COS($K$5)))),($H43*'Alternative 1'!$B$39))))</f>
        <v>#VALUE!</v>
      </c>
      <c r="T43" s="105" t="e">
        <f>R43*'Alternative 1'!$K44/'Alternative 1'!$L44</f>
        <v>#VALUE!</v>
      </c>
      <c r="U43" s="105" t="e">
        <f>S43/'Alternative 1'!$M44</f>
        <v>#VALUE!</v>
      </c>
      <c r="V43" s="105" t="e">
        <f t="shared" si="2"/>
        <v>#VALUE!</v>
      </c>
      <c r="X43" s="105" t="e">
        <f>'Alternative 1'!$B$39*$B43*$C43*COS($K$13)-($N$12/3)*$E43*SIN($K$13)-($N$12/3)*$F43*SIN($K$13)-($N$12/3)*$G43*SIN($K$13)</f>
        <v>#VALUE!</v>
      </c>
      <c r="Y43" s="106" t="e">
        <f>IF(($A43&lt;'Alternative 1'!$B$27),(($H43*'Alternative 1'!$B$39)+(3*($N$12/3)*COS($K$13))),IF(($A43&lt;'Alternative 1'!$B$28),(($H43*'Alternative 1'!$B$39)+(2*(($N$12/3)*COS($K$13)))),IF(($A43&lt;'Alternative 1'!$B$29),(($H$3*'Alternative 1'!$B$39+(($N$12/3)*COS($K$13)))),($H43*'Alternative 1'!$B$39))))</f>
        <v>#VALUE!</v>
      </c>
      <c r="Z43" s="105" t="e">
        <f>X43*'Alternative 1'!$K44/'Alternative 1'!$L44</f>
        <v>#VALUE!</v>
      </c>
      <c r="AA43" s="105" t="e">
        <f>Y43/'Alternative 1'!$M44</f>
        <v>#VALUE!</v>
      </c>
      <c r="AB43" s="105" t="e">
        <f t="shared" si="3"/>
        <v>#VALUE!</v>
      </c>
      <c r="AD43" s="105" t="e">
        <f>'Alternative 1'!$B$39*$B43*$C43*COS($K$23)-($N$22/3)*$E43*SIN($K$23)-($N$22/3)*$F43*SIN($K$23)-($N$22/3)*$G43*SIN($K$23)</f>
        <v>#VALUE!</v>
      </c>
      <c r="AE43" s="106" t="e">
        <f>IF(($A43&lt;'Alternative 1'!$B$27),(($H43*'Alternative 1'!$B$39)+(3*($N$22/3)*COS($K$23))),IF(($A43&lt;'Alternative 1'!$B$28),(($H43*'Alternative 1'!$B$39)+(2*(($N$22/3)*COS($K$23)))),IF(($A43&lt;'Alternative 1'!$B$29),(($H$3*'Alternative 1'!$B$39+(($N$22/3)*COS($K$23)))),($H43*'Alternative 1'!$B$39))))</f>
        <v>#VALUE!</v>
      </c>
      <c r="AF43" s="105" t="e">
        <f>AD43*'Alternative 1'!$K44/'Alternative 1'!$L44</f>
        <v>#VALUE!</v>
      </c>
      <c r="AG43" s="105" t="e">
        <f>AE43/'Alternative 1'!$M44</f>
        <v>#VALUE!</v>
      </c>
      <c r="AH43" s="105" t="e">
        <f t="shared" si="4"/>
        <v>#VALUE!</v>
      </c>
      <c r="AJ43" s="105" t="e">
        <f>'Alternative 1'!$B$39*$B43*$C43*COS($K$33)-($N$32/3)*$E43*SIN($K$33)-($N$32/3)*$F43*SIN($K$33)-($N$32/3)*$G43*SIN($K$33)</f>
        <v>#VALUE!</v>
      </c>
      <c r="AK43" s="106" t="e">
        <f>IF(($A43&lt;'Alternative 1'!$B$27),(($H43*'Alternative 1'!$B$39)+(3*($N$32/3)*COS($K$33))),IF(($A43&lt;'Alternative 1'!$B$28),(($H43*'Alternative 1'!$B$39)+(2*(($N$32/3)*COS($K$33)))),IF(($A43&lt;'Alternative 1'!$B$29),(($H$3*'Alternative 1'!$B$39+(($N$32/3)*COS($K$33)))),($H43*'Alternative 1'!$B$39))))</f>
        <v>#VALUE!</v>
      </c>
      <c r="AL43" s="105" t="e">
        <f>AJ43*'Alternative 1'!$K44/'Alternative 1'!$L44</f>
        <v>#VALUE!</v>
      </c>
      <c r="AM43" s="105" t="e">
        <f>AK43/'Alternative 1'!$M44</f>
        <v>#VALUE!</v>
      </c>
      <c r="AN43" s="105" t="e">
        <f t="shared" si="5"/>
        <v>#VALUE!</v>
      </c>
      <c r="AP43" s="105" t="e">
        <f>'Alternative 1'!$B$39*$B43*$C43*COS($K$43)-($N$42/3)*$E43*SIN($K$43)-($N$42/3)*$F43*SIN($K$43)-($N$42/3)*$G43*SIN($K$43)</f>
        <v>#VALUE!</v>
      </c>
      <c r="AQ43" s="106" t="e">
        <f>IF(($A43&lt;'Alternative 1'!$B$27),(($H43*'Alternative 1'!$B$39)+(3*($N$42/3)*COS($K$43))),IF(($A43&lt;'Alternative 1'!$B$28),(($H43*'Alternative 1'!$B$39)+(2*(($N$42/3)*COS($K$43)))),IF(($A43&lt;'Alternative 1'!$B$29),(($H$3*'Alternative 1'!$B$39+(($N$42/3)*COS($K$43)))),($H43*'Alternative 1'!$B$39))))</f>
        <v>#VALUE!</v>
      </c>
      <c r="AR43" s="105" t="e">
        <f>AP43*'Alternative 1'!$K44/'Alternative 1'!$L44</f>
        <v>#VALUE!</v>
      </c>
      <c r="AS43" s="105" t="e">
        <f>AQ43/'Alternative 1'!$M44</f>
        <v>#VALUE!</v>
      </c>
      <c r="AT43" s="105" t="e">
        <f t="shared" si="6"/>
        <v>#VALUE!</v>
      </c>
      <c r="AV43" s="105" t="e">
        <f>'Alternative 1'!$B$39*$B43*$C43*COS($K$53)-($N$52/3)*$E43*SIN($K$53)-($N$52/3)*$F43*SIN($K$53)-($N$52/3)*$G43*SIN($K$53)</f>
        <v>#VALUE!</v>
      </c>
      <c r="AW43" s="106" t="e">
        <f>IF(($A43&lt;'Alternative 1'!$B$27),(($H43*'Alternative 1'!$B$39)+(3*($N$52/3)*COS($K$53))),IF(($A43&lt;'Alternative 1'!$B$28),(($H43*'Alternative 1'!$B$39)+(2*(($N$52/3)*COS($K$53)))),IF(($A43&lt;'Alternative 1'!$B$29),(($H$3*'Alternative 1'!$B$39+(($N$52/3)*COS($K$53)))),($H43*'Alternative 1'!$B$39))))</f>
        <v>#VALUE!</v>
      </c>
      <c r="AX43" s="105" t="e">
        <f>AV43*'Alternative 1'!$K44/'Alternative 1'!$L44</f>
        <v>#VALUE!</v>
      </c>
      <c r="AY43" s="105" t="e">
        <f>AW43/'Alternative 1'!$M44</f>
        <v>#VALUE!</v>
      </c>
      <c r="AZ43" s="105" t="e">
        <f t="shared" si="7"/>
        <v>#VALUE!</v>
      </c>
      <c r="BB43" s="105" t="e">
        <f>'Alternative 1'!$B$39*$B43*$C43*COS($K$63)-($N$62/3)*$E43*SIN($K$63)-($N$62/3)*$F43*SIN($K$63)-($N$62/3)*$G43*SIN($K$63)</f>
        <v>#VALUE!</v>
      </c>
      <c r="BC43" s="106" t="e">
        <f>IF(($A43&lt;'Alternative 1'!$B$27),(($H43*'Alternative 1'!$B$39)+(3*($N$62/3)*COS($K$63))),IF(($A43&lt;'Alternative 1'!$B$28),(($H43*'Alternative 1'!$B$39)+(2*(($N$62/3)*COS($K$63)))),IF(($A43&lt;'Alternative 1'!$B$29),(($H$3*'Alternative 1'!$B$39+(($N$62/3)*COS($K$63)))),($H43*'Alternative 1'!$B$39))))</f>
        <v>#VALUE!</v>
      </c>
      <c r="BD43" s="105" t="e">
        <f>BB43*'Alternative 1'!$K44/'Alternative 1'!$L44</f>
        <v>#VALUE!</v>
      </c>
      <c r="BE43" s="105" t="e">
        <f>BC43/'Alternative 1'!$M44</f>
        <v>#VALUE!</v>
      </c>
      <c r="BF43" s="105" t="e">
        <f t="shared" si="8"/>
        <v>#VALUE!</v>
      </c>
      <c r="BH43" s="105" t="e">
        <f>'Alternative 1'!$B$39*$B43*$C43*COS($K$73)-($N$72/3)*$E43*SIN($K$73)-($N$72/3)*$F43*SIN($K$73)-($N$72/3)*$G43*SIN($K$73)</f>
        <v>#VALUE!</v>
      </c>
      <c r="BI43" s="106" t="e">
        <f>IF(($A43&lt;'Alternative 1'!$B$27),(($H43*'Alternative 1'!$B$39)+(3*($N$72/3)*COS($K$73))),IF(($A43&lt;'Alternative 1'!$B$28),(($H43*'Alternative 1'!$B$39)+(2*(($N$72/3)*COS($K$73)))),IF(($A43&lt;'Alternative 1'!$B$29),(($H$3*'Alternative 1'!$B$39+(($N$72/3)*COS($K$73)))),($H43*'Alternative 1'!$B$39))))</f>
        <v>#VALUE!</v>
      </c>
      <c r="BJ43" s="105" t="e">
        <f>BH43*'Alternative 1'!$K44/'Alternative 1'!$L44</f>
        <v>#VALUE!</v>
      </c>
      <c r="BK43" s="105" t="e">
        <f>BI43/'Alternative 1'!$M44</f>
        <v>#VALUE!</v>
      </c>
      <c r="BL43" s="105" t="e">
        <f t="shared" si="9"/>
        <v>#VALUE!</v>
      </c>
      <c r="BN43" s="105" t="e">
        <f>'Alternative 1'!$B$39*$B43*$C43*COS($K$83)-($N$82/3)*$E43*SIN($K$83)-($N$82/3)*$F43*SIN($K$83)-($N$82/3)*$G43*SIN($K$83)</f>
        <v>#VALUE!</v>
      </c>
      <c r="BO43" s="106" t="e">
        <f>IF(($A43&lt;'Alternative 1'!$B$27),(($H43*'Alternative 1'!$B$39)+(3*($N$82/3)*COS($K$83))),IF(($A43&lt;'Alternative 1'!$B$28),(($H43*'Alternative 1'!$B$39)+(2*(($N$82/3)*COS($K$83)))),IF(($A43&lt;'Alternative 1'!$B$29),(($H$3*'Alternative 1'!$B$39+(($N$82/3)*COS($K$83)))),($H43*'Alternative 1'!$B$39))))</f>
        <v>#VALUE!</v>
      </c>
      <c r="BP43" s="105" t="e">
        <f>BN43*'Alternative 1'!$K44/'Alternative 1'!$L44</f>
        <v>#VALUE!</v>
      </c>
      <c r="BQ43" s="105" t="e">
        <f>BO43/'Alternative 1'!$M44</f>
        <v>#VALUE!</v>
      </c>
      <c r="BR43" s="105" t="e">
        <f t="shared" si="10"/>
        <v>#VALUE!</v>
      </c>
      <c r="BT43" s="105" t="e">
        <f>'Alternative 1'!$B$39*$B43*$C43*COS($K$93)-($K$92/3)*$E43*SIN($K$93)-($K$92/3)*$F43*SIN($K$93)-($K$92/3)*$G43*SIN($K$93)</f>
        <v>#VALUE!</v>
      </c>
      <c r="BU43" s="106" t="e">
        <f>IF(($A43&lt;'Alternative 1'!$B$27),(($H43*'Alternative 1'!$B$39)+(3*($N$92/3)*COS($K$93))),IF(($A43&lt;'Alternative 1'!$B$28),(($H43*'Alternative 1'!$B$39)+(2*(($N$92/3)*COS($K$93)))),IF(($A43&lt;'Alternative 1'!$B$29),(($H$3*'Alternative 1'!$B$39+(($N$92/3)*COS($K$93)))),($H43*'Alternative 1'!$B$39))))</f>
        <v>#VALUE!</v>
      </c>
      <c r="BV43" s="105" t="e">
        <f>BT43*'Alternative 1'!$K44/'Alternative 1'!$L44</f>
        <v>#VALUE!</v>
      </c>
      <c r="BW43" s="105" t="e">
        <f>BU43/'Alternative 1'!$M44</f>
        <v>#VALUE!</v>
      </c>
      <c r="BX43" s="105" t="e">
        <f t="shared" si="11"/>
        <v>#VALUE!</v>
      </c>
      <c r="BZ43" s="104">
        <v>150</v>
      </c>
      <c r="CA43" s="104">
        <v>-150</v>
      </c>
    </row>
    <row r="44" spans="1:79" ht="15" customHeight="1" x14ac:dyDescent="0.25">
      <c r="A44" s="18" t="str">
        <f>IF('Alternative 1'!F45&gt;0,'Alternative 1'!F45,"x")</f>
        <v>x</v>
      </c>
      <c r="B44" s="18" t="e">
        <f t="shared" si="17"/>
        <v>#VALUE!</v>
      </c>
      <c r="C44" s="18">
        <f t="shared" si="12"/>
        <v>0</v>
      </c>
      <c r="D44" s="18" t="str">
        <f t="shared" si="13"/>
        <v>x</v>
      </c>
      <c r="E44" s="101">
        <f>IF($A44&lt;='Alternative 1'!$B$27, IF($A44='Alternative 1'!$B$27,0,E45+1),0)</f>
        <v>0</v>
      </c>
      <c r="F44" s="101">
        <f>IF($A44&lt;=('Alternative 1'!$B$28), IF($A44=ROUNDDOWN('Alternative 1'!$B$28,0),0,F45+1),0)</f>
        <v>0</v>
      </c>
      <c r="G44" s="101">
        <f>IF($A44&lt;=('Alternative 1'!$B$29), IF($A44=ROUNDDOWN('Alternative 1'!$B$29,0),0,G45+1),0)</f>
        <v>0</v>
      </c>
      <c r="H44" s="18" t="e">
        <f t="shared" si="14"/>
        <v>#VALUE!</v>
      </c>
      <c r="J44" s="104">
        <f t="shared" si="15"/>
        <v>41</v>
      </c>
      <c r="K44" s="104">
        <f t="shared" si="16"/>
        <v>0.715584993317675</v>
      </c>
      <c r="L44" s="105">
        <f>'Alternative 1'!$B$27*SIN(K44)+'Alternative 1'!$B$28*SIN(K44)+'Alternative 1'!$B$29*SIN(K44)</f>
        <v>44.612013971354486</v>
      </c>
      <c r="M44" s="104">
        <f>(('Alternative 1'!$B$27)*(((('Alternative 1'!$B$28-'Alternative 1'!$B$27)/2)+'Alternative 1'!$B$27)*'Alternative 1'!$B$39)*COS('Alternative 1-Tilt Up (3pt)'!K44))+(('Alternative 1'!$B$28)*((('Alternative 1'!$B$28-'Alternative 1'!$B$27)/2)+(('Alternative 1'!$B$29-'Alternative 1'!$B$28)/2))*('Alternative 1'!$B$39)*COS('Alternative 1-Tilt Up (3pt)'!K44))+(('Alternative 1'!$B$29)*((('Alternative 1'!$B$12-'Alternative 1'!$B$29+(('Alternative 1'!$B$29-'Alternative 1'!$B$28)/2)*('Alternative 1'!$B$39)*COS('Alternative 1-Tilt Up (3pt)'!K44)))))</f>
        <v>3581984.501112124</v>
      </c>
      <c r="N44" s="104">
        <f t="shared" si="0"/>
        <v>240875.77642731805</v>
      </c>
      <c r="O44" s="104">
        <f>(((('Alternative 1'!$B$28-'Alternative 1'!$B$27)/2)+'Alternative 1'!$B$27)*('Alternative 1'!$B$39)*COS('Alternative 1-Tilt Up (3pt)'!K44))+(((('Alternative 1'!$B$28-'Alternative 1'!$B$27)/2)+(('Alternative 1'!$B$29-'Alternative 1'!$B$28)/2))*('Alternative 1'!$B$39)*COS('Alternative 1-Tilt Up (3pt)'!K44))+(((('Alternative 1'!$B$12-'Alternative 1'!$B$29)+(('Alternative 1'!$B$29-'Alternative 1'!$B$28)/2))*('Alternative 1'!$B$39)*COS('Alternative 1-Tilt Up (3pt)'!K44)))</f>
        <v>231031.62622679668</v>
      </c>
      <c r="P44" s="104">
        <f t="shared" si="1"/>
        <v>181791.2561132955</v>
      </c>
      <c r="R44" s="105" t="e">
        <f>'Alternative 1'!$B$39*$B44*$C44*COS($K$5)-($N$5/3)*$E44*SIN($K$5)-($N$5/3)*$F44*SIN($K$5)-($N$5/3)*$G44*SIN($K$5)</f>
        <v>#VALUE!</v>
      </c>
      <c r="S44" s="106" t="e">
        <f>IF(($A44&lt;'Alternative 1'!$B$27),(($H44*'Alternative 1'!$B$39)+(3*($N$5/3)*COS($K$5))),IF(($A44&lt;'Alternative 1'!$B$28),(($H44*'Alternative 1'!$B$39)+(2*(($N$5/3)*COS($K$5)))),IF(($A44&lt;'Alternative 1'!$B$29),(($H$3*'Alternative 1'!$B$39+(($N$5/3)*COS($K$5)))),($H44*'Alternative 1'!$B$39))))</f>
        <v>#VALUE!</v>
      </c>
      <c r="T44" s="105" t="e">
        <f>R44*'Alternative 1'!$K45/'Alternative 1'!$L45</f>
        <v>#VALUE!</v>
      </c>
      <c r="U44" s="105" t="e">
        <f>S44/'Alternative 1'!$M45</f>
        <v>#VALUE!</v>
      </c>
      <c r="V44" s="105" t="e">
        <f t="shared" si="2"/>
        <v>#VALUE!</v>
      </c>
      <c r="X44" s="105" t="e">
        <f>'Alternative 1'!$B$39*$B44*$C44*COS($K$13)-($N$12/3)*$E44*SIN($K$13)-($N$12/3)*$F44*SIN($K$13)-($N$12/3)*$G44*SIN($K$13)</f>
        <v>#VALUE!</v>
      </c>
      <c r="Y44" s="106" t="e">
        <f>IF(($A44&lt;'Alternative 1'!$B$27),(($H44*'Alternative 1'!$B$39)+(3*($N$12/3)*COS($K$13))),IF(($A44&lt;'Alternative 1'!$B$28),(($H44*'Alternative 1'!$B$39)+(2*(($N$12/3)*COS($K$13)))),IF(($A44&lt;'Alternative 1'!$B$29),(($H$3*'Alternative 1'!$B$39+(($N$12/3)*COS($K$13)))),($H44*'Alternative 1'!$B$39))))</f>
        <v>#VALUE!</v>
      </c>
      <c r="Z44" s="105" t="e">
        <f>X44*'Alternative 1'!$K45/'Alternative 1'!$L45</f>
        <v>#VALUE!</v>
      </c>
      <c r="AA44" s="105" t="e">
        <f>Y44/'Alternative 1'!$M45</f>
        <v>#VALUE!</v>
      </c>
      <c r="AB44" s="105" t="e">
        <f t="shared" si="3"/>
        <v>#VALUE!</v>
      </c>
      <c r="AD44" s="105" t="e">
        <f>'Alternative 1'!$B$39*$B44*$C44*COS($K$23)-($N$22/3)*$E44*SIN($K$23)-($N$22/3)*$F44*SIN($K$23)-($N$22/3)*$G44*SIN($K$23)</f>
        <v>#VALUE!</v>
      </c>
      <c r="AE44" s="106" t="e">
        <f>IF(($A44&lt;'Alternative 1'!$B$27),(($H44*'Alternative 1'!$B$39)+(3*($N$22/3)*COS($K$23))),IF(($A44&lt;'Alternative 1'!$B$28),(($H44*'Alternative 1'!$B$39)+(2*(($N$22/3)*COS($K$23)))),IF(($A44&lt;'Alternative 1'!$B$29),(($H$3*'Alternative 1'!$B$39+(($N$22/3)*COS($K$23)))),($H44*'Alternative 1'!$B$39))))</f>
        <v>#VALUE!</v>
      </c>
      <c r="AF44" s="105" t="e">
        <f>AD44*'Alternative 1'!$K45/'Alternative 1'!$L45</f>
        <v>#VALUE!</v>
      </c>
      <c r="AG44" s="105" t="e">
        <f>AE44/'Alternative 1'!$M45</f>
        <v>#VALUE!</v>
      </c>
      <c r="AH44" s="105" t="e">
        <f t="shared" si="4"/>
        <v>#VALUE!</v>
      </c>
      <c r="AJ44" s="105" t="e">
        <f>'Alternative 1'!$B$39*$B44*$C44*COS($K$33)-($N$32/3)*$E44*SIN($K$33)-($N$32/3)*$F44*SIN($K$33)-($N$32/3)*$G44*SIN($K$33)</f>
        <v>#VALUE!</v>
      </c>
      <c r="AK44" s="106" t="e">
        <f>IF(($A44&lt;'Alternative 1'!$B$27),(($H44*'Alternative 1'!$B$39)+(3*($N$32/3)*COS($K$33))),IF(($A44&lt;'Alternative 1'!$B$28),(($H44*'Alternative 1'!$B$39)+(2*(($N$32/3)*COS($K$33)))),IF(($A44&lt;'Alternative 1'!$B$29),(($H$3*'Alternative 1'!$B$39+(($N$32/3)*COS($K$33)))),($H44*'Alternative 1'!$B$39))))</f>
        <v>#VALUE!</v>
      </c>
      <c r="AL44" s="105" t="e">
        <f>AJ44*'Alternative 1'!$K45/'Alternative 1'!$L45</f>
        <v>#VALUE!</v>
      </c>
      <c r="AM44" s="105" t="e">
        <f>AK44/'Alternative 1'!$M45</f>
        <v>#VALUE!</v>
      </c>
      <c r="AN44" s="105" t="e">
        <f t="shared" si="5"/>
        <v>#VALUE!</v>
      </c>
      <c r="AP44" s="105" t="e">
        <f>'Alternative 1'!$B$39*$B44*$C44*COS($K$43)-($N$42/3)*$E44*SIN($K$43)-($N$42/3)*$F44*SIN($K$43)-($N$42/3)*$G44*SIN($K$43)</f>
        <v>#VALUE!</v>
      </c>
      <c r="AQ44" s="106" t="e">
        <f>IF(($A44&lt;'Alternative 1'!$B$27),(($H44*'Alternative 1'!$B$39)+(3*($N$42/3)*COS($K$43))),IF(($A44&lt;'Alternative 1'!$B$28),(($H44*'Alternative 1'!$B$39)+(2*(($N$42/3)*COS($K$43)))),IF(($A44&lt;'Alternative 1'!$B$29),(($H$3*'Alternative 1'!$B$39+(($N$42/3)*COS($K$43)))),($H44*'Alternative 1'!$B$39))))</f>
        <v>#VALUE!</v>
      </c>
      <c r="AR44" s="105" t="e">
        <f>AP44*'Alternative 1'!$K45/'Alternative 1'!$L45</f>
        <v>#VALUE!</v>
      </c>
      <c r="AS44" s="105" t="e">
        <f>AQ44/'Alternative 1'!$M45</f>
        <v>#VALUE!</v>
      </c>
      <c r="AT44" s="105" t="e">
        <f t="shared" si="6"/>
        <v>#VALUE!</v>
      </c>
      <c r="AV44" s="105" t="e">
        <f>'Alternative 1'!$B$39*$B44*$C44*COS($K$53)-($N$52/3)*$E44*SIN($K$53)-($N$52/3)*$F44*SIN($K$53)-($N$52/3)*$G44*SIN($K$53)</f>
        <v>#VALUE!</v>
      </c>
      <c r="AW44" s="106" t="e">
        <f>IF(($A44&lt;'Alternative 1'!$B$27),(($H44*'Alternative 1'!$B$39)+(3*($N$52/3)*COS($K$53))),IF(($A44&lt;'Alternative 1'!$B$28),(($H44*'Alternative 1'!$B$39)+(2*(($N$52/3)*COS($K$53)))),IF(($A44&lt;'Alternative 1'!$B$29),(($H$3*'Alternative 1'!$B$39+(($N$52/3)*COS($K$53)))),($H44*'Alternative 1'!$B$39))))</f>
        <v>#VALUE!</v>
      </c>
      <c r="AX44" s="105" t="e">
        <f>AV44*'Alternative 1'!$K45/'Alternative 1'!$L45</f>
        <v>#VALUE!</v>
      </c>
      <c r="AY44" s="105" t="e">
        <f>AW44/'Alternative 1'!$M45</f>
        <v>#VALUE!</v>
      </c>
      <c r="AZ44" s="105" t="e">
        <f t="shared" si="7"/>
        <v>#VALUE!</v>
      </c>
      <c r="BB44" s="105" t="e">
        <f>'Alternative 1'!$B$39*$B44*$C44*COS($K$63)-($N$62/3)*$E44*SIN($K$63)-($N$62/3)*$F44*SIN($K$63)-($N$62/3)*$G44*SIN($K$63)</f>
        <v>#VALUE!</v>
      </c>
      <c r="BC44" s="106" t="e">
        <f>IF(($A44&lt;'Alternative 1'!$B$27),(($H44*'Alternative 1'!$B$39)+(3*($N$62/3)*COS($K$63))),IF(($A44&lt;'Alternative 1'!$B$28),(($H44*'Alternative 1'!$B$39)+(2*(($N$62/3)*COS($K$63)))),IF(($A44&lt;'Alternative 1'!$B$29),(($H$3*'Alternative 1'!$B$39+(($N$62/3)*COS($K$63)))),($H44*'Alternative 1'!$B$39))))</f>
        <v>#VALUE!</v>
      </c>
      <c r="BD44" s="105" t="e">
        <f>BB44*'Alternative 1'!$K45/'Alternative 1'!$L45</f>
        <v>#VALUE!</v>
      </c>
      <c r="BE44" s="105" t="e">
        <f>BC44/'Alternative 1'!$M45</f>
        <v>#VALUE!</v>
      </c>
      <c r="BF44" s="105" t="e">
        <f t="shared" si="8"/>
        <v>#VALUE!</v>
      </c>
      <c r="BH44" s="105" t="e">
        <f>'Alternative 1'!$B$39*$B44*$C44*COS($K$73)-($N$72/3)*$E44*SIN($K$73)-($N$72/3)*$F44*SIN($K$73)-($N$72/3)*$G44*SIN($K$73)</f>
        <v>#VALUE!</v>
      </c>
      <c r="BI44" s="106" t="e">
        <f>IF(($A44&lt;'Alternative 1'!$B$27),(($H44*'Alternative 1'!$B$39)+(3*($N$72/3)*COS($K$73))),IF(($A44&lt;'Alternative 1'!$B$28),(($H44*'Alternative 1'!$B$39)+(2*(($N$72/3)*COS($K$73)))),IF(($A44&lt;'Alternative 1'!$B$29),(($H$3*'Alternative 1'!$B$39+(($N$72/3)*COS($K$73)))),($H44*'Alternative 1'!$B$39))))</f>
        <v>#VALUE!</v>
      </c>
      <c r="BJ44" s="105" t="e">
        <f>BH44*'Alternative 1'!$K45/'Alternative 1'!$L45</f>
        <v>#VALUE!</v>
      </c>
      <c r="BK44" s="105" t="e">
        <f>BI44/'Alternative 1'!$M45</f>
        <v>#VALUE!</v>
      </c>
      <c r="BL44" s="105" t="e">
        <f t="shared" si="9"/>
        <v>#VALUE!</v>
      </c>
      <c r="BN44" s="105" t="e">
        <f>'Alternative 1'!$B$39*$B44*$C44*COS($K$83)-($N$82/3)*$E44*SIN($K$83)-($N$82/3)*$F44*SIN($K$83)-($N$82/3)*$G44*SIN($K$83)</f>
        <v>#VALUE!</v>
      </c>
      <c r="BO44" s="106" t="e">
        <f>IF(($A44&lt;'Alternative 1'!$B$27),(($H44*'Alternative 1'!$B$39)+(3*($N$82/3)*COS($K$83))),IF(($A44&lt;'Alternative 1'!$B$28),(($H44*'Alternative 1'!$B$39)+(2*(($N$82/3)*COS($K$83)))),IF(($A44&lt;'Alternative 1'!$B$29),(($H$3*'Alternative 1'!$B$39+(($N$82/3)*COS($K$83)))),($H44*'Alternative 1'!$B$39))))</f>
        <v>#VALUE!</v>
      </c>
      <c r="BP44" s="105" t="e">
        <f>BN44*'Alternative 1'!$K45/'Alternative 1'!$L45</f>
        <v>#VALUE!</v>
      </c>
      <c r="BQ44" s="105" t="e">
        <f>BO44/'Alternative 1'!$M45</f>
        <v>#VALUE!</v>
      </c>
      <c r="BR44" s="105" t="e">
        <f t="shared" si="10"/>
        <v>#VALUE!</v>
      </c>
      <c r="BT44" s="105" t="e">
        <f>'Alternative 1'!$B$39*$B44*$C44*COS($K$93)-($K$92/3)*$E44*SIN($K$93)-($K$92/3)*$F44*SIN($K$93)-($K$92/3)*$G44*SIN($K$93)</f>
        <v>#VALUE!</v>
      </c>
      <c r="BU44" s="106" t="e">
        <f>IF(($A44&lt;'Alternative 1'!$B$27),(($H44*'Alternative 1'!$B$39)+(3*($N$92/3)*COS($K$93))),IF(($A44&lt;'Alternative 1'!$B$28),(($H44*'Alternative 1'!$B$39)+(2*(($N$92/3)*COS($K$93)))),IF(($A44&lt;'Alternative 1'!$B$29),(($H$3*'Alternative 1'!$B$39+(($N$92/3)*COS($K$93)))),($H44*'Alternative 1'!$B$39))))</f>
        <v>#VALUE!</v>
      </c>
      <c r="BV44" s="105" t="e">
        <f>BT44*'Alternative 1'!$K45/'Alternative 1'!$L45</f>
        <v>#VALUE!</v>
      </c>
      <c r="BW44" s="105" t="e">
        <f>BU44/'Alternative 1'!$M45</f>
        <v>#VALUE!</v>
      </c>
      <c r="BX44" s="105" t="e">
        <f t="shared" si="11"/>
        <v>#VALUE!</v>
      </c>
      <c r="BZ44" s="104">
        <v>150</v>
      </c>
      <c r="CA44" s="104">
        <v>-150</v>
      </c>
    </row>
    <row r="45" spans="1:79" ht="15" customHeight="1" x14ac:dyDescent="0.25">
      <c r="A45" s="18" t="str">
        <f>IF('Alternative 1'!F46&gt;0,'Alternative 1'!F46,"x")</f>
        <v>x</v>
      </c>
      <c r="B45" s="18" t="e">
        <f t="shared" si="17"/>
        <v>#VALUE!</v>
      </c>
      <c r="C45" s="18">
        <f t="shared" si="12"/>
        <v>0</v>
      </c>
      <c r="D45" s="18" t="str">
        <f t="shared" si="13"/>
        <v>x</v>
      </c>
      <c r="E45" s="101">
        <f>IF($A45&lt;='Alternative 1'!$B$27, IF($A45='Alternative 1'!$B$27,0,E46+1),0)</f>
        <v>0</v>
      </c>
      <c r="F45" s="101">
        <f>IF($A45&lt;=('Alternative 1'!$B$28), IF($A45=ROUNDDOWN('Alternative 1'!$B$28,0),0,F46+1),0)</f>
        <v>0</v>
      </c>
      <c r="G45" s="101">
        <f>IF($A45&lt;=('Alternative 1'!$B$29), IF($A45=ROUNDDOWN('Alternative 1'!$B$29,0),0,G46+1),0)</f>
        <v>0</v>
      </c>
      <c r="H45" s="18" t="e">
        <f t="shared" si="14"/>
        <v>#VALUE!</v>
      </c>
      <c r="J45" s="104">
        <f t="shared" si="15"/>
        <v>42</v>
      </c>
      <c r="K45" s="104">
        <f t="shared" si="16"/>
        <v>0.73303828583761843</v>
      </c>
      <c r="L45" s="105">
        <f>'Alternative 1'!$B$27*SIN(K45)+'Alternative 1'!$B$28*SIN(K45)+'Alternative 1'!$B$29*SIN(K45)</f>
        <v>45.500881232402364</v>
      </c>
      <c r="M45" s="104">
        <f>(('Alternative 1'!$B$27)*(((('Alternative 1'!$B$28-'Alternative 1'!$B$27)/2)+'Alternative 1'!$B$27)*'Alternative 1'!$B$39)*COS('Alternative 1-Tilt Up (3pt)'!K45))+(('Alternative 1'!$B$28)*((('Alternative 1'!$B$28-'Alternative 1'!$B$27)/2)+(('Alternative 1'!$B$29-'Alternative 1'!$B$28)/2))*('Alternative 1'!$B$39)*COS('Alternative 1-Tilt Up (3pt)'!K45))+(('Alternative 1'!$B$29)*((('Alternative 1'!$B$12-'Alternative 1'!$B$29+(('Alternative 1'!$B$29-'Alternative 1'!$B$28)/2)*('Alternative 1'!$B$39)*COS('Alternative 1-Tilt Up (3pt)'!K45)))))</f>
        <v>3527099.137368381</v>
      </c>
      <c r="N45" s="104">
        <f t="shared" si="0"/>
        <v>232551.48308138538</v>
      </c>
      <c r="O45" s="104">
        <f>(((('Alternative 1'!$B$28-'Alternative 1'!$B$27)/2)+'Alternative 1'!$B$27)*('Alternative 1'!$B$39)*COS('Alternative 1-Tilt Up (3pt)'!K45))+(((('Alternative 1'!$B$28-'Alternative 1'!$B$27)/2)+(('Alternative 1'!$B$29-'Alternative 1'!$B$28)/2))*('Alternative 1'!$B$39)*COS('Alternative 1-Tilt Up (3pt)'!K45))+(((('Alternative 1'!$B$12-'Alternative 1'!$B$29)+(('Alternative 1'!$B$29-'Alternative 1'!$B$28)/2))*('Alternative 1'!$B$39)*COS('Alternative 1-Tilt Up (3pt)'!K45)))</f>
        <v>227491.42458400043</v>
      </c>
      <c r="P45" s="104">
        <f t="shared" si="1"/>
        <v>172819.43130902533</v>
      </c>
      <c r="R45" s="105" t="e">
        <f>'Alternative 1'!$B$39*$B45*$C45*COS($K$5)-($N$5/3)*$E45*SIN($K$5)-($N$5/3)*$F45*SIN($K$5)-($N$5/3)*$G45*SIN($K$5)</f>
        <v>#VALUE!</v>
      </c>
      <c r="S45" s="106" t="e">
        <f>IF(($A45&lt;'Alternative 1'!$B$27),(($H45*'Alternative 1'!$B$39)+(3*($N$5/3)*COS($K$5))),IF(($A45&lt;'Alternative 1'!$B$28),(($H45*'Alternative 1'!$B$39)+(2*(($N$5/3)*COS($K$5)))),IF(($A45&lt;'Alternative 1'!$B$29),(($H$3*'Alternative 1'!$B$39+(($N$5/3)*COS($K$5)))),($H45*'Alternative 1'!$B$39))))</f>
        <v>#VALUE!</v>
      </c>
      <c r="T45" s="105" t="e">
        <f>R45*'Alternative 1'!$K46/'Alternative 1'!$L46</f>
        <v>#VALUE!</v>
      </c>
      <c r="U45" s="105" t="e">
        <f>S45/'Alternative 1'!$M46</f>
        <v>#VALUE!</v>
      </c>
      <c r="V45" s="105" t="e">
        <f t="shared" si="2"/>
        <v>#VALUE!</v>
      </c>
      <c r="X45" s="105" t="e">
        <f>'Alternative 1'!$B$39*$B45*$C45*COS($K$13)-($N$12/3)*$E45*SIN($K$13)-($N$12/3)*$F45*SIN($K$13)-($N$12/3)*$G45*SIN($K$13)</f>
        <v>#VALUE!</v>
      </c>
      <c r="Y45" s="106" t="e">
        <f>IF(($A45&lt;'Alternative 1'!$B$27),(($H45*'Alternative 1'!$B$39)+(3*($N$12/3)*COS($K$13))),IF(($A45&lt;'Alternative 1'!$B$28),(($H45*'Alternative 1'!$B$39)+(2*(($N$12/3)*COS($K$13)))),IF(($A45&lt;'Alternative 1'!$B$29),(($H$3*'Alternative 1'!$B$39+(($N$12/3)*COS($K$13)))),($H45*'Alternative 1'!$B$39))))</f>
        <v>#VALUE!</v>
      </c>
      <c r="Z45" s="105" t="e">
        <f>X45*'Alternative 1'!$K46/'Alternative 1'!$L46</f>
        <v>#VALUE!</v>
      </c>
      <c r="AA45" s="105" t="e">
        <f>Y45/'Alternative 1'!$M46</f>
        <v>#VALUE!</v>
      </c>
      <c r="AB45" s="105" t="e">
        <f t="shared" si="3"/>
        <v>#VALUE!</v>
      </c>
      <c r="AD45" s="105" t="e">
        <f>'Alternative 1'!$B$39*$B45*$C45*COS($K$23)-($N$22/3)*$E45*SIN($K$23)-($N$22/3)*$F45*SIN($K$23)-($N$22/3)*$G45*SIN($K$23)</f>
        <v>#VALUE!</v>
      </c>
      <c r="AE45" s="106" t="e">
        <f>IF(($A45&lt;'Alternative 1'!$B$27),(($H45*'Alternative 1'!$B$39)+(3*($N$22/3)*COS($K$23))),IF(($A45&lt;'Alternative 1'!$B$28),(($H45*'Alternative 1'!$B$39)+(2*(($N$22/3)*COS($K$23)))),IF(($A45&lt;'Alternative 1'!$B$29),(($H$3*'Alternative 1'!$B$39+(($N$22/3)*COS($K$23)))),($H45*'Alternative 1'!$B$39))))</f>
        <v>#VALUE!</v>
      </c>
      <c r="AF45" s="105" t="e">
        <f>AD45*'Alternative 1'!$K46/'Alternative 1'!$L46</f>
        <v>#VALUE!</v>
      </c>
      <c r="AG45" s="105" t="e">
        <f>AE45/'Alternative 1'!$M46</f>
        <v>#VALUE!</v>
      </c>
      <c r="AH45" s="105" t="e">
        <f t="shared" si="4"/>
        <v>#VALUE!</v>
      </c>
      <c r="AJ45" s="105" t="e">
        <f>'Alternative 1'!$B$39*$B45*$C45*COS($K$33)-($N$32/3)*$E45*SIN($K$33)-($N$32/3)*$F45*SIN($K$33)-($N$32/3)*$G45*SIN($K$33)</f>
        <v>#VALUE!</v>
      </c>
      <c r="AK45" s="106" t="e">
        <f>IF(($A45&lt;'Alternative 1'!$B$27),(($H45*'Alternative 1'!$B$39)+(3*($N$32/3)*COS($K$33))),IF(($A45&lt;'Alternative 1'!$B$28),(($H45*'Alternative 1'!$B$39)+(2*(($N$32/3)*COS($K$33)))),IF(($A45&lt;'Alternative 1'!$B$29),(($H$3*'Alternative 1'!$B$39+(($N$32/3)*COS($K$33)))),($H45*'Alternative 1'!$B$39))))</f>
        <v>#VALUE!</v>
      </c>
      <c r="AL45" s="105" t="e">
        <f>AJ45*'Alternative 1'!$K46/'Alternative 1'!$L46</f>
        <v>#VALUE!</v>
      </c>
      <c r="AM45" s="105" t="e">
        <f>AK45/'Alternative 1'!$M46</f>
        <v>#VALUE!</v>
      </c>
      <c r="AN45" s="105" t="e">
        <f t="shared" si="5"/>
        <v>#VALUE!</v>
      </c>
      <c r="AP45" s="105" t="e">
        <f>'Alternative 1'!$B$39*$B45*$C45*COS($K$43)-($N$42/3)*$E45*SIN($K$43)-($N$42/3)*$F45*SIN($K$43)-($N$42/3)*$G45*SIN($K$43)</f>
        <v>#VALUE!</v>
      </c>
      <c r="AQ45" s="106" t="e">
        <f>IF(($A45&lt;'Alternative 1'!$B$27),(($H45*'Alternative 1'!$B$39)+(3*($N$42/3)*COS($K$43))),IF(($A45&lt;'Alternative 1'!$B$28),(($H45*'Alternative 1'!$B$39)+(2*(($N$42/3)*COS($K$43)))),IF(($A45&lt;'Alternative 1'!$B$29),(($H$3*'Alternative 1'!$B$39+(($N$42/3)*COS($K$43)))),($H45*'Alternative 1'!$B$39))))</f>
        <v>#VALUE!</v>
      </c>
      <c r="AR45" s="105" t="e">
        <f>AP45*'Alternative 1'!$K46/'Alternative 1'!$L46</f>
        <v>#VALUE!</v>
      </c>
      <c r="AS45" s="105" t="e">
        <f>AQ45/'Alternative 1'!$M46</f>
        <v>#VALUE!</v>
      </c>
      <c r="AT45" s="105" t="e">
        <f t="shared" si="6"/>
        <v>#VALUE!</v>
      </c>
      <c r="AV45" s="105" t="e">
        <f>'Alternative 1'!$B$39*$B45*$C45*COS($K$53)-($N$52/3)*$E45*SIN($K$53)-($N$52/3)*$F45*SIN($K$53)-($N$52/3)*$G45*SIN($K$53)</f>
        <v>#VALUE!</v>
      </c>
      <c r="AW45" s="106" t="e">
        <f>IF(($A45&lt;'Alternative 1'!$B$27),(($H45*'Alternative 1'!$B$39)+(3*($N$52/3)*COS($K$53))),IF(($A45&lt;'Alternative 1'!$B$28),(($H45*'Alternative 1'!$B$39)+(2*(($N$52/3)*COS($K$53)))),IF(($A45&lt;'Alternative 1'!$B$29),(($H$3*'Alternative 1'!$B$39+(($N$52/3)*COS($K$53)))),($H45*'Alternative 1'!$B$39))))</f>
        <v>#VALUE!</v>
      </c>
      <c r="AX45" s="105" t="e">
        <f>AV45*'Alternative 1'!$K46/'Alternative 1'!$L46</f>
        <v>#VALUE!</v>
      </c>
      <c r="AY45" s="105" t="e">
        <f>AW45/'Alternative 1'!$M46</f>
        <v>#VALUE!</v>
      </c>
      <c r="AZ45" s="105" t="e">
        <f t="shared" si="7"/>
        <v>#VALUE!</v>
      </c>
      <c r="BB45" s="105" t="e">
        <f>'Alternative 1'!$B$39*$B45*$C45*COS($K$63)-($N$62/3)*$E45*SIN($K$63)-($N$62/3)*$F45*SIN($K$63)-($N$62/3)*$G45*SIN($K$63)</f>
        <v>#VALUE!</v>
      </c>
      <c r="BC45" s="106" t="e">
        <f>IF(($A45&lt;'Alternative 1'!$B$27),(($H45*'Alternative 1'!$B$39)+(3*($N$62/3)*COS($K$63))),IF(($A45&lt;'Alternative 1'!$B$28),(($H45*'Alternative 1'!$B$39)+(2*(($N$62/3)*COS($K$63)))),IF(($A45&lt;'Alternative 1'!$B$29),(($H$3*'Alternative 1'!$B$39+(($N$62/3)*COS($K$63)))),($H45*'Alternative 1'!$B$39))))</f>
        <v>#VALUE!</v>
      </c>
      <c r="BD45" s="105" t="e">
        <f>BB45*'Alternative 1'!$K46/'Alternative 1'!$L46</f>
        <v>#VALUE!</v>
      </c>
      <c r="BE45" s="105" t="e">
        <f>BC45/'Alternative 1'!$M46</f>
        <v>#VALUE!</v>
      </c>
      <c r="BF45" s="105" t="e">
        <f t="shared" si="8"/>
        <v>#VALUE!</v>
      </c>
      <c r="BH45" s="105" t="e">
        <f>'Alternative 1'!$B$39*$B45*$C45*COS($K$73)-($N$72/3)*$E45*SIN($K$73)-($N$72/3)*$F45*SIN($K$73)-($N$72/3)*$G45*SIN($K$73)</f>
        <v>#VALUE!</v>
      </c>
      <c r="BI45" s="106" t="e">
        <f>IF(($A45&lt;'Alternative 1'!$B$27),(($H45*'Alternative 1'!$B$39)+(3*($N$72/3)*COS($K$73))),IF(($A45&lt;'Alternative 1'!$B$28),(($H45*'Alternative 1'!$B$39)+(2*(($N$72/3)*COS($K$73)))),IF(($A45&lt;'Alternative 1'!$B$29),(($H$3*'Alternative 1'!$B$39+(($N$72/3)*COS($K$73)))),($H45*'Alternative 1'!$B$39))))</f>
        <v>#VALUE!</v>
      </c>
      <c r="BJ45" s="105" t="e">
        <f>BH45*'Alternative 1'!$K46/'Alternative 1'!$L46</f>
        <v>#VALUE!</v>
      </c>
      <c r="BK45" s="105" t="e">
        <f>BI45/'Alternative 1'!$M46</f>
        <v>#VALUE!</v>
      </c>
      <c r="BL45" s="105" t="e">
        <f t="shared" si="9"/>
        <v>#VALUE!</v>
      </c>
      <c r="BN45" s="105" t="e">
        <f>'Alternative 1'!$B$39*$B45*$C45*COS($K$83)-($N$82/3)*$E45*SIN($K$83)-($N$82/3)*$F45*SIN($K$83)-($N$82/3)*$G45*SIN($K$83)</f>
        <v>#VALUE!</v>
      </c>
      <c r="BO45" s="106" t="e">
        <f>IF(($A45&lt;'Alternative 1'!$B$27),(($H45*'Alternative 1'!$B$39)+(3*($N$82/3)*COS($K$83))),IF(($A45&lt;'Alternative 1'!$B$28),(($H45*'Alternative 1'!$B$39)+(2*(($N$82/3)*COS($K$83)))),IF(($A45&lt;'Alternative 1'!$B$29),(($H$3*'Alternative 1'!$B$39+(($N$82/3)*COS($K$83)))),($H45*'Alternative 1'!$B$39))))</f>
        <v>#VALUE!</v>
      </c>
      <c r="BP45" s="105" t="e">
        <f>BN45*'Alternative 1'!$K46/'Alternative 1'!$L46</f>
        <v>#VALUE!</v>
      </c>
      <c r="BQ45" s="105" t="e">
        <f>BO45/'Alternative 1'!$M46</f>
        <v>#VALUE!</v>
      </c>
      <c r="BR45" s="105" t="e">
        <f t="shared" si="10"/>
        <v>#VALUE!</v>
      </c>
      <c r="BT45" s="105" t="e">
        <f>'Alternative 1'!$B$39*$B45*$C45*COS($K$93)-($K$92/3)*$E45*SIN($K$93)-($K$92/3)*$F45*SIN($K$93)-($K$92/3)*$G45*SIN($K$93)</f>
        <v>#VALUE!</v>
      </c>
      <c r="BU45" s="106" t="e">
        <f>IF(($A45&lt;'Alternative 1'!$B$27),(($H45*'Alternative 1'!$B$39)+(3*($N$92/3)*COS($K$93))),IF(($A45&lt;'Alternative 1'!$B$28),(($H45*'Alternative 1'!$B$39)+(2*(($N$92/3)*COS($K$93)))),IF(($A45&lt;'Alternative 1'!$B$29),(($H$3*'Alternative 1'!$B$39+(($N$92/3)*COS($K$93)))),($H45*'Alternative 1'!$B$39))))</f>
        <v>#VALUE!</v>
      </c>
      <c r="BV45" s="105" t="e">
        <f>BT45*'Alternative 1'!$K46/'Alternative 1'!$L46</f>
        <v>#VALUE!</v>
      </c>
      <c r="BW45" s="105" t="e">
        <f>BU45/'Alternative 1'!$M46</f>
        <v>#VALUE!</v>
      </c>
      <c r="BX45" s="105" t="e">
        <f t="shared" si="11"/>
        <v>#VALUE!</v>
      </c>
      <c r="BZ45" s="104">
        <v>150</v>
      </c>
      <c r="CA45" s="104">
        <v>-150</v>
      </c>
    </row>
    <row r="46" spans="1:79" ht="15" customHeight="1" x14ac:dyDescent="0.25">
      <c r="A46" s="18" t="str">
        <f>IF('Alternative 1'!F47&gt;0,'Alternative 1'!F47,"x")</f>
        <v>x</v>
      </c>
      <c r="B46" s="18" t="e">
        <f t="shared" si="17"/>
        <v>#VALUE!</v>
      </c>
      <c r="C46" s="18">
        <f t="shared" si="12"/>
        <v>0</v>
      </c>
      <c r="D46" s="18" t="str">
        <f t="shared" si="13"/>
        <v>x</v>
      </c>
      <c r="E46" s="101">
        <f>IF($A46&lt;='Alternative 1'!$B$27, IF($A46='Alternative 1'!$B$27,0,E47+1),0)</f>
        <v>0</v>
      </c>
      <c r="F46" s="101">
        <f>IF($A46&lt;=('Alternative 1'!$B$28), IF($A46=ROUNDDOWN('Alternative 1'!$B$28,0),0,F47+1),0)</f>
        <v>0</v>
      </c>
      <c r="G46" s="101">
        <f>IF($A46&lt;=('Alternative 1'!$B$29), IF($A46=ROUNDDOWN('Alternative 1'!$B$29,0),0,G47+1),0)</f>
        <v>0</v>
      </c>
      <c r="H46" s="18" t="e">
        <f t="shared" si="14"/>
        <v>#VALUE!</v>
      </c>
      <c r="J46" s="104">
        <f t="shared" si="15"/>
        <v>43</v>
      </c>
      <c r="K46" s="104">
        <f t="shared" si="16"/>
        <v>0.75049157835756164</v>
      </c>
      <c r="L46" s="105">
        <f>'Alternative 1'!$B$27*SIN(K46)+'Alternative 1'!$B$28*SIN(K46)+'Alternative 1'!$B$29*SIN(K46)</f>
        <v>46.375888484249899</v>
      </c>
      <c r="M46" s="104">
        <f>(('Alternative 1'!$B$27)*(((('Alternative 1'!$B$28-'Alternative 1'!$B$27)/2)+'Alternative 1'!$B$27)*'Alternative 1'!$B$39)*COS('Alternative 1-Tilt Up (3pt)'!K46))+(('Alternative 1'!$B$28)*((('Alternative 1'!$B$28-'Alternative 1'!$B$27)/2)+(('Alternative 1'!$B$29-'Alternative 1'!$B$28)/2))*('Alternative 1'!$B$39)*COS('Alternative 1-Tilt Up (3pt)'!K46))+(('Alternative 1'!$B$29)*((('Alternative 1'!$B$12-'Alternative 1'!$B$29+(('Alternative 1'!$B$29-'Alternative 1'!$B$28)/2)*('Alternative 1'!$B$39)*COS('Alternative 1-Tilt Up (3pt)'!K46)))))</f>
        <v>3471139.4446507478</v>
      </c>
      <c r="N46" s="104">
        <f t="shared" si="0"/>
        <v>224543.8022710623</v>
      </c>
      <c r="O46" s="104">
        <f>(((('Alternative 1'!$B$28-'Alternative 1'!$B$27)/2)+'Alternative 1'!$B$27)*('Alternative 1'!$B$39)*COS('Alternative 1-Tilt Up (3pt)'!K46))+(((('Alternative 1'!$B$28-'Alternative 1'!$B$27)/2)+(('Alternative 1'!$B$29-'Alternative 1'!$B$28)/2))*('Alternative 1'!$B$39)*COS('Alternative 1-Tilt Up (3pt)'!K46))+(((('Alternative 1'!$B$12-'Alternative 1'!$B$29)+(('Alternative 1'!$B$29-'Alternative 1'!$B$28)/2))*('Alternative 1'!$B$39)*COS('Alternative 1-Tilt Up (3pt)'!K46)))</f>
        <v>223881.92684951707</v>
      </c>
      <c r="P46" s="104">
        <f t="shared" si="1"/>
        <v>164220.94096658455</v>
      </c>
      <c r="R46" s="105" t="e">
        <f>'Alternative 1'!$B$39*$B46*$C46*COS($K$5)-($N$5/3)*$E46*SIN($K$5)-($N$5/3)*$F46*SIN($K$5)-($N$5/3)*$G46*SIN($K$5)</f>
        <v>#VALUE!</v>
      </c>
      <c r="S46" s="106" t="e">
        <f>IF(($A46&lt;'Alternative 1'!$B$27),(($H46*'Alternative 1'!$B$39)+(3*($N$5/3)*COS($K$5))),IF(($A46&lt;'Alternative 1'!$B$28),(($H46*'Alternative 1'!$B$39)+(2*(($N$5/3)*COS($K$5)))),IF(($A46&lt;'Alternative 1'!$B$29),(($H$3*'Alternative 1'!$B$39+(($N$5/3)*COS($K$5)))),($H46*'Alternative 1'!$B$39))))</f>
        <v>#VALUE!</v>
      </c>
      <c r="T46" s="105" t="e">
        <f>R46*'Alternative 1'!$K47/'Alternative 1'!$L47</f>
        <v>#VALUE!</v>
      </c>
      <c r="U46" s="105" t="e">
        <f>S46/'Alternative 1'!$M47</f>
        <v>#VALUE!</v>
      </c>
      <c r="V46" s="105" t="e">
        <f t="shared" si="2"/>
        <v>#VALUE!</v>
      </c>
      <c r="X46" s="105" t="e">
        <f>'Alternative 1'!$B$39*$B46*$C46*COS($K$13)-($N$12/3)*$E46*SIN($K$13)-($N$12/3)*$F46*SIN($K$13)-($N$12/3)*$G46*SIN($K$13)</f>
        <v>#VALUE!</v>
      </c>
      <c r="Y46" s="106" t="e">
        <f>IF(($A46&lt;'Alternative 1'!$B$27),(($H46*'Alternative 1'!$B$39)+(3*($N$12/3)*COS($K$13))),IF(($A46&lt;'Alternative 1'!$B$28),(($H46*'Alternative 1'!$B$39)+(2*(($N$12/3)*COS($K$13)))),IF(($A46&lt;'Alternative 1'!$B$29),(($H$3*'Alternative 1'!$B$39+(($N$12/3)*COS($K$13)))),($H46*'Alternative 1'!$B$39))))</f>
        <v>#VALUE!</v>
      </c>
      <c r="Z46" s="105" t="e">
        <f>X46*'Alternative 1'!$K47/'Alternative 1'!$L47</f>
        <v>#VALUE!</v>
      </c>
      <c r="AA46" s="105" t="e">
        <f>Y46/'Alternative 1'!$M47</f>
        <v>#VALUE!</v>
      </c>
      <c r="AB46" s="105" t="e">
        <f t="shared" si="3"/>
        <v>#VALUE!</v>
      </c>
      <c r="AD46" s="105" t="e">
        <f>'Alternative 1'!$B$39*$B46*$C46*COS($K$23)-($N$22/3)*$E46*SIN($K$23)-($N$22/3)*$F46*SIN($K$23)-($N$22/3)*$G46*SIN($K$23)</f>
        <v>#VALUE!</v>
      </c>
      <c r="AE46" s="106" t="e">
        <f>IF(($A46&lt;'Alternative 1'!$B$27),(($H46*'Alternative 1'!$B$39)+(3*($N$22/3)*COS($K$23))),IF(($A46&lt;'Alternative 1'!$B$28),(($H46*'Alternative 1'!$B$39)+(2*(($N$22/3)*COS($K$23)))),IF(($A46&lt;'Alternative 1'!$B$29),(($H$3*'Alternative 1'!$B$39+(($N$22/3)*COS($K$23)))),($H46*'Alternative 1'!$B$39))))</f>
        <v>#VALUE!</v>
      </c>
      <c r="AF46" s="105" t="e">
        <f>AD46*'Alternative 1'!$K47/'Alternative 1'!$L47</f>
        <v>#VALUE!</v>
      </c>
      <c r="AG46" s="105" t="e">
        <f>AE46/'Alternative 1'!$M47</f>
        <v>#VALUE!</v>
      </c>
      <c r="AH46" s="105" t="e">
        <f t="shared" si="4"/>
        <v>#VALUE!</v>
      </c>
      <c r="AJ46" s="105" t="e">
        <f>'Alternative 1'!$B$39*$B46*$C46*COS($K$33)-($N$32/3)*$E46*SIN($K$33)-($N$32/3)*$F46*SIN($K$33)-($N$32/3)*$G46*SIN($K$33)</f>
        <v>#VALUE!</v>
      </c>
      <c r="AK46" s="106" t="e">
        <f>IF(($A46&lt;'Alternative 1'!$B$27),(($H46*'Alternative 1'!$B$39)+(3*($N$32/3)*COS($K$33))),IF(($A46&lt;'Alternative 1'!$B$28),(($H46*'Alternative 1'!$B$39)+(2*(($N$32/3)*COS($K$33)))),IF(($A46&lt;'Alternative 1'!$B$29),(($H$3*'Alternative 1'!$B$39+(($N$32/3)*COS($K$33)))),($H46*'Alternative 1'!$B$39))))</f>
        <v>#VALUE!</v>
      </c>
      <c r="AL46" s="105" t="e">
        <f>AJ46*'Alternative 1'!$K47/'Alternative 1'!$L47</f>
        <v>#VALUE!</v>
      </c>
      <c r="AM46" s="105" t="e">
        <f>AK46/'Alternative 1'!$M47</f>
        <v>#VALUE!</v>
      </c>
      <c r="AN46" s="105" t="e">
        <f t="shared" si="5"/>
        <v>#VALUE!</v>
      </c>
      <c r="AP46" s="105" t="e">
        <f>'Alternative 1'!$B$39*$B46*$C46*COS($K$43)-($N$42/3)*$E46*SIN($K$43)-($N$42/3)*$F46*SIN($K$43)-($N$42/3)*$G46*SIN($K$43)</f>
        <v>#VALUE!</v>
      </c>
      <c r="AQ46" s="106" t="e">
        <f>IF(($A46&lt;'Alternative 1'!$B$27),(($H46*'Alternative 1'!$B$39)+(3*($N$42/3)*COS($K$43))),IF(($A46&lt;'Alternative 1'!$B$28),(($H46*'Alternative 1'!$B$39)+(2*(($N$42/3)*COS($K$43)))),IF(($A46&lt;'Alternative 1'!$B$29),(($H$3*'Alternative 1'!$B$39+(($N$42/3)*COS($K$43)))),($H46*'Alternative 1'!$B$39))))</f>
        <v>#VALUE!</v>
      </c>
      <c r="AR46" s="105" t="e">
        <f>AP46*'Alternative 1'!$K47/'Alternative 1'!$L47</f>
        <v>#VALUE!</v>
      </c>
      <c r="AS46" s="105" t="e">
        <f>AQ46/'Alternative 1'!$M47</f>
        <v>#VALUE!</v>
      </c>
      <c r="AT46" s="105" t="e">
        <f t="shared" si="6"/>
        <v>#VALUE!</v>
      </c>
      <c r="AV46" s="105" t="e">
        <f>'Alternative 1'!$B$39*$B46*$C46*COS($K$53)-($N$52/3)*$E46*SIN($K$53)-($N$52/3)*$F46*SIN($K$53)-($N$52/3)*$G46*SIN($K$53)</f>
        <v>#VALUE!</v>
      </c>
      <c r="AW46" s="106" t="e">
        <f>IF(($A46&lt;'Alternative 1'!$B$27),(($H46*'Alternative 1'!$B$39)+(3*($N$52/3)*COS($K$53))),IF(($A46&lt;'Alternative 1'!$B$28),(($H46*'Alternative 1'!$B$39)+(2*(($N$52/3)*COS($K$53)))),IF(($A46&lt;'Alternative 1'!$B$29),(($H$3*'Alternative 1'!$B$39+(($N$52/3)*COS($K$53)))),($H46*'Alternative 1'!$B$39))))</f>
        <v>#VALUE!</v>
      </c>
      <c r="AX46" s="105" t="e">
        <f>AV46*'Alternative 1'!$K47/'Alternative 1'!$L47</f>
        <v>#VALUE!</v>
      </c>
      <c r="AY46" s="105" t="e">
        <f>AW46/'Alternative 1'!$M47</f>
        <v>#VALUE!</v>
      </c>
      <c r="AZ46" s="105" t="e">
        <f t="shared" si="7"/>
        <v>#VALUE!</v>
      </c>
      <c r="BB46" s="105" t="e">
        <f>'Alternative 1'!$B$39*$B46*$C46*COS($K$63)-($N$62/3)*$E46*SIN($K$63)-($N$62/3)*$F46*SIN($K$63)-($N$62/3)*$G46*SIN($K$63)</f>
        <v>#VALUE!</v>
      </c>
      <c r="BC46" s="106" t="e">
        <f>IF(($A46&lt;'Alternative 1'!$B$27),(($H46*'Alternative 1'!$B$39)+(3*($N$62/3)*COS($K$63))),IF(($A46&lt;'Alternative 1'!$B$28),(($H46*'Alternative 1'!$B$39)+(2*(($N$62/3)*COS($K$63)))),IF(($A46&lt;'Alternative 1'!$B$29),(($H$3*'Alternative 1'!$B$39+(($N$62/3)*COS($K$63)))),($H46*'Alternative 1'!$B$39))))</f>
        <v>#VALUE!</v>
      </c>
      <c r="BD46" s="105" t="e">
        <f>BB46*'Alternative 1'!$K47/'Alternative 1'!$L47</f>
        <v>#VALUE!</v>
      </c>
      <c r="BE46" s="105" t="e">
        <f>BC46/'Alternative 1'!$M47</f>
        <v>#VALUE!</v>
      </c>
      <c r="BF46" s="105" t="e">
        <f t="shared" si="8"/>
        <v>#VALUE!</v>
      </c>
      <c r="BH46" s="105" t="e">
        <f>'Alternative 1'!$B$39*$B46*$C46*COS($K$73)-($N$72/3)*$E46*SIN($K$73)-($N$72/3)*$F46*SIN($K$73)-($N$72/3)*$G46*SIN($K$73)</f>
        <v>#VALUE!</v>
      </c>
      <c r="BI46" s="106" t="e">
        <f>IF(($A46&lt;'Alternative 1'!$B$27),(($H46*'Alternative 1'!$B$39)+(3*($N$72/3)*COS($K$73))),IF(($A46&lt;'Alternative 1'!$B$28),(($H46*'Alternative 1'!$B$39)+(2*(($N$72/3)*COS($K$73)))),IF(($A46&lt;'Alternative 1'!$B$29),(($H$3*'Alternative 1'!$B$39+(($N$72/3)*COS($K$73)))),($H46*'Alternative 1'!$B$39))))</f>
        <v>#VALUE!</v>
      </c>
      <c r="BJ46" s="105" t="e">
        <f>BH46*'Alternative 1'!$K47/'Alternative 1'!$L47</f>
        <v>#VALUE!</v>
      </c>
      <c r="BK46" s="105" t="e">
        <f>BI46/'Alternative 1'!$M47</f>
        <v>#VALUE!</v>
      </c>
      <c r="BL46" s="105" t="e">
        <f t="shared" si="9"/>
        <v>#VALUE!</v>
      </c>
      <c r="BN46" s="105" t="e">
        <f>'Alternative 1'!$B$39*$B46*$C46*COS($K$83)-($N$82/3)*$E46*SIN($K$83)-($N$82/3)*$F46*SIN($K$83)-($N$82/3)*$G46*SIN($K$83)</f>
        <v>#VALUE!</v>
      </c>
      <c r="BO46" s="106" t="e">
        <f>IF(($A46&lt;'Alternative 1'!$B$27),(($H46*'Alternative 1'!$B$39)+(3*($N$82/3)*COS($K$83))),IF(($A46&lt;'Alternative 1'!$B$28),(($H46*'Alternative 1'!$B$39)+(2*(($N$82/3)*COS($K$83)))),IF(($A46&lt;'Alternative 1'!$B$29),(($H$3*'Alternative 1'!$B$39+(($N$82/3)*COS($K$83)))),($H46*'Alternative 1'!$B$39))))</f>
        <v>#VALUE!</v>
      </c>
      <c r="BP46" s="105" t="e">
        <f>BN46*'Alternative 1'!$K47/'Alternative 1'!$L47</f>
        <v>#VALUE!</v>
      </c>
      <c r="BQ46" s="105" t="e">
        <f>BO46/'Alternative 1'!$M47</f>
        <v>#VALUE!</v>
      </c>
      <c r="BR46" s="105" t="e">
        <f t="shared" si="10"/>
        <v>#VALUE!</v>
      </c>
      <c r="BT46" s="105" t="e">
        <f>'Alternative 1'!$B$39*$B46*$C46*COS($K$93)-($K$92/3)*$E46*SIN($K$93)-($K$92/3)*$F46*SIN($K$93)-($K$92/3)*$G46*SIN($K$93)</f>
        <v>#VALUE!</v>
      </c>
      <c r="BU46" s="106" t="e">
        <f>IF(($A46&lt;'Alternative 1'!$B$27),(($H46*'Alternative 1'!$B$39)+(3*($N$92/3)*COS($K$93))),IF(($A46&lt;'Alternative 1'!$B$28),(($H46*'Alternative 1'!$B$39)+(2*(($N$92/3)*COS($K$93)))),IF(($A46&lt;'Alternative 1'!$B$29),(($H$3*'Alternative 1'!$B$39+(($N$92/3)*COS($K$93)))),($H46*'Alternative 1'!$B$39))))</f>
        <v>#VALUE!</v>
      </c>
      <c r="BV46" s="105" t="e">
        <f>BT46*'Alternative 1'!$K47/'Alternative 1'!$L47</f>
        <v>#VALUE!</v>
      </c>
      <c r="BW46" s="105" t="e">
        <f>BU46/'Alternative 1'!$M47</f>
        <v>#VALUE!</v>
      </c>
      <c r="BX46" s="105" t="e">
        <f t="shared" si="11"/>
        <v>#VALUE!</v>
      </c>
      <c r="BZ46" s="104">
        <v>150</v>
      </c>
      <c r="CA46" s="104">
        <v>-150</v>
      </c>
    </row>
    <row r="47" spans="1:79" ht="15" customHeight="1" x14ac:dyDescent="0.25">
      <c r="A47" s="18" t="str">
        <f>IF('Alternative 1'!F48&gt;0,'Alternative 1'!F48,"x")</f>
        <v>x</v>
      </c>
      <c r="B47" s="18" t="e">
        <f t="shared" si="17"/>
        <v>#VALUE!</v>
      </c>
      <c r="C47" s="18">
        <f t="shared" si="12"/>
        <v>0</v>
      </c>
      <c r="D47" s="18" t="str">
        <f t="shared" si="13"/>
        <v>x</v>
      </c>
      <c r="E47" s="101">
        <f>IF($A47&lt;='Alternative 1'!$B$27, IF($A47='Alternative 1'!$B$27,0,E48+1),0)</f>
        <v>0</v>
      </c>
      <c r="F47" s="101">
        <f>IF($A47&lt;=('Alternative 1'!$B$28), IF($A47=ROUNDDOWN('Alternative 1'!$B$28,0),0,F48+1),0)</f>
        <v>0</v>
      </c>
      <c r="G47" s="101">
        <f>IF($A47&lt;=('Alternative 1'!$B$29), IF($A47=ROUNDDOWN('Alternative 1'!$B$29,0),0,G48+1),0)</f>
        <v>0</v>
      </c>
      <c r="H47" s="18" t="e">
        <f t="shared" si="14"/>
        <v>#VALUE!</v>
      </c>
      <c r="J47" s="104">
        <f t="shared" si="15"/>
        <v>44</v>
      </c>
      <c r="K47" s="104">
        <f t="shared" si="16"/>
        <v>0.76794487087750496</v>
      </c>
      <c r="L47" s="105">
        <f>'Alternative 1'!$B$27*SIN(K47)+'Alternative 1'!$B$28*SIN(K47)+'Alternative 1'!$B$29*SIN(K47)</f>
        <v>47.236769191211813</v>
      </c>
      <c r="M47" s="104">
        <f>(('Alternative 1'!$B$27)*(((('Alternative 1'!$B$28-'Alternative 1'!$B$27)/2)+'Alternative 1'!$B$27)*'Alternative 1'!$B$39)*COS('Alternative 1-Tilt Up (3pt)'!K47))+(('Alternative 1'!$B$28)*((('Alternative 1'!$B$28-'Alternative 1'!$B$27)/2)+(('Alternative 1'!$B$29-'Alternative 1'!$B$28)/2))*('Alternative 1'!$B$39)*COS('Alternative 1-Tilt Up (3pt)'!K47))+(('Alternative 1'!$B$29)*((('Alternative 1'!$B$12-'Alternative 1'!$B$29+(('Alternative 1'!$B$29-'Alternative 1'!$B$28)/2)*('Alternative 1'!$B$39)*COS('Alternative 1-Tilt Up (3pt)'!K47)))))</f>
        <v>3414122.4688237198</v>
      </c>
      <c r="N47" s="104">
        <f t="shared" si="0"/>
        <v>216830.39678286688</v>
      </c>
      <c r="O47" s="104">
        <f>(((('Alternative 1'!$B$28-'Alternative 1'!$B$27)/2)+'Alternative 1'!$B$27)*('Alternative 1'!$B$39)*COS('Alternative 1-Tilt Up (3pt)'!K47))+(((('Alternative 1'!$B$28-'Alternative 1'!$B$27)/2)+(('Alternative 1'!$B$29-'Alternative 1'!$B$28)/2))*('Alternative 1'!$B$39)*COS('Alternative 1-Tilt Up (3pt)'!K47))+(((('Alternative 1'!$B$12-'Alternative 1'!$B$29)+(('Alternative 1'!$B$29-'Alternative 1'!$B$28)/2))*('Alternative 1'!$B$39)*COS('Alternative 1-Tilt Up (3pt)'!K47)))</f>
        <v>220204.23251132236</v>
      </c>
      <c r="P47" s="104">
        <f t="shared" si="1"/>
        <v>155974.73432913798</v>
      </c>
      <c r="R47" s="105" t="e">
        <f>'Alternative 1'!$B$39*$B47*$C47*COS($K$5)-($N$5/3)*$E47*SIN($K$5)-($N$5/3)*$F47*SIN($K$5)-($N$5/3)*$G47*SIN($K$5)</f>
        <v>#VALUE!</v>
      </c>
      <c r="S47" s="106" t="e">
        <f>IF(($A47&lt;'Alternative 1'!$B$27),(($H47*'Alternative 1'!$B$39)+(3*($N$5/3)*COS($K$5))),IF(($A47&lt;'Alternative 1'!$B$28),(($H47*'Alternative 1'!$B$39)+(2*(($N$5/3)*COS($K$5)))),IF(($A47&lt;'Alternative 1'!$B$29),(($H$3*'Alternative 1'!$B$39+(($N$5/3)*COS($K$5)))),($H47*'Alternative 1'!$B$39))))</f>
        <v>#VALUE!</v>
      </c>
      <c r="T47" s="105" t="e">
        <f>R47*'Alternative 1'!$K48/'Alternative 1'!$L48</f>
        <v>#VALUE!</v>
      </c>
      <c r="U47" s="105" t="e">
        <f>S47/'Alternative 1'!$M48</f>
        <v>#VALUE!</v>
      </c>
      <c r="V47" s="105" t="e">
        <f t="shared" si="2"/>
        <v>#VALUE!</v>
      </c>
      <c r="X47" s="105" t="e">
        <f>'Alternative 1'!$B$39*$B47*$C47*COS($K$13)-($N$12/3)*$E47*SIN($K$13)-($N$12/3)*$F47*SIN($K$13)-($N$12/3)*$G47*SIN($K$13)</f>
        <v>#VALUE!</v>
      </c>
      <c r="Y47" s="106" t="e">
        <f>IF(($A47&lt;'Alternative 1'!$B$27),(($H47*'Alternative 1'!$B$39)+(3*($N$12/3)*COS($K$13))),IF(($A47&lt;'Alternative 1'!$B$28),(($H47*'Alternative 1'!$B$39)+(2*(($N$12/3)*COS($K$13)))),IF(($A47&lt;'Alternative 1'!$B$29),(($H$3*'Alternative 1'!$B$39+(($N$12/3)*COS($K$13)))),($H47*'Alternative 1'!$B$39))))</f>
        <v>#VALUE!</v>
      </c>
      <c r="Z47" s="105" t="e">
        <f>X47*'Alternative 1'!$K48/'Alternative 1'!$L48</f>
        <v>#VALUE!</v>
      </c>
      <c r="AA47" s="105" t="e">
        <f>Y47/'Alternative 1'!$M48</f>
        <v>#VALUE!</v>
      </c>
      <c r="AB47" s="105" t="e">
        <f t="shared" si="3"/>
        <v>#VALUE!</v>
      </c>
      <c r="AD47" s="105" t="e">
        <f>'Alternative 1'!$B$39*$B47*$C47*COS($K$23)-($N$22/3)*$E47*SIN($K$23)-($N$22/3)*$F47*SIN($K$23)-($N$22/3)*$G47*SIN($K$23)</f>
        <v>#VALUE!</v>
      </c>
      <c r="AE47" s="106" t="e">
        <f>IF(($A47&lt;'Alternative 1'!$B$27),(($H47*'Alternative 1'!$B$39)+(3*($N$22/3)*COS($K$23))),IF(($A47&lt;'Alternative 1'!$B$28),(($H47*'Alternative 1'!$B$39)+(2*(($N$22/3)*COS($K$23)))),IF(($A47&lt;'Alternative 1'!$B$29),(($H$3*'Alternative 1'!$B$39+(($N$22/3)*COS($K$23)))),($H47*'Alternative 1'!$B$39))))</f>
        <v>#VALUE!</v>
      </c>
      <c r="AF47" s="105" t="e">
        <f>AD47*'Alternative 1'!$K48/'Alternative 1'!$L48</f>
        <v>#VALUE!</v>
      </c>
      <c r="AG47" s="105" t="e">
        <f>AE47/'Alternative 1'!$M48</f>
        <v>#VALUE!</v>
      </c>
      <c r="AH47" s="105" t="e">
        <f t="shared" si="4"/>
        <v>#VALUE!</v>
      </c>
      <c r="AJ47" s="105" t="e">
        <f>'Alternative 1'!$B$39*$B47*$C47*COS($K$33)-($N$32/3)*$E47*SIN($K$33)-($N$32/3)*$F47*SIN($K$33)-($N$32/3)*$G47*SIN($K$33)</f>
        <v>#VALUE!</v>
      </c>
      <c r="AK47" s="106" t="e">
        <f>IF(($A47&lt;'Alternative 1'!$B$27),(($H47*'Alternative 1'!$B$39)+(3*($N$32/3)*COS($K$33))),IF(($A47&lt;'Alternative 1'!$B$28),(($H47*'Alternative 1'!$B$39)+(2*(($N$32/3)*COS($K$33)))),IF(($A47&lt;'Alternative 1'!$B$29),(($H$3*'Alternative 1'!$B$39+(($N$32/3)*COS($K$33)))),($H47*'Alternative 1'!$B$39))))</f>
        <v>#VALUE!</v>
      </c>
      <c r="AL47" s="105" t="e">
        <f>AJ47*'Alternative 1'!$K48/'Alternative 1'!$L48</f>
        <v>#VALUE!</v>
      </c>
      <c r="AM47" s="105" t="e">
        <f>AK47/'Alternative 1'!$M48</f>
        <v>#VALUE!</v>
      </c>
      <c r="AN47" s="105" t="e">
        <f t="shared" si="5"/>
        <v>#VALUE!</v>
      </c>
      <c r="AP47" s="105" t="e">
        <f>'Alternative 1'!$B$39*$B47*$C47*COS($K$43)-($N$42/3)*$E47*SIN($K$43)-($N$42/3)*$F47*SIN($K$43)-($N$42/3)*$G47*SIN($K$43)</f>
        <v>#VALUE!</v>
      </c>
      <c r="AQ47" s="106" t="e">
        <f>IF(($A47&lt;'Alternative 1'!$B$27),(($H47*'Alternative 1'!$B$39)+(3*($N$42/3)*COS($K$43))),IF(($A47&lt;'Alternative 1'!$B$28),(($H47*'Alternative 1'!$B$39)+(2*(($N$42/3)*COS($K$43)))),IF(($A47&lt;'Alternative 1'!$B$29),(($H$3*'Alternative 1'!$B$39+(($N$42/3)*COS($K$43)))),($H47*'Alternative 1'!$B$39))))</f>
        <v>#VALUE!</v>
      </c>
      <c r="AR47" s="105" t="e">
        <f>AP47*'Alternative 1'!$K48/'Alternative 1'!$L48</f>
        <v>#VALUE!</v>
      </c>
      <c r="AS47" s="105" t="e">
        <f>AQ47/'Alternative 1'!$M48</f>
        <v>#VALUE!</v>
      </c>
      <c r="AT47" s="105" t="e">
        <f t="shared" si="6"/>
        <v>#VALUE!</v>
      </c>
      <c r="AV47" s="105" t="e">
        <f>'Alternative 1'!$B$39*$B47*$C47*COS($K$53)-($N$52/3)*$E47*SIN($K$53)-($N$52/3)*$F47*SIN($K$53)-($N$52/3)*$G47*SIN($K$53)</f>
        <v>#VALUE!</v>
      </c>
      <c r="AW47" s="106" t="e">
        <f>IF(($A47&lt;'Alternative 1'!$B$27),(($H47*'Alternative 1'!$B$39)+(3*($N$52/3)*COS($K$53))),IF(($A47&lt;'Alternative 1'!$B$28),(($H47*'Alternative 1'!$B$39)+(2*(($N$52/3)*COS($K$53)))),IF(($A47&lt;'Alternative 1'!$B$29),(($H$3*'Alternative 1'!$B$39+(($N$52/3)*COS($K$53)))),($H47*'Alternative 1'!$B$39))))</f>
        <v>#VALUE!</v>
      </c>
      <c r="AX47" s="105" t="e">
        <f>AV47*'Alternative 1'!$K48/'Alternative 1'!$L48</f>
        <v>#VALUE!</v>
      </c>
      <c r="AY47" s="105" t="e">
        <f>AW47/'Alternative 1'!$M48</f>
        <v>#VALUE!</v>
      </c>
      <c r="AZ47" s="105" t="e">
        <f t="shared" si="7"/>
        <v>#VALUE!</v>
      </c>
      <c r="BB47" s="105" t="e">
        <f>'Alternative 1'!$B$39*$B47*$C47*COS($K$63)-($N$62/3)*$E47*SIN($K$63)-($N$62/3)*$F47*SIN($K$63)-($N$62/3)*$G47*SIN($K$63)</f>
        <v>#VALUE!</v>
      </c>
      <c r="BC47" s="106" t="e">
        <f>IF(($A47&lt;'Alternative 1'!$B$27),(($H47*'Alternative 1'!$B$39)+(3*($N$62/3)*COS($K$63))),IF(($A47&lt;'Alternative 1'!$B$28),(($H47*'Alternative 1'!$B$39)+(2*(($N$62/3)*COS($K$63)))),IF(($A47&lt;'Alternative 1'!$B$29),(($H$3*'Alternative 1'!$B$39+(($N$62/3)*COS($K$63)))),($H47*'Alternative 1'!$B$39))))</f>
        <v>#VALUE!</v>
      </c>
      <c r="BD47" s="105" t="e">
        <f>BB47*'Alternative 1'!$K48/'Alternative 1'!$L48</f>
        <v>#VALUE!</v>
      </c>
      <c r="BE47" s="105" t="e">
        <f>BC47/'Alternative 1'!$M48</f>
        <v>#VALUE!</v>
      </c>
      <c r="BF47" s="105" t="e">
        <f t="shared" si="8"/>
        <v>#VALUE!</v>
      </c>
      <c r="BH47" s="105" t="e">
        <f>'Alternative 1'!$B$39*$B47*$C47*COS($K$73)-($N$72/3)*$E47*SIN($K$73)-($N$72/3)*$F47*SIN($K$73)-($N$72/3)*$G47*SIN($K$73)</f>
        <v>#VALUE!</v>
      </c>
      <c r="BI47" s="106" t="e">
        <f>IF(($A47&lt;'Alternative 1'!$B$27),(($H47*'Alternative 1'!$B$39)+(3*($N$72/3)*COS($K$73))),IF(($A47&lt;'Alternative 1'!$B$28),(($H47*'Alternative 1'!$B$39)+(2*(($N$72/3)*COS($K$73)))),IF(($A47&lt;'Alternative 1'!$B$29),(($H$3*'Alternative 1'!$B$39+(($N$72/3)*COS($K$73)))),($H47*'Alternative 1'!$B$39))))</f>
        <v>#VALUE!</v>
      </c>
      <c r="BJ47" s="105" t="e">
        <f>BH47*'Alternative 1'!$K48/'Alternative 1'!$L48</f>
        <v>#VALUE!</v>
      </c>
      <c r="BK47" s="105" t="e">
        <f>BI47/'Alternative 1'!$M48</f>
        <v>#VALUE!</v>
      </c>
      <c r="BL47" s="105" t="e">
        <f t="shared" si="9"/>
        <v>#VALUE!</v>
      </c>
      <c r="BN47" s="105" t="e">
        <f>'Alternative 1'!$B$39*$B47*$C47*COS($K$83)-($N$82/3)*$E47*SIN($K$83)-($N$82/3)*$F47*SIN($K$83)-($N$82/3)*$G47*SIN($K$83)</f>
        <v>#VALUE!</v>
      </c>
      <c r="BO47" s="106" t="e">
        <f>IF(($A47&lt;'Alternative 1'!$B$27),(($H47*'Alternative 1'!$B$39)+(3*($N$82/3)*COS($K$83))),IF(($A47&lt;'Alternative 1'!$B$28),(($H47*'Alternative 1'!$B$39)+(2*(($N$82/3)*COS($K$83)))),IF(($A47&lt;'Alternative 1'!$B$29),(($H$3*'Alternative 1'!$B$39+(($N$82/3)*COS($K$83)))),($H47*'Alternative 1'!$B$39))))</f>
        <v>#VALUE!</v>
      </c>
      <c r="BP47" s="105" t="e">
        <f>BN47*'Alternative 1'!$K48/'Alternative 1'!$L48</f>
        <v>#VALUE!</v>
      </c>
      <c r="BQ47" s="105" t="e">
        <f>BO47/'Alternative 1'!$M48</f>
        <v>#VALUE!</v>
      </c>
      <c r="BR47" s="105" t="e">
        <f t="shared" si="10"/>
        <v>#VALUE!</v>
      </c>
      <c r="BT47" s="105" t="e">
        <f>'Alternative 1'!$B$39*$B47*$C47*COS($K$93)-($K$92/3)*$E47*SIN($K$93)-($K$92/3)*$F47*SIN($K$93)-($K$92/3)*$G47*SIN($K$93)</f>
        <v>#VALUE!</v>
      </c>
      <c r="BU47" s="106" t="e">
        <f>IF(($A47&lt;'Alternative 1'!$B$27),(($H47*'Alternative 1'!$B$39)+(3*($N$92/3)*COS($K$93))),IF(($A47&lt;'Alternative 1'!$B$28),(($H47*'Alternative 1'!$B$39)+(2*(($N$92/3)*COS($K$93)))),IF(($A47&lt;'Alternative 1'!$B$29),(($H$3*'Alternative 1'!$B$39+(($N$92/3)*COS($K$93)))),($H47*'Alternative 1'!$B$39))))</f>
        <v>#VALUE!</v>
      </c>
      <c r="BV47" s="105" t="e">
        <f>BT47*'Alternative 1'!$K48/'Alternative 1'!$L48</f>
        <v>#VALUE!</v>
      </c>
      <c r="BW47" s="105" t="e">
        <f>BU47/'Alternative 1'!$M48</f>
        <v>#VALUE!</v>
      </c>
      <c r="BX47" s="105" t="e">
        <f t="shared" si="11"/>
        <v>#VALUE!</v>
      </c>
      <c r="BZ47" s="104">
        <v>150</v>
      </c>
      <c r="CA47" s="104">
        <v>-150</v>
      </c>
    </row>
    <row r="48" spans="1:79" ht="15" customHeight="1" x14ac:dyDescent="0.25">
      <c r="A48" s="18" t="str">
        <f>IF('Alternative 1'!F49&gt;0,'Alternative 1'!F49,"x")</f>
        <v>x</v>
      </c>
      <c r="B48" s="18" t="e">
        <f t="shared" si="17"/>
        <v>#VALUE!</v>
      </c>
      <c r="C48" s="18">
        <f t="shared" si="12"/>
        <v>0</v>
      </c>
      <c r="D48" s="18" t="str">
        <f t="shared" si="13"/>
        <v>x</v>
      </c>
      <c r="E48" s="101">
        <f>IF($A48&lt;='Alternative 1'!$B$27, IF($A48='Alternative 1'!$B$27,0,E49+1),0)</f>
        <v>0</v>
      </c>
      <c r="F48" s="101">
        <f>IF($A48&lt;=('Alternative 1'!$B$28), IF($A48=ROUNDDOWN('Alternative 1'!$B$28,0),0,F49+1),0)</f>
        <v>0</v>
      </c>
      <c r="G48" s="101">
        <f>IF($A48&lt;=('Alternative 1'!$B$29), IF($A48=ROUNDDOWN('Alternative 1'!$B$29,0),0,G49+1),0)</f>
        <v>0</v>
      </c>
      <c r="H48" s="18" t="e">
        <f t="shared" si="14"/>
        <v>#VALUE!</v>
      </c>
      <c r="J48" s="104">
        <f t="shared" si="15"/>
        <v>45</v>
      </c>
      <c r="K48" s="104">
        <f t="shared" si="16"/>
        <v>0.78539816339744828</v>
      </c>
      <c r="L48" s="105">
        <f>'Alternative 1'!$B$27*SIN(K48)+'Alternative 1'!$B$28*SIN(K48)+'Alternative 1'!$B$29*SIN(K48)</f>
        <v>48.083261120685229</v>
      </c>
      <c r="M48" s="104">
        <f>(('Alternative 1'!$B$27)*(((('Alternative 1'!$B$28-'Alternative 1'!$B$27)/2)+'Alternative 1'!$B$27)*'Alternative 1'!$B$39)*COS('Alternative 1-Tilt Up (3pt)'!K48))+(('Alternative 1'!$B$28)*((('Alternative 1'!$B$28-'Alternative 1'!$B$27)/2)+(('Alternative 1'!$B$29-'Alternative 1'!$B$28)/2))*('Alternative 1'!$B$39)*COS('Alternative 1-Tilt Up (3pt)'!K48))+(('Alternative 1'!$B$29)*((('Alternative 1'!$B$12-'Alternative 1'!$B$29+(('Alternative 1'!$B$29-'Alternative 1'!$B$28)/2)*('Alternative 1'!$B$39)*COS('Alternative 1-Tilt Up (3pt)'!K48)))))</f>
        <v>3356065.5778104682</v>
      </c>
      <c r="N48" s="104">
        <f t="shared" si="0"/>
        <v>209390.88778028215</v>
      </c>
      <c r="O48" s="104">
        <f>(((('Alternative 1'!$B$28-'Alternative 1'!$B$27)/2)+'Alternative 1'!$B$27)*('Alternative 1'!$B$39)*COS('Alternative 1-Tilt Up (3pt)'!K48))+(((('Alternative 1'!$B$28-'Alternative 1'!$B$27)/2)+(('Alternative 1'!$B$29-'Alternative 1'!$B$28)/2))*('Alternative 1'!$B$39)*COS('Alternative 1-Tilt Up (3pt)'!K48))+(((('Alternative 1'!$B$12-'Alternative 1'!$B$29)+(('Alternative 1'!$B$29-'Alternative 1'!$B$28)/2))*('Alternative 1'!$B$39)*COS('Alternative 1-Tilt Up (3pt)'!K48)))</f>
        <v>216459.46183073841</v>
      </c>
      <c r="P48" s="104">
        <f t="shared" si="1"/>
        <v>148061.71666810891</v>
      </c>
      <c r="R48" s="105" t="e">
        <f>'Alternative 1'!$B$39*$B48*$C48*COS($K$5)-($N$5/3)*$E48*SIN($K$5)-($N$5/3)*$F48*SIN($K$5)-($N$5/3)*$G48*SIN($K$5)</f>
        <v>#VALUE!</v>
      </c>
      <c r="S48" s="106" t="e">
        <f>IF(($A48&lt;'Alternative 1'!$B$27),(($H48*'Alternative 1'!$B$39)+(3*($N$5/3)*COS($K$5))),IF(($A48&lt;'Alternative 1'!$B$28),(($H48*'Alternative 1'!$B$39)+(2*(($N$5/3)*COS($K$5)))),IF(($A48&lt;'Alternative 1'!$B$29),(($H$3*'Alternative 1'!$B$39+(($N$5/3)*COS($K$5)))),($H48*'Alternative 1'!$B$39))))</f>
        <v>#VALUE!</v>
      </c>
      <c r="T48" s="105" t="e">
        <f>R48*'Alternative 1'!$K49/'Alternative 1'!$L49</f>
        <v>#VALUE!</v>
      </c>
      <c r="U48" s="105" t="e">
        <f>S48/'Alternative 1'!$M49</f>
        <v>#VALUE!</v>
      </c>
      <c r="V48" s="105" t="e">
        <f t="shared" si="2"/>
        <v>#VALUE!</v>
      </c>
      <c r="X48" s="105" t="e">
        <f>'Alternative 1'!$B$39*$B48*$C48*COS($K$13)-($N$12/3)*$E48*SIN($K$13)-($N$12/3)*$F48*SIN($K$13)-($N$12/3)*$G48*SIN($K$13)</f>
        <v>#VALUE!</v>
      </c>
      <c r="Y48" s="106" t="e">
        <f>IF(($A48&lt;'Alternative 1'!$B$27),(($H48*'Alternative 1'!$B$39)+(3*($N$12/3)*COS($K$13))),IF(($A48&lt;'Alternative 1'!$B$28),(($H48*'Alternative 1'!$B$39)+(2*(($N$12/3)*COS($K$13)))),IF(($A48&lt;'Alternative 1'!$B$29),(($H$3*'Alternative 1'!$B$39+(($N$12/3)*COS($K$13)))),($H48*'Alternative 1'!$B$39))))</f>
        <v>#VALUE!</v>
      </c>
      <c r="Z48" s="105" t="e">
        <f>X48*'Alternative 1'!$K49/'Alternative 1'!$L49</f>
        <v>#VALUE!</v>
      </c>
      <c r="AA48" s="105" t="e">
        <f>Y48/'Alternative 1'!$M49</f>
        <v>#VALUE!</v>
      </c>
      <c r="AB48" s="105" t="e">
        <f t="shared" si="3"/>
        <v>#VALUE!</v>
      </c>
      <c r="AD48" s="105" t="e">
        <f>'Alternative 1'!$B$39*$B48*$C48*COS($K$23)-($N$22/3)*$E48*SIN($K$23)-($N$22/3)*$F48*SIN($K$23)-($N$22/3)*$G48*SIN($K$23)</f>
        <v>#VALUE!</v>
      </c>
      <c r="AE48" s="106" t="e">
        <f>IF(($A48&lt;'Alternative 1'!$B$27),(($H48*'Alternative 1'!$B$39)+(3*($N$22/3)*COS($K$23))),IF(($A48&lt;'Alternative 1'!$B$28),(($H48*'Alternative 1'!$B$39)+(2*(($N$22/3)*COS($K$23)))),IF(($A48&lt;'Alternative 1'!$B$29),(($H$3*'Alternative 1'!$B$39+(($N$22/3)*COS($K$23)))),($H48*'Alternative 1'!$B$39))))</f>
        <v>#VALUE!</v>
      </c>
      <c r="AF48" s="105" t="e">
        <f>AD48*'Alternative 1'!$K49/'Alternative 1'!$L49</f>
        <v>#VALUE!</v>
      </c>
      <c r="AG48" s="105" t="e">
        <f>AE48/'Alternative 1'!$M49</f>
        <v>#VALUE!</v>
      </c>
      <c r="AH48" s="105" t="e">
        <f t="shared" si="4"/>
        <v>#VALUE!</v>
      </c>
      <c r="AJ48" s="105" t="e">
        <f>'Alternative 1'!$B$39*$B48*$C48*COS($K$33)-($N$32/3)*$E48*SIN($K$33)-($N$32/3)*$F48*SIN($K$33)-($N$32/3)*$G48*SIN($K$33)</f>
        <v>#VALUE!</v>
      </c>
      <c r="AK48" s="106" t="e">
        <f>IF(($A48&lt;'Alternative 1'!$B$27),(($H48*'Alternative 1'!$B$39)+(3*($N$32/3)*COS($K$33))),IF(($A48&lt;'Alternative 1'!$B$28),(($H48*'Alternative 1'!$B$39)+(2*(($N$32/3)*COS($K$33)))),IF(($A48&lt;'Alternative 1'!$B$29),(($H$3*'Alternative 1'!$B$39+(($N$32/3)*COS($K$33)))),($H48*'Alternative 1'!$B$39))))</f>
        <v>#VALUE!</v>
      </c>
      <c r="AL48" s="105" t="e">
        <f>AJ48*'Alternative 1'!$K49/'Alternative 1'!$L49</f>
        <v>#VALUE!</v>
      </c>
      <c r="AM48" s="105" t="e">
        <f>AK48/'Alternative 1'!$M49</f>
        <v>#VALUE!</v>
      </c>
      <c r="AN48" s="105" t="e">
        <f t="shared" si="5"/>
        <v>#VALUE!</v>
      </c>
      <c r="AP48" s="105" t="e">
        <f>'Alternative 1'!$B$39*$B48*$C48*COS($K$43)-($N$42/3)*$E48*SIN($K$43)-($N$42/3)*$F48*SIN($K$43)-($N$42/3)*$G48*SIN($K$43)</f>
        <v>#VALUE!</v>
      </c>
      <c r="AQ48" s="106" t="e">
        <f>IF(($A48&lt;'Alternative 1'!$B$27),(($H48*'Alternative 1'!$B$39)+(3*($N$42/3)*COS($K$43))),IF(($A48&lt;'Alternative 1'!$B$28),(($H48*'Alternative 1'!$B$39)+(2*(($N$42/3)*COS($K$43)))),IF(($A48&lt;'Alternative 1'!$B$29),(($H$3*'Alternative 1'!$B$39+(($N$42/3)*COS($K$43)))),($H48*'Alternative 1'!$B$39))))</f>
        <v>#VALUE!</v>
      </c>
      <c r="AR48" s="105" t="e">
        <f>AP48*'Alternative 1'!$K49/'Alternative 1'!$L49</f>
        <v>#VALUE!</v>
      </c>
      <c r="AS48" s="105" t="e">
        <f>AQ48/'Alternative 1'!$M49</f>
        <v>#VALUE!</v>
      </c>
      <c r="AT48" s="105" t="e">
        <f t="shared" si="6"/>
        <v>#VALUE!</v>
      </c>
      <c r="AV48" s="105" t="e">
        <f>'Alternative 1'!$B$39*$B48*$C48*COS($K$53)-($N$52/3)*$E48*SIN($K$53)-($N$52/3)*$F48*SIN($K$53)-($N$52/3)*$G48*SIN($K$53)</f>
        <v>#VALUE!</v>
      </c>
      <c r="AW48" s="106" t="e">
        <f>IF(($A48&lt;'Alternative 1'!$B$27),(($H48*'Alternative 1'!$B$39)+(3*($N$52/3)*COS($K$53))),IF(($A48&lt;'Alternative 1'!$B$28),(($H48*'Alternative 1'!$B$39)+(2*(($N$52/3)*COS($K$53)))),IF(($A48&lt;'Alternative 1'!$B$29),(($H$3*'Alternative 1'!$B$39+(($N$52/3)*COS($K$53)))),($H48*'Alternative 1'!$B$39))))</f>
        <v>#VALUE!</v>
      </c>
      <c r="AX48" s="105" t="e">
        <f>AV48*'Alternative 1'!$K49/'Alternative 1'!$L49</f>
        <v>#VALUE!</v>
      </c>
      <c r="AY48" s="105" t="e">
        <f>AW48/'Alternative 1'!$M49</f>
        <v>#VALUE!</v>
      </c>
      <c r="AZ48" s="105" t="e">
        <f t="shared" si="7"/>
        <v>#VALUE!</v>
      </c>
      <c r="BB48" s="105" t="e">
        <f>'Alternative 1'!$B$39*$B48*$C48*COS($K$63)-($N$62/3)*$E48*SIN($K$63)-($N$62/3)*$F48*SIN($K$63)-($N$62/3)*$G48*SIN($K$63)</f>
        <v>#VALUE!</v>
      </c>
      <c r="BC48" s="106" t="e">
        <f>IF(($A48&lt;'Alternative 1'!$B$27),(($H48*'Alternative 1'!$B$39)+(3*($N$62/3)*COS($K$63))),IF(($A48&lt;'Alternative 1'!$B$28),(($H48*'Alternative 1'!$B$39)+(2*(($N$62/3)*COS($K$63)))),IF(($A48&lt;'Alternative 1'!$B$29),(($H$3*'Alternative 1'!$B$39+(($N$62/3)*COS($K$63)))),($H48*'Alternative 1'!$B$39))))</f>
        <v>#VALUE!</v>
      </c>
      <c r="BD48" s="105" t="e">
        <f>BB48*'Alternative 1'!$K49/'Alternative 1'!$L49</f>
        <v>#VALUE!</v>
      </c>
      <c r="BE48" s="105" t="e">
        <f>BC48/'Alternative 1'!$M49</f>
        <v>#VALUE!</v>
      </c>
      <c r="BF48" s="105" t="e">
        <f t="shared" si="8"/>
        <v>#VALUE!</v>
      </c>
      <c r="BH48" s="105" t="e">
        <f>'Alternative 1'!$B$39*$B48*$C48*COS($K$73)-($N$72/3)*$E48*SIN($K$73)-($N$72/3)*$F48*SIN($K$73)-($N$72/3)*$G48*SIN($K$73)</f>
        <v>#VALUE!</v>
      </c>
      <c r="BI48" s="106" t="e">
        <f>IF(($A48&lt;'Alternative 1'!$B$27),(($H48*'Alternative 1'!$B$39)+(3*($N$72/3)*COS($K$73))),IF(($A48&lt;'Alternative 1'!$B$28),(($H48*'Alternative 1'!$B$39)+(2*(($N$72/3)*COS($K$73)))),IF(($A48&lt;'Alternative 1'!$B$29),(($H$3*'Alternative 1'!$B$39+(($N$72/3)*COS($K$73)))),($H48*'Alternative 1'!$B$39))))</f>
        <v>#VALUE!</v>
      </c>
      <c r="BJ48" s="105" t="e">
        <f>BH48*'Alternative 1'!$K49/'Alternative 1'!$L49</f>
        <v>#VALUE!</v>
      </c>
      <c r="BK48" s="105" t="e">
        <f>BI48/'Alternative 1'!$M49</f>
        <v>#VALUE!</v>
      </c>
      <c r="BL48" s="105" t="e">
        <f t="shared" si="9"/>
        <v>#VALUE!</v>
      </c>
      <c r="BN48" s="105" t="e">
        <f>'Alternative 1'!$B$39*$B48*$C48*COS($K$83)-($N$82/3)*$E48*SIN($K$83)-($N$82/3)*$F48*SIN($K$83)-($N$82/3)*$G48*SIN($K$83)</f>
        <v>#VALUE!</v>
      </c>
      <c r="BO48" s="106" t="e">
        <f>IF(($A48&lt;'Alternative 1'!$B$27),(($H48*'Alternative 1'!$B$39)+(3*($N$82/3)*COS($K$83))),IF(($A48&lt;'Alternative 1'!$B$28),(($H48*'Alternative 1'!$B$39)+(2*(($N$82/3)*COS($K$83)))),IF(($A48&lt;'Alternative 1'!$B$29),(($H$3*'Alternative 1'!$B$39+(($N$82/3)*COS($K$83)))),($H48*'Alternative 1'!$B$39))))</f>
        <v>#VALUE!</v>
      </c>
      <c r="BP48" s="105" t="e">
        <f>BN48*'Alternative 1'!$K49/'Alternative 1'!$L49</f>
        <v>#VALUE!</v>
      </c>
      <c r="BQ48" s="105" t="e">
        <f>BO48/'Alternative 1'!$M49</f>
        <v>#VALUE!</v>
      </c>
      <c r="BR48" s="105" t="e">
        <f t="shared" si="10"/>
        <v>#VALUE!</v>
      </c>
      <c r="BT48" s="105" t="e">
        <f>'Alternative 1'!$B$39*$B48*$C48*COS($K$93)-($K$92/3)*$E48*SIN($K$93)-($K$92/3)*$F48*SIN($K$93)-($K$92/3)*$G48*SIN($K$93)</f>
        <v>#VALUE!</v>
      </c>
      <c r="BU48" s="106" t="e">
        <f>IF(($A48&lt;'Alternative 1'!$B$27),(($H48*'Alternative 1'!$B$39)+(3*($N$92/3)*COS($K$93))),IF(($A48&lt;'Alternative 1'!$B$28),(($H48*'Alternative 1'!$B$39)+(2*(($N$92/3)*COS($K$93)))),IF(($A48&lt;'Alternative 1'!$B$29),(($H$3*'Alternative 1'!$B$39+(($N$92/3)*COS($K$93)))),($H48*'Alternative 1'!$B$39))))</f>
        <v>#VALUE!</v>
      </c>
      <c r="BV48" s="105" t="e">
        <f>BT48*'Alternative 1'!$K49/'Alternative 1'!$L49</f>
        <v>#VALUE!</v>
      </c>
      <c r="BW48" s="105" t="e">
        <f>BU48/'Alternative 1'!$M49</f>
        <v>#VALUE!</v>
      </c>
      <c r="BX48" s="105" t="e">
        <f t="shared" si="11"/>
        <v>#VALUE!</v>
      </c>
      <c r="BZ48" s="104">
        <v>150</v>
      </c>
      <c r="CA48" s="104">
        <v>-150</v>
      </c>
    </row>
    <row r="49" spans="1:79" ht="15" customHeight="1" x14ac:dyDescent="0.25">
      <c r="A49" s="18" t="str">
        <f>IF('Alternative 1'!F50&gt;0,'Alternative 1'!F50,"x")</f>
        <v>x</v>
      </c>
      <c r="B49" s="18" t="e">
        <f t="shared" si="17"/>
        <v>#VALUE!</v>
      </c>
      <c r="C49" s="18">
        <f t="shared" si="12"/>
        <v>0</v>
      </c>
      <c r="D49" s="18" t="str">
        <f t="shared" si="13"/>
        <v>x</v>
      </c>
      <c r="E49" s="101">
        <f>IF($A49&lt;='Alternative 1'!$B$27, IF($A49='Alternative 1'!$B$27,0,E50+1),0)</f>
        <v>0</v>
      </c>
      <c r="F49" s="101">
        <f>IF($A49&lt;=('Alternative 1'!$B$28), IF($A49=ROUNDDOWN('Alternative 1'!$B$28,0),0,F50+1),0)</f>
        <v>0</v>
      </c>
      <c r="G49" s="101">
        <f>IF($A49&lt;=('Alternative 1'!$B$29), IF($A49=ROUNDDOWN('Alternative 1'!$B$29,0),0,G50+1),0)</f>
        <v>0</v>
      </c>
      <c r="H49" s="18" t="e">
        <f t="shared" si="14"/>
        <v>#VALUE!</v>
      </c>
      <c r="J49" s="104">
        <f t="shared" si="15"/>
        <v>46</v>
      </c>
      <c r="K49" s="104">
        <f t="shared" si="16"/>
        <v>0.80285145591739149</v>
      </c>
      <c r="L49" s="105">
        <f>'Alternative 1'!$B$27*SIN(K49)+'Alternative 1'!$B$28*SIN(K49)+'Alternative 1'!$B$29*SIN(K49)</f>
        <v>48.915106423028277</v>
      </c>
      <c r="M49" s="104">
        <f>(('Alternative 1'!$B$27)*(((('Alternative 1'!$B$28-'Alternative 1'!$B$27)/2)+'Alternative 1'!$B$27)*'Alternative 1'!$B$39)*COS('Alternative 1-Tilt Up (3pt)'!K49))+(('Alternative 1'!$B$28)*((('Alternative 1'!$B$28-'Alternative 1'!$B$27)/2)+(('Alternative 1'!$B$29-'Alternative 1'!$B$28)/2))*('Alternative 1'!$B$39)*COS('Alternative 1-Tilt Up (3pt)'!K49))+(('Alternative 1'!$B$29)*((('Alternative 1'!$B$12-'Alternative 1'!$B$29+(('Alternative 1'!$B$29-'Alternative 1'!$B$28)/2)*('Alternative 1'!$B$39)*COS('Alternative 1-Tilt Up (3pt)'!K49)))))</f>
        <v>3296986.4563024072</v>
      </c>
      <c r="N49" s="104">
        <f t="shared" si="0"/>
        <v>202206.64110117831</v>
      </c>
      <c r="O49" s="104">
        <f>(((('Alternative 1'!$B$28-'Alternative 1'!$B$27)/2)+'Alternative 1'!$B$27)*('Alternative 1'!$B$39)*COS('Alternative 1-Tilt Up (3pt)'!K49))+(((('Alternative 1'!$B$28-'Alternative 1'!$B$27)/2)+(('Alternative 1'!$B$29-'Alternative 1'!$B$28)/2))*('Alternative 1'!$B$39)*COS('Alternative 1-Tilt Up (3pt)'!K49))+(((('Alternative 1'!$B$12-'Alternative 1'!$B$29)+(('Alternative 1'!$B$29-'Alternative 1'!$B$28)/2))*('Alternative 1'!$B$39)*COS('Alternative 1-Tilt Up (3pt)'!K49)))</f>
        <v>212648.75550119096</v>
      </c>
      <c r="P49" s="104">
        <f t="shared" si="1"/>
        <v>140464.53580333185</v>
      </c>
      <c r="R49" s="105" t="e">
        <f>'Alternative 1'!$B$39*$B49*$C49*COS($K$5)-($N$5/3)*$E49*SIN($K$5)-($N$5/3)*$F49*SIN($K$5)-($N$5/3)*$G49*SIN($K$5)</f>
        <v>#VALUE!</v>
      </c>
      <c r="S49" s="106" t="e">
        <f>IF(($A49&lt;'Alternative 1'!$B$27),(($H49*'Alternative 1'!$B$39)+(3*($N$5/3)*COS($K$5))),IF(($A49&lt;'Alternative 1'!$B$28),(($H49*'Alternative 1'!$B$39)+(2*(($N$5/3)*COS($K$5)))),IF(($A49&lt;'Alternative 1'!$B$29),(($H$3*'Alternative 1'!$B$39+(($N$5/3)*COS($K$5)))),($H49*'Alternative 1'!$B$39))))</f>
        <v>#VALUE!</v>
      </c>
      <c r="T49" s="105" t="e">
        <f>R49*'Alternative 1'!$K50/'Alternative 1'!$L50</f>
        <v>#VALUE!</v>
      </c>
      <c r="U49" s="105" t="e">
        <f>S49/'Alternative 1'!$M50</f>
        <v>#VALUE!</v>
      </c>
      <c r="V49" s="105" t="e">
        <f t="shared" si="2"/>
        <v>#VALUE!</v>
      </c>
      <c r="X49" s="105" t="e">
        <f>'Alternative 1'!$B$39*$B49*$C49*COS($K$13)-($N$12/3)*$E49*SIN($K$13)-($N$12/3)*$F49*SIN($K$13)-($N$12/3)*$G49*SIN($K$13)</f>
        <v>#VALUE!</v>
      </c>
      <c r="Y49" s="106" t="e">
        <f>IF(($A49&lt;'Alternative 1'!$B$27),(($H49*'Alternative 1'!$B$39)+(3*($N$12/3)*COS($K$13))),IF(($A49&lt;'Alternative 1'!$B$28),(($H49*'Alternative 1'!$B$39)+(2*(($N$12/3)*COS($K$13)))),IF(($A49&lt;'Alternative 1'!$B$29),(($H$3*'Alternative 1'!$B$39+(($N$12/3)*COS($K$13)))),($H49*'Alternative 1'!$B$39))))</f>
        <v>#VALUE!</v>
      </c>
      <c r="Z49" s="105" t="e">
        <f>X49*'Alternative 1'!$K50/'Alternative 1'!$L50</f>
        <v>#VALUE!</v>
      </c>
      <c r="AA49" s="105" t="e">
        <f>Y49/'Alternative 1'!$M50</f>
        <v>#VALUE!</v>
      </c>
      <c r="AB49" s="105" t="e">
        <f t="shared" si="3"/>
        <v>#VALUE!</v>
      </c>
      <c r="AD49" s="105" t="e">
        <f>'Alternative 1'!$B$39*$B49*$C49*COS($K$23)-($N$22/3)*$E49*SIN($K$23)-($N$22/3)*$F49*SIN($K$23)-($N$22/3)*$G49*SIN($K$23)</f>
        <v>#VALUE!</v>
      </c>
      <c r="AE49" s="106" t="e">
        <f>IF(($A49&lt;'Alternative 1'!$B$27),(($H49*'Alternative 1'!$B$39)+(3*($N$22/3)*COS($K$23))),IF(($A49&lt;'Alternative 1'!$B$28),(($H49*'Alternative 1'!$B$39)+(2*(($N$22/3)*COS($K$23)))),IF(($A49&lt;'Alternative 1'!$B$29),(($H$3*'Alternative 1'!$B$39+(($N$22/3)*COS($K$23)))),($H49*'Alternative 1'!$B$39))))</f>
        <v>#VALUE!</v>
      </c>
      <c r="AF49" s="105" t="e">
        <f>AD49*'Alternative 1'!$K50/'Alternative 1'!$L50</f>
        <v>#VALUE!</v>
      </c>
      <c r="AG49" s="105" t="e">
        <f>AE49/'Alternative 1'!$M50</f>
        <v>#VALUE!</v>
      </c>
      <c r="AH49" s="105" t="e">
        <f t="shared" si="4"/>
        <v>#VALUE!</v>
      </c>
      <c r="AJ49" s="105" t="e">
        <f>'Alternative 1'!$B$39*$B49*$C49*COS($K$33)-($N$32/3)*$E49*SIN($K$33)-($N$32/3)*$F49*SIN($K$33)-($N$32/3)*$G49*SIN($K$33)</f>
        <v>#VALUE!</v>
      </c>
      <c r="AK49" s="106" t="e">
        <f>IF(($A49&lt;'Alternative 1'!$B$27),(($H49*'Alternative 1'!$B$39)+(3*($N$32/3)*COS($K$33))),IF(($A49&lt;'Alternative 1'!$B$28),(($H49*'Alternative 1'!$B$39)+(2*(($N$32/3)*COS($K$33)))),IF(($A49&lt;'Alternative 1'!$B$29),(($H$3*'Alternative 1'!$B$39+(($N$32/3)*COS($K$33)))),($H49*'Alternative 1'!$B$39))))</f>
        <v>#VALUE!</v>
      </c>
      <c r="AL49" s="105" t="e">
        <f>AJ49*'Alternative 1'!$K50/'Alternative 1'!$L50</f>
        <v>#VALUE!</v>
      </c>
      <c r="AM49" s="105" t="e">
        <f>AK49/'Alternative 1'!$M50</f>
        <v>#VALUE!</v>
      </c>
      <c r="AN49" s="105" t="e">
        <f t="shared" si="5"/>
        <v>#VALUE!</v>
      </c>
      <c r="AP49" s="105" t="e">
        <f>'Alternative 1'!$B$39*$B49*$C49*COS($K$43)-($N$42/3)*$E49*SIN($K$43)-($N$42/3)*$F49*SIN($K$43)-($N$42/3)*$G49*SIN($K$43)</f>
        <v>#VALUE!</v>
      </c>
      <c r="AQ49" s="106" t="e">
        <f>IF(($A49&lt;'Alternative 1'!$B$27),(($H49*'Alternative 1'!$B$39)+(3*($N$42/3)*COS($K$43))),IF(($A49&lt;'Alternative 1'!$B$28),(($H49*'Alternative 1'!$B$39)+(2*(($N$42/3)*COS($K$43)))),IF(($A49&lt;'Alternative 1'!$B$29),(($H$3*'Alternative 1'!$B$39+(($N$42/3)*COS($K$43)))),($H49*'Alternative 1'!$B$39))))</f>
        <v>#VALUE!</v>
      </c>
      <c r="AR49" s="105" t="e">
        <f>AP49*'Alternative 1'!$K50/'Alternative 1'!$L50</f>
        <v>#VALUE!</v>
      </c>
      <c r="AS49" s="105" t="e">
        <f>AQ49/'Alternative 1'!$M50</f>
        <v>#VALUE!</v>
      </c>
      <c r="AT49" s="105" t="e">
        <f t="shared" si="6"/>
        <v>#VALUE!</v>
      </c>
      <c r="AV49" s="105" t="e">
        <f>'Alternative 1'!$B$39*$B49*$C49*COS($K$53)-($N$52/3)*$E49*SIN($K$53)-($N$52/3)*$F49*SIN($K$53)-($N$52/3)*$G49*SIN($K$53)</f>
        <v>#VALUE!</v>
      </c>
      <c r="AW49" s="106" t="e">
        <f>IF(($A49&lt;'Alternative 1'!$B$27),(($H49*'Alternative 1'!$B$39)+(3*($N$52/3)*COS($K$53))),IF(($A49&lt;'Alternative 1'!$B$28),(($H49*'Alternative 1'!$B$39)+(2*(($N$52/3)*COS($K$53)))),IF(($A49&lt;'Alternative 1'!$B$29),(($H$3*'Alternative 1'!$B$39+(($N$52/3)*COS($K$53)))),($H49*'Alternative 1'!$B$39))))</f>
        <v>#VALUE!</v>
      </c>
      <c r="AX49" s="105" t="e">
        <f>AV49*'Alternative 1'!$K50/'Alternative 1'!$L50</f>
        <v>#VALUE!</v>
      </c>
      <c r="AY49" s="105" t="e">
        <f>AW49/'Alternative 1'!$M50</f>
        <v>#VALUE!</v>
      </c>
      <c r="AZ49" s="105" t="e">
        <f t="shared" si="7"/>
        <v>#VALUE!</v>
      </c>
      <c r="BB49" s="105" t="e">
        <f>'Alternative 1'!$B$39*$B49*$C49*COS($K$63)-($N$62/3)*$E49*SIN($K$63)-($N$62/3)*$F49*SIN($K$63)-($N$62/3)*$G49*SIN($K$63)</f>
        <v>#VALUE!</v>
      </c>
      <c r="BC49" s="106" t="e">
        <f>IF(($A49&lt;'Alternative 1'!$B$27),(($H49*'Alternative 1'!$B$39)+(3*($N$62/3)*COS($K$63))),IF(($A49&lt;'Alternative 1'!$B$28),(($H49*'Alternative 1'!$B$39)+(2*(($N$62/3)*COS($K$63)))),IF(($A49&lt;'Alternative 1'!$B$29),(($H$3*'Alternative 1'!$B$39+(($N$62/3)*COS($K$63)))),($H49*'Alternative 1'!$B$39))))</f>
        <v>#VALUE!</v>
      </c>
      <c r="BD49" s="105" t="e">
        <f>BB49*'Alternative 1'!$K50/'Alternative 1'!$L50</f>
        <v>#VALUE!</v>
      </c>
      <c r="BE49" s="105" t="e">
        <f>BC49/'Alternative 1'!$M50</f>
        <v>#VALUE!</v>
      </c>
      <c r="BF49" s="105" t="e">
        <f t="shared" si="8"/>
        <v>#VALUE!</v>
      </c>
      <c r="BH49" s="105" t="e">
        <f>'Alternative 1'!$B$39*$B49*$C49*COS($K$73)-($N$72/3)*$E49*SIN($K$73)-($N$72/3)*$F49*SIN($K$73)-($N$72/3)*$G49*SIN($K$73)</f>
        <v>#VALUE!</v>
      </c>
      <c r="BI49" s="106" t="e">
        <f>IF(($A49&lt;'Alternative 1'!$B$27),(($H49*'Alternative 1'!$B$39)+(3*($N$72/3)*COS($K$73))),IF(($A49&lt;'Alternative 1'!$B$28),(($H49*'Alternative 1'!$B$39)+(2*(($N$72/3)*COS($K$73)))),IF(($A49&lt;'Alternative 1'!$B$29),(($H$3*'Alternative 1'!$B$39+(($N$72/3)*COS($K$73)))),($H49*'Alternative 1'!$B$39))))</f>
        <v>#VALUE!</v>
      </c>
      <c r="BJ49" s="105" t="e">
        <f>BH49*'Alternative 1'!$K50/'Alternative 1'!$L50</f>
        <v>#VALUE!</v>
      </c>
      <c r="BK49" s="105" t="e">
        <f>BI49/'Alternative 1'!$M50</f>
        <v>#VALUE!</v>
      </c>
      <c r="BL49" s="105" t="e">
        <f t="shared" si="9"/>
        <v>#VALUE!</v>
      </c>
      <c r="BN49" s="105" t="e">
        <f>'Alternative 1'!$B$39*$B49*$C49*COS($K$83)-($N$82/3)*$E49*SIN($K$83)-($N$82/3)*$F49*SIN($K$83)-($N$82/3)*$G49*SIN($K$83)</f>
        <v>#VALUE!</v>
      </c>
      <c r="BO49" s="106" t="e">
        <f>IF(($A49&lt;'Alternative 1'!$B$27),(($H49*'Alternative 1'!$B$39)+(3*($N$82/3)*COS($K$83))),IF(($A49&lt;'Alternative 1'!$B$28),(($H49*'Alternative 1'!$B$39)+(2*(($N$82/3)*COS($K$83)))),IF(($A49&lt;'Alternative 1'!$B$29),(($H$3*'Alternative 1'!$B$39+(($N$82/3)*COS($K$83)))),($H49*'Alternative 1'!$B$39))))</f>
        <v>#VALUE!</v>
      </c>
      <c r="BP49" s="105" t="e">
        <f>BN49*'Alternative 1'!$K50/'Alternative 1'!$L50</f>
        <v>#VALUE!</v>
      </c>
      <c r="BQ49" s="105" t="e">
        <f>BO49/'Alternative 1'!$M50</f>
        <v>#VALUE!</v>
      </c>
      <c r="BR49" s="105" t="e">
        <f t="shared" si="10"/>
        <v>#VALUE!</v>
      </c>
      <c r="BT49" s="105" t="e">
        <f>'Alternative 1'!$B$39*$B49*$C49*COS($K$93)-($K$92/3)*$E49*SIN($K$93)-($K$92/3)*$F49*SIN($K$93)-($K$92/3)*$G49*SIN($K$93)</f>
        <v>#VALUE!</v>
      </c>
      <c r="BU49" s="106" t="e">
        <f>IF(($A49&lt;'Alternative 1'!$B$27),(($H49*'Alternative 1'!$B$39)+(3*($N$92/3)*COS($K$93))),IF(($A49&lt;'Alternative 1'!$B$28),(($H49*'Alternative 1'!$B$39)+(2*(($N$92/3)*COS($K$93)))),IF(($A49&lt;'Alternative 1'!$B$29),(($H$3*'Alternative 1'!$B$39+(($N$92/3)*COS($K$93)))),($H49*'Alternative 1'!$B$39))))</f>
        <v>#VALUE!</v>
      </c>
      <c r="BV49" s="105" t="e">
        <f>BT49*'Alternative 1'!$K50/'Alternative 1'!$L50</f>
        <v>#VALUE!</v>
      </c>
      <c r="BW49" s="105" t="e">
        <f>BU49/'Alternative 1'!$M50</f>
        <v>#VALUE!</v>
      </c>
      <c r="BX49" s="105" t="e">
        <f t="shared" si="11"/>
        <v>#VALUE!</v>
      </c>
      <c r="BZ49" s="104">
        <v>150</v>
      </c>
      <c r="CA49" s="104">
        <v>-150</v>
      </c>
    </row>
    <row r="50" spans="1:79" ht="15" customHeight="1" x14ac:dyDescent="0.25">
      <c r="A50" s="18" t="str">
        <f>IF('Alternative 1'!F51&gt;0,'Alternative 1'!F51,"x")</f>
        <v>x</v>
      </c>
      <c r="B50" s="18" t="e">
        <f t="shared" si="17"/>
        <v>#VALUE!</v>
      </c>
      <c r="C50" s="18">
        <f t="shared" si="12"/>
        <v>0</v>
      </c>
      <c r="D50" s="18" t="str">
        <f t="shared" si="13"/>
        <v>x</v>
      </c>
      <c r="E50" s="101">
        <f>IF($A50&lt;='Alternative 1'!$B$27, IF($A50='Alternative 1'!$B$27,0,E51+1),0)</f>
        <v>0</v>
      </c>
      <c r="F50" s="101">
        <f>IF($A50&lt;=('Alternative 1'!$B$28), IF($A50=ROUNDDOWN('Alternative 1'!$B$28,0),0,F51+1),0)</f>
        <v>0</v>
      </c>
      <c r="G50" s="101">
        <f>IF($A50&lt;=('Alternative 1'!$B$29), IF($A50=ROUNDDOWN('Alternative 1'!$B$29,0),0,G51+1),0)</f>
        <v>0</v>
      </c>
      <c r="H50" s="18" t="e">
        <f t="shared" si="14"/>
        <v>#VALUE!</v>
      </c>
      <c r="J50" s="104">
        <f t="shared" si="15"/>
        <v>47</v>
      </c>
      <c r="K50" s="104">
        <f t="shared" si="16"/>
        <v>0.82030474843733492</v>
      </c>
      <c r="L50" s="105">
        <f>'Alternative 1'!$B$27*SIN(K50)+'Alternative 1'!$B$28*SIN(K50)+'Alternative 1'!$B$29*SIN(K50)</f>
        <v>49.73205171010359</v>
      </c>
      <c r="M50" s="104">
        <f>(('Alternative 1'!$B$27)*(((('Alternative 1'!$B$28-'Alternative 1'!$B$27)/2)+'Alternative 1'!$B$27)*'Alternative 1'!$B$39)*COS('Alternative 1-Tilt Up (3pt)'!K50))+(('Alternative 1'!$B$28)*((('Alternative 1'!$B$28-'Alternative 1'!$B$27)/2)+(('Alternative 1'!$B$29-'Alternative 1'!$B$28)/2))*('Alternative 1'!$B$39)*COS('Alternative 1-Tilt Up (3pt)'!K50))+(('Alternative 1'!$B$29)*((('Alternative 1'!$B$12-'Alternative 1'!$B$29+(('Alternative 1'!$B$29-'Alternative 1'!$B$28)/2)*('Alternative 1'!$B$39)*COS('Alternative 1-Tilt Up (3pt)'!K50)))))</f>
        <v>3236903.1003722595</v>
      </c>
      <c r="N50" s="104">
        <f t="shared" si="0"/>
        <v>195260.58079650768</v>
      </c>
      <c r="O50" s="104">
        <f>(((('Alternative 1'!$B$28-'Alternative 1'!$B$27)/2)+'Alternative 1'!$B$27)*('Alternative 1'!$B$39)*COS('Alternative 1-Tilt Up (3pt)'!K50))+(((('Alternative 1'!$B$28-'Alternative 1'!$B$27)/2)+(('Alternative 1'!$B$29-'Alternative 1'!$B$28)/2))*('Alternative 1'!$B$39)*COS('Alternative 1-Tilt Up (3pt)'!K50))+(((('Alternative 1'!$B$12-'Alternative 1'!$B$29)+(('Alternative 1'!$B$29-'Alternative 1'!$B$28)/2))*('Alternative 1'!$B$39)*COS('Alternative 1-Tilt Up (3pt)'!K50)))</f>
        <v>208773.27430074304</v>
      </c>
      <c r="P50" s="104">
        <f t="shared" si="1"/>
        <v>133167.39588806921</v>
      </c>
      <c r="R50" s="105" t="e">
        <f>'Alternative 1'!$B$39*$B50*$C50*COS($K$5)-($N$5/3)*$E50*SIN($K$5)-($N$5/3)*$F50*SIN($K$5)-($N$5/3)*$G50*SIN($K$5)</f>
        <v>#VALUE!</v>
      </c>
      <c r="S50" s="106" t="e">
        <f>IF(($A50&lt;'Alternative 1'!$B$27),(($H50*'Alternative 1'!$B$39)+(3*($N$5/3)*COS($K$5))),IF(($A50&lt;'Alternative 1'!$B$28),(($H50*'Alternative 1'!$B$39)+(2*(($N$5/3)*COS($K$5)))),IF(($A50&lt;'Alternative 1'!$B$29),(($H$3*'Alternative 1'!$B$39+(($N$5/3)*COS($K$5)))),($H50*'Alternative 1'!$B$39))))</f>
        <v>#VALUE!</v>
      </c>
      <c r="T50" s="105" t="e">
        <f>R50*'Alternative 1'!$K51/'Alternative 1'!$L51</f>
        <v>#VALUE!</v>
      </c>
      <c r="U50" s="105" t="e">
        <f>S50/'Alternative 1'!$M51</f>
        <v>#VALUE!</v>
      </c>
      <c r="V50" s="105" t="e">
        <f t="shared" si="2"/>
        <v>#VALUE!</v>
      </c>
      <c r="X50" s="105" t="e">
        <f>'Alternative 1'!$B$39*$B50*$C50*COS($K$13)-($N$12/3)*$E50*SIN($K$13)-($N$12/3)*$F50*SIN($K$13)-($N$12/3)*$G50*SIN($K$13)</f>
        <v>#VALUE!</v>
      </c>
      <c r="Y50" s="106" t="e">
        <f>IF(($A50&lt;'Alternative 1'!$B$27),(($H50*'Alternative 1'!$B$39)+(3*($N$12/3)*COS($K$13))),IF(($A50&lt;'Alternative 1'!$B$28),(($H50*'Alternative 1'!$B$39)+(2*(($N$12/3)*COS($K$13)))),IF(($A50&lt;'Alternative 1'!$B$29),(($H$3*'Alternative 1'!$B$39+(($N$12/3)*COS($K$13)))),($H50*'Alternative 1'!$B$39))))</f>
        <v>#VALUE!</v>
      </c>
      <c r="Z50" s="105" t="e">
        <f>X50*'Alternative 1'!$K51/'Alternative 1'!$L51</f>
        <v>#VALUE!</v>
      </c>
      <c r="AA50" s="105" t="e">
        <f>Y50/'Alternative 1'!$M51</f>
        <v>#VALUE!</v>
      </c>
      <c r="AB50" s="105" t="e">
        <f t="shared" si="3"/>
        <v>#VALUE!</v>
      </c>
      <c r="AD50" s="105" t="e">
        <f>'Alternative 1'!$B$39*$B50*$C50*COS($K$23)-($N$22/3)*$E50*SIN($K$23)-($N$22/3)*$F50*SIN($K$23)-($N$22/3)*$G50*SIN($K$23)</f>
        <v>#VALUE!</v>
      </c>
      <c r="AE50" s="106" t="e">
        <f>IF(($A50&lt;'Alternative 1'!$B$27),(($H50*'Alternative 1'!$B$39)+(3*($N$22/3)*COS($K$23))),IF(($A50&lt;'Alternative 1'!$B$28),(($H50*'Alternative 1'!$B$39)+(2*(($N$22/3)*COS($K$23)))),IF(($A50&lt;'Alternative 1'!$B$29),(($H$3*'Alternative 1'!$B$39+(($N$22/3)*COS($K$23)))),($H50*'Alternative 1'!$B$39))))</f>
        <v>#VALUE!</v>
      </c>
      <c r="AF50" s="105" t="e">
        <f>AD50*'Alternative 1'!$K51/'Alternative 1'!$L51</f>
        <v>#VALUE!</v>
      </c>
      <c r="AG50" s="105" t="e">
        <f>AE50/'Alternative 1'!$M51</f>
        <v>#VALUE!</v>
      </c>
      <c r="AH50" s="105" t="e">
        <f t="shared" si="4"/>
        <v>#VALUE!</v>
      </c>
      <c r="AJ50" s="105" t="e">
        <f>'Alternative 1'!$B$39*$B50*$C50*COS($K$33)-($N$32/3)*$E50*SIN($K$33)-($N$32/3)*$F50*SIN($K$33)-($N$32/3)*$G50*SIN($K$33)</f>
        <v>#VALUE!</v>
      </c>
      <c r="AK50" s="106" t="e">
        <f>IF(($A50&lt;'Alternative 1'!$B$27),(($H50*'Alternative 1'!$B$39)+(3*($N$32/3)*COS($K$33))),IF(($A50&lt;'Alternative 1'!$B$28),(($H50*'Alternative 1'!$B$39)+(2*(($N$32/3)*COS($K$33)))),IF(($A50&lt;'Alternative 1'!$B$29),(($H$3*'Alternative 1'!$B$39+(($N$32/3)*COS($K$33)))),($H50*'Alternative 1'!$B$39))))</f>
        <v>#VALUE!</v>
      </c>
      <c r="AL50" s="105" t="e">
        <f>AJ50*'Alternative 1'!$K51/'Alternative 1'!$L51</f>
        <v>#VALUE!</v>
      </c>
      <c r="AM50" s="105" t="e">
        <f>AK50/'Alternative 1'!$M51</f>
        <v>#VALUE!</v>
      </c>
      <c r="AN50" s="105" t="e">
        <f t="shared" si="5"/>
        <v>#VALUE!</v>
      </c>
      <c r="AP50" s="105" t="e">
        <f>'Alternative 1'!$B$39*$B50*$C50*COS($K$43)-($N$42/3)*$E50*SIN($K$43)-($N$42/3)*$F50*SIN($K$43)-($N$42/3)*$G50*SIN($K$43)</f>
        <v>#VALUE!</v>
      </c>
      <c r="AQ50" s="106" t="e">
        <f>IF(($A50&lt;'Alternative 1'!$B$27),(($H50*'Alternative 1'!$B$39)+(3*($N$42/3)*COS($K$43))),IF(($A50&lt;'Alternative 1'!$B$28),(($H50*'Alternative 1'!$B$39)+(2*(($N$42/3)*COS($K$43)))),IF(($A50&lt;'Alternative 1'!$B$29),(($H$3*'Alternative 1'!$B$39+(($N$42/3)*COS($K$43)))),($H50*'Alternative 1'!$B$39))))</f>
        <v>#VALUE!</v>
      </c>
      <c r="AR50" s="105" t="e">
        <f>AP50*'Alternative 1'!$K51/'Alternative 1'!$L51</f>
        <v>#VALUE!</v>
      </c>
      <c r="AS50" s="105" t="e">
        <f>AQ50/'Alternative 1'!$M51</f>
        <v>#VALUE!</v>
      </c>
      <c r="AT50" s="105" t="e">
        <f t="shared" si="6"/>
        <v>#VALUE!</v>
      </c>
      <c r="AV50" s="105" t="e">
        <f>'Alternative 1'!$B$39*$B50*$C50*COS($K$53)-($N$52/3)*$E50*SIN($K$53)-($N$52/3)*$F50*SIN($K$53)-($N$52/3)*$G50*SIN($K$53)</f>
        <v>#VALUE!</v>
      </c>
      <c r="AW50" s="106" t="e">
        <f>IF(($A50&lt;'Alternative 1'!$B$27),(($H50*'Alternative 1'!$B$39)+(3*($N$52/3)*COS($K$53))),IF(($A50&lt;'Alternative 1'!$B$28),(($H50*'Alternative 1'!$B$39)+(2*(($N$52/3)*COS($K$53)))),IF(($A50&lt;'Alternative 1'!$B$29),(($H$3*'Alternative 1'!$B$39+(($N$52/3)*COS($K$53)))),($H50*'Alternative 1'!$B$39))))</f>
        <v>#VALUE!</v>
      </c>
      <c r="AX50" s="105" t="e">
        <f>AV50*'Alternative 1'!$K51/'Alternative 1'!$L51</f>
        <v>#VALUE!</v>
      </c>
      <c r="AY50" s="105" t="e">
        <f>AW50/'Alternative 1'!$M51</f>
        <v>#VALUE!</v>
      </c>
      <c r="AZ50" s="105" t="e">
        <f t="shared" si="7"/>
        <v>#VALUE!</v>
      </c>
      <c r="BB50" s="105" t="e">
        <f>'Alternative 1'!$B$39*$B50*$C50*COS($K$63)-($N$62/3)*$E50*SIN($K$63)-($N$62/3)*$F50*SIN($K$63)-($N$62/3)*$G50*SIN($K$63)</f>
        <v>#VALUE!</v>
      </c>
      <c r="BC50" s="106" t="e">
        <f>IF(($A50&lt;'Alternative 1'!$B$27),(($H50*'Alternative 1'!$B$39)+(3*($N$62/3)*COS($K$63))),IF(($A50&lt;'Alternative 1'!$B$28),(($H50*'Alternative 1'!$B$39)+(2*(($N$62/3)*COS($K$63)))),IF(($A50&lt;'Alternative 1'!$B$29),(($H$3*'Alternative 1'!$B$39+(($N$62/3)*COS($K$63)))),($H50*'Alternative 1'!$B$39))))</f>
        <v>#VALUE!</v>
      </c>
      <c r="BD50" s="105" t="e">
        <f>BB50*'Alternative 1'!$K51/'Alternative 1'!$L51</f>
        <v>#VALUE!</v>
      </c>
      <c r="BE50" s="105" t="e">
        <f>BC50/'Alternative 1'!$M51</f>
        <v>#VALUE!</v>
      </c>
      <c r="BF50" s="105" t="e">
        <f t="shared" si="8"/>
        <v>#VALUE!</v>
      </c>
      <c r="BH50" s="105" t="e">
        <f>'Alternative 1'!$B$39*$B50*$C50*COS($K$73)-($N$72/3)*$E50*SIN($K$73)-($N$72/3)*$F50*SIN($K$73)-($N$72/3)*$G50*SIN($K$73)</f>
        <v>#VALUE!</v>
      </c>
      <c r="BI50" s="106" t="e">
        <f>IF(($A50&lt;'Alternative 1'!$B$27),(($H50*'Alternative 1'!$B$39)+(3*($N$72/3)*COS($K$73))),IF(($A50&lt;'Alternative 1'!$B$28),(($H50*'Alternative 1'!$B$39)+(2*(($N$72/3)*COS($K$73)))),IF(($A50&lt;'Alternative 1'!$B$29),(($H$3*'Alternative 1'!$B$39+(($N$72/3)*COS($K$73)))),($H50*'Alternative 1'!$B$39))))</f>
        <v>#VALUE!</v>
      </c>
      <c r="BJ50" s="105" t="e">
        <f>BH50*'Alternative 1'!$K51/'Alternative 1'!$L51</f>
        <v>#VALUE!</v>
      </c>
      <c r="BK50" s="105" t="e">
        <f>BI50/'Alternative 1'!$M51</f>
        <v>#VALUE!</v>
      </c>
      <c r="BL50" s="105" t="e">
        <f t="shared" si="9"/>
        <v>#VALUE!</v>
      </c>
      <c r="BN50" s="105" t="e">
        <f>'Alternative 1'!$B$39*$B50*$C50*COS($K$83)-($N$82/3)*$E50*SIN($K$83)-($N$82/3)*$F50*SIN($K$83)-($N$82/3)*$G50*SIN($K$83)</f>
        <v>#VALUE!</v>
      </c>
      <c r="BO50" s="106" t="e">
        <f>IF(($A50&lt;'Alternative 1'!$B$27),(($H50*'Alternative 1'!$B$39)+(3*($N$82/3)*COS($K$83))),IF(($A50&lt;'Alternative 1'!$B$28),(($H50*'Alternative 1'!$B$39)+(2*(($N$82/3)*COS($K$83)))),IF(($A50&lt;'Alternative 1'!$B$29),(($H$3*'Alternative 1'!$B$39+(($N$82/3)*COS($K$83)))),($H50*'Alternative 1'!$B$39))))</f>
        <v>#VALUE!</v>
      </c>
      <c r="BP50" s="105" t="e">
        <f>BN50*'Alternative 1'!$K51/'Alternative 1'!$L51</f>
        <v>#VALUE!</v>
      </c>
      <c r="BQ50" s="105" t="e">
        <f>BO50/'Alternative 1'!$M51</f>
        <v>#VALUE!</v>
      </c>
      <c r="BR50" s="105" t="e">
        <f t="shared" si="10"/>
        <v>#VALUE!</v>
      </c>
      <c r="BT50" s="105" t="e">
        <f>'Alternative 1'!$B$39*$B50*$C50*COS($K$93)-($K$92/3)*$E50*SIN($K$93)-($K$92/3)*$F50*SIN($K$93)-($K$92/3)*$G50*SIN($K$93)</f>
        <v>#VALUE!</v>
      </c>
      <c r="BU50" s="106" t="e">
        <f>IF(($A50&lt;'Alternative 1'!$B$27),(($H50*'Alternative 1'!$B$39)+(3*($N$92/3)*COS($K$93))),IF(($A50&lt;'Alternative 1'!$B$28),(($H50*'Alternative 1'!$B$39)+(2*(($N$92/3)*COS($K$93)))),IF(($A50&lt;'Alternative 1'!$B$29),(($H$3*'Alternative 1'!$B$39+(($N$92/3)*COS($K$93)))),($H50*'Alternative 1'!$B$39))))</f>
        <v>#VALUE!</v>
      </c>
      <c r="BV50" s="105" t="e">
        <f>BT50*'Alternative 1'!$K51/'Alternative 1'!$L51</f>
        <v>#VALUE!</v>
      </c>
      <c r="BW50" s="105" t="e">
        <f>BU50/'Alternative 1'!$M51</f>
        <v>#VALUE!</v>
      </c>
      <c r="BX50" s="105" t="e">
        <f t="shared" si="11"/>
        <v>#VALUE!</v>
      </c>
      <c r="BZ50" s="104">
        <v>150</v>
      </c>
      <c r="CA50" s="104">
        <v>-150</v>
      </c>
    </row>
    <row r="51" spans="1:79" ht="15" customHeight="1" x14ac:dyDescent="0.25">
      <c r="A51" s="18" t="str">
        <f>IF('Alternative 1'!F52&gt;0,'Alternative 1'!F52,"x")</f>
        <v>x</v>
      </c>
      <c r="B51" s="18" t="e">
        <f t="shared" si="17"/>
        <v>#VALUE!</v>
      </c>
      <c r="C51" s="18">
        <f t="shared" si="12"/>
        <v>0</v>
      </c>
      <c r="D51" s="18" t="str">
        <f t="shared" si="13"/>
        <v>x</v>
      </c>
      <c r="E51" s="101">
        <f>IF($A51&lt;='Alternative 1'!$B$27, IF($A51='Alternative 1'!$B$27,0,E52+1),0)</f>
        <v>0</v>
      </c>
      <c r="F51" s="101">
        <f>IF($A51&lt;=('Alternative 1'!$B$28), IF($A51=ROUNDDOWN('Alternative 1'!$B$28,0),0,F52+1),0)</f>
        <v>0</v>
      </c>
      <c r="G51" s="101">
        <f>IF($A51&lt;=('Alternative 1'!$B$29), IF($A51=ROUNDDOWN('Alternative 1'!$B$29,0),0,G52+1),0)</f>
        <v>0</v>
      </c>
      <c r="H51" s="18" t="e">
        <f t="shared" si="14"/>
        <v>#VALUE!</v>
      </c>
      <c r="J51" s="104">
        <f t="shared" si="15"/>
        <v>48</v>
      </c>
      <c r="K51" s="104">
        <f t="shared" si="16"/>
        <v>0.83775804095727813</v>
      </c>
      <c r="L51" s="105">
        <f>'Alternative 1'!$B$27*SIN(K51)+'Alternative 1'!$B$28*SIN(K51)+'Alternative 1'!$B$29*SIN(K51)</f>
        <v>50.533848132462801</v>
      </c>
      <c r="M51" s="104">
        <f>(('Alternative 1'!$B$27)*(((('Alternative 1'!$B$28-'Alternative 1'!$B$27)/2)+'Alternative 1'!$B$27)*'Alternative 1'!$B$39)*COS('Alternative 1-Tilt Up (3pt)'!K51))+(('Alternative 1'!$B$28)*((('Alternative 1'!$B$28-'Alternative 1'!$B$27)/2)+(('Alternative 1'!$B$29-'Alternative 1'!$B$28)/2))*('Alternative 1'!$B$39)*COS('Alternative 1-Tilt Up (3pt)'!K51))+(('Alternative 1'!$B$29)*((('Alternative 1'!$B$12-'Alternative 1'!$B$29+(('Alternative 1'!$B$29-'Alternative 1'!$B$28)/2)*('Alternative 1'!$B$39)*COS('Alternative 1-Tilt Up (3pt)'!K51)))))</f>
        <v>3175833.8119922825</v>
      </c>
      <c r="N51" s="104">
        <f t="shared" si="0"/>
        <v>188537.02593562054</v>
      </c>
      <c r="O51" s="104">
        <f>(((('Alternative 1'!$B$28-'Alternative 1'!$B$27)/2)+'Alternative 1'!$B$27)*('Alternative 1'!$B$39)*COS('Alternative 1-Tilt Up (3pt)'!K51))+(((('Alternative 1'!$B$28-'Alternative 1'!$B$27)/2)+(('Alternative 1'!$B$29-'Alternative 1'!$B$28)/2))*('Alternative 1'!$B$39)*COS('Alternative 1-Tilt Up (3pt)'!K51))+(((('Alternative 1'!$B$12-'Alternative 1'!$B$29)+(('Alternative 1'!$B$29-'Alternative 1'!$B$28)/2))*('Alternative 1'!$B$39)*COS('Alternative 1-Tilt Up (3pt)'!K51)))</f>
        <v>204834.19873851104</v>
      </c>
      <c r="P51" s="104">
        <f t="shared" si="1"/>
        <v>126155.89448539756</v>
      </c>
      <c r="R51" s="105" t="e">
        <f>'Alternative 1'!$B$39*$B51*$C51*COS($K$5)-($N$5/3)*$E51*SIN($K$5)-($N$5/3)*$F51*SIN($K$5)-($N$5/3)*$G51*SIN($K$5)</f>
        <v>#VALUE!</v>
      </c>
      <c r="S51" s="106" t="e">
        <f>IF(($A51&lt;'Alternative 1'!$B$27),(($H51*'Alternative 1'!$B$39)+(3*($N$5/3)*COS($K$5))),IF(($A51&lt;'Alternative 1'!$B$28),(($H51*'Alternative 1'!$B$39)+(2*(($N$5/3)*COS($K$5)))),IF(($A51&lt;'Alternative 1'!$B$29),(($H$3*'Alternative 1'!$B$39+(($N$5/3)*COS($K$5)))),($H51*'Alternative 1'!$B$39))))</f>
        <v>#VALUE!</v>
      </c>
      <c r="T51" s="105" t="e">
        <f>R51*'Alternative 1'!$K52/'Alternative 1'!$L52</f>
        <v>#VALUE!</v>
      </c>
      <c r="U51" s="105" t="e">
        <f>S51/'Alternative 1'!$M52</f>
        <v>#VALUE!</v>
      </c>
      <c r="V51" s="105" t="e">
        <f t="shared" si="2"/>
        <v>#VALUE!</v>
      </c>
      <c r="X51" s="105" t="e">
        <f>'Alternative 1'!$B$39*$B51*$C51*COS($K$13)-($N$12/3)*$E51*SIN($K$13)-($N$12/3)*$F51*SIN($K$13)-($N$12/3)*$G51*SIN($K$13)</f>
        <v>#VALUE!</v>
      </c>
      <c r="Y51" s="106" t="e">
        <f>IF(($A51&lt;'Alternative 1'!$B$27),(($H51*'Alternative 1'!$B$39)+(3*($N$12/3)*COS($K$13))),IF(($A51&lt;'Alternative 1'!$B$28),(($H51*'Alternative 1'!$B$39)+(2*(($N$12/3)*COS($K$13)))),IF(($A51&lt;'Alternative 1'!$B$29),(($H$3*'Alternative 1'!$B$39+(($N$12/3)*COS($K$13)))),($H51*'Alternative 1'!$B$39))))</f>
        <v>#VALUE!</v>
      </c>
      <c r="Z51" s="105" t="e">
        <f>X51*'Alternative 1'!$K52/'Alternative 1'!$L52</f>
        <v>#VALUE!</v>
      </c>
      <c r="AA51" s="105" t="e">
        <f>Y51/'Alternative 1'!$M52</f>
        <v>#VALUE!</v>
      </c>
      <c r="AB51" s="105" t="e">
        <f t="shared" si="3"/>
        <v>#VALUE!</v>
      </c>
      <c r="AD51" s="105" t="e">
        <f>'Alternative 1'!$B$39*$B51*$C51*COS($K$23)-($N$22/3)*$E51*SIN($K$23)-($N$22/3)*$F51*SIN($K$23)-($N$22/3)*$G51*SIN($K$23)</f>
        <v>#VALUE!</v>
      </c>
      <c r="AE51" s="106" t="e">
        <f>IF(($A51&lt;'Alternative 1'!$B$27),(($H51*'Alternative 1'!$B$39)+(3*($N$22/3)*COS($K$23))),IF(($A51&lt;'Alternative 1'!$B$28),(($H51*'Alternative 1'!$B$39)+(2*(($N$22/3)*COS($K$23)))),IF(($A51&lt;'Alternative 1'!$B$29),(($H$3*'Alternative 1'!$B$39+(($N$22/3)*COS($K$23)))),($H51*'Alternative 1'!$B$39))))</f>
        <v>#VALUE!</v>
      </c>
      <c r="AF51" s="105" t="e">
        <f>AD51*'Alternative 1'!$K52/'Alternative 1'!$L52</f>
        <v>#VALUE!</v>
      </c>
      <c r="AG51" s="105" t="e">
        <f>AE51/'Alternative 1'!$M52</f>
        <v>#VALUE!</v>
      </c>
      <c r="AH51" s="105" t="e">
        <f t="shared" si="4"/>
        <v>#VALUE!</v>
      </c>
      <c r="AJ51" s="105" t="e">
        <f>'Alternative 1'!$B$39*$B51*$C51*COS($K$33)-($N$32/3)*$E51*SIN($K$33)-($N$32/3)*$F51*SIN($K$33)-($N$32/3)*$G51*SIN($K$33)</f>
        <v>#VALUE!</v>
      </c>
      <c r="AK51" s="106" t="e">
        <f>IF(($A51&lt;'Alternative 1'!$B$27),(($H51*'Alternative 1'!$B$39)+(3*($N$32/3)*COS($K$33))),IF(($A51&lt;'Alternative 1'!$B$28),(($H51*'Alternative 1'!$B$39)+(2*(($N$32/3)*COS($K$33)))),IF(($A51&lt;'Alternative 1'!$B$29),(($H$3*'Alternative 1'!$B$39+(($N$32/3)*COS($K$33)))),($H51*'Alternative 1'!$B$39))))</f>
        <v>#VALUE!</v>
      </c>
      <c r="AL51" s="105" t="e">
        <f>AJ51*'Alternative 1'!$K52/'Alternative 1'!$L52</f>
        <v>#VALUE!</v>
      </c>
      <c r="AM51" s="105" t="e">
        <f>AK51/'Alternative 1'!$M52</f>
        <v>#VALUE!</v>
      </c>
      <c r="AN51" s="105" t="e">
        <f t="shared" si="5"/>
        <v>#VALUE!</v>
      </c>
      <c r="AP51" s="105" t="e">
        <f>'Alternative 1'!$B$39*$B51*$C51*COS($K$43)-($N$42/3)*$E51*SIN($K$43)-($N$42/3)*$F51*SIN($K$43)-($N$42/3)*$G51*SIN($K$43)</f>
        <v>#VALUE!</v>
      </c>
      <c r="AQ51" s="106" t="e">
        <f>IF(($A51&lt;'Alternative 1'!$B$27),(($H51*'Alternative 1'!$B$39)+(3*($N$42/3)*COS($K$43))),IF(($A51&lt;'Alternative 1'!$B$28),(($H51*'Alternative 1'!$B$39)+(2*(($N$42/3)*COS($K$43)))),IF(($A51&lt;'Alternative 1'!$B$29),(($H$3*'Alternative 1'!$B$39+(($N$42/3)*COS($K$43)))),($H51*'Alternative 1'!$B$39))))</f>
        <v>#VALUE!</v>
      </c>
      <c r="AR51" s="105" t="e">
        <f>AP51*'Alternative 1'!$K52/'Alternative 1'!$L52</f>
        <v>#VALUE!</v>
      </c>
      <c r="AS51" s="105" t="e">
        <f>AQ51/'Alternative 1'!$M52</f>
        <v>#VALUE!</v>
      </c>
      <c r="AT51" s="105" t="e">
        <f t="shared" si="6"/>
        <v>#VALUE!</v>
      </c>
      <c r="AV51" s="105" t="e">
        <f>'Alternative 1'!$B$39*$B51*$C51*COS($K$53)-($N$52/3)*$E51*SIN($K$53)-($N$52/3)*$F51*SIN($K$53)-($N$52/3)*$G51*SIN($K$53)</f>
        <v>#VALUE!</v>
      </c>
      <c r="AW51" s="106" t="e">
        <f>IF(($A51&lt;'Alternative 1'!$B$27),(($H51*'Alternative 1'!$B$39)+(3*($N$52/3)*COS($K$53))),IF(($A51&lt;'Alternative 1'!$B$28),(($H51*'Alternative 1'!$B$39)+(2*(($N$52/3)*COS($K$53)))),IF(($A51&lt;'Alternative 1'!$B$29),(($H$3*'Alternative 1'!$B$39+(($N$52/3)*COS($K$53)))),($H51*'Alternative 1'!$B$39))))</f>
        <v>#VALUE!</v>
      </c>
      <c r="AX51" s="105" t="e">
        <f>AV51*'Alternative 1'!$K52/'Alternative 1'!$L52</f>
        <v>#VALUE!</v>
      </c>
      <c r="AY51" s="105" t="e">
        <f>AW51/'Alternative 1'!$M52</f>
        <v>#VALUE!</v>
      </c>
      <c r="AZ51" s="105" t="e">
        <f t="shared" si="7"/>
        <v>#VALUE!</v>
      </c>
      <c r="BB51" s="105" t="e">
        <f>'Alternative 1'!$B$39*$B51*$C51*COS($K$63)-($N$62/3)*$E51*SIN($K$63)-($N$62/3)*$F51*SIN($K$63)-($N$62/3)*$G51*SIN($K$63)</f>
        <v>#VALUE!</v>
      </c>
      <c r="BC51" s="106" t="e">
        <f>IF(($A51&lt;'Alternative 1'!$B$27),(($H51*'Alternative 1'!$B$39)+(3*($N$62/3)*COS($K$63))),IF(($A51&lt;'Alternative 1'!$B$28),(($H51*'Alternative 1'!$B$39)+(2*(($N$62/3)*COS($K$63)))),IF(($A51&lt;'Alternative 1'!$B$29),(($H$3*'Alternative 1'!$B$39+(($N$62/3)*COS($K$63)))),($H51*'Alternative 1'!$B$39))))</f>
        <v>#VALUE!</v>
      </c>
      <c r="BD51" s="105" t="e">
        <f>BB51*'Alternative 1'!$K52/'Alternative 1'!$L52</f>
        <v>#VALUE!</v>
      </c>
      <c r="BE51" s="105" t="e">
        <f>BC51/'Alternative 1'!$M52</f>
        <v>#VALUE!</v>
      </c>
      <c r="BF51" s="105" t="e">
        <f t="shared" si="8"/>
        <v>#VALUE!</v>
      </c>
      <c r="BH51" s="105" t="e">
        <f>'Alternative 1'!$B$39*$B51*$C51*COS($K$73)-($N$72/3)*$E51*SIN($K$73)-($N$72/3)*$F51*SIN($K$73)-($N$72/3)*$G51*SIN($K$73)</f>
        <v>#VALUE!</v>
      </c>
      <c r="BI51" s="106" t="e">
        <f>IF(($A51&lt;'Alternative 1'!$B$27),(($H51*'Alternative 1'!$B$39)+(3*($N$72/3)*COS($K$73))),IF(($A51&lt;'Alternative 1'!$B$28),(($H51*'Alternative 1'!$B$39)+(2*(($N$72/3)*COS($K$73)))),IF(($A51&lt;'Alternative 1'!$B$29),(($H$3*'Alternative 1'!$B$39+(($N$72/3)*COS($K$73)))),($H51*'Alternative 1'!$B$39))))</f>
        <v>#VALUE!</v>
      </c>
      <c r="BJ51" s="105" t="e">
        <f>BH51*'Alternative 1'!$K52/'Alternative 1'!$L52</f>
        <v>#VALUE!</v>
      </c>
      <c r="BK51" s="105" t="e">
        <f>BI51/'Alternative 1'!$M52</f>
        <v>#VALUE!</v>
      </c>
      <c r="BL51" s="105" t="e">
        <f t="shared" si="9"/>
        <v>#VALUE!</v>
      </c>
      <c r="BN51" s="105" t="e">
        <f>'Alternative 1'!$B$39*$B51*$C51*COS($K$83)-($N$82/3)*$E51*SIN($K$83)-($N$82/3)*$F51*SIN($K$83)-($N$82/3)*$G51*SIN($K$83)</f>
        <v>#VALUE!</v>
      </c>
      <c r="BO51" s="106" t="e">
        <f>IF(($A51&lt;'Alternative 1'!$B$27),(($H51*'Alternative 1'!$B$39)+(3*($N$82/3)*COS($K$83))),IF(($A51&lt;'Alternative 1'!$B$28),(($H51*'Alternative 1'!$B$39)+(2*(($N$82/3)*COS($K$83)))),IF(($A51&lt;'Alternative 1'!$B$29),(($H$3*'Alternative 1'!$B$39+(($N$82/3)*COS($K$83)))),($H51*'Alternative 1'!$B$39))))</f>
        <v>#VALUE!</v>
      </c>
      <c r="BP51" s="105" t="e">
        <f>BN51*'Alternative 1'!$K52/'Alternative 1'!$L52</f>
        <v>#VALUE!</v>
      </c>
      <c r="BQ51" s="105" t="e">
        <f>BO51/'Alternative 1'!$M52</f>
        <v>#VALUE!</v>
      </c>
      <c r="BR51" s="105" t="e">
        <f t="shared" si="10"/>
        <v>#VALUE!</v>
      </c>
      <c r="BT51" s="105" t="e">
        <f>'Alternative 1'!$B$39*$B51*$C51*COS($K$93)-($K$92/3)*$E51*SIN($K$93)-($K$92/3)*$F51*SIN($K$93)-($K$92/3)*$G51*SIN($K$93)</f>
        <v>#VALUE!</v>
      </c>
      <c r="BU51" s="106" t="e">
        <f>IF(($A51&lt;'Alternative 1'!$B$27),(($H51*'Alternative 1'!$B$39)+(3*($N$92/3)*COS($K$93))),IF(($A51&lt;'Alternative 1'!$B$28),(($H51*'Alternative 1'!$B$39)+(2*(($N$92/3)*COS($K$93)))),IF(($A51&lt;'Alternative 1'!$B$29),(($H$3*'Alternative 1'!$B$39+(($N$92/3)*COS($K$93)))),($H51*'Alternative 1'!$B$39))))</f>
        <v>#VALUE!</v>
      </c>
      <c r="BV51" s="105" t="e">
        <f>BT51*'Alternative 1'!$K52/'Alternative 1'!$L52</f>
        <v>#VALUE!</v>
      </c>
      <c r="BW51" s="105" t="e">
        <f>BU51/'Alternative 1'!$M52</f>
        <v>#VALUE!</v>
      </c>
      <c r="BX51" s="105" t="e">
        <f t="shared" si="11"/>
        <v>#VALUE!</v>
      </c>
      <c r="BZ51" s="104">
        <v>150</v>
      </c>
      <c r="CA51" s="104">
        <v>-150</v>
      </c>
    </row>
    <row r="52" spans="1:79" ht="15" customHeight="1" x14ac:dyDescent="0.25">
      <c r="A52" s="18" t="str">
        <f>IF('Alternative 1'!F53&gt;0,'Alternative 1'!F53,"x")</f>
        <v>x</v>
      </c>
      <c r="B52" s="18" t="e">
        <f t="shared" si="17"/>
        <v>#VALUE!</v>
      </c>
      <c r="C52" s="18">
        <f t="shared" si="12"/>
        <v>0</v>
      </c>
      <c r="D52" s="18" t="str">
        <f t="shared" si="13"/>
        <v>x</v>
      </c>
      <c r="E52" s="101">
        <f>IF($A52&lt;='Alternative 1'!$B$27, IF($A52='Alternative 1'!$B$27,0,E53+1),0)</f>
        <v>0</v>
      </c>
      <c r="F52" s="101">
        <f>IF($A52&lt;=('Alternative 1'!$B$28), IF($A52=ROUNDDOWN('Alternative 1'!$B$28,0),0,F53+1),0)</f>
        <v>0</v>
      </c>
      <c r="G52" s="101">
        <f>IF($A52&lt;=('Alternative 1'!$B$29), IF($A52=ROUNDDOWN('Alternative 1'!$B$29,0),0,G53+1),0)</f>
        <v>0</v>
      </c>
      <c r="H52" s="18" t="e">
        <f t="shared" si="14"/>
        <v>#VALUE!</v>
      </c>
      <c r="J52" s="104">
        <f t="shared" si="15"/>
        <v>49</v>
      </c>
      <c r="K52" s="104">
        <f t="shared" si="16"/>
        <v>0.85521133347722145</v>
      </c>
      <c r="L52" s="105">
        <f>'Alternative 1'!$B$27*SIN(K52)+'Alternative 1'!$B$28*SIN(K52)+'Alternative 1'!$B$29*SIN(K52)</f>
        <v>51.320251455148494</v>
      </c>
      <c r="M52" s="104">
        <f>(('Alternative 1'!$B$27)*(((('Alternative 1'!$B$28-'Alternative 1'!$B$27)/2)+'Alternative 1'!$B$27)*'Alternative 1'!$B$39)*COS('Alternative 1-Tilt Up (3pt)'!K52))+(('Alternative 1'!$B$28)*((('Alternative 1'!$B$28-'Alternative 1'!$B$27)/2)+(('Alternative 1'!$B$29-'Alternative 1'!$B$28)/2))*('Alternative 1'!$B$39)*COS('Alternative 1-Tilt Up (3pt)'!K52))+(('Alternative 1'!$B$29)*((('Alternative 1'!$B$12-'Alternative 1'!$B$29+(('Alternative 1'!$B$29-'Alternative 1'!$B$28)/2)*('Alternative 1'!$B$39)*COS('Alternative 1-Tilt Up (3pt)'!K52)))))</f>
        <v>3113797.1934593073</v>
      </c>
      <c r="N52" s="109">
        <f t="shared" si="0"/>
        <v>182021.54735235198</v>
      </c>
      <c r="O52" s="104">
        <f>(((('Alternative 1'!$B$28-'Alternative 1'!$B$27)/2)+'Alternative 1'!$B$27)*('Alternative 1'!$B$39)*COS('Alternative 1-Tilt Up (3pt)'!K52))+(((('Alternative 1'!$B$28-'Alternative 1'!$B$27)/2)+(('Alternative 1'!$B$29-'Alternative 1'!$B$28)/2))*('Alternative 1'!$B$39)*COS('Alternative 1-Tilt Up (3pt)'!K52))+(((('Alternative 1'!$B$12-'Alternative 1'!$B$29)+(('Alternative 1'!$B$29-'Alternative 1'!$B$28)/2))*('Alternative 1'!$B$39)*COS('Alternative 1-Tilt Up (3pt)'!K52)))</f>
        <v>200832.72869506985</v>
      </c>
      <c r="P52" s="104">
        <f t="shared" si="1"/>
        <v>119416.87961133367</v>
      </c>
      <c r="R52" s="105" t="e">
        <f>'Alternative 1'!$B$39*$B52*$C52*COS($K$5)-($N$5/3)*$E52*SIN($K$5)-($N$5/3)*$F52*SIN($K$5)-($N$5/3)*$G52*SIN($K$5)</f>
        <v>#VALUE!</v>
      </c>
      <c r="S52" s="106" t="e">
        <f>IF(($A52&lt;'Alternative 1'!$B$27),(($H52*'Alternative 1'!$B$39)+(3*($N$5/3)*COS($K$5))),IF(($A52&lt;'Alternative 1'!$B$28),(($H52*'Alternative 1'!$B$39)+(2*(($N$5/3)*COS($K$5)))),IF(($A52&lt;'Alternative 1'!$B$29),(($H$3*'Alternative 1'!$B$39+(($N$5/3)*COS($K$5)))),($H52*'Alternative 1'!$B$39))))</f>
        <v>#VALUE!</v>
      </c>
      <c r="T52" s="105" t="e">
        <f>R52*'Alternative 1'!$K53/'Alternative 1'!$L53</f>
        <v>#VALUE!</v>
      </c>
      <c r="U52" s="105" t="e">
        <f>S52/'Alternative 1'!$M53</f>
        <v>#VALUE!</v>
      </c>
      <c r="V52" s="105" t="e">
        <f t="shared" si="2"/>
        <v>#VALUE!</v>
      </c>
      <c r="X52" s="105" t="e">
        <f>'Alternative 1'!$B$39*$B52*$C52*COS($K$13)-($N$12/3)*$E52*SIN($K$13)-($N$12/3)*$F52*SIN($K$13)-($N$12/3)*$G52*SIN($K$13)</f>
        <v>#VALUE!</v>
      </c>
      <c r="Y52" s="106" t="e">
        <f>IF(($A52&lt;'Alternative 1'!$B$27),(($H52*'Alternative 1'!$B$39)+(3*($N$12/3)*COS($K$13))),IF(($A52&lt;'Alternative 1'!$B$28),(($H52*'Alternative 1'!$B$39)+(2*(($N$12/3)*COS($K$13)))),IF(($A52&lt;'Alternative 1'!$B$29),(($H$3*'Alternative 1'!$B$39+(($N$12/3)*COS($K$13)))),($H52*'Alternative 1'!$B$39))))</f>
        <v>#VALUE!</v>
      </c>
      <c r="Z52" s="105" t="e">
        <f>X52*'Alternative 1'!$K53/'Alternative 1'!$L53</f>
        <v>#VALUE!</v>
      </c>
      <c r="AA52" s="105" t="e">
        <f>Y52/'Alternative 1'!$M53</f>
        <v>#VALUE!</v>
      </c>
      <c r="AB52" s="105" t="e">
        <f t="shared" si="3"/>
        <v>#VALUE!</v>
      </c>
      <c r="AD52" s="105" t="e">
        <f>'Alternative 1'!$B$39*$B52*$C52*COS($K$23)-($N$22/3)*$E52*SIN($K$23)-($N$22/3)*$F52*SIN($K$23)-($N$22/3)*$G52*SIN($K$23)</f>
        <v>#VALUE!</v>
      </c>
      <c r="AE52" s="106" t="e">
        <f>IF(($A52&lt;'Alternative 1'!$B$27),(($H52*'Alternative 1'!$B$39)+(3*($N$22/3)*COS($K$23))),IF(($A52&lt;'Alternative 1'!$B$28),(($H52*'Alternative 1'!$B$39)+(2*(($N$22/3)*COS($K$23)))),IF(($A52&lt;'Alternative 1'!$B$29),(($H$3*'Alternative 1'!$B$39+(($N$22/3)*COS($K$23)))),($H52*'Alternative 1'!$B$39))))</f>
        <v>#VALUE!</v>
      </c>
      <c r="AF52" s="105" t="e">
        <f>AD52*'Alternative 1'!$K53/'Alternative 1'!$L53</f>
        <v>#VALUE!</v>
      </c>
      <c r="AG52" s="105" t="e">
        <f>AE52/'Alternative 1'!$M53</f>
        <v>#VALUE!</v>
      </c>
      <c r="AH52" s="105" t="e">
        <f t="shared" si="4"/>
        <v>#VALUE!</v>
      </c>
      <c r="AJ52" s="105" t="e">
        <f>'Alternative 1'!$B$39*$B52*$C52*COS($K$33)-($N$32/3)*$E52*SIN($K$33)-($N$32/3)*$F52*SIN($K$33)-($N$32/3)*$G52*SIN($K$33)</f>
        <v>#VALUE!</v>
      </c>
      <c r="AK52" s="106" t="e">
        <f>IF(($A52&lt;'Alternative 1'!$B$27),(($H52*'Alternative 1'!$B$39)+(3*($N$32/3)*COS($K$33))),IF(($A52&lt;'Alternative 1'!$B$28),(($H52*'Alternative 1'!$B$39)+(2*(($N$32/3)*COS($K$33)))),IF(($A52&lt;'Alternative 1'!$B$29),(($H$3*'Alternative 1'!$B$39+(($N$32/3)*COS($K$33)))),($H52*'Alternative 1'!$B$39))))</f>
        <v>#VALUE!</v>
      </c>
      <c r="AL52" s="105" t="e">
        <f>AJ52*'Alternative 1'!$K53/'Alternative 1'!$L53</f>
        <v>#VALUE!</v>
      </c>
      <c r="AM52" s="105" t="e">
        <f>AK52/'Alternative 1'!$M53</f>
        <v>#VALUE!</v>
      </c>
      <c r="AN52" s="105" t="e">
        <f t="shared" si="5"/>
        <v>#VALUE!</v>
      </c>
      <c r="AP52" s="105" t="e">
        <f>'Alternative 1'!$B$39*$B52*$C52*COS($K$43)-($N$42/3)*$E52*SIN($K$43)-($N$42/3)*$F52*SIN($K$43)-($N$42/3)*$G52*SIN($K$43)</f>
        <v>#VALUE!</v>
      </c>
      <c r="AQ52" s="106" t="e">
        <f>IF(($A52&lt;'Alternative 1'!$B$27),(($H52*'Alternative 1'!$B$39)+(3*($N$42/3)*COS($K$43))),IF(($A52&lt;'Alternative 1'!$B$28),(($H52*'Alternative 1'!$B$39)+(2*(($N$42/3)*COS($K$43)))),IF(($A52&lt;'Alternative 1'!$B$29),(($H$3*'Alternative 1'!$B$39+(($N$42/3)*COS($K$43)))),($H52*'Alternative 1'!$B$39))))</f>
        <v>#VALUE!</v>
      </c>
      <c r="AR52" s="105" t="e">
        <f>AP52*'Alternative 1'!$K53/'Alternative 1'!$L53</f>
        <v>#VALUE!</v>
      </c>
      <c r="AS52" s="105" t="e">
        <f>AQ52/'Alternative 1'!$M53</f>
        <v>#VALUE!</v>
      </c>
      <c r="AT52" s="105" t="e">
        <f t="shared" si="6"/>
        <v>#VALUE!</v>
      </c>
      <c r="AV52" s="105" t="e">
        <f>'Alternative 1'!$B$39*$B52*$C52*COS($K$53)-($N$52/3)*$E52*SIN($K$53)-($N$52/3)*$F52*SIN($K$53)-($N$52/3)*$G52*SIN($K$53)</f>
        <v>#VALUE!</v>
      </c>
      <c r="AW52" s="106" t="e">
        <f>IF(($A52&lt;'Alternative 1'!$B$27),(($H52*'Alternative 1'!$B$39)+(3*($N$52/3)*COS($K$53))),IF(($A52&lt;'Alternative 1'!$B$28),(($H52*'Alternative 1'!$B$39)+(2*(($N$52/3)*COS($K$53)))),IF(($A52&lt;'Alternative 1'!$B$29),(($H$3*'Alternative 1'!$B$39+(($N$52/3)*COS($K$53)))),($H52*'Alternative 1'!$B$39))))</f>
        <v>#VALUE!</v>
      </c>
      <c r="AX52" s="105" t="e">
        <f>AV52*'Alternative 1'!$K53/'Alternative 1'!$L53</f>
        <v>#VALUE!</v>
      </c>
      <c r="AY52" s="105" t="e">
        <f>AW52/'Alternative 1'!$M53</f>
        <v>#VALUE!</v>
      </c>
      <c r="AZ52" s="105" t="e">
        <f t="shared" si="7"/>
        <v>#VALUE!</v>
      </c>
      <c r="BB52" s="105" t="e">
        <f>'Alternative 1'!$B$39*$B52*$C52*COS($K$63)-($N$62/3)*$E52*SIN($K$63)-($N$62/3)*$F52*SIN($K$63)-($N$62/3)*$G52*SIN($K$63)</f>
        <v>#VALUE!</v>
      </c>
      <c r="BC52" s="106" t="e">
        <f>IF(($A52&lt;'Alternative 1'!$B$27),(($H52*'Alternative 1'!$B$39)+(3*($N$62/3)*COS($K$63))),IF(($A52&lt;'Alternative 1'!$B$28),(($H52*'Alternative 1'!$B$39)+(2*(($N$62/3)*COS($K$63)))),IF(($A52&lt;'Alternative 1'!$B$29),(($H$3*'Alternative 1'!$B$39+(($N$62/3)*COS($K$63)))),($H52*'Alternative 1'!$B$39))))</f>
        <v>#VALUE!</v>
      </c>
      <c r="BD52" s="105" t="e">
        <f>BB52*'Alternative 1'!$K53/'Alternative 1'!$L53</f>
        <v>#VALUE!</v>
      </c>
      <c r="BE52" s="105" t="e">
        <f>BC52/'Alternative 1'!$M53</f>
        <v>#VALUE!</v>
      </c>
      <c r="BF52" s="105" t="e">
        <f t="shared" si="8"/>
        <v>#VALUE!</v>
      </c>
      <c r="BH52" s="105" t="e">
        <f>'Alternative 1'!$B$39*$B52*$C52*COS($K$73)-($N$72/3)*$E52*SIN($K$73)-($N$72/3)*$F52*SIN($K$73)-($N$72/3)*$G52*SIN($K$73)</f>
        <v>#VALUE!</v>
      </c>
      <c r="BI52" s="106" t="e">
        <f>IF(($A52&lt;'Alternative 1'!$B$27),(($H52*'Alternative 1'!$B$39)+(3*($N$72/3)*COS($K$73))),IF(($A52&lt;'Alternative 1'!$B$28),(($H52*'Alternative 1'!$B$39)+(2*(($N$72/3)*COS($K$73)))),IF(($A52&lt;'Alternative 1'!$B$29),(($H$3*'Alternative 1'!$B$39+(($N$72/3)*COS($K$73)))),($H52*'Alternative 1'!$B$39))))</f>
        <v>#VALUE!</v>
      </c>
      <c r="BJ52" s="105" t="e">
        <f>BH52*'Alternative 1'!$K53/'Alternative 1'!$L53</f>
        <v>#VALUE!</v>
      </c>
      <c r="BK52" s="105" t="e">
        <f>BI52/'Alternative 1'!$M53</f>
        <v>#VALUE!</v>
      </c>
      <c r="BL52" s="105" t="e">
        <f t="shared" si="9"/>
        <v>#VALUE!</v>
      </c>
      <c r="BN52" s="105" t="e">
        <f>'Alternative 1'!$B$39*$B52*$C52*COS($K$83)-($N$82/3)*$E52*SIN($K$83)-($N$82/3)*$F52*SIN($K$83)-($N$82/3)*$G52*SIN($K$83)</f>
        <v>#VALUE!</v>
      </c>
      <c r="BO52" s="106" t="e">
        <f>IF(($A52&lt;'Alternative 1'!$B$27),(($H52*'Alternative 1'!$B$39)+(3*($N$82/3)*COS($K$83))),IF(($A52&lt;'Alternative 1'!$B$28),(($H52*'Alternative 1'!$B$39)+(2*(($N$82/3)*COS($K$83)))),IF(($A52&lt;'Alternative 1'!$B$29),(($H$3*'Alternative 1'!$B$39+(($N$82/3)*COS($K$83)))),($H52*'Alternative 1'!$B$39))))</f>
        <v>#VALUE!</v>
      </c>
      <c r="BP52" s="105" t="e">
        <f>BN52*'Alternative 1'!$K53/'Alternative 1'!$L53</f>
        <v>#VALUE!</v>
      </c>
      <c r="BQ52" s="105" t="e">
        <f>BO52/'Alternative 1'!$M53</f>
        <v>#VALUE!</v>
      </c>
      <c r="BR52" s="105" t="e">
        <f t="shared" si="10"/>
        <v>#VALUE!</v>
      </c>
      <c r="BT52" s="105" t="e">
        <f>'Alternative 1'!$B$39*$B52*$C52*COS($K$93)-($K$92/3)*$E52*SIN($K$93)-($K$92/3)*$F52*SIN($K$93)-($K$92/3)*$G52*SIN($K$93)</f>
        <v>#VALUE!</v>
      </c>
      <c r="BU52" s="106" t="e">
        <f>IF(($A52&lt;'Alternative 1'!$B$27),(($H52*'Alternative 1'!$B$39)+(3*($N$92/3)*COS($K$93))),IF(($A52&lt;'Alternative 1'!$B$28),(($H52*'Alternative 1'!$B$39)+(2*(($N$92/3)*COS($K$93)))),IF(($A52&lt;'Alternative 1'!$B$29),(($H$3*'Alternative 1'!$B$39+(($N$92/3)*COS($K$93)))),($H52*'Alternative 1'!$B$39))))</f>
        <v>#VALUE!</v>
      </c>
      <c r="BV52" s="105" t="e">
        <f>BT52*'Alternative 1'!$K53/'Alternative 1'!$L53</f>
        <v>#VALUE!</v>
      </c>
      <c r="BW52" s="105" t="e">
        <f>BU52/'Alternative 1'!$M53</f>
        <v>#VALUE!</v>
      </c>
      <c r="BX52" s="105" t="e">
        <f t="shared" si="11"/>
        <v>#VALUE!</v>
      </c>
      <c r="BZ52" s="104">
        <v>150</v>
      </c>
      <c r="CA52" s="104">
        <v>-150</v>
      </c>
    </row>
    <row r="53" spans="1:79" ht="15" customHeight="1" x14ac:dyDescent="0.25">
      <c r="A53" s="18" t="str">
        <f>IF('Alternative 1'!F54&gt;0,'Alternative 1'!F54,"x")</f>
        <v>x</v>
      </c>
      <c r="B53" s="18" t="e">
        <f t="shared" si="17"/>
        <v>#VALUE!</v>
      </c>
      <c r="C53" s="18">
        <f t="shared" si="12"/>
        <v>0</v>
      </c>
      <c r="D53" s="18" t="str">
        <f t="shared" si="13"/>
        <v>x</v>
      </c>
      <c r="E53" s="101">
        <f>IF($A53&lt;='Alternative 1'!$B$27, IF($A53='Alternative 1'!$B$27,0,E54+1),0)</f>
        <v>0</v>
      </c>
      <c r="F53" s="101">
        <f>IF($A53&lt;=('Alternative 1'!$B$28), IF($A53=ROUNDDOWN('Alternative 1'!$B$28,0),0,F54+1),0)</f>
        <v>0</v>
      </c>
      <c r="G53" s="101">
        <f>IF($A53&lt;=('Alternative 1'!$B$29), IF($A53=ROUNDDOWN('Alternative 1'!$B$29,0),0,G54+1),0)</f>
        <v>0</v>
      </c>
      <c r="H53" s="18" t="e">
        <f t="shared" si="14"/>
        <v>#VALUE!</v>
      </c>
      <c r="J53" s="104">
        <f t="shared" si="15"/>
        <v>50</v>
      </c>
      <c r="K53" s="109">
        <f t="shared" si="16"/>
        <v>0.87266462599716477</v>
      </c>
      <c r="L53" s="105">
        <f>'Alternative 1'!$B$27*SIN(K53)+'Alternative 1'!$B$28*SIN(K53)+'Alternative 1'!$B$29*SIN(K53)</f>
        <v>52.091022132090501</v>
      </c>
      <c r="M53" s="104">
        <f>(('Alternative 1'!$B$27)*(((('Alternative 1'!$B$28-'Alternative 1'!$B$27)/2)+'Alternative 1'!$B$27)*'Alternative 1'!$B$39)*COS('Alternative 1-Tilt Up (3pt)'!K53))+(('Alternative 1'!$B$28)*((('Alternative 1'!$B$28-'Alternative 1'!$B$27)/2)+(('Alternative 1'!$B$29-'Alternative 1'!$B$28)/2))*('Alternative 1'!$B$39)*COS('Alternative 1-Tilt Up (3pt)'!K53))+(('Alternative 1'!$B$29)*((('Alternative 1'!$B$12-'Alternative 1'!$B$29+(('Alternative 1'!$B$29-'Alternative 1'!$B$28)/2)*('Alternative 1'!$B$39)*COS('Alternative 1-Tilt Up (3pt)'!K53)))))</f>
        <v>3050812.1417283025</v>
      </c>
      <c r="N53" s="104">
        <f t="shared" si="0"/>
        <v>175700.84153803883</v>
      </c>
      <c r="O53" s="104">
        <f>(((('Alternative 1'!$B$28-'Alternative 1'!$B$27)/2)+'Alternative 1'!$B$27)*('Alternative 1'!$B$39)*COS('Alternative 1-Tilt Up (3pt)'!K53))+(((('Alternative 1'!$B$28-'Alternative 1'!$B$27)/2)+(('Alternative 1'!$B$29-'Alternative 1'!$B$28)/2))*('Alternative 1'!$B$39)*COS('Alternative 1-Tilt Up (3pt)'!K53))+(((('Alternative 1'!$B$12-'Alternative 1'!$B$29)+(('Alternative 1'!$B$29-'Alternative 1'!$B$28)/2))*('Alternative 1'!$B$39)*COS('Alternative 1-Tilt Up (3pt)'!K53)))</f>
        <v>196770.08305695781</v>
      </c>
      <c r="P53" s="109">
        <f t="shared" si="1"/>
        <v>112938.32395214941</v>
      </c>
      <c r="R53" s="105" t="e">
        <f>'Alternative 1'!$B$39*$B53*$C53*COS($K$5)-($N$5/3)*$E53*SIN($K$5)-($N$5/3)*$F53*SIN($K$5)-($N$5/3)*$G53*SIN($K$5)</f>
        <v>#VALUE!</v>
      </c>
      <c r="S53" s="106" t="e">
        <f>IF(($A53&lt;'Alternative 1'!$B$27),(($H53*'Alternative 1'!$B$39)+(3*($N$5/3)*COS($K$5))),IF(($A53&lt;'Alternative 1'!$B$28),(($H53*'Alternative 1'!$B$39)+(2*(($N$5/3)*COS($K$5)))),IF(($A53&lt;'Alternative 1'!$B$29),(($H$3*'Alternative 1'!$B$39+(($N$5/3)*COS($K$5)))),($H53*'Alternative 1'!$B$39))))</f>
        <v>#VALUE!</v>
      </c>
      <c r="T53" s="105" t="e">
        <f>R53*'Alternative 1'!$K54/'Alternative 1'!$L54</f>
        <v>#VALUE!</v>
      </c>
      <c r="U53" s="105" t="e">
        <f>S53/'Alternative 1'!$M54</f>
        <v>#VALUE!</v>
      </c>
      <c r="V53" s="105" t="e">
        <f t="shared" si="2"/>
        <v>#VALUE!</v>
      </c>
      <c r="X53" s="105" t="e">
        <f>'Alternative 1'!$B$39*$B53*$C53*COS($K$13)-($N$12/3)*$E53*SIN($K$13)-($N$12/3)*$F53*SIN($K$13)-($N$12/3)*$G53*SIN($K$13)</f>
        <v>#VALUE!</v>
      </c>
      <c r="Y53" s="106" t="e">
        <f>IF(($A53&lt;'Alternative 1'!$B$27),(($H53*'Alternative 1'!$B$39)+(3*($N$12/3)*COS($K$13))),IF(($A53&lt;'Alternative 1'!$B$28),(($H53*'Alternative 1'!$B$39)+(2*(($N$12/3)*COS($K$13)))),IF(($A53&lt;'Alternative 1'!$B$29),(($H$3*'Alternative 1'!$B$39+(($N$12/3)*COS($K$13)))),($H53*'Alternative 1'!$B$39))))</f>
        <v>#VALUE!</v>
      </c>
      <c r="Z53" s="105" t="e">
        <f>X53*'Alternative 1'!$K54/'Alternative 1'!$L54</f>
        <v>#VALUE!</v>
      </c>
      <c r="AA53" s="105" t="e">
        <f>Y53/'Alternative 1'!$M54</f>
        <v>#VALUE!</v>
      </c>
      <c r="AB53" s="105" t="e">
        <f t="shared" si="3"/>
        <v>#VALUE!</v>
      </c>
      <c r="AD53" s="105" t="e">
        <f>'Alternative 1'!$B$39*$B53*$C53*COS($K$23)-($N$22/3)*$E53*SIN($K$23)-($N$22/3)*$F53*SIN($K$23)-($N$22/3)*$G53*SIN($K$23)</f>
        <v>#VALUE!</v>
      </c>
      <c r="AE53" s="106" t="e">
        <f>IF(($A53&lt;'Alternative 1'!$B$27),(($H53*'Alternative 1'!$B$39)+(3*($N$22/3)*COS($K$23))),IF(($A53&lt;'Alternative 1'!$B$28),(($H53*'Alternative 1'!$B$39)+(2*(($N$22/3)*COS($K$23)))),IF(($A53&lt;'Alternative 1'!$B$29),(($H$3*'Alternative 1'!$B$39+(($N$22/3)*COS($K$23)))),($H53*'Alternative 1'!$B$39))))</f>
        <v>#VALUE!</v>
      </c>
      <c r="AF53" s="105" t="e">
        <f>AD53*'Alternative 1'!$K54/'Alternative 1'!$L54</f>
        <v>#VALUE!</v>
      </c>
      <c r="AG53" s="105" t="e">
        <f>AE53/'Alternative 1'!$M54</f>
        <v>#VALUE!</v>
      </c>
      <c r="AH53" s="105" t="e">
        <f t="shared" si="4"/>
        <v>#VALUE!</v>
      </c>
      <c r="AJ53" s="105" t="e">
        <f>'Alternative 1'!$B$39*$B53*$C53*COS($K$33)-($N$32/3)*$E53*SIN($K$33)-($N$32/3)*$F53*SIN($K$33)-($N$32/3)*$G53*SIN($K$33)</f>
        <v>#VALUE!</v>
      </c>
      <c r="AK53" s="106" t="e">
        <f>IF(($A53&lt;'Alternative 1'!$B$27),(($H53*'Alternative 1'!$B$39)+(3*($N$32/3)*COS($K$33))),IF(($A53&lt;'Alternative 1'!$B$28),(($H53*'Alternative 1'!$B$39)+(2*(($N$32/3)*COS($K$33)))),IF(($A53&lt;'Alternative 1'!$B$29),(($H$3*'Alternative 1'!$B$39+(($N$32/3)*COS($K$33)))),($H53*'Alternative 1'!$B$39))))</f>
        <v>#VALUE!</v>
      </c>
      <c r="AL53" s="105" t="e">
        <f>AJ53*'Alternative 1'!$K54/'Alternative 1'!$L54</f>
        <v>#VALUE!</v>
      </c>
      <c r="AM53" s="105" t="e">
        <f>AK53/'Alternative 1'!$M54</f>
        <v>#VALUE!</v>
      </c>
      <c r="AN53" s="105" t="e">
        <f t="shared" si="5"/>
        <v>#VALUE!</v>
      </c>
      <c r="AP53" s="105" t="e">
        <f>'Alternative 1'!$B$39*$B53*$C53*COS($K$43)-($N$42/3)*$E53*SIN($K$43)-($N$42/3)*$F53*SIN($K$43)-($N$42/3)*$G53*SIN($K$43)</f>
        <v>#VALUE!</v>
      </c>
      <c r="AQ53" s="106" t="e">
        <f>IF(($A53&lt;'Alternative 1'!$B$27),(($H53*'Alternative 1'!$B$39)+(3*($N$42/3)*COS($K$43))),IF(($A53&lt;'Alternative 1'!$B$28),(($H53*'Alternative 1'!$B$39)+(2*(($N$42/3)*COS($K$43)))),IF(($A53&lt;'Alternative 1'!$B$29),(($H$3*'Alternative 1'!$B$39+(($N$42/3)*COS($K$43)))),($H53*'Alternative 1'!$B$39))))</f>
        <v>#VALUE!</v>
      </c>
      <c r="AR53" s="105" t="e">
        <f>AP53*'Alternative 1'!$K54/'Alternative 1'!$L54</f>
        <v>#VALUE!</v>
      </c>
      <c r="AS53" s="105" t="e">
        <f>AQ53/'Alternative 1'!$M54</f>
        <v>#VALUE!</v>
      </c>
      <c r="AT53" s="105" t="e">
        <f t="shared" si="6"/>
        <v>#VALUE!</v>
      </c>
      <c r="AV53" s="105" t="e">
        <f>'Alternative 1'!$B$39*$B53*$C53*COS($K$53)-($N$52/3)*$E53*SIN($K$53)-($N$52/3)*$F53*SIN($K$53)-($N$52/3)*$G53*SIN($K$53)</f>
        <v>#VALUE!</v>
      </c>
      <c r="AW53" s="106" t="e">
        <f>IF(($A53&lt;'Alternative 1'!$B$27),(($H53*'Alternative 1'!$B$39)+(3*($N$52/3)*COS($K$53))),IF(($A53&lt;'Alternative 1'!$B$28),(($H53*'Alternative 1'!$B$39)+(2*(($N$52/3)*COS($K$53)))),IF(($A53&lt;'Alternative 1'!$B$29),(($H$3*'Alternative 1'!$B$39+(($N$52/3)*COS($K$53)))),($H53*'Alternative 1'!$B$39))))</f>
        <v>#VALUE!</v>
      </c>
      <c r="AX53" s="105" t="e">
        <f>AV53*'Alternative 1'!$K54/'Alternative 1'!$L54</f>
        <v>#VALUE!</v>
      </c>
      <c r="AY53" s="105" t="e">
        <f>AW53/'Alternative 1'!$M54</f>
        <v>#VALUE!</v>
      </c>
      <c r="AZ53" s="105" t="e">
        <f t="shared" si="7"/>
        <v>#VALUE!</v>
      </c>
      <c r="BB53" s="105" t="e">
        <f>'Alternative 1'!$B$39*$B53*$C53*COS($K$63)-($N$62/3)*$E53*SIN($K$63)-($N$62/3)*$F53*SIN($K$63)-($N$62/3)*$G53*SIN($K$63)</f>
        <v>#VALUE!</v>
      </c>
      <c r="BC53" s="106" t="e">
        <f>IF(($A53&lt;'Alternative 1'!$B$27),(($H53*'Alternative 1'!$B$39)+(3*($N$62/3)*COS($K$63))),IF(($A53&lt;'Alternative 1'!$B$28),(($H53*'Alternative 1'!$B$39)+(2*(($N$62/3)*COS($K$63)))),IF(($A53&lt;'Alternative 1'!$B$29),(($H$3*'Alternative 1'!$B$39+(($N$62/3)*COS($K$63)))),($H53*'Alternative 1'!$B$39))))</f>
        <v>#VALUE!</v>
      </c>
      <c r="BD53" s="105" t="e">
        <f>BB53*'Alternative 1'!$K54/'Alternative 1'!$L54</f>
        <v>#VALUE!</v>
      </c>
      <c r="BE53" s="105" t="e">
        <f>BC53/'Alternative 1'!$M54</f>
        <v>#VALUE!</v>
      </c>
      <c r="BF53" s="105" t="e">
        <f t="shared" si="8"/>
        <v>#VALUE!</v>
      </c>
      <c r="BH53" s="105" t="e">
        <f>'Alternative 1'!$B$39*$B53*$C53*COS($K$73)-($N$72/3)*$E53*SIN($K$73)-($N$72/3)*$F53*SIN($K$73)-($N$72/3)*$G53*SIN($K$73)</f>
        <v>#VALUE!</v>
      </c>
      <c r="BI53" s="106" t="e">
        <f>IF(($A53&lt;'Alternative 1'!$B$27),(($H53*'Alternative 1'!$B$39)+(3*($N$72/3)*COS($K$73))),IF(($A53&lt;'Alternative 1'!$B$28),(($H53*'Alternative 1'!$B$39)+(2*(($N$72/3)*COS($K$73)))),IF(($A53&lt;'Alternative 1'!$B$29),(($H$3*'Alternative 1'!$B$39+(($N$72/3)*COS($K$73)))),($H53*'Alternative 1'!$B$39))))</f>
        <v>#VALUE!</v>
      </c>
      <c r="BJ53" s="105" t="e">
        <f>BH53*'Alternative 1'!$K54/'Alternative 1'!$L54</f>
        <v>#VALUE!</v>
      </c>
      <c r="BK53" s="105" t="e">
        <f>BI53/'Alternative 1'!$M54</f>
        <v>#VALUE!</v>
      </c>
      <c r="BL53" s="105" t="e">
        <f t="shared" si="9"/>
        <v>#VALUE!</v>
      </c>
      <c r="BN53" s="105" t="e">
        <f>'Alternative 1'!$B$39*$B53*$C53*COS($K$83)-($N$82/3)*$E53*SIN($K$83)-($N$82/3)*$F53*SIN($K$83)-($N$82/3)*$G53*SIN($K$83)</f>
        <v>#VALUE!</v>
      </c>
      <c r="BO53" s="106" t="e">
        <f>IF(($A53&lt;'Alternative 1'!$B$27),(($H53*'Alternative 1'!$B$39)+(3*($N$82/3)*COS($K$83))),IF(($A53&lt;'Alternative 1'!$B$28),(($H53*'Alternative 1'!$B$39)+(2*(($N$82/3)*COS($K$83)))),IF(($A53&lt;'Alternative 1'!$B$29),(($H$3*'Alternative 1'!$B$39+(($N$82/3)*COS($K$83)))),($H53*'Alternative 1'!$B$39))))</f>
        <v>#VALUE!</v>
      </c>
      <c r="BP53" s="105" t="e">
        <f>BN53*'Alternative 1'!$K54/'Alternative 1'!$L54</f>
        <v>#VALUE!</v>
      </c>
      <c r="BQ53" s="105" t="e">
        <f>BO53/'Alternative 1'!$M54</f>
        <v>#VALUE!</v>
      </c>
      <c r="BR53" s="105" t="e">
        <f t="shared" si="10"/>
        <v>#VALUE!</v>
      </c>
      <c r="BT53" s="105" t="e">
        <f>'Alternative 1'!$B$39*$B53*$C53*COS($K$93)-($K$92/3)*$E53*SIN($K$93)-($K$92/3)*$F53*SIN($K$93)-($K$92/3)*$G53*SIN($K$93)</f>
        <v>#VALUE!</v>
      </c>
      <c r="BU53" s="106" t="e">
        <f>IF(($A53&lt;'Alternative 1'!$B$27),(($H53*'Alternative 1'!$B$39)+(3*($N$92/3)*COS($K$93))),IF(($A53&lt;'Alternative 1'!$B$28),(($H53*'Alternative 1'!$B$39)+(2*(($N$92/3)*COS($K$93)))),IF(($A53&lt;'Alternative 1'!$B$29),(($H$3*'Alternative 1'!$B$39+(($N$92/3)*COS($K$93)))),($H53*'Alternative 1'!$B$39))))</f>
        <v>#VALUE!</v>
      </c>
      <c r="BV53" s="105" t="e">
        <f>BT53*'Alternative 1'!$K54/'Alternative 1'!$L54</f>
        <v>#VALUE!</v>
      </c>
      <c r="BW53" s="105" t="e">
        <f>BU53/'Alternative 1'!$M54</f>
        <v>#VALUE!</v>
      </c>
      <c r="BX53" s="105" t="e">
        <f t="shared" si="11"/>
        <v>#VALUE!</v>
      </c>
      <c r="BZ53" s="104">
        <v>150</v>
      </c>
      <c r="CA53" s="104">
        <v>-150</v>
      </c>
    </row>
    <row r="54" spans="1:79" ht="15" customHeight="1" x14ac:dyDescent="0.25">
      <c r="A54" s="18" t="str">
        <f>IF('Alternative 1'!F55&gt;0,'Alternative 1'!F55,"x")</f>
        <v>x</v>
      </c>
      <c r="B54" s="18" t="e">
        <f t="shared" si="17"/>
        <v>#VALUE!</v>
      </c>
      <c r="C54" s="18">
        <f t="shared" si="12"/>
        <v>0</v>
      </c>
      <c r="D54" s="18" t="str">
        <f t="shared" si="13"/>
        <v>x</v>
      </c>
      <c r="E54" s="101">
        <f>IF($A54&lt;='Alternative 1'!$B$27, IF($A54='Alternative 1'!$B$27,0,E55+1),0)</f>
        <v>0</v>
      </c>
      <c r="F54" s="101">
        <f>IF($A54&lt;=('Alternative 1'!$B$28), IF($A54=ROUNDDOWN('Alternative 1'!$B$28,0),0,F55+1),0)</f>
        <v>0</v>
      </c>
      <c r="G54" s="101">
        <f>IF($A54&lt;=('Alternative 1'!$B$29), IF($A54=ROUNDDOWN('Alternative 1'!$B$29,0),0,G55+1),0)</f>
        <v>0</v>
      </c>
      <c r="H54" s="18" t="e">
        <f t="shared" si="14"/>
        <v>#VALUE!</v>
      </c>
      <c r="J54" s="104">
        <f t="shared" si="15"/>
        <v>51</v>
      </c>
      <c r="K54" s="104">
        <f t="shared" si="16"/>
        <v>0.89011791851710798</v>
      </c>
      <c r="L54" s="105">
        <f>'Alternative 1'!$B$27*SIN(K54)+'Alternative 1'!$B$28*SIN(K54)+'Alternative 1'!$B$29*SIN(K54)</f>
        <v>52.845925379074018</v>
      </c>
      <c r="M54" s="104">
        <f>(('Alternative 1'!$B$27)*(((('Alternative 1'!$B$28-'Alternative 1'!$B$27)/2)+'Alternative 1'!$B$27)*'Alternative 1'!$B$39)*COS('Alternative 1-Tilt Up (3pt)'!K54))+(('Alternative 1'!$B$28)*((('Alternative 1'!$B$28-'Alternative 1'!$B$27)/2)+(('Alternative 1'!$B$29-'Alternative 1'!$B$28)/2))*('Alternative 1'!$B$39)*COS('Alternative 1-Tilt Up (3pt)'!K54))+(('Alternative 1'!$B$29)*((('Alternative 1'!$B$12-'Alternative 1'!$B$29+(('Alternative 1'!$B$29-'Alternative 1'!$B$28)/2)*('Alternative 1'!$B$39)*COS('Alternative 1-Tilt Up (3pt)'!K54)))))</f>
        <v>2986897.8426561742</v>
      </c>
      <c r="N54" s="104">
        <f t="shared" si="0"/>
        <v>169562.6193257425</v>
      </c>
      <c r="O54" s="104">
        <f>(((('Alternative 1'!$B$28-'Alternative 1'!$B$27)/2)+'Alternative 1'!$B$27)*('Alternative 1'!$B$39)*COS('Alternative 1-Tilt Up (3pt)'!K54))+(((('Alternative 1'!$B$28-'Alternative 1'!$B$27)/2)+(('Alternative 1'!$B$29-'Alternative 1'!$B$28)/2))*('Alternative 1'!$B$39)*COS('Alternative 1-Tilt Up (3pt)'!K54))+(((('Alternative 1'!$B$12-'Alternative 1'!$B$29)+(('Alternative 1'!$B$29-'Alternative 1'!$B$28)/2))*('Alternative 1'!$B$39)*COS('Alternative 1-Tilt Up (3pt)'!K54)))</f>
        <v>192647.49934539199</v>
      </c>
      <c r="P54" s="104">
        <f t="shared" si="1"/>
        <v>106709.213901511</v>
      </c>
      <c r="R54" s="105" t="e">
        <f>'Alternative 1'!$B$39*$B54*$C54*COS($K$5)-($N$5/3)*$E54*SIN($K$5)-($N$5/3)*$F54*SIN($K$5)-($N$5/3)*$G54*SIN($K$5)</f>
        <v>#VALUE!</v>
      </c>
      <c r="S54" s="106" t="e">
        <f>IF(($A54&lt;'Alternative 1'!$B$27),(($H54*'Alternative 1'!$B$39)+(3*($N$5/3)*COS($K$5))),IF(($A54&lt;'Alternative 1'!$B$28),(($H54*'Alternative 1'!$B$39)+(2*(($N$5/3)*COS($K$5)))),IF(($A54&lt;'Alternative 1'!$B$29),(($H$3*'Alternative 1'!$B$39+(($N$5/3)*COS($K$5)))),($H54*'Alternative 1'!$B$39))))</f>
        <v>#VALUE!</v>
      </c>
      <c r="T54" s="105" t="e">
        <f>R54*'Alternative 1'!$K55/'Alternative 1'!$L55</f>
        <v>#VALUE!</v>
      </c>
      <c r="U54" s="105" t="e">
        <f>S54/'Alternative 1'!$M55</f>
        <v>#VALUE!</v>
      </c>
      <c r="V54" s="105" t="e">
        <f t="shared" si="2"/>
        <v>#VALUE!</v>
      </c>
      <c r="X54" s="105" t="e">
        <f>'Alternative 1'!$B$39*$B54*$C54*COS($K$13)-($N$12/3)*$E54*SIN($K$13)-($N$12/3)*$F54*SIN($K$13)-($N$12/3)*$G54*SIN($K$13)</f>
        <v>#VALUE!</v>
      </c>
      <c r="Y54" s="106" t="e">
        <f>IF(($A54&lt;'Alternative 1'!$B$27),(($H54*'Alternative 1'!$B$39)+(3*($N$12/3)*COS($K$13))),IF(($A54&lt;'Alternative 1'!$B$28),(($H54*'Alternative 1'!$B$39)+(2*(($N$12/3)*COS($K$13)))),IF(($A54&lt;'Alternative 1'!$B$29),(($H$3*'Alternative 1'!$B$39+(($N$12/3)*COS($K$13)))),($H54*'Alternative 1'!$B$39))))</f>
        <v>#VALUE!</v>
      </c>
      <c r="Z54" s="105" t="e">
        <f>X54*'Alternative 1'!$K55/'Alternative 1'!$L55</f>
        <v>#VALUE!</v>
      </c>
      <c r="AA54" s="105" t="e">
        <f>Y54/'Alternative 1'!$M55</f>
        <v>#VALUE!</v>
      </c>
      <c r="AB54" s="105" t="e">
        <f t="shared" si="3"/>
        <v>#VALUE!</v>
      </c>
      <c r="AD54" s="105" t="e">
        <f>'Alternative 1'!$B$39*$B54*$C54*COS($K$23)-($N$22/3)*$E54*SIN($K$23)-($N$22/3)*$F54*SIN($K$23)-($N$22/3)*$G54*SIN($K$23)</f>
        <v>#VALUE!</v>
      </c>
      <c r="AE54" s="106" t="e">
        <f>IF(($A54&lt;'Alternative 1'!$B$27),(($H54*'Alternative 1'!$B$39)+(3*($N$22/3)*COS($K$23))),IF(($A54&lt;'Alternative 1'!$B$28),(($H54*'Alternative 1'!$B$39)+(2*(($N$22/3)*COS($K$23)))),IF(($A54&lt;'Alternative 1'!$B$29),(($H$3*'Alternative 1'!$B$39+(($N$22/3)*COS($K$23)))),($H54*'Alternative 1'!$B$39))))</f>
        <v>#VALUE!</v>
      </c>
      <c r="AF54" s="105" t="e">
        <f>AD54*'Alternative 1'!$K55/'Alternative 1'!$L55</f>
        <v>#VALUE!</v>
      </c>
      <c r="AG54" s="105" t="e">
        <f>AE54/'Alternative 1'!$M55</f>
        <v>#VALUE!</v>
      </c>
      <c r="AH54" s="105" t="e">
        <f t="shared" si="4"/>
        <v>#VALUE!</v>
      </c>
      <c r="AJ54" s="105" t="e">
        <f>'Alternative 1'!$B$39*$B54*$C54*COS($K$33)-($N$32/3)*$E54*SIN($K$33)-($N$32/3)*$F54*SIN($K$33)-($N$32/3)*$G54*SIN($K$33)</f>
        <v>#VALUE!</v>
      </c>
      <c r="AK54" s="106" t="e">
        <f>IF(($A54&lt;'Alternative 1'!$B$27),(($H54*'Alternative 1'!$B$39)+(3*($N$32/3)*COS($K$33))),IF(($A54&lt;'Alternative 1'!$B$28),(($H54*'Alternative 1'!$B$39)+(2*(($N$32/3)*COS($K$33)))),IF(($A54&lt;'Alternative 1'!$B$29),(($H$3*'Alternative 1'!$B$39+(($N$32/3)*COS($K$33)))),($H54*'Alternative 1'!$B$39))))</f>
        <v>#VALUE!</v>
      </c>
      <c r="AL54" s="105" t="e">
        <f>AJ54*'Alternative 1'!$K55/'Alternative 1'!$L55</f>
        <v>#VALUE!</v>
      </c>
      <c r="AM54" s="105" t="e">
        <f>AK54/'Alternative 1'!$M55</f>
        <v>#VALUE!</v>
      </c>
      <c r="AN54" s="105" t="e">
        <f t="shared" si="5"/>
        <v>#VALUE!</v>
      </c>
      <c r="AP54" s="105" t="e">
        <f>'Alternative 1'!$B$39*$B54*$C54*COS($K$43)-($N$42/3)*$E54*SIN($K$43)-($N$42/3)*$F54*SIN($K$43)-($N$42/3)*$G54*SIN($K$43)</f>
        <v>#VALUE!</v>
      </c>
      <c r="AQ54" s="106" t="e">
        <f>IF(($A54&lt;'Alternative 1'!$B$27),(($H54*'Alternative 1'!$B$39)+(3*($N$42/3)*COS($K$43))),IF(($A54&lt;'Alternative 1'!$B$28),(($H54*'Alternative 1'!$B$39)+(2*(($N$42/3)*COS($K$43)))),IF(($A54&lt;'Alternative 1'!$B$29),(($H$3*'Alternative 1'!$B$39+(($N$42/3)*COS($K$43)))),($H54*'Alternative 1'!$B$39))))</f>
        <v>#VALUE!</v>
      </c>
      <c r="AR54" s="105" t="e">
        <f>AP54*'Alternative 1'!$K55/'Alternative 1'!$L55</f>
        <v>#VALUE!</v>
      </c>
      <c r="AS54" s="105" t="e">
        <f>AQ54/'Alternative 1'!$M55</f>
        <v>#VALUE!</v>
      </c>
      <c r="AT54" s="105" t="e">
        <f t="shared" si="6"/>
        <v>#VALUE!</v>
      </c>
      <c r="AV54" s="105" t="e">
        <f>'Alternative 1'!$B$39*$B54*$C54*COS($K$53)-($N$52/3)*$E54*SIN($K$53)-($N$52/3)*$F54*SIN($K$53)-($N$52/3)*$G54*SIN($K$53)</f>
        <v>#VALUE!</v>
      </c>
      <c r="AW54" s="106" t="e">
        <f>IF(($A54&lt;'Alternative 1'!$B$27),(($H54*'Alternative 1'!$B$39)+(3*($N$52/3)*COS($K$53))),IF(($A54&lt;'Alternative 1'!$B$28),(($H54*'Alternative 1'!$B$39)+(2*(($N$52/3)*COS($K$53)))),IF(($A54&lt;'Alternative 1'!$B$29),(($H$3*'Alternative 1'!$B$39+(($N$52/3)*COS($K$53)))),($H54*'Alternative 1'!$B$39))))</f>
        <v>#VALUE!</v>
      </c>
      <c r="AX54" s="105" t="e">
        <f>AV54*'Alternative 1'!$K55/'Alternative 1'!$L55</f>
        <v>#VALUE!</v>
      </c>
      <c r="AY54" s="105" t="e">
        <f>AW54/'Alternative 1'!$M55</f>
        <v>#VALUE!</v>
      </c>
      <c r="AZ54" s="105" t="e">
        <f t="shared" si="7"/>
        <v>#VALUE!</v>
      </c>
      <c r="BB54" s="105" t="e">
        <f>'Alternative 1'!$B$39*$B54*$C54*COS($K$63)-($N$62/3)*$E54*SIN($K$63)-($N$62/3)*$F54*SIN($K$63)-($N$62/3)*$G54*SIN($K$63)</f>
        <v>#VALUE!</v>
      </c>
      <c r="BC54" s="106" t="e">
        <f>IF(($A54&lt;'Alternative 1'!$B$27),(($H54*'Alternative 1'!$B$39)+(3*($N$62/3)*COS($K$63))),IF(($A54&lt;'Alternative 1'!$B$28),(($H54*'Alternative 1'!$B$39)+(2*(($N$62/3)*COS($K$63)))),IF(($A54&lt;'Alternative 1'!$B$29),(($H$3*'Alternative 1'!$B$39+(($N$62/3)*COS($K$63)))),($H54*'Alternative 1'!$B$39))))</f>
        <v>#VALUE!</v>
      </c>
      <c r="BD54" s="105" t="e">
        <f>BB54*'Alternative 1'!$K55/'Alternative 1'!$L55</f>
        <v>#VALUE!</v>
      </c>
      <c r="BE54" s="105" t="e">
        <f>BC54/'Alternative 1'!$M55</f>
        <v>#VALUE!</v>
      </c>
      <c r="BF54" s="105" t="e">
        <f t="shared" si="8"/>
        <v>#VALUE!</v>
      </c>
      <c r="BH54" s="105" t="e">
        <f>'Alternative 1'!$B$39*$B54*$C54*COS($K$73)-($N$72/3)*$E54*SIN($K$73)-($N$72/3)*$F54*SIN($K$73)-($N$72/3)*$G54*SIN($K$73)</f>
        <v>#VALUE!</v>
      </c>
      <c r="BI54" s="106" t="e">
        <f>IF(($A54&lt;'Alternative 1'!$B$27),(($H54*'Alternative 1'!$B$39)+(3*($N$72/3)*COS($K$73))),IF(($A54&lt;'Alternative 1'!$B$28),(($H54*'Alternative 1'!$B$39)+(2*(($N$72/3)*COS($K$73)))),IF(($A54&lt;'Alternative 1'!$B$29),(($H$3*'Alternative 1'!$B$39+(($N$72/3)*COS($K$73)))),($H54*'Alternative 1'!$B$39))))</f>
        <v>#VALUE!</v>
      </c>
      <c r="BJ54" s="105" t="e">
        <f>BH54*'Alternative 1'!$K55/'Alternative 1'!$L55</f>
        <v>#VALUE!</v>
      </c>
      <c r="BK54" s="105" t="e">
        <f>BI54/'Alternative 1'!$M55</f>
        <v>#VALUE!</v>
      </c>
      <c r="BL54" s="105" t="e">
        <f t="shared" si="9"/>
        <v>#VALUE!</v>
      </c>
      <c r="BN54" s="105" t="e">
        <f>'Alternative 1'!$B$39*$B54*$C54*COS($K$83)-($N$82/3)*$E54*SIN($K$83)-($N$82/3)*$F54*SIN($K$83)-($N$82/3)*$G54*SIN($K$83)</f>
        <v>#VALUE!</v>
      </c>
      <c r="BO54" s="106" t="e">
        <f>IF(($A54&lt;'Alternative 1'!$B$27),(($H54*'Alternative 1'!$B$39)+(3*($N$82/3)*COS($K$83))),IF(($A54&lt;'Alternative 1'!$B$28),(($H54*'Alternative 1'!$B$39)+(2*(($N$82/3)*COS($K$83)))),IF(($A54&lt;'Alternative 1'!$B$29),(($H$3*'Alternative 1'!$B$39+(($N$82/3)*COS($K$83)))),($H54*'Alternative 1'!$B$39))))</f>
        <v>#VALUE!</v>
      </c>
      <c r="BP54" s="105" t="e">
        <f>BN54*'Alternative 1'!$K55/'Alternative 1'!$L55</f>
        <v>#VALUE!</v>
      </c>
      <c r="BQ54" s="105" t="e">
        <f>BO54/'Alternative 1'!$M55</f>
        <v>#VALUE!</v>
      </c>
      <c r="BR54" s="105" t="e">
        <f t="shared" si="10"/>
        <v>#VALUE!</v>
      </c>
      <c r="BT54" s="105" t="e">
        <f>'Alternative 1'!$B$39*$B54*$C54*COS($K$93)-($K$92/3)*$E54*SIN($K$93)-($K$92/3)*$F54*SIN($K$93)-($K$92/3)*$G54*SIN($K$93)</f>
        <v>#VALUE!</v>
      </c>
      <c r="BU54" s="106" t="e">
        <f>IF(($A54&lt;'Alternative 1'!$B$27),(($H54*'Alternative 1'!$B$39)+(3*($N$92/3)*COS($K$93))),IF(($A54&lt;'Alternative 1'!$B$28),(($H54*'Alternative 1'!$B$39)+(2*(($N$92/3)*COS($K$93)))),IF(($A54&lt;'Alternative 1'!$B$29),(($H$3*'Alternative 1'!$B$39+(($N$92/3)*COS($K$93)))),($H54*'Alternative 1'!$B$39))))</f>
        <v>#VALUE!</v>
      </c>
      <c r="BV54" s="105" t="e">
        <f>BT54*'Alternative 1'!$K55/'Alternative 1'!$L55</f>
        <v>#VALUE!</v>
      </c>
      <c r="BW54" s="105" t="e">
        <f>BU54/'Alternative 1'!$M55</f>
        <v>#VALUE!</v>
      </c>
      <c r="BX54" s="105" t="e">
        <f t="shared" si="11"/>
        <v>#VALUE!</v>
      </c>
      <c r="BZ54" s="104">
        <v>150</v>
      </c>
      <c r="CA54" s="104">
        <v>-150</v>
      </c>
    </row>
    <row r="55" spans="1:79" ht="15" customHeight="1" x14ac:dyDescent="0.25">
      <c r="A55" s="18" t="str">
        <f>IF('Alternative 1'!F56&gt;0,'Alternative 1'!F56,"x")</f>
        <v>x</v>
      </c>
      <c r="B55" s="18" t="e">
        <f t="shared" si="17"/>
        <v>#VALUE!</v>
      </c>
      <c r="C55" s="18">
        <f t="shared" si="12"/>
        <v>0</v>
      </c>
      <c r="D55" s="18" t="str">
        <f t="shared" si="13"/>
        <v>x</v>
      </c>
      <c r="E55" s="101">
        <f>IF($A55&lt;='Alternative 1'!$B$27, IF($A55='Alternative 1'!$B$27,0,E56+1),0)</f>
        <v>0</v>
      </c>
      <c r="F55" s="101">
        <f>IF($A55&lt;=('Alternative 1'!$B$28), IF($A55=ROUNDDOWN('Alternative 1'!$B$28,0),0,F56+1),0)</f>
        <v>0</v>
      </c>
      <c r="G55" s="101">
        <f>IF($A55&lt;=('Alternative 1'!$B$29), IF($A55=ROUNDDOWN('Alternative 1'!$B$29,0),0,G56+1),0)</f>
        <v>0</v>
      </c>
      <c r="H55" s="18" t="e">
        <f t="shared" si="14"/>
        <v>#VALUE!</v>
      </c>
      <c r="J55" s="104">
        <f t="shared" si="15"/>
        <v>52</v>
      </c>
      <c r="K55" s="104">
        <f t="shared" si="16"/>
        <v>0.90757121103705141</v>
      </c>
      <c r="L55" s="105">
        <f>'Alternative 1'!$B$27*SIN(K55)+'Alternative 1'!$B$28*SIN(K55)+'Alternative 1'!$B$29*SIN(K55)</f>
        <v>53.584731245257096</v>
      </c>
      <c r="M55" s="104">
        <f>(('Alternative 1'!$B$27)*(((('Alternative 1'!$B$28-'Alternative 1'!$B$27)/2)+'Alternative 1'!$B$27)*'Alternative 1'!$B$39)*COS('Alternative 1-Tilt Up (3pt)'!K55))+(('Alternative 1'!$B$28)*((('Alternative 1'!$B$28-'Alternative 1'!$B$27)/2)+(('Alternative 1'!$B$29-'Alternative 1'!$B$28)/2))*('Alternative 1'!$B$39)*COS('Alternative 1-Tilt Up (3pt)'!K55))+(('Alternative 1'!$B$29)*((('Alternative 1'!$B$12-'Alternative 1'!$B$29+(('Alternative 1'!$B$29-'Alternative 1'!$B$28)/2)*('Alternative 1'!$B$39)*COS('Alternative 1-Tilt Up (3pt)'!K55)))))</f>
        <v>2922073.765157572</v>
      </c>
      <c r="N55" s="104">
        <f t="shared" si="0"/>
        <v>163595.5073722355</v>
      </c>
      <c r="O55" s="104">
        <f>(((('Alternative 1'!$B$28-'Alternative 1'!$B$27)/2)+'Alternative 1'!$B$27)*('Alternative 1'!$B$39)*COS('Alternative 1-Tilt Up (3pt)'!K55))+(((('Alternative 1'!$B$28-'Alternative 1'!$B$27)/2)+(('Alternative 1'!$B$29-'Alternative 1'!$B$28)/2))*('Alternative 1'!$B$39)*COS('Alternative 1-Tilt Up (3pt)'!K55))+(((('Alternative 1'!$B$12-'Alternative 1'!$B$29)+(('Alternative 1'!$B$29-'Alternative 1'!$B$28)/2))*('Alternative 1'!$B$39)*COS('Alternative 1-Tilt Up (3pt)'!K55)))</f>
        <v>188466.23333930736</v>
      </c>
      <c r="P55" s="104">
        <f t="shared" si="1"/>
        <v>100719.45142544011</v>
      </c>
      <c r="R55" s="105" t="e">
        <f>'Alternative 1'!$B$39*$B55*$C55*COS($K$5)-($N$5/3)*$E55*SIN($K$5)-($N$5/3)*$F55*SIN($K$5)-($N$5/3)*$G55*SIN($K$5)</f>
        <v>#VALUE!</v>
      </c>
      <c r="S55" s="106" t="e">
        <f>IF(($A55&lt;'Alternative 1'!$B$27),(($H55*'Alternative 1'!$B$39)+(3*($N$5/3)*COS($K$5))),IF(($A55&lt;'Alternative 1'!$B$28),(($H55*'Alternative 1'!$B$39)+(2*(($N$5/3)*COS($K$5)))),IF(($A55&lt;'Alternative 1'!$B$29),(($H$3*'Alternative 1'!$B$39+(($N$5/3)*COS($K$5)))),($H55*'Alternative 1'!$B$39))))</f>
        <v>#VALUE!</v>
      </c>
      <c r="T55" s="105" t="e">
        <f>R55*'Alternative 1'!$K56/'Alternative 1'!$L56</f>
        <v>#VALUE!</v>
      </c>
      <c r="U55" s="105" t="e">
        <f>S55/'Alternative 1'!$M56</f>
        <v>#VALUE!</v>
      </c>
      <c r="V55" s="105" t="e">
        <f t="shared" si="2"/>
        <v>#VALUE!</v>
      </c>
      <c r="X55" s="105" t="e">
        <f>'Alternative 1'!$B$39*$B55*$C55*COS($K$13)-($N$12/3)*$E55*SIN($K$13)-($N$12/3)*$F55*SIN($K$13)-($N$12/3)*$G55*SIN($K$13)</f>
        <v>#VALUE!</v>
      </c>
      <c r="Y55" s="106" t="e">
        <f>IF(($A55&lt;'Alternative 1'!$B$27),(($H55*'Alternative 1'!$B$39)+(3*($N$12/3)*COS($K$13))),IF(($A55&lt;'Alternative 1'!$B$28),(($H55*'Alternative 1'!$B$39)+(2*(($N$12/3)*COS($K$13)))),IF(($A55&lt;'Alternative 1'!$B$29),(($H$3*'Alternative 1'!$B$39+(($N$12/3)*COS($K$13)))),($H55*'Alternative 1'!$B$39))))</f>
        <v>#VALUE!</v>
      </c>
      <c r="Z55" s="105" t="e">
        <f>X55*'Alternative 1'!$K56/'Alternative 1'!$L56</f>
        <v>#VALUE!</v>
      </c>
      <c r="AA55" s="105" t="e">
        <f>Y55/'Alternative 1'!$M56</f>
        <v>#VALUE!</v>
      </c>
      <c r="AB55" s="105" t="e">
        <f t="shared" si="3"/>
        <v>#VALUE!</v>
      </c>
      <c r="AD55" s="105" t="e">
        <f>'Alternative 1'!$B$39*$B55*$C55*COS($K$23)-($N$22/3)*$E55*SIN($K$23)-($N$22/3)*$F55*SIN($K$23)-($N$22/3)*$G55*SIN($K$23)</f>
        <v>#VALUE!</v>
      </c>
      <c r="AE55" s="106" t="e">
        <f>IF(($A55&lt;'Alternative 1'!$B$27),(($H55*'Alternative 1'!$B$39)+(3*($N$22/3)*COS($K$23))),IF(($A55&lt;'Alternative 1'!$B$28),(($H55*'Alternative 1'!$B$39)+(2*(($N$22/3)*COS($K$23)))),IF(($A55&lt;'Alternative 1'!$B$29),(($H$3*'Alternative 1'!$B$39+(($N$22/3)*COS($K$23)))),($H55*'Alternative 1'!$B$39))))</f>
        <v>#VALUE!</v>
      </c>
      <c r="AF55" s="105" t="e">
        <f>AD55*'Alternative 1'!$K56/'Alternative 1'!$L56</f>
        <v>#VALUE!</v>
      </c>
      <c r="AG55" s="105" t="e">
        <f>AE55/'Alternative 1'!$M56</f>
        <v>#VALUE!</v>
      </c>
      <c r="AH55" s="105" t="e">
        <f t="shared" si="4"/>
        <v>#VALUE!</v>
      </c>
      <c r="AJ55" s="105" t="e">
        <f>'Alternative 1'!$B$39*$B55*$C55*COS($K$33)-($N$32/3)*$E55*SIN($K$33)-($N$32/3)*$F55*SIN($K$33)-($N$32/3)*$G55*SIN($K$33)</f>
        <v>#VALUE!</v>
      </c>
      <c r="AK55" s="106" t="e">
        <f>IF(($A55&lt;'Alternative 1'!$B$27),(($H55*'Alternative 1'!$B$39)+(3*($N$32/3)*COS($K$33))),IF(($A55&lt;'Alternative 1'!$B$28),(($H55*'Alternative 1'!$B$39)+(2*(($N$32/3)*COS($K$33)))),IF(($A55&lt;'Alternative 1'!$B$29),(($H$3*'Alternative 1'!$B$39+(($N$32/3)*COS($K$33)))),($H55*'Alternative 1'!$B$39))))</f>
        <v>#VALUE!</v>
      </c>
      <c r="AL55" s="105" t="e">
        <f>AJ55*'Alternative 1'!$K56/'Alternative 1'!$L56</f>
        <v>#VALUE!</v>
      </c>
      <c r="AM55" s="105" t="e">
        <f>AK55/'Alternative 1'!$M56</f>
        <v>#VALUE!</v>
      </c>
      <c r="AN55" s="105" t="e">
        <f t="shared" si="5"/>
        <v>#VALUE!</v>
      </c>
      <c r="AP55" s="105" t="e">
        <f>'Alternative 1'!$B$39*$B55*$C55*COS($K$43)-($N$42/3)*$E55*SIN($K$43)-($N$42/3)*$F55*SIN($K$43)-($N$42/3)*$G55*SIN($K$43)</f>
        <v>#VALUE!</v>
      </c>
      <c r="AQ55" s="106" t="e">
        <f>IF(($A55&lt;'Alternative 1'!$B$27),(($H55*'Alternative 1'!$B$39)+(3*($N$42/3)*COS($K$43))),IF(($A55&lt;'Alternative 1'!$B$28),(($H55*'Alternative 1'!$B$39)+(2*(($N$42/3)*COS($K$43)))),IF(($A55&lt;'Alternative 1'!$B$29),(($H$3*'Alternative 1'!$B$39+(($N$42/3)*COS($K$43)))),($H55*'Alternative 1'!$B$39))))</f>
        <v>#VALUE!</v>
      </c>
      <c r="AR55" s="105" t="e">
        <f>AP55*'Alternative 1'!$K56/'Alternative 1'!$L56</f>
        <v>#VALUE!</v>
      </c>
      <c r="AS55" s="105" t="e">
        <f>AQ55/'Alternative 1'!$M56</f>
        <v>#VALUE!</v>
      </c>
      <c r="AT55" s="105" t="e">
        <f t="shared" si="6"/>
        <v>#VALUE!</v>
      </c>
      <c r="AV55" s="105" t="e">
        <f>'Alternative 1'!$B$39*$B55*$C55*COS($K$53)-($N$52/3)*$E55*SIN($K$53)-($N$52/3)*$F55*SIN($K$53)-($N$52/3)*$G55*SIN($K$53)</f>
        <v>#VALUE!</v>
      </c>
      <c r="AW55" s="106" t="e">
        <f>IF(($A55&lt;'Alternative 1'!$B$27),(($H55*'Alternative 1'!$B$39)+(3*($N$52/3)*COS($K$53))),IF(($A55&lt;'Alternative 1'!$B$28),(($H55*'Alternative 1'!$B$39)+(2*(($N$52/3)*COS($K$53)))),IF(($A55&lt;'Alternative 1'!$B$29),(($H$3*'Alternative 1'!$B$39+(($N$52/3)*COS($K$53)))),($H55*'Alternative 1'!$B$39))))</f>
        <v>#VALUE!</v>
      </c>
      <c r="AX55" s="105" t="e">
        <f>AV55*'Alternative 1'!$K56/'Alternative 1'!$L56</f>
        <v>#VALUE!</v>
      </c>
      <c r="AY55" s="105" t="e">
        <f>AW55/'Alternative 1'!$M56</f>
        <v>#VALUE!</v>
      </c>
      <c r="AZ55" s="105" t="e">
        <f t="shared" si="7"/>
        <v>#VALUE!</v>
      </c>
      <c r="BB55" s="105" t="e">
        <f>'Alternative 1'!$B$39*$B55*$C55*COS($K$63)-($N$62/3)*$E55*SIN($K$63)-($N$62/3)*$F55*SIN($K$63)-($N$62/3)*$G55*SIN($K$63)</f>
        <v>#VALUE!</v>
      </c>
      <c r="BC55" s="106" t="e">
        <f>IF(($A55&lt;'Alternative 1'!$B$27),(($H55*'Alternative 1'!$B$39)+(3*($N$62/3)*COS($K$63))),IF(($A55&lt;'Alternative 1'!$B$28),(($H55*'Alternative 1'!$B$39)+(2*(($N$62/3)*COS($K$63)))),IF(($A55&lt;'Alternative 1'!$B$29),(($H$3*'Alternative 1'!$B$39+(($N$62/3)*COS($K$63)))),($H55*'Alternative 1'!$B$39))))</f>
        <v>#VALUE!</v>
      </c>
      <c r="BD55" s="105" t="e">
        <f>BB55*'Alternative 1'!$K56/'Alternative 1'!$L56</f>
        <v>#VALUE!</v>
      </c>
      <c r="BE55" s="105" t="e">
        <f>BC55/'Alternative 1'!$M56</f>
        <v>#VALUE!</v>
      </c>
      <c r="BF55" s="105" t="e">
        <f t="shared" si="8"/>
        <v>#VALUE!</v>
      </c>
      <c r="BH55" s="105" t="e">
        <f>'Alternative 1'!$B$39*$B55*$C55*COS($K$73)-($N$72/3)*$E55*SIN($K$73)-($N$72/3)*$F55*SIN($K$73)-($N$72/3)*$G55*SIN($K$73)</f>
        <v>#VALUE!</v>
      </c>
      <c r="BI55" s="106" t="e">
        <f>IF(($A55&lt;'Alternative 1'!$B$27),(($H55*'Alternative 1'!$B$39)+(3*($N$72/3)*COS($K$73))),IF(($A55&lt;'Alternative 1'!$B$28),(($H55*'Alternative 1'!$B$39)+(2*(($N$72/3)*COS($K$73)))),IF(($A55&lt;'Alternative 1'!$B$29),(($H$3*'Alternative 1'!$B$39+(($N$72/3)*COS($K$73)))),($H55*'Alternative 1'!$B$39))))</f>
        <v>#VALUE!</v>
      </c>
      <c r="BJ55" s="105" t="e">
        <f>BH55*'Alternative 1'!$K56/'Alternative 1'!$L56</f>
        <v>#VALUE!</v>
      </c>
      <c r="BK55" s="105" t="e">
        <f>BI55/'Alternative 1'!$M56</f>
        <v>#VALUE!</v>
      </c>
      <c r="BL55" s="105" t="e">
        <f t="shared" si="9"/>
        <v>#VALUE!</v>
      </c>
      <c r="BN55" s="105" t="e">
        <f>'Alternative 1'!$B$39*$B55*$C55*COS($K$83)-($N$82/3)*$E55*SIN($K$83)-($N$82/3)*$F55*SIN($K$83)-($N$82/3)*$G55*SIN($K$83)</f>
        <v>#VALUE!</v>
      </c>
      <c r="BO55" s="106" t="e">
        <f>IF(($A55&lt;'Alternative 1'!$B$27),(($H55*'Alternative 1'!$B$39)+(3*($N$82/3)*COS($K$83))),IF(($A55&lt;'Alternative 1'!$B$28),(($H55*'Alternative 1'!$B$39)+(2*(($N$82/3)*COS($K$83)))),IF(($A55&lt;'Alternative 1'!$B$29),(($H$3*'Alternative 1'!$B$39+(($N$82/3)*COS($K$83)))),($H55*'Alternative 1'!$B$39))))</f>
        <v>#VALUE!</v>
      </c>
      <c r="BP55" s="105" t="e">
        <f>BN55*'Alternative 1'!$K56/'Alternative 1'!$L56</f>
        <v>#VALUE!</v>
      </c>
      <c r="BQ55" s="105" t="e">
        <f>BO55/'Alternative 1'!$M56</f>
        <v>#VALUE!</v>
      </c>
      <c r="BR55" s="105" t="e">
        <f t="shared" si="10"/>
        <v>#VALUE!</v>
      </c>
      <c r="BT55" s="105" t="e">
        <f>'Alternative 1'!$B$39*$B55*$C55*COS($K$93)-($K$92/3)*$E55*SIN($K$93)-($K$92/3)*$F55*SIN($K$93)-($K$92/3)*$G55*SIN($K$93)</f>
        <v>#VALUE!</v>
      </c>
      <c r="BU55" s="106" t="e">
        <f>IF(($A55&lt;'Alternative 1'!$B$27),(($H55*'Alternative 1'!$B$39)+(3*($N$92/3)*COS($K$93))),IF(($A55&lt;'Alternative 1'!$B$28),(($H55*'Alternative 1'!$B$39)+(2*(($N$92/3)*COS($K$93)))),IF(($A55&lt;'Alternative 1'!$B$29),(($H$3*'Alternative 1'!$B$39+(($N$92/3)*COS($K$93)))),($H55*'Alternative 1'!$B$39))))</f>
        <v>#VALUE!</v>
      </c>
      <c r="BV55" s="105" t="e">
        <f>BT55*'Alternative 1'!$K56/'Alternative 1'!$L56</f>
        <v>#VALUE!</v>
      </c>
      <c r="BW55" s="105" t="e">
        <f>BU55/'Alternative 1'!$M56</f>
        <v>#VALUE!</v>
      </c>
      <c r="BX55" s="105" t="e">
        <f t="shared" si="11"/>
        <v>#VALUE!</v>
      </c>
      <c r="BZ55" s="104">
        <v>150</v>
      </c>
      <c r="CA55" s="104">
        <v>-150</v>
      </c>
    </row>
    <row r="56" spans="1:79" ht="15" customHeight="1" x14ac:dyDescent="0.25">
      <c r="A56" s="18" t="str">
        <f>IF('Alternative 1'!F57&gt;0,'Alternative 1'!F57,"x")</f>
        <v>x</v>
      </c>
      <c r="B56" s="18" t="e">
        <f t="shared" si="17"/>
        <v>#VALUE!</v>
      </c>
      <c r="C56" s="18">
        <f t="shared" si="12"/>
        <v>0</v>
      </c>
      <c r="D56" s="18" t="str">
        <f t="shared" si="13"/>
        <v>x</v>
      </c>
      <c r="E56" s="101">
        <f>IF($A56&lt;='Alternative 1'!$B$27, IF($A56='Alternative 1'!$B$27,0,E57+1),0)</f>
        <v>0</v>
      </c>
      <c r="F56" s="101">
        <f>IF($A56&lt;=('Alternative 1'!$B$28), IF($A56=ROUNDDOWN('Alternative 1'!$B$28,0),0,F57+1),0)</f>
        <v>0</v>
      </c>
      <c r="G56" s="101">
        <f>IF($A56&lt;=('Alternative 1'!$B$29), IF($A56=ROUNDDOWN('Alternative 1'!$B$29,0),0,G57+1),0)</f>
        <v>0</v>
      </c>
      <c r="H56" s="18" t="e">
        <f t="shared" si="14"/>
        <v>#VALUE!</v>
      </c>
      <c r="J56" s="104">
        <f t="shared" si="15"/>
        <v>53</v>
      </c>
      <c r="K56" s="104">
        <f t="shared" si="16"/>
        <v>0.92502450355699462</v>
      </c>
      <c r="L56" s="105">
        <f>'Alternative 1'!$B$27*SIN(K56)+'Alternative 1'!$B$28*SIN(K56)+'Alternative 1'!$B$29*SIN(K56)</f>
        <v>54.307214683215911</v>
      </c>
      <c r="M56" s="104">
        <f>(('Alternative 1'!$B$27)*(((('Alternative 1'!$B$28-'Alternative 1'!$B$27)/2)+'Alternative 1'!$B$27)*'Alternative 1'!$B$39)*COS('Alternative 1-Tilt Up (3pt)'!K56))+(('Alternative 1'!$B$28)*((('Alternative 1'!$B$28-'Alternative 1'!$B$27)/2)+(('Alternative 1'!$B$29-'Alternative 1'!$B$28)/2))*('Alternative 1'!$B$39)*COS('Alternative 1-Tilt Up (3pt)'!K56))+(('Alternative 1'!$B$29)*((('Alternative 1'!$B$12-'Alternative 1'!$B$29+(('Alternative 1'!$B$29-'Alternative 1'!$B$28)/2)*('Alternative 1'!$B$39)*COS('Alternative 1-Tilt Up (3pt)'!K56)))))</f>
        <v>2856359.6552744671</v>
      </c>
      <c r="N56" s="104">
        <f t="shared" si="0"/>
        <v>157788.96074505814</v>
      </c>
      <c r="O56" s="104">
        <f>(((('Alternative 1'!$B$28-'Alternative 1'!$B$27)/2)+'Alternative 1'!$B$27)*('Alternative 1'!$B$39)*COS('Alternative 1-Tilt Up (3pt)'!K56))+(((('Alternative 1'!$B$28-'Alternative 1'!$B$27)/2)+(('Alternative 1'!$B$29-'Alternative 1'!$B$28)/2))*('Alternative 1'!$B$39)*COS('Alternative 1-Tilt Up (3pt)'!K56))+(((('Alternative 1'!$B$12-'Alternative 1'!$B$29)+(('Alternative 1'!$B$29-'Alternative 1'!$B$28)/2))*('Alternative 1'!$B$39)*COS('Alternative 1-Tilt Up (3pt)'!K56)))</f>
        <v>184227.55869283422</v>
      </c>
      <c r="P56" s="104">
        <f t="shared" si="1"/>
        <v>94959.76706392481</v>
      </c>
      <c r="R56" s="105" t="e">
        <f>'Alternative 1'!$B$39*$B56*$C56*COS($K$5)-($N$5/3)*$E56*SIN($K$5)-($N$5/3)*$F56*SIN($K$5)-($N$5/3)*$G56*SIN($K$5)</f>
        <v>#VALUE!</v>
      </c>
      <c r="S56" s="106" t="e">
        <f>IF(($A56&lt;'Alternative 1'!$B$27),(($H56*'Alternative 1'!$B$39)+(3*($N$5/3)*COS($K$5))),IF(($A56&lt;'Alternative 1'!$B$28),(($H56*'Alternative 1'!$B$39)+(2*(($N$5/3)*COS($K$5)))),IF(($A56&lt;'Alternative 1'!$B$29),(($H$3*'Alternative 1'!$B$39+(($N$5/3)*COS($K$5)))),($H56*'Alternative 1'!$B$39))))</f>
        <v>#VALUE!</v>
      </c>
      <c r="T56" s="105" t="e">
        <f>R56*'Alternative 1'!$K57/'Alternative 1'!$L57</f>
        <v>#VALUE!</v>
      </c>
      <c r="U56" s="105" t="e">
        <f>S56/'Alternative 1'!$M57</f>
        <v>#VALUE!</v>
      </c>
      <c r="V56" s="105" t="e">
        <f t="shared" si="2"/>
        <v>#VALUE!</v>
      </c>
      <c r="X56" s="105" t="e">
        <f>'Alternative 1'!$B$39*$B56*$C56*COS($K$13)-($N$12/3)*$E56*SIN($K$13)-($N$12/3)*$F56*SIN($K$13)-($N$12/3)*$G56*SIN($K$13)</f>
        <v>#VALUE!</v>
      </c>
      <c r="Y56" s="106" t="e">
        <f>IF(($A56&lt;'Alternative 1'!$B$27),(($H56*'Alternative 1'!$B$39)+(3*($N$12/3)*COS($K$13))),IF(($A56&lt;'Alternative 1'!$B$28),(($H56*'Alternative 1'!$B$39)+(2*(($N$12/3)*COS($K$13)))),IF(($A56&lt;'Alternative 1'!$B$29),(($H$3*'Alternative 1'!$B$39+(($N$12/3)*COS($K$13)))),($H56*'Alternative 1'!$B$39))))</f>
        <v>#VALUE!</v>
      </c>
      <c r="Z56" s="105" t="e">
        <f>X56*'Alternative 1'!$K57/'Alternative 1'!$L57</f>
        <v>#VALUE!</v>
      </c>
      <c r="AA56" s="105" t="e">
        <f>Y56/'Alternative 1'!$M57</f>
        <v>#VALUE!</v>
      </c>
      <c r="AB56" s="105" t="e">
        <f t="shared" si="3"/>
        <v>#VALUE!</v>
      </c>
      <c r="AD56" s="105" t="e">
        <f>'Alternative 1'!$B$39*$B56*$C56*COS($K$23)-($N$22/3)*$E56*SIN($K$23)-($N$22/3)*$F56*SIN($K$23)-($N$22/3)*$G56*SIN($K$23)</f>
        <v>#VALUE!</v>
      </c>
      <c r="AE56" s="106" t="e">
        <f>IF(($A56&lt;'Alternative 1'!$B$27),(($H56*'Alternative 1'!$B$39)+(3*($N$22/3)*COS($K$23))),IF(($A56&lt;'Alternative 1'!$B$28),(($H56*'Alternative 1'!$B$39)+(2*(($N$22/3)*COS($K$23)))),IF(($A56&lt;'Alternative 1'!$B$29),(($H$3*'Alternative 1'!$B$39+(($N$22/3)*COS($K$23)))),($H56*'Alternative 1'!$B$39))))</f>
        <v>#VALUE!</v>
      </c>
      <c r="AF56" s="105" t="e">
        <f>AD56*'Alternative 1'!$K57/'Alternative 1'!$L57</f>
        <v>#VALUE!</v>
      </c>
      <c r="AG56" s="105" t="e">
        <f>AE56/'Alternative 1'!$M57</f>
        <v>#VALUE!</v>
      </c>
      <c r="AH56" s="105" t="e">
        <f t="shared" si="4"/>
        <v>#VALUE!</v>
      </c>
      <c r="AJ56" s="105" t="e">
        <f>'Alternative 1'!$B$39*$B56*$C56*COS($K$33)-($N$32/3)*$E56*SIN($K$33)-($N$32/3)*$F56*SIN($K$33)-($N$32/3)*$G56*SIN($K$33)</f>
        <v>#VALUE!</v>
      </c>
      <c r="AK56" s="106" t="e">
        <f>IF(($A56&lt;'Alternative 1'!$B$27),(($H56*'Alternative 1'!$B$39)+(3*($N$32/3)*COS($K$33))),IF(($A56&lt;'Alternative 1'!$B$28),(($H56*'Alternative 1'!$B$39)+(2*(($N$32/3)*COS($K$33)))),IF(($A56&lt;'Alternative 1'!$B$29),(($H$3*'Alternative 1'!$B$39+(($N$32/3)*COS($K$33)))),($H56*'Alternative 1'!$B$39))))</f>
        <v>#VALUE!</v>
      </c>
      <c r="AL56" s="105" t="e">
        <f>AJ56*'Alternative 1'!$K57/'Alternative 1'!$L57</f>
        <v>#VALUE!</v>
      </c>
      <c r="AM56" s="105" t="e">
        <f>AK56/'Alternative 1'!$M57</f>
        <v>#VALUE!</v>
      </c>
      <c r="AN56" s="105" t="e">
        <f t="shared" si="5"/>
        <v>#VALUE!</v>
      </c>
      <c r="AP56" s="105" t="e">
        <f>'Alternative 1'!$B$39*$B56*$C56*COS($K$43)-($N$42/3)*$E56*SIN($K$43)-($N$42/3)*$F56*SIN($K$43)-($N$42/3)*$G56*SIN($K$43)</f>
        <v>#VALUE!</v>
      </c>
      <c r="AQ56" s="106" t="e">
        <f>IF(($A56&lt;'Alternative 1'!$B$27),(($H56*'Alternative 1'!$B$39)+(3*($N$42/3)*COS($K$43))),IF(($A56&lt;'Alternative 1'!$B$28),(($H56*'Alternative 1'!$B$39)+(2*(($N$42/3)*COS($K$43)))),IF(($A56&lt;'Alternative 1'!$B$29),(($H$3*'Alternative 1'!$B$39+(($N$42/3)*COS($K$43)))),($H56*'Alternative 1'!$B$39))))</f>
        <v>#VALUE!</v>
      </c>
      <c r="AR56" s="105" t="e">
        <f>AP56*'Alternative 1'!$K57/'Alternative 1'!$L57</f>
        <v>#VALUE!</v>
      </c>
      <c r="AS56" s="105" t="e">
        <f>AQ56/'Alternative 1'!$M57</f>
        <v>#VALUE!</v>
      </c>
      <c r="AT56" s="105" t="e">
        <f t="shared" si="6"/>
        <v>#VALUE!</v>
      </c>
      <c r="AV56" s="105" t="e">
        <f>'Alternative 1'!$B$39*$B56*$C56*COS($K$53)-($N$52/3)*$E56*SIN($K$53)-($N$52/3)*$F56*SIN($K$53)-($N$52/3)*$G56*SIN($K$53)</f>
        <v>#VALUE!</v>
      </c>
      <c r="AW56" s="106" t="e">
        <f>IF(($A56&lt;'Alternative 1'!$B$27),(($H56*'Alternative 1'!$B$39)+(3*($N$52/3)*COS($K$53))),IF(($A56&lt;'Alternative 1'!$B$28),(($H56*'Alternative 1'!$B$39)+(2*(($N$52/3)*COS($K$53)))),IF(($A56&lt;'Alternative 1'!$B$29),(($H$3*'Alternative 1'!$B$39+(($N$52/3)*COS($K$53)))),($H56*'Alternative 1'!$B$39))))</f>
        <v>#VALUE!</v>
      </c>
      <c r="AX56" s="105" t="e">
        <f>AV56*'Alternative 1'!$K57/'Alternative 1'!$L57</f>
        <v>#VALUE!</v>
      </c>
      <c r="AY56" s="105" t="e">
        <f>AW56/'Alternative 1'!$M57</f>
        <v>#VALUE!</v>
      </c>
      <c r="AZ56" s="105" t="e">
        <f t="shared" si="7"/>
        <v>#VALUE!</v>
      </c>
      <c r="BB56" s="105" t="e">
        <f>'Alternative 1'!$B$39*$B56*$C56*COS($K$63)-($N$62/3)*$E56*SIN($K$63)-($N$62/3)*$F56*SIN($K$63)-($N$62/3)*$G56*SIN($K$63)</f>
        <v>#VALUE!</v>
      </c>
      <c r="BC56" s="106" t="e">
        <f>IF(($A56&lt;'Alternative 1'!$B$27),(($H56*'Alternative 1'!$B$39)+(3*($N$62/3)*COS($K$63))),IF(($A56&lt;'Alternative 1'!$B$28),(($H56*'Alternative 1'!$B$39)+(2*(($N$62/3)*COS($K$63)))),IF(($A56&lt;'Alternative 1'!$B$29),(($H$3*'Alternative 1'!$B$39+(($N$62/3)*COS($K$63)))),($H56*'Alternative 1'!$B$39))))</f>
        <v>#VALUE!</v>
      </c>
      <c r="BD56" s="105" t="e">
        <f>BB56*'Alternative 1'!$K57/'Alternative 1'!$L57</f>
        <v>#VALUE!</v>
      </c>
      <c r="BE56" s="105" t="e">
        <f>BC56/'Alternative 1'!$M57</f>
        <v>#VALUE!</v>
      </c>
      <c r="BF56" s="105" t="e">
        <f t="shared" si="8"/>
        <v>#VALUE!</v>
      </c>
      <c r="BH56" s="105" t="e">
        <f>'Alternative 1'!$B$39*$B56*$C56*COS($K$73)-($N$72/3)*$E56*SIN($K$73)-($N$72/3)*$F56*SIN($K$73)-($N$72/3)*$G56*SIN($K$73)</f>
        <v>#VALUE!</v>
      </c>
      <c r="BI56" s="106" t="e">
        <f>IF(($A56&lt;'Alternative 1'!$B$27),(($H56*'Alternative 1'!$B$39)+(3*($N$72/3)*COS($K$73))),IF(($A56&lt;'Alternative 1'!$B$28),(($H56*'Alternative 1'!$B$39)+(2*(($N$72/3)*COS($K$73)))),IF(($A56&lt;'Alternative 1'!$B$29),(($H$3*'Alternative 1'!$B$39+(($N$72/3)*COS($K$73)))),($H56*'Alternative 1'!$B$39))))</f>
        <v>#VALUE!</v>
      </c>
      <c r="BJ56" s="105" t="e">
        <f>BH56*'Alternative 1'!$K57/'Alternative 1'!$L57</f>
        <v>#VALUE!</v>
      </c>
      <c r="BK56" s="105" t="e">
        <f>BI56/'Alternative 1'!$M57</f>
        <v>#VALUE!</v>
      </c>
      <c r="BL56" s="105" t="e">
        <f t="shared" si="9"/>
        <v>#VALUE!</v>
      </c>
      <c r="BN56" s="105" t="e">
        <f>'Alternative 1'!$B$39*$B56*$C56*COS($K$83)-($N$82/3)*$E56*SIN($K$83)-($N$82/3)*$F56*SIN($K$83)-($N$82/3)*$G56*SIN($K$83)</f>
        <v>#VALUE!</v>
      </c>
      <c r="BO56" s="106" t="e">
        <f>IF(($A56&lt;'Alternative 1'!$B$27),(($H56*'Alternative 1'!$B$39)+(3*($N$82/3)*COS($K$83))),IF(($A56&lt;'Alternative 1'!$B$28),(($H56*'Alternative 1'!$B$39)+(2*(($N$82/3)*COS($K$83)))),IF(($A56&lt;'Alternative 1'!$B$29),(($H$3*'Alternative 1'!$B$39+(($N$82/3)*COS($K$83)))),($H56*'Alternative 1'!$B$39))))</f>
        <v>#VALUE!</v>
      </c>
      <c r="BP56" s="105" t="e">
        <f>BN56*'Alternative 1'!$K57/'Alternative 1'!$L57</f>
        <v>#VALUE!</v>
      </c>
      <c r="BQ56" s="105" t="e">
        <f>BO56/'Alternative 1'!$M57</f>
        <v>#VALUE!</v>
      </c>
      <c r="BR56" s="105" t="e">
        <f t="shared" si="10"/>
        <v>#VALUE!</v>
      </c>
      <c r="BT56" s="105" t="e">
        <f>'Alternative 1'!$B$39*$B56*$C56*COS($K$93)-($K$92/3)*$E56*SIN($K$93)-($K$92/3)*$F56*SIN($K$93)-($K$92/3)*$G56*SIN($K$93)</f>
        <v>#VALUE!</v>
      </c>
      <c r="BU56" s="106" t="e">
        <f>IF(($A56&lt;'Alternative 1'!$B$27),(($H56*'Alternative 1'!$B$39)+(3*($N$92/3)*COS($K$93))),IF(($A56&lt;'Alternative 1'!$B$28),(($H56*'Alternative 1'!$B$39)+(2*(($N$92/3)*COS($K$93)))),IF(($A56&lt;'Alternative 1'!$B$29),(($H$3*'Alternative 1'!$B$39+(($N$92/3)*COS($K$93)))),($H56*'Alternative 1'!$B$39))))</f>
        <v>#VALUE!</v>
      </c>
      <c r="BV56" s="105" t="e">
        <f>BT56*'Alternative 1'!$K57/'Alternative 1'!$L57</f>
        <v>#VALUE!</v>
      </c>
      <c r="BW56" s="105" t="e">
        <f>BU56/'Alternative 1'!$M57</f>
        <v>#VALUE!</v>
      </c>
      <c r="BX56" s="105" t="e">
        <f t="shared" si="11"/>
        <v>#VALUE!</v>
      </c>
      <c r="BZ56" s="104">
        <v>150</v>
      </c>
      <c r="CA56" s="104">
        <v>-150</v>
      </c>
    </row>
    <row r="57" spans="1:79" ht="15" customHeight="1" x14ac:dyDescent="0.25">
      <c r="A57" s="18" t="str">
        <f>IF('Alternative 1'!F58&gt;0,'Alternative 1'!F58,"x")</f>
        <v>x</v>
      </c>
      <c r="B57" s="18" t="e">
        <f t="shared" si="17"/>
        <v>#VALUE!</v>
      </c>
      <c r="C57" s="18">
        <f t="shared" si="12"/>
        <v>0</v>
      </c>
      <c r="D57" s="18" t="str">
        <f t="shared" si="13"/>
        <v>x</v>
      </c>
      <c r="E57" s="101">
        <f>IF($A57&lt;='Alternative 1'!$B$27, IF($A57='Alternative 1'!$B$27,0,E58+1),0)</f>
        <v>0</v>
      </c>
      <c r="F57" s="101">
        <f>IF($A57&lt;=('Alternative 1'!$B$28), IF($A57=ROUNDDOWN('Alternative 1'!$B$28,0),0,F58+1),0)</f>
        <v>0</v>
      </c>
      <c r="G57" s="101">
        <f>IF($A57&lt;=('Alternative 1'!$B$29), IF($A57=ROUNDDOWN('Alternative 1'!$B$29,0),0,G58+1),0)</f>
        <v>0</v>
      </c>
      <c r="H57" s="18" t="e">
        <f t="shared" si="14"/>
        <v>#VALUE!</v>
      </c>
      <c r="J57" s="104">
        <f t="shared" si="15"/>
        <v>54</v>
      </c>
      <c r="K57" s="104">
        <f t="shared" si="16"/>
        <v>0.94247779607693793</v>
      </c>
      <c r="L57" s="105">
        <f>'Alternative 1'!$B$27*SIN(K57)+'Alternative 1'!$B$28*SIN(K57)+'Alternative 1'!$B$29*SIN(K57)</f>
        <v>55.013155617496423</v>
      </c>
      <c r="M57" s="104">
        <f>(('Alternative 1'!$B$27)*(((('Alternative 1'!$B$28-'Alternative 1'!$B$27)/2)+'Alternative 1'!$B$27)*'Alternative 1'!$B$39)*COS('Alternative 1-Tilt Up (3pt)'!K57))+(('Alternative 1'!$B$28)*((('Alternative 1'!$B$28-'Alternative 1'!$B$27)/2)+(('Alternative 1'!$B$29-'Alternative 1'!$B$28)/2))*('Alternative 1'!$B$39)*COS('Alternative 1-Tilt Up (3pt)'!K57))+(('Alternative 1'!$B$29)*((('Alternative 1'!$B$12-'Alternative 1'!$B$29+(('Alternative 1'!$B$29-'Alternative 1'!$B$28)/2)*('Alternative 1'!$B$39)*COS('Alternative 1-Tilt Up (3pt)'!K57)))))</f>
        <v>2789775.530161316</v>
      </c>
      <c r="N57" s="104">
        <f t="shared" si="0"/>
        <v>152133.18517256918</v>
      </c>
      <c r="O57" s="104">
        <f>(((('Alternative 1'!$B$28-'Alternative 1'!$B$27)/2)+'Alternative 1'!$B$27)*('Alternative 1'!$B$39)*COS('Alternative 1-Tilt Up (3pt)'!K57))+(((('Alternative 1'!$B$28-'Alternative 1'!$B$27)/2)+(('Alternative 1'!$B$29-'Alternative 1'!$B$28)/2))*('Alternative 1'!$B$39)*COS('Alternative 1-Tilt Up (3pt)'!K57))+(((('Alternative 1'!$B$12-'Alternative 1'!$B$29)+(('Alternative 1'!$B$29-'Alternative 1'!$B$28)/2))*('Alternative 1'!$B$39)*COS('Alternative 1-Tilt Up (3pt)'!K57)))</f>
        <v>179932.76654733071</v>
      </c>
      <c r="P57" s="104">
        <f t="shared" si="1"/>
        <v>89421.642628716116</v>
      </c>
      <c r="R57" s="105" t="e">
        <f>'Alternative 1'!$B$39*$B57*$C57*COS($K$5)-($N$5/3)*$E57*SIN($K$5)-($N$5/3)*$F57*SIN($K$5)-($N$5/3)*$G57*SIN($K$5)</f>
        <v>#VALUE!</v>
      </c>
      <c r="S57" s="106" t="e">
        <f>IF(($A57&lt;'Alternative 1'!$B$27),(($H57*'Alternative 1'!$B$39)+(3*($N$5/3)*COS($K$5))),IF(($A57&lt;'Alternative 1'!$B$28),(($H57*'Alternative 1'!$B$39)+(2*(($N$5/3)*COS($K$5)))),IF(($A57&lt;'Alternative 1'!$B$29),(($H$3*'Alternative 1'!$B$39+(($N$5/3)*COS($K$5)))),($H57*'Alternative 1'!$B$39))))</f>
        <v>#VALUE!</v>
      </c>
      <c r="T57" s="105" t="e">
        <f>R57*'Alternative 1'!$K58/'Alternative 1'!$L58</f>
        <v>#VALUE!</v>
      </c>
      <c r="U57" s="105" t="e">
        <f>S57/'Alternative 1'!$M58</f>
        <v>#VALUE!</v>
      </c>
      <c r="V57" s="105" t="e">
        <f t="shared" si="2"/>
        <v>#VALUE!</v>
      </c>
      <c r="X57" s="105" t="e">
        <f>'Alternative 1'!$B$39*$B57*$C57*COS($K$13)-($N$12/3)*$E57*SIN($K$13)-($N$12/3)*$F57*SIN($K$13)-($N$12/3)*$G57*SIN($K$13)</f>
        <v>#VALUE!</v>
      </c>
      <c r="Y57" s="106" t="e">
        <f>IF(($A57&lt;'Alternative 1'!$B$27),(($H57*'Alternative 1'!$B$39)+(3*($N$12/3)*COS($K$13))),IF(($A57&lt;'Alternative 1'!$B$28),(($H57*'Alternative 1'!$B$39)+(2*(($N$12/3)*COS($K$13)))),IF(($A57&lt;'Alternative 1'!$B$29),(($H$3*'Alternative 1'!$B$39+(($N$12/3)*COS($K$13)))),($H57*'Alternative 1'!$B$39))))</f>
        <v>#VALUE!</v>
      </c>
      <c r="Z57" s="105" t="e">
        <f>X57*'Alternative 1'!$K58/'Alternative 1'!$L58</f>
        <v>#VALUE!</v>
      </c>
      <c r="AA57" s="105" t="e">
        <f>Y57/'Alternative 1'!$M58</f>
        <v>#VALUE!</v>
      </c>
      <c r="AB57" s="105" t="e">
        <f t="shared" si="3"/>
        <v>#VALUE!</v>
      </c>
      <c r="AD57" s="105" t="e">
        <f>'Alternative 1'!$B$39*$B57*$C57*COS($K$23)-($N$22/3)*$E57*SIN($K$23)-($N$22/3)*$F57*SIN($K$23)-($N$22/3)*$G57*SIN($K$23)</f>
        <v>#VALUE!</v>
      </c>
      <c r="AE57" s="106" t="e">
        <f>IF(($A57&lt;'Alternative 1'!$B$27),(($H57*'Alternative 1'!$B$39)+(3*($N$22/3)*COS($K$23))),IF(($A57&lt;'Alternative 1'!$B$28),(($H57*'Alternative 1'!$B$39)+(2*(($N$22/3)*COS($K$23)))),IF(($A57&lt;'Alternative 1'!$B$29),(($H$3*'Alternative 1'!$B$39+(($N$22/3)*COS($K$23)))),($H57*'Alternative 1'!$B$39))))</f>
        <v>#VALUE!</v>
      </c>
      <c r="AF57" s="105" t="e">
        <f>AD57*'Alternative 1'!$K58/'Alternative 1'!$L58</f>
        <v>#VALUE!</v>
      </c>
      <c r="AG57" s="105" t="e">
        <f>AE57/'Alternative 1'!$M58</f>
        <v>#VALUE!</v>
      </c>
      <c r="AH57" s="105" t="e">
        <f t="shared" si="4"/>
        <v>#VALUE!</v>
      </c>
      <c r="AJ57" s="105" t="e">
        <f>'Alternative 1'!$B$39*$B57*$C57*COS($K$33)-($N$32/3)*$E57*SIN($K$33)-($N$32/3)*$F57*SIN($K$33)-($N$32/3)*$G57*SIN($K$33)</f>
        <v>#VALUE!</v>
      </c>
      <c r="AK57" s="106" t="e">
        <f>IF(($A57&lt;'Alternative 1'!$B$27),(($H57*'Alternative 1'!$B$39)+(3*($N$32/3)*COS($K$33))),IF(($A57&lt;'Alternative 1'!$B$28),(($H57*'Alternative 1'!$B$39)+(2*(($N$32/3)*COS($K$33)))),IF(($A57&lt;'Alternative 1'!$B$29),(($H$3*'Alternative 1'!$B$39+(($N$32/3)*COS($K$33)))),($H57*'Alternative 1'!$B$39))))</f>
        <v>#VALUE!</v>
      </c>
      <c r="AL57" s="105" t="e">
        <f>AJ57*'Alternative 1'!$K58/'Alternative 1'!$L58</f>
        <v>#VALUE!</v>
      </c>
      <c r="AM57" s="105" t="e">
        <f>AK57/'Alternative 1'!$M58</f>
        <v>#VALUE!</v>
      </c>
      <c r="AN57" s="105" t="e">
        <f t="shared" si="5"/>
        <v>#VALUE!</v>
      </c>
      <c r="AP57" s="105" t="e">
        <f>'Alternative 1'!$B$39*$B57*$C57*COS($K$43)-($N$42/3)*$E57*SIN($K$43)-($N$42/3)*$F57*SIN($K$43)-($N$42/3)*$G57*SIN($K$43)</f>
        <v>#VALUE!</v>
      </c>
      <c r="AQ57" s="106" t="e">
        <f>IF(($A57&lt;'Alternative 1'!$B$27),(($H57*'Alternative 1'!$B$39)+(3*($N$42/3)*COS($K$43))),IF(($A57&lt;'Alternative 1'!$B$28),(($H57*'Alternative 1'!$B$39)+(2*(($N$42/3)*COS($K$43)))),IF(($A57&lt;'Alternative 1'!$B$29),(($H$3*'Alternative 1'!$B$39+(($N$42/3)*COS($K$43)))),($H57*'Alternative 1'!$B$39))))</f>
        <v>#VALUE!</v>
      </c>
      <c r="AR57" s="105" t="e">
        <f>AP57*'Alternative 1'!$K58/'Alternative 1'!$L58</f>
        <v>#VALUE!</v>
      </c>
      <c r="AS57" s="105" t="e">
        <f>AQ57/'Alternative 1'!$M58</f>
        <v>#VALUE!</v>
      </c>
      <c r="AT57" s="105" t="e">
        <f t="shared" si="6"/>
        <v>#VALUE!</v>
      </c>
      <c r="AV57" s="105" t="e">
        <f>'Alternative 1'!$B$39*$B57*$C57*COS($K$53)-($N$52/3)*$E57*SIN($K$53)-($N$52/3)*$F57*SIN($K$53)-($N$52/3)*$G57*SIN($K$53)</f>
        <v>#VALUE!</v>
      </c>
      <c r="AW57" s="106" t="e">
        <f>IF(($A57&lt;'Alternative 1'!$B$27),(($H57*'Alternative 1'!$B$39)+(3*($N$52/3)*COS($K$53))),IF(($A57&lt;'Alternative 1'!$B$28),(($H57*'Alternative 1'!$B$39)+(2*(($N$52/3)*COS($K$53)))),IF(($A57&lt;'Alternative 1'!$B$29),(($H$3*'Alternative 1'!$B$39+(($N$52/3)*COS($K$53)))),($H57*'Alternative 1'!$B$39))))</f>
        <v>#VALUE!</v>
      </c>
      <c r="AX57" s="105" t="e">
        <f>AV57*'Alternative 1'!$K58/'Alternative 1'!$L58</f>
        <v>#VALUE!</v>
      </c>
      <c r="AY57" s="105" t="e">
        <f>AW57/'Alternative 1'!$M58</f>
        <v>#VALUE!</v>
      </c>
      <c r="AZ57" s="105" t="e">
        <f t="shared" si="7"/>
        <v>#VALUE!</v>
      </c>
      <c r="BB57" s="105" t="e">
        <f>'Alternative 1'!$B$39*$B57*$C57*COS($K$63)-($N$62/3)*$E57*SIN($K$63)-($N$62/3)*$F57*SIN($K$63)-($N$62/3)*$G57*SIN($K$63)</f>
        <v>#VALUE!</v>
      </c>
      <c r="BC57" s="106" t="e">
        <f>IF(($A57&lt;'Alternative 1'!$B$27),(($H57*'Alternative 1'!$B$39)+(3*($N$62/3)*COS($K$63))),IF(($A57&lt;'Alternative 1'!$B$28),(($H57*'Alternative 1'!$B$39)+(2*(($N$62/3)*COS($K$63)))),IF(($A57&lt;'Alternative 1'!$B$29),(($H$3*'Alternative 1'!$B$39+(($N$62/3)*COS($K$63)))),($H57*'Alternative 1'!$B$39))))</f>
        <v>#VALUE!</v>
      </c>
      <c r="BD57" s="105" t="e">
        <f>BB57*'Alternative 1'!$K58/'Alternative 1'!$L58</f>
        <v>#VALUE!</v>
      </c>
      <c r="BE57" s="105" t="e">
        <f>BC57/'Alternative 1'!$M58</f>
        <v>#VALUE!</v>
      </c>
      <c r="BF57" s="105" t="e">
        <f t="shared" si="8"/>
        <v>#VALUE!</v>
      </c>
      <c r="BH57" s="105" t="e">
        <f>'Alternative 1'!$B$39*$B57*$C57*COS($K$73)-($N$72/3)*$E57*SIN($K$73)-($N$72/3)*$F57*SIN($K$73)-($N$72/3)*$G57*SIN($K$73)</f>
        <v>#VALUE!</v>
      </c>
      <c r="BI57" s="106" t="e">
        <f>IF(($A57&lt;'Alternative 1'!$B$27),(($H57*'Alternative 1'!$B$39)+(3*($N$72/3)*COS($K$73))),IF(($A57&lt;'Alternative 1'!$B$28),(($H57*'Alternative 1'!$B$39)+(2*(($N$72/3)*COS($K$73)))),IF(($A57&lt;'Alternative 1'!$B$29),(($H$3*'Alternative 1'!$B$39+(($N$72/3)*COS($K$73)))),($H57*'Alternative 1'!$B$39))))</f>
        <v>#VALUE!</v>
      </c>
      <c r="BJ57" s="105" t="e">
        <f>BH57*'Alternative 1'!$K58/'Alternative 1'!$L58</f>
        <v>#VALUE!</v>
      </c>
      <c r="BK57" s="105" t="e">
        <f>BI57/'Alternative 1'!$M58</f>
        <v>#VALUE!</v>
      </c>
      <c r="BL57" s="105" t="e">
        <f t="shared" si="9"/>
        <v>#VALUE!</v>
      </c>
      <c r="BN57" s="105" t="e">
        <f>'Alternative 1'!$B$39*$B57*$C57*COS($K$83)-($N$82/3)*$E57*SIN($K$83)-($N$82/3)*$F57*SIN($K$83)-($N$82/3)*$G57*SIN($K$83)</f>
        <v>#VALUE!</v>
      </c>
      <c r="BO57" s="106" t="e">
        <f>IF(($A57&lt;'Alternative 1'!$B$27),(($H57*'Alternative 1'!$B$39)+(3*($N$82/3)*COS($K$83))),IF(($A57&lt;'Alternative 1'!$B$28),(($H57*'Alternative 1'!$B$39)+(2*(($N$82/3)*COS($K$83)))),IF(($A57&lt;'Alternative 1'!$B$29),(($H$3*'Alternative 1'!$B$39+(($N$82/3)*COS($K$83)))),($H57*'Alternative 1'!$B$39))))</f>
        <v>#VALUE!</v>
      </c>
      <c r="BP57" s="105" t="e">
        <f>BN57*'Alternative 1'!$K58/'Alternative 1'!$L58</f>
        <v>#VALUE!</v>
      </c>
      <c r="BQ57" s="105" t="e">
        <f>BO57/'Alternative 1'!$M58</f>
        <v>#VALUE!</v>
      </c>
      <c r="BR57" s="105" t="e">
        <f t="shared" si="10"/>
        <v>#VALUE!</v>
      </c>
      <c r="BT57" s="105" t="e">
        <f>'Alternative 1'!$B$39*$B57*$C57*COS($K$93)-($K$92/3)*$E57*SIN($K$93)-($K$92/3)*$F57*SIN($K$93)-($K$92/3)*$G57*SIN($K$93)</f>
        <v>#VALUE!</v>
      </c>
      <c r="BU57" s="106" t="e">
        <f>IF(($A57&lt;'Alternative 1'!$B$27),(($H57*'Alternative 1'!$B$39)+(3*($N$92/3)*COS($K$93))),IF(($A57&lt;'Alternative 1'!$B$28),(($H57*'Alternative 1'!$B$39)+(2*(($N$92/3)*COS($K$93)))),IF(($A57&lt;'Alternative 1'!$B$29),(($H$3*'Alternative 1'!$B$39+(($N$92/3)*COS($K$93)))),($H57*'Alternative 1'!$B$39))))</f>
        <v>#VALUE!</v>
      </c>
      <c r="BV57" s="105" t="e">
        <f>BT57*'Alternative 1'!$K58/'Alternative 1'!$L58</f>
        <v>#VALUE!</v>
      </c>
      <c r="BW57" s="105" t="e">
        <f>BU57/'Alternative 1'!$M58</f>
        <v>#VALUE!</v>
      </c>
      <c r="BX57" s="105" t="e">
        <f t="shared" si="11"/>
        <v>#VALUE!</v>
      </c>
      <c r="BZ57" s="104">
        <v>150</v>
      </c>
      <c r="CA57" s="104">
        <v>-150</v>
      </c>
    </row>
    <row r="58" spans="1:79" ht="15" customHeight="1" x14ac:dyDescent="0.25">
      <c r="A58" s="18" t="str">
        <f>IF('Alternative 1'!F59&gt;0,'Alternative 1'!F59,"x")</f>
        <v>x</v>
      </c>
      <c r="B58" s="18" t="e">
        <f t="shared" si="17"/>
        <v>#VALUE!</v>
      </c>
      <c r="C58" s="18">
        <f t="shared" si="12"/>
        <v>0</v>
      </c>
      <c r="D58" s="18" t="str">
        <f t="shared" si="13"/>
        <v>x</v>
      </c>
      <c r="E58" s="101">
        <f>IF($A58&lt;='Alternative 1'!$B$27, IF($A58='Alternative 1'!$B$27,0,E59+1),0)</f>
        <v>0</v>
      </c>
      <c r="F58" s="101">
        <f>IF($A58&lt;=('Alternative 1'!$B$28), IF($A58=ROUNDDOWN('Alternative 1'!$B$28,0),0,F59+1),0)</f>
        <v>0</v>
      </c>
      <c r="G58" s="101">
        <f>IF($A58&lt;=('Alternative 1'!$B$29), IF($A58=ROUNDDOWN('Alternative 1'!$B$29,0),0,G59+1),0)</f>
        <v>0</v>
      </c>
      <c r="H58" s="18" t="e">
        <f t="shared" si="14"/>
        <v>#VALUE!</v>
      </c>
      <c r="J58" s="104">
        <f t="shared" si="15"/>
        <v>55</v>
      </c>
      <c r="K58" s="104">
        <f t="shared" si="16"/>
        <v>0.95993108859688125</v>
      </c>
      <c r="L58" s="105">
        <f>'Alternative 1'!$B$27*SIN(K58)+'Alternative 1'!$B$28*SIN(K58)+'Alternative 1'!$B$29*SIN(K58)</f>
        <v>55.702339011651446</v>
      </c>
      <c r="M58" s="104">
        <f>(('Alternative 1'!$B$27)*(((('Alternative 1'!$B$28-'Alternative 1'!$B$27)/2)+'Alternative 1'!$B$27)*'Alternative 1'!$B$39)*COS('Alternative 1-Tilt Up (3pt)'!K58))+(('Alternative 1'!$B$28)*((('Alternative 1'!$B$28-'Alternative 1'!$B$27)/2)+(('Alternative 1'!$B$29-'Alternative 1'!$B$28)/2))*('Alternative 1'!$B$39)*COS('Alternative 1-Tilt Up (3pt)'!K58))+(('Alternative 1'!$B$29)*((('Alternative 1'!$B$12-'Alternative 1'!$B$29+(('Alternative 1'!$B$29-'Alternative 1'!$B$28)/2)*('Alternative 1'!$B$39)*COS('Alternative 1-Tilt Up (3pt)'!K58)))))</f>
        <v>2722341.6719876439</v>
      </c>
      <c r="N58" s="104">
        <f t="shared" si="0"/>
        <v>146619.06772450989</v>
      </c>
      <c r="O58" s="104">
        <f>(((('Alternative 1'!$B$28-'Alternative 1'!$B$27)/2)+'Alternative 1'!$B$27)*('Alternative 1'!$B$39)*COS('Alternative 1-Tilt Up (3pt)'!K58))+(((('Alternative 1'!$B$28-'Alternative 1'!$B$27)/2)+(('Alternative 1'!$B$29-'Alternative 1'!$B$28)/2))*('Alternative 1'!$B$39)*COS('Alternative 1-Tilt Up (3pt)'!K58))+(((('Alternative 1'!$B$12-'Alternative 1'!$B$29)+(('Alternative 1'!$B$29-'Alternative 1'!$B$28)/2))*('Alternative 1'!$B$39)*COS('Alternative 1-Tilt Up (3pt)'!K58)))</f>
        <v>175583.16513808913</v>
      </c>
      <c r="P58" s="104">
        <f t="shared" si="1"/>
        <v>84097.242366537073</v>
      </c>
      <c r="R58" s="105" t="e">
        <f>'Alternative 1'!$B$39*$B58*$C58*COS($K$5)-($N$5/3)*$E58*SIN($K$5)-($N$5/3)*$F58*SIN($K$5)-($N$5/3)*$G58*SIN($K$5)</f>
        <v>#VALUE!</v>
      </c>
      <c r="S58" s="106" t="e">
        <f>IF(($A58&lt;'Alternative 1'!$B$27),(($H58*'Alternative 1'!$B$39)+(3*($N$5/3)*COS($K$5))),IF(($A58&lt;'Alternative 1'!$B$28),(($H58*'Alternative 1'!$B$39)+(2*(($N$5/3)*COS($K$5)))),IF(($A58&lt;'Alternative 1'!$B$29),(($H$3*'Alternative 1'!$B$39+(($N$5/3)*COS($K$5)))),($H58*'Alternative 1'!$B$39))))</f>
        <v>#VALUE!</v>
      </c>
      <c r="T58" s="105" t="e">
        <f>R58*'Alternative 1'!$K59/'Alternative 1'!$L59</f>
        <v>#VALUE!</v>
      </c>
      <c r="U58" s="105" t="e">
        <f>S58/'Alternative 1'!$M59</f>
        <v>#VALUE!</v>
      </c>
      <c r="V58" s="105" t="e">
        <f t="shared" si="2"/>
        <v>#VALUE!</v>
      </c>
      <c r="X58" s="105" t="e">
        <f>'Alternative 1'!$B$39*$B58*$C58*COS($K$13)-($N$12/3)*$E58*SIN($K$13)-($N$12/3)*$F58*SIN($K$13)-($N$12/3)*$G58*SIN($K$13)</f>
        <v>#VALUE!</v>
      </c>
      <c r="Y58" s="106" t="e">
        <f>IF(($A58&lt;'Alternative 1'!$B$27),(($H58*'Alternative 1'!$B$39)+(3*($N$12/3)*COS($K$13))),IF(($A58&lt;'Alternative 1'!$B$28),(($H58*'Alternative 1'!$B$39)+(2*(($N$12/3)*COS($K$13)))),IF(($A58&lt;'Alternative 1'!$B$29),(($H$3*'Alternative 1'!$B$39+(($N$12/3)*COS($K$13)))),($H58*'Alternative 1'!$B$39))))</f>
        <v>#VALUE!</v>
      </c>
      <c r="Z58" s="105" t="e">
        <f>X58*'Alternative 1'!$K59/'Alternative 1'!$L59</f>
        <v>#VALUE!</v>
      </c>
      <c r="AA58" s="105" t="e">
        <f>Y58/'Alternative 1'!$M59</f>
        <v>#VALUE!</v>
      </c>
      <c r="AB58" s="105" t="e">
        <f t="shared" si="3"/>
        <v>#VALUE!</v>
      </c>
      <c r="AD58" s="105" t="e">
        <f>'Alternative 1'!$B$39*$B58*$C58*COS($K$23)-($N$22/3)*$E58*SIN($K$23)-($N$22/3)*$F58*SIN($K$23)-($N$22/3)*$G58*SIN($K$23)</f>
        <v>#VALUE!</v>
      </c>
      <c r="AE58" s="106" t="e">
        <f>IF(($A58&lt;'Alternative 1'!$B$27),(($H58*'Alternative 1'!$B$39)+(3*($N$22/3)*COS($K$23))),IF(($A58&lt;'Alternative 1'!$B$28),(($H58*'Alternative 1'!$B$39)+(2*(($N$22/3)*COS($K$23)))),IF(($A58&lt;'Alternative 1'!$B$29),(($H$3*'Alternative 1'!$B$39+(($N$22/3)*COS($K$23)))),($H58*'Alternative 1'!$B$39))))</f>
        <v>#VALUE!</v>
      </c>
      <c r="AF58" s="105" t="e">
        <f>AD58*'Alternative 1'!$K59/'Alternative 1'!$L59</f>
        <v>#VALUE!</v>
      </c>
      <c r="AG58" s="105" t="e">
        <f>AE58/'Alternative 1'!$M59</f>
        <v>#VALUE!</v>
      </c>
      <c r="AH58" s="105" t="e">
        <f t="shared" si="4"/>
        <v>#VALUE!</v>
      </c>
      <c r="AJ58" s="105" t="e">
        <f>'Alternative 1'!$B$39*$B58*$C58*COS($K$33)-($N$32/3)*$E58*SIN($K$33)-($N$32/3)*$F58*SIN($K$33)-($N$32/3)*$G58*SIN($K$33)</f>
        <v>#VALUE!</v>
      </c>
      <c r="AK58" s="106" t="e">
        <f>IF(($A58&lt;'Alternative 1'!$B$27),(($H58*'Alternative 1'!$B$39)+(3*($N$32/3)*COS($K$33))),IF(($A58&lt;'Alternative 1'!$B$28),(($H58*'Alternative 1'!$B$39)+(2*(($N$32/3)*COS($K$33)))),IF(($A58&lt;'Alternative 1'!$B$29),(($H$3*'Alternative 1'!$B$39+(($N$32/3)*COS($K$33)))),($H58*'Alternative 1'!$B$39))))</f>
        <v>#VALUE!</v>
      </c>
      <c r="AL58" s="105" t="e">
        <f>AJ58*'Alternative 1'!$K59/'Alternative 1'!$L59</f>
        <v>#VALUE!</v>
      </c>
      <c r="AM58" s="105" t="e">
        <f>AK58/'Alternative 1'!$M59</f>
        <v>#VALUE!</v>
      </c>
      <c r="AN58" s="105" t="e">
        <f t="shared" si="5"/>
        <v>#VALUE!</v>
      </c>
      <c r="AP58" s="105" t="e">
        <f>'Alternative 1'!$B$39*$B58*$C58*COS($K$43)-($N$42/3)*$E58*SIN($K$43)-($N$42/3)*$F58*SIN($K$43)-($N$42/3)*$G58*SIN($K$43)</f>
        <v>#VALUE!</v>
      </c>
      <c r="AQ58" s="106" t="e">
        <f>IF(($A58&lt;'Alternative 1'!$B$27),(($H58*'Alternative 1'!$B$39)+(3*($N$42/3)*COS($K$43))),IF(($A58&lt;'Alternative 1'!$B$28),(($H58*'Alternative 1'!$B$39)+(2*(($N$42/3)*COS($K$43)))),IF(($A58&lt;'Alternative 1'!$B$29),(($H$3*'Alternative 1'!$B$39+(($N$42/3)*COS($K$43)))),($H58*'Alternative 1'!$B$39))))</f>
        <v>#VALUE!</v>
      </c>
      <c r="AR58" s="105" t="e">
        <f>AP58*'Alternative 1'!$K59/'Alternative 1'!$L59</f>
        <v>#VALUE!</v>
      </c>
      <c r="AS58" s="105" t="e">
        <f>AQ58/'Alternative 1'!$M59</f>
        <v>#VALUE!</v>
      </c>
      <c r="AT58" s="105" t="e">
        <f t="shared" si="6"/>
        <v>#VALUE!</v>
      </c>
      <c r="AV58" s="105" t="e">
        <f>'Alternative 1'!$B$39*$B58*$C58*COS($K$53)-($N$52/3)*$E58*SIN($K$53)-($N$52/3)*$F58*SIN($K$53)-($N$52/3)*$G58*SIN($K$53)</f>
        <v>#VALUE!</v>
      </c>
      <c r="AW58" s="106" t="e">
        <f>IF(($A58&lt;'Alternative 1'!$B$27),(($H58*'Alternative 1'!$B$39)+(3*($N$52/3)*COS($K$53))),IF(($A58&lt;'Alternative 1'!$B$28),(($H58*'Alternative 1'!$B$39)+(2*(($N$52/3)*COS($K$53)))),IF(($A58&lt;'Alternative 1'!$B$29),(($H$3*'Alternative 1'!$B$39+(($N$52/3)*COS($K$53)))),($H58*'Alternative 1'!$B$39))))</f>
        <v>#VALUE!</v>
      </c>
      <c r="AX58" s="105" t="e">
        <f>AV58*'Alternative 1'!$K59/'Alternative 1'!$L59</f>
        <v>#VALUE!</v>
      </c>
      <c r="AY58" s="105" t="e">
        <f>AW58/'Alternative 1'!$M59</f>
        <v>#VALUE!</v>
      </c>
      <c r="AZ58" s="105" t="e">
        <f t="shared" si="7"/>
        <v>#VALUE!</v>
      </c>
      <c r="BB58" s="105" t="e">
        <f>'Alternative 1'!$B$39*$B58*$C58*COS($K$63)-($N$62/3)*$E58*SIN($K$63)-($N$62/3)*$F58*SIN($K$63)-($N$62/3)*$G58*SIN($K$63)</f>
        <v>#VALUE!</v>
      </c>
      <c r="BC58" s="106" t="e">
        <f>IF(($A58&lt;'Alternative 1'!$B$27),(($H58*'Alternative 1'!$B$39)+(3*($N$62/3)*COS($K$63))),IF(($A58&lt;'Alternative 1'!$B$28),(($H58*'Alternative 1'!$B$39)+(2*(($N$62/3)*COS($K$63)))),IF(($A58&lt;'Alternative 1'!$B$29),(($H$3*'Alternative 1'!$B$39+(($N$62/3)*COS($K$63)))),($H58*'Alternative 1'!$B$39))))</f>
        <v>#VALUE!</v>
      </c>
      <c r="BD58" s="105" t="e">
        <f>BB58*'Alternative 1'!$K59/'Alternative 1'!$L59</f>
        <v>#VALUE!</v>
      </c>
      <c r="BE58" s="105" t="e">
        <f>BC58/'Alternative 1'!$M59</f>
        <v>#VALUE!</v>
      </c>
      <c r="BF58" s="105" t="e">
        <f t="shared" si="8"/>
        <v>#VALUE!</v>
      </c>
      <c r="BH58" s="105" t="e">
        <f>'Alternative 1'!$B$39*$B58*$C58*COS($K$73)-($N$72/3)*$E58*SIN($K$73)-($N$72/3)*$F58*SIN($K$73)-($N$72/3)*$G58*SIN($K$73)</f>
        <v>#VALUE!</v>
      </c>
      <c r="BI58" s="106" t="e">
        <f>IF(($A58&lt;'Alternative 1'!$B$27),(($H58*'Alternative 1'!$B$39)+(3*($N$72/3)*COS($K$73))),IF(($A58&lt;'Alternative 1'!$B$28),(($H58*'Alternative 1'!$B$39)+(2*(($N$72/3)*COS($K$73)))),IF(($A58&lt;'Alternative 1'!$B$29),(($H$3*'Alternative 1'!$B$39+(($N$72/3)*COS($K$73)))),($H58*'Alternative 1'!$B$39))))</f>
        <v>#VALUE!</v>
      </c>
      <c r="BJ58" s="105" t="e">
        <f>BH58*'Alternative 1'!$K59/'Alternative 1'!$L59</f>
        <v>#VALUE!</v>
      </c>
      <c r="BK58" s="105" t="e">
        <f>BI58/'Alternative 1'!$M59</f>
        <v>#VALUE!</v>
      </c>
      <c r="BL58" s="105" t="e">
        <f t="shared" si="9"/>
        <v>#VALUE!</v>
      </c>
      <c r="BN58" s="105" t="e">
        <f>'Alternative 1'!$B$39*$B58*$C58*COS($K$83)-($N$82/3)*$E58*SIN($K$83)-($N$82/3)*$F58*SIN($K$83)-($N$82/3)*$G58*SIN($K$83)</f>
        <v>#VALUE!</v>
      </c>
      <c r="BO58" s="106" t="e">
        <f>IF(($A58&lt;'Alternative 1'!$B$27),(($H58*'Alternative 1'!$B$39)+(3*($N$82/3)*COS($K$83))),IF(($A58&lt;'Alternative 1'!$B$28),(($H58*'Alternative 1'!$B$39)+(2*(($N$82/3)*COS($K$83)))),IF(($A58&lt;'Alternative 1'!$B$29),(($H$3*'Alternative 1'!$B$39+(($N$82/3)*COS($K$83)))),($H58*'Alternative 1'!$B$39))))</f>
        <v>#VALUE!</v>
      </c>
      <c r="BP58" s="105" t="e">
        <f>BN58*'Alternative 1'!$K59/'Alternative 1'!$L59</f>
        <v>#VALUE!</v>
      </c>
      <c r="BQ58" s="105" t="e">
        <f>BO58/'Alternative 1'!$M59</f>
        <v>#VALUE!</v>
      </c>
      <c r="BR58" s="105" t="e">
        <f t="shared" si="10"/>
        <v>#VALUE!</v>
      </c>
      <c r="BT58" s="105" t="e">
        <f>'Alternative 1'!$B$39*$B58*$C58*COS($K$93)-($K$92/3)*$E58*SIN($K$93)-($K$92/3)*$F58*SIN($K$93)-($K$92/3)*$G58*SIN($K$93)</f>
        <v>#VALUE!</v>
      </c>
      <c r="BU58" s="106" t="e">
        <f>IF(($A58&lt;'Alternative 1'!$B$27),(($H58*'Alternative 1'!$B$39)+(3*($N$92/3)*COS($K$93))),IF(($A58&lt;'Alternative 1'!$B$28),(($H58*'Alternative 1'!$B$39)+(2*(($N$92/3)*COS($K$93)))),IF(($A58&lt;'Alternative 1'!$B$29),(($H$3*'Alternative 1'!$B$39+(($N$92/3)*COS($K$93)))),($H58*'Alternative 1'!$B$39))))</f>
        <v>#VALUE!</v>
      </c>
      <c r="BV58" s="105" t="e">
        <f>BT58*'Alternative 1'!$K59/'Alternative 1'!$L59</f>
        <v>#VALUE!</v>
      </c>
      <c r="BW58" s="105" t="e">
        <f>BU58/'Alternative 1'!$M59</f>
        <v>#VALUE!</v>
      </c>
      <c r="BX58" s="105" t="e">
        <f t="shared" si="11"/>
        <v>#VALUE!</v>
      </c>
      <c r="BZ58" s="104">
        <v>150</v>
      </c>
      <c r="CA58" s="104">
        <v>-150</v>
      </c>
    </row>
    <row r="59" spans="1:79" ht="15" customHeight="1" x14ac:dyDescent="0.25">
      <c r="A59" s="18" t="str">
        <f>IF('Alternative 1'!F60&gt;0,'Alternative 1'!F60,"x")</f>
        <v>x</v>
      </c>
      <c r="B59" s="18" t="e">
        <f t="shared" si="17"/>
        <v>#VALUE!</v>
      </c>
      <c r="C59" s="18">
        <f t="shared" si="12"/>
        <v>0</v>
      </c>
      <c r="D59" s="18" t="str">
        <f t="shared" si="13"/>
        <v>x</v>
      </c>
      <c r="E59" s="101">
        <f>IF($A59&lt;='Alternative 1'!$B$27, IF($A59='Alternative 1'!$B$27,0,E60+1),0)</f>
        <v>0</v>
      </c>
      <c r="F59" s="101">
        <f>IF($A59&lt;=('Alternative 1'!$B$28), IF($A59=ROUNDDOWN('Alternative 1'!$B$28,0),0,F60+1),0)</f>
        <v>0</v>
      </c>
      <c r="G59" s="101">
        <f>IF($A59&lt;=('Alternative 1'!$B$29), IF($A59=ROUNDDOWN('Alternative 1'!$B$29,0),0,G60+1),0)</f>
        <v>0</v>
      </c>
      <c r="H59" s="18" t="e">
        <f t="shared" si="14"/>
        <v>#VALUE!</v>
      </c>
      <c r="J59" s="104">
        <f t="shared" si="15"/>
        <v>56</v>
      </c>
      <c r="K59" s="104">
        <f t="shared" si="16"/>
        <v>0.97738438111682457</v>
      </c>
      <c r="L59" s="105">
        <f>'Alternative 1'!$B$27*SIN(K59)+'Alternative 1'!$B$28*SIN(K59)+'Alternative 1'!$B$29*SIN(K59)</f>
        <v>56.374554933742843</v>
      </c>
      <c r="M59" s="104">
        <f>(('Alternative 1'!$B$27)*(((('Alternative 1'!$B$28-'Alternative 1'!$B$27)/2)+'Alternative 1'!$B$27)*'Alternative 1'!$B$39)*COS('Alternative 1-Tilt Up (3pt)'!K59))+(('Alternative 1'!$B$28)*((('Alternative 1'!$B$28-'Alternative 1'!$B$27)/2)+(('Alternative 1'!$B$29-'Alternative 1'!$B$28)/2))*('Alternative 1'!$B$39)*COS('Alternative 1-Tilt Up (3pt)'!K59))+(('Alternative 1'!$B$29)*((('Alternative 1'!$B$12-'Alternative 1'!$B$29+(('Alternative 1'!$B$29-'Alternative 1'!$B$28)/2)*('Alternative 1'!$B$39)*COS('Alternative 1-Tilt Up (3pt)'!K59)))))</f>
        <v>2654078.6217598952</v>
      </c>
      <c r="N59" s="104">
        <f t="shared" si="0"/>
        <v>141238.11486649822</v>
      </c>
      <c r="O59" s="104">
        <f>(((('Alternative 1'!$B$28-'Alternative 1'!$B$27)/2)+'Alternative 1'!$B$27)*('Alternative 1'!$B$39)*COS('Alternative 1-Tilt Up (3pt)'!K59))+(((('Alternative 1'!$B$28-'Alternative 1'!$B$27)/2)+(('Alternative 1'!$B$29-'Alternative 1'!$B$28)/2))*('Alternative 1'!$B$39)*COS('Alternative 1-Tilt Up (3pt)'!K59))+(((('Alternative 1'!$B$12-'Alternative 1'!$B$29)+(('Alternative 1'!$B$29-'Alternative 1'!$B$28)/2))*('Alternative 1'!$B$39)*COS('Alternative 1-Tilt Up (3pt)'!K59)))</f>
        <v>171180.07939583412</v>
      </c>
      <c r="P59" s="104">
        <f t="shared" si="1"/>
        <v>78979.351532931993</v>
      </c>
      <c r="R59" s="105" t="e">
        <f>'Alternative 1'!$B$39*$B59*$C59*COS($K$5)-($N$5/3)*$E59*SIN($K$5)-($N$5/3)*$F59*SIN($K$5)-($N$5/3)*$G59*SIN($K$5)</f>
        <v>#VALUE!</v>
      </c>
      <c r="S59" s="106" t="e">
        <f>IF(($A59&lt;'Alternative 1'!$B$27),(($H59*'Alternative 1'!$B$39)+(3*($N$5/3)*COS($K$5))),IF(($A59&lt;'Alternative 1'!$B$28),(($H59*'Alternative 1'!$B$39)+(2*(($N$5/3)*COS($K$5)))),IF(($A59&lt;'Alternative 1'!$B$29),(($H$3*'Alternative 1'!$B$39+(($N$5/3)*COS($K$5)))),($H59*'Alternative 1'!$B$39))))</f>
        <v>#VALUE!</v>
      </c>
      <c r="T59" s="105" t="e">
        <f>R59*'Alternative 1'!$K60/'Alternative 1'!$L60</f>
        <v>#VALUE!</v>
      </c>
      <c r="U59" s="105" t="e">
        <f>S59/'Alternative 1'!$M60</f>
        <v>#VALUE!</v>
      </c>
      <c r="V59" s="105" t="e">
        <f t="shared" si="2"/>
        <v>#VALUE!</v>
      </c>
      <c r="X59" s="105" t="e">
        <f>'Alternative 1'!$B$39*$B59*$C59*COS($K$13)-($N$12/3)*$E59*SIN($K$13)-($N$12/3)*$F59*SIN($K$13)-($N$12/3)*$G59*SIN($K$13)</f>
        <v>#VALUE!</v>
      </c>
      <c r="Y59" s="106" t="e">
        <f>IF(($A59&lt;'Alternative 1'!$B$27),(($H59*'Alternative 1'!$B$39)+(3*($N$12/3)*COS($K$13))),IF(($A59&lt;'Alternative 1'!$B$28),(($H59*'Alternative 1'!$B$39)+(2*(($N$12/3)*COS($K$13)))),IF(($A59&lt;'Alternative 1'!$B$29),(($H$3*'Alternative 1'!$B$39+(($N$12/3)*COS($K$13)))),($H59*'Alternative 1'!$B$39))))</f>
        <v>#VALUE!</v>
      </c>
      <c r="Z59" s="105" t="e">
        <f>X59*'Alternative 1'!$K60/'Alternative 1'!$L60</f>
        <v>#VALUE!</v>
      </c>
      <c r="AA59" s="105" t="e">
        <f>Y59/'Alternative 1'!$M60</f>
        <v>#VALUE!</v>
      </c>
      <c r="AB59" s="105" t="e">
        <f t="shared" si="3"/>
        <v>#VALUE!</v>
      </c>
      <c r="AD59" s="105" t="e">
        <f>'Alternative 1'!$B$39*$B59*$C59*COS($K$23)-($N$22/3)*$E59*SIN($K$23)-($N$22/3)*$F59*SIN($K$23)-($N$22/3)*$G59*SIN($K$23)</f>
        <v>#VALUE!</v>
      </c>
      <c r="AE59" s="106" t="e">
        <f>IF(($A59&lt;'Alternative 1'!$B$27),(($H59*'Alternative 1'!$B$39)+(3*($N$22/3)*COS($K$23))),IF(($A59&lt;'Alternative 1'!$B$28),(($H59*'Alternative 1'!$B$39)+(2*(($N$22/3)*COS($K$23)))),IF(($A59&lt;'Alternative 1'!$B$29),(($H$3*'Alternative 1'!$B$39+(($N$22/3)*COS($K$23)))),($H59*'Alternative 1'!$B$39))))</f>
        <v>#VALUE!</v>
      </c>
      <c r="AF59" s="105" t="e">
        <f>AD59*'Alternative 1'!$K60/'Alternative 1'!$L60</f>
        <v>#VALUE!</v>
      </c>
      <c r="AG59" s="105" t="e">
        <f>AE59/'Alternative 1'!$M60</f>
        <v>#VALUE!</v>
      </c>
      <c r="AH59" s="105" t="e">
        <f t="shared" si="4"/>
        <v>#VALUE!</v>
      </c>
      <c r="AJ59" s="105" t="e">
        <f>'Alternative 1'!$B$39*$B59*$C59*COS($K$33)-($N$32/3)*$E59*SIN($K$33)-($N$32/3)*$F59*SIN($K$33)-($N$32/3)*$G59*SIN($K$33)</f>
        <v>#VALUE!</v>
      </c>
      <c r="AK59" s="106" t="e">
        <f>IF(($A59&lt;'Alternative 1'!$B$27),(($H59*'Alternative 1'!$B$39)+(3*($N$32/3)*COS($K$33))),IF(($A59&lt;'Alternative 1'!$B$28),(($H59*'Alternative 1'!$B$39)+(2*(($N$32/3)*COS($K$33)))),IF(($A59&lt;'Alternative 1'!$B$29),(($H$3*'Alternative 1'!$B$39+(($N$32/3)*COS($K$33)))),($H59*'Alternative 1'!$B$39))))</f>
        <v>#VALUE!</v>
      </c>
      <c r="AL59" s="105" t="e">
        <f>AJ59*'Alternative 1'!$K60/'Alternative 1'!$L60</f>
        <v>#VALUE!</v>
      </c>
      <c r="AM59" s="105" t="e">
        <f>AK59/'Alternative 1'!$M60</f>
        <v>#VALUE!</v>
      </c>
      <c r="AN59" s="105" t="e">
        <f t="shared" si="5"/>
        <v>#VALUE!</v>
      </c>
      <c r="AP59" s="105" t="e">
        <f>'Alternative 1'!$B$39*$B59*$C59*COS($K$43)-($N$42/3)*$E59*SIN($K$43)-($N$42/3)*$F59*SIN($K$43)-($N$42/3)*$G59*SIN($K$43)</f>
        <v>#VALUE!</v>
      </c>
      <c r="AQ59" s="106" t="e">
        <f>IF(($A59&lt;'Alternative 1'!$B$27),(($H59*'Alternative 1'!$B$39)+(3*($N$42/3)*COS($K$43))),IF(($A59&lt;'Alternative 1'!$B$28),(($H59*'Alternative 1'!$B$39)+(2*(($N$42/3)*COS($K$43)))),IF(($A59&lt;'Alternative 1'!$B$29),(($H$3*'Alternative 1'!$B$39+(($N$42/3)*COS($K$43)))),($H59*'Alternative 1'!$B$39))))</f>
        <v>#VALUE!</v>
      </c>
      <c r="AR59" s="105" t="e">
        <f>AP59*'Alternative 1'!$K60/'Alternative 1'!$L60</f>
        <v>#VALUE!</v>
      </c>
      <c r="AS59" s="105" t="e">
        <f>AQ59/'Alternative 1'!$M60</f>
        <v>#VALUE!</v>
      </c>
      <c r="AT59" s="105" t="e">
        <f t="shared" si="6"/>
        <v>#VALUE!</v>
      </c>
      <c r="AV59" s="105" t="e">
        <f>'Alternative 1'!$B$39*$B59*$C59*COS($K$53)-($N$52/3)*$E59*SIN($K$53)-($N$52/3)*$F59*SIN($K$53)-($N$52/3)*$G59*SIN($K$53)</f>
        <v>#VALUE!</v>
      </c>
      <c r="AW59" s="106" t="e">
        <f>IF(($A59&lt;'Alternative 1'!$B$27),(($H59*'Alternative 1'!$B$39)+(3*($N$52/3)*COS($K$53))),IF(($A59&lt;'Alternative 1'!$B$28),(($H59*'Alternative 1'!$B$39)+(2*(($N$52/3)*COS($K$53)))),IF(($A59&lt;'Alternative 1'!$B$29),(($H$3*'Alternative 1'!$B$39+(($N$52/3)*COS($K$53)))),($H59*'Alternative 1'!$B$39))))</f>
        <v>#VALUE!</v>
      </c>
      <c r="AX59" s="105" t="e">
        <f>AV59*'Alternative 1'!$K60/'Alternative 1'!$L60</f>
        <v>#VALUE!</v>
      </c>
      <c r="AY59" s="105" t="e">
        <f>AW59/'Alternative 1'!$M60</f>
        <v>#VALUE!</v>
      </c>
      <c r="AZ59" s="105" t="e">
        <f t="shared" si="7"/>
        <v>#VALUE!</v>
      </c>
      <c r="BB59" s="105" t="e">
        <f>'Alternative 1'!$B$39*$B59*$C59*COS($K$63)-($N$62/3)*$E59*SIN($K$63)-($N$62/3)*$F59*SIN($K$63)-($N$62/3)*$G59*SIN($K$63)</f>
        <v>#VALUE!</v>
      </c>
      <c r="BC59" s="106" t="e">
        <f>IF(($A59&lt;'Alternative 1'!$B$27),(($H59*'Alternative 1'!$B$39)+(3*($N$62/3)*COS($K$63))),IF(($A59&lt;'Alternative 1'!$B$28),(($H59*'Alternative 1'!$B$39)+(2*(($N$62/3)*COS($K$63)))),IF(($A59&lt;'Alternative 1'!$B$29),(($H$3*'Alternative 1'!$B$39+(($N$62/3)*COS($K$63)))),($H59*'Alternative 1'!$B$39))))</f>
        <v>#VALUE!</v>
      </c>
      <c r="BD59" s="105" t="e">
        <f>BB59*'Alternative 1'!$K60/'Alternative 1'!$L60</f>
        <v>#VALUE!</v>
      </c>
      <c r="BE59" s="105" t="e">
        <f>BC59/'Alternative 1'!$M60</f>
        <v>#VALUE!</v>
      </c>
      <c r="BF59" s="105" t="e">
        <f t="shared" si="8"/>
        <v>#VALUE!</v>
      </c>
      <c r="BH59" s="105" t="e">
        <f>'Alternative 1'!$B$39*$B59*$C59*COS($K$73)-($N$72/3)*$E59*SIN($K$73)-($N$72/3)*$F59*SIN($K$73)-($N$72/3)*$G59*SIN($K$73)</f>
        <v>#VALUE!</v>
      </c>
      <c r="BI59" s="106" t="e">
        <f>IF(($A59&lt;'Alternative 1'!$B$27),(($H59*'Alternative 1'!$B$39)+(3*($N$72/3)*COS($K$73))),IF(($A59&lt;'Alternative 1'!$B$28),(($H59*'Alternative 1'!$B$39)+(2*(($N$72/3)*COS($K$73)))),IF(($A59&lt;'Alternative 1'!$B$29),(($H$3*'Alternative 1'!$B$39+(($N$72/3)*COS($K$73)))),($H59*'Alternative 1'!$B$39))))</f>
        <v>#VALUE!</v>
      </c>
      <c r="BJ59" s="105" t="e">
        <f>BH59*'Alternative 1'!$K60/'Alternative 1'!$L60</f>
        <v>#VALUE!</v>
      </c>
      <c r="BK59" s="105" t="e">
        <f>BI59/'Alternative 1'!$M60</f>
        <v>#VALUE!</v>
      </c>
      <c r="BL59" s="105" t="e">
        <f t="shared" si="9"/>
        <v>#VALUE!</v>
      </c>
      <c r="BN59" s="105" t="e">
        <f>'Alternative 1'!$B$39*$B59*$C59*COS($K$83)-($N$82/3)*$E59*SIN($K$83)-($N$82/3)*$F59*SIN($K$83)-($N$82/3)*$G59*SIN($K$83)</f>
        <v>#VALUE!</v>
      </c>
      <c r="BO59" s="106" t="e">
        <f>IF(($A59&lt;'Alternative 1'!$B$27),(($H59*'Alternative 1'!$B$39)+(3*($N$82/3)*COS($K$83))),IF(($A59&lt;'Alternative 1'!$B$28),(($H59*'Alternative 1'!$B$39)+(2*(($N$82/3)*COS($K$83)))),IF(($A59&lt;'Alternative 1'!$B$29),(($H$3*'Alternative 1'!$B$39+(($N$82/3)*COS($K$83)))),($H59*'Alternative 1'!$B$39))))</f>
        <v>#VALUE!</v>
      </c>
      <c r="BP59" s="105" t="e">
        <f>BN59*'Alternative 1'!$K60/'Alternative 1'!$L60</f>
        <v>#VALUE!</v>
      </c>
      <c r="BQ59" s="105" t="e">
        <f>BO59/'Alternative 1'!$M60</f>
        <v>#VALUE!</v>
      </c>
      <c r="BR59" s="105" t="e">
        <f t="shared" si="10"/>
        <v>#VALUE!</v>
      </c>
      <c r="BT59" s="105" t="e">
        <f>'Alternative 1'!$B$39*$B59*$C59*COS($K$93)-($K$92/3)*$E59*SIN($K$93)-($K$92/3)*$F59*SIN($K$93)-($K$92/3)*$G59*SIN($K$93)</f>
        <v>#VALUE!</v>
      </c>
      <c r="BU59" s="106" t="e">
        <f>IF(($A59&lt;'Alternative 1'!$B$27),(($H59*'Alternative 1'!$B$39)+(3*($N$92/3)*COS($K$93))),IF(($A59&lt;'Alternative 1'!$B$28),(($H59*'Alternative 1'!$B$39)+(2*(($N$92/3)*COS($K$93)))),IF(($A59&lt;'Alternative 1'!$B$29),(($H$3*'Alternative 1'!$B$39+(($N$92/3)*COS($K$93)))),($H59*'Alternative 1'!$B$39))))</f>
        <v>#VALUE!</v>
      </c>
      <c r="BV59" s="105" t="e">
        <f>BT59*'Alternative 1'!$K60/'Alternative 1'!$L60</f>
        <v>#VALUE!</v>
      </c>
      <c r="BW59" s="105" t="e">
        <f>BU59/'Alternative 1'!$M60</f>
        <v>#VALUE!</v>
      </c>
      <c r="BX59" s="105" t="e">
        <f t="shared" si="11"/>
        <v>#VALUE!</v>
      </c>
      <c r="BZ59" s="104">
        <v>150</v>
      </c>
      <c r="CA59" s="104">
        <v>-150</v>
      </c>
    </row>
    <row r="60" spans="1:79" ht="15" customHeight="1" x14ac:dyDescent="0.25">
      <c r="A60" s="18" t="str">
        <f>IF('Alternative 1'!F61&gt;0,'Alternative 1'!F61,"x")</f>
        <v>x</v>
      </c>
      <c r="B60" s="18" t="e">
        <f t="shared" si="17"/>
        <v>#VALUE!</v>
      </c>
      <c r="C60" s="18">
        <f t="shared" si="12"/>
        <v>0</v>
      </c>
      <c r="D60" s="18" t="str">
        <f t="shared" si="13"/>
        <v>x</v>
      </c>
      <c r="E60" s="101">
        <f>IF($A60&lt;='Alternative 1'!$B$27, IF($A60='Alternative 1'!$B$27,0,E61+1),0)</f>
        <v>0</v>
      </c>
      <c r="F60" s="101">
        <f>IF($A60&lt;=('Alternative 1'!$B$28), IF($A60=ROUNDDOWN('Alternative 1'!$B$28,0),0,F61+1),0)</f>
        <v>0</v>
      </c>
      <c r="G60" s="101">
        <f>IF($A60&lt;=('Alternative 1'!$B$29), IF($A60=ROUNDDOWN('Alternative 1'!$B$29,0),0,G61+1),0)</f>
        <v>0</v>
      </c>
      <c r="H60" s="18" t="e">
        <f t="shared" si="14"/>
        <v>#VALUE!</v>
      </c>
      <c r="J60" s="104">
        <f t="shared" si="15"/>
        <v>57</v>
      </c>
      <c r="K60" s="104">
        <f t="shared" si="16"/>
        <v>0.99483767363676778</v>
      </c>
      <c r="L60" s="105">
        <f>'Alternative 1'!$B$27*SIN(K60)+'Alternative 1'!$B$28*SIN(K60)+'Alternative 1'!$B$29*SIN(K60)</f>
        <v>57.02959862028883</v>
      </c>
      <c r="M60" s="104">
        <f>(('Alternative 1'!$B$27)*(((('Alternative 1'!$B$28-'Alternative 1'!$B$27)/2)+'Alternative 1'!$B$27)*'Alternative 1'!$B$39)*COS('Alternative 1-Tilt Up (3pt)'!K60))+(('Alternative 1'!$B$28)*((('Alternative 1'!$B$28-'Alternative 1'!$B$27)/2)+(('Alternative 1'!$B$29-'Alternative 1'!$B$28)/2))*('Alternative 1'!$B$39)*COS('Alternative 1-Tilt Up (3pt)'!K60))+(('Alternative 1'!$B$29)*((('Alternative 1'!$B$12-'Alternative 1'!$B$29+(('Alternative 1'!$B$29-'Alternative 1'!$B$28)/2)*('Alternative 1'!$B$39)*COS('Alternative 1-Tilt Up (3pt)'!K60)))))</f>
        <v>2585007.1730644517</v>
      </c>
      <c r="N60" s="104">
        <f t="shared" si="0"/>
        <v>135982.39697998561</v>
      </c>
      <c r="O60" s="104">
        <f>(((('Alternative 1'!$B$28-'Alternative 1'!$B$27)/2)+'Alternative 1'!$B$27)*('Alternative 1'!$B$39)*COS('Alternative 1-Tilt Up (3pt)'!K60))+(((('Alternative 1'!$B$28-'Alternative 1'!$B$27)/2)+(('Alternative 1'!$B$29-'Alternative 1'!$B$28)/2))*('Alternative 1'!$B$39)*COS('Alternative 1-Tilt Up (3pt)'!K60))+(((('Alternative 1'!$B$12-'Alternative 1'!$B$29)+(('Alternative 1'!$B$29-'Alternative 1'!$B$28)/2))*('Alternative 1'!$B$39)*COS('Alternative 1-Tilt Up (3pt)'!K60)))</f>
        <v>166724.85054313653</v>
      </c>
      <c r="P60" s="104">
        <f t="shared" si="1"/>
        <v>74061.321470209718</v>
      </c>
      <c r="R60" s="105" t="e">
        <f>'Alternative 1'!$B$39*$B60*$C60*COS($K$5)-($N$5/3)*$E60*SIN($K$5)-($N$5/3)*$F60*SIN($K$5)-($N$5/3)*$G60*SIN($K$5)</f>
        <v>#VALUE!</v>
      </c>
      <c r="S60" s="106" t="e">
        <f>IF(($A60&lt;'Alternative 1'!$B$27),(($H60*'Alternative 1'!$B$39)+(3*($N$5/3)*COS($K$5))),IF(($A60&lt;'Alternative 1'!$B$28),(($H60*'Alternative 1'!$B$39)+(2*(($N$5/3)*COS($K$5)))),IF(($A60&lt;'Alternative 1'!$B$29),(($H$3*'Alternative 1'!$B$39+(($N$5/3)*COS($K$5)))),($H60*'Alternative 1'!$B$39))))</f>
        <v>#VALUE!</v>
      </c>
      <c r="T60" s="105" t="e">
        <f>R60*'Alternative 1'!$K61/'Alternative 1'!$L61</f>
        <v>#VALUE!</v>
      </c>
      <c r="U60" s="105" t="e">
        <f>S60/'Alternative 1'!$M61</f>
        <v>#VALUE!</v>
      </c>
      <c r="V60" s="105" t="e">
        <f t="shared" si="2"/>
        <v>#VALUE!</v>
      </c>
      <c r="X60" s="105" t="e">
        <f>'Alternative 1'!$B$39*$B60*$C60*COS($K$13)-($N$12/3)*$E60*SIN($K$13)-($N$12/3)*$F60*SIN($K$13)-($N$12/3)*$G60*SIN($K$13)</f>
        <v>#VALUE!</v>
      </c>
      <c r="Y60" s="106" t="e">
        <f>IF(($A60&lt;'Alternative 1'!$B$27),(($H60*'Alternative 1'!$B$39)+(3*($N$12/3)*COS($K$13))),IF(($A60&lt;'Alternative 1'!$B$28),(($H60*'Alternative 1'!$B$39)+(2*(($N$12/3)*COS($K$13)))),IF(($A60&lt;'Alternative 1'!$B$29),(($H$3*'Alternative 1'!$B$39+(($N$12/3)*COS($K$13)))),($H60*'Alternative 1'!$B$39))))</f>
        <v>#VALUE!</v>
      </c>
      <c r="Z60" s="105" t="e">
        <f>X60*'Alternative 1'!$K61/'Alternative 1'!$L61</f>
        <v>#VALUE!</v>
      </c>
      <c r="AA60" s="105" t="e">
        <f>Y60/'Alternative 1'!$M61</f>
        <v>#VALUE!</v>
      </c>
      <c r="AB60" s="105" t="e">
        <f t="shared" si="3"/>
        <v>#VALUE!</v>
      </c>
      <c r="AD60" s="105" t="e">
        <f>'Alternative 1'!$B$39*$B60*$C60*COS($K$23)-($N$22/3)*$E60*SIN($K$23)-($N$22/3)*$F60*SIN($K$23)-($N$22/3)*$G60*SIN($K$23)</f>
        <v>#VALUE!</v>
      </c>
      <c r="AE60" s="106" t="e">
        <f>IF(($A60&lt;'Alternative 1'!$B$27),(($H60*'Alternative 1'!$B$39)+(3*($N$22/3)*COS($K$23))),IF(($A60&lt;'Alternative 1'!$B$28),(($H60*'Alternative 1'!$B$39)+(2*(($N$22/3)*COS($K$23)))),IF(($A60&lt;'Alternative 1'!$B$29),(($H$3*'Alternative 1'!$B$39+(($N$22/3)*COS($K$23)))),($H60*'Alternative 1'!$B$39))))</f>
        <v>#VALUE!</v>
      </c>
      <c r="AF60" s="105" t="e">
        <f>AD60*'Alternative 1'!$K61/'Alternative 1'!$L61</f>
        <v>#VALUE!</v>
      </c>
      <c r="AG60" s="105" t="e">
        <f>AE60/'Alternative 1'!$M61</f>
        <v>#VALUE!</v>
      </c>
      <c r="AH60" s="105" t="e">
        <f t="shared" si="4"/>
        <v>#VALUE!</v>
      </c>
      <c r="AJ60" s="105" t="e">
        <f>'Alternative 1'!$B$39*$B60*$C60*COS($K$33)-($N$32/3)*$E60*SIN($K$33)-($N$32/3)*$F60*SIN($K$33)-($N$32/3)*$G60*SIN($K$33)</f>
        <v>#VALUE!</v>
      </c>
      <c r="AK60" s="106" t="e">
        <f>IF(($A60&lt;'Alternative 1'!$B$27),(($H60*'Alternative 1'!$B$39)+(3*($N$32/3)*COS($K$33))),IF(($A60&lt;'Alternative 1'!$B$28),(($H60*'Alternative 1'!$B$39)+(2*(($N$32/3)*COS($K$33)))),IF(($A60&lt;'Alternative 1'!$B$29),(($H$3*'Alternative 1'!$B$39+(($N$32/3)*COS($K$33)))),($H60*'Alternative 1'!$B$39))))</f>
        <v>#VALUE!</v>
      </c>
      <c r="AL60" s="105" t="e">
        <f>AJ60*'Alternative 1'!$K61/'Alternative 1'!$L61</f>
        <v>#VALUE!</v>
      </c>
      <c r="AM60" s="105" t="e">
        <f>AK60/'Alternative 1'!$M61</f>
        <v>#VALUE!</v>
      </c>
      <c r="AN60" s="105" t="e">
        <f t="shared" si="5"/>
        <v>#VALUE!</v>
      </c>
      <c r="AP60" s="105" t="e">
        <f>'Alternative 1'!$B$39*$B60*$C60*COS($K$43)-($N$42/3)*$E60*SIN($K$43)-($N$42/3)*$F60*SIN($K$43)-($N$42/3)*$G60*SIN($K$43)</f>
        <v>#VALUE!</v>
      </c>
      <c r="AQ60" s="106" t="e">
        <f>IF(($A60&lt;'Alternative 1'!$B$27),(($H60*'Alternative 1'!$B$39)+(3*($N$42/3)*COS($K$43))),IF(($A60&lt;'Alternative 1'!$B$28),(($H60*'Alternative 1'!$B$39)+(2*(($N$42/3)*COS($K$43)))),IF(($A60&lt;'Alternative 1'!$B$29),(($H$3*'Alternative 1'!$B$39+(($N$42/3)*COS($K$43)))),($H60*'Alternative 1'!$B$39))))</f>
        <v>#VALUE!</v>
      </c>
      <c r="AR60" s="105" t="e">
        <f>AP60*'Alternative 1'!$K61/'Alternative 1'!$L61</f>
        <v>#VALUE!</v>
      </c>
      <c r="AS60" s="105" t="e">
        <f>AQ60/'Alternative 1'!$M61</f>
        <v>#VALUE!</v>
      </c>
      <c r="AT60" s="105" t="e">
        <f t="shared" si="6"/>
        <v>#VALUE!</v>
      </c>
      <c r="AV60" s="105" t="e">
        <f>'Alternative 1'!$B$39*$B60*$C60*COS($K$53)-($N$52/3)*$E60*SIN($K$53)-($N$52/3)*$F60*SIN($K$53)-($N$52/3)*$G60*SIN($K$53)</f>
        <v>#VALUE!</v>
      </c>
      <c r="AW60" s="106" t="e">
        <f>IF(($A60&lt;'Alternative 1'!$B$27),(($H60*'Alternative 1'!$B$39)+(3*($N$52/3)*COS($K$53))),IF(($A60&lt;'Alternative 1'!$B$28),(($H60*'Alternative 1'!$B$39)+(2*(($N$52/3)*COS($K$53)))),IF(($A60&lt;'Alternative 1'!$B$29),(($H$3*'Alternative 1'!$B$39+(($N$52/3)*COS($K$53)))),($H60*'Alternative 1'!$B$39))))</f>
        <v>#VALUE!</v>
      </c>
      <c r="AX60" s="105" t="e">
        <f>AV60*'Alternative 1'!$K61/'Alternative 1'!$L61</f>
        <v>#VALUE!</v>
      </c>
      <c r="AY60" s="105" t="e">
        <f>AW60/'Alternative 1'!$M61</f>
        <v>#VALUE!</v>
      </c>
      <c r="AZ60" s="105" t="e">
        <f t="shared" si="7"/>
        <v>#VALUE!</v>
      </c>
      <c r="BB60" s="105" t="e">
        <f>'Alternative 1'!$B$39*$B60*$C60*COS($K$63)-($N$62/3)*$E60*SIN($K$63)-($N$62/3)*$F60*SIN($K$63)-($N$62/3)*$G60*SIN($K$63)</f>
        <v>#VALUE!</v>
      </c>
      <c r="BC60" s="106" t="e">
        <f>IF(($A60&lt;'Alternative 1'!$B$27),(($H60*'Alternative 1'!$B$39)+(3*($N$62/3)*COS($K$63))),IF(($A60&lt;'Alternative 1'!$B$28),(($H60*'Alternative 1'!$B$39)+(2*(($N$62/3)*COS($K$63)))),IF(($A60&lt;'Alternative 1'!$B$29),(($H$3*'Alternative 1'!$B$39+(($N$62/3)*COS($K$63)))),($H60*'Alternative 1'!$B$39))))</f>
        <v>#VALUE!</v>
      </c>
      <c r="BD60" s="105" t="e">
        <f>BB60*'Alternative 1'!$K61/'Alternative 1'!$L61</f>
        <v>#VALUE!</v>
      </c>
      <c r="BE60" s="105" t="e">
        <f>BC60/'Alternative 1'!$M61</f>
        <v>#VALUE!</v>
      </c>
      <c r="BF60" s="105" t="e">
        <f t="shared" si="8"/>
        <v>#VALUE!</v>
      </c>
      <c r="BH60" s="105" t="e">
        <f>'Alternative 1'!$B$39*$B60*$C60*COS($K$73)-($N$72/3)*$E60*SIN($K$73)-($N$72/3)*$F60*SIN($K$73)-($N$72/3)*$G60*SIN($K$73)</f>
        <v>#VALUE!</v>
      </c>
      <c r="BI60" s="106" t="e">
        <f>IF(($A60&lt;'Alternative 1'!$B$27),(($H60*'Alternative 1'!$B$39)+(3*($N$72/3)*COS($K$73))),IF(($A60&lt;'Alternative 1'!$B$28),(($H60*'Alternative 1'!$B$39)+(2*(($N$72/3)*COS($K$73)))),IF(($A60&lt;'Alternative 1'!$B$29),(($H$3*'Alternative 1'!$B$39+(($N$72/3)*COS($K$73)))),($H60*'Alternative 1'!$B$39))))</f>
        <v>#VALUE!</v>
      </c>
      <c r="BJ60" s="105" t="e">
        <f>BH60*'Alternative 1'!$K61/'Alternative 1'!$L61</f>
        <v>#VALUE!</v>
      </c>
      <c r="BK60" s="105" t="e">
        <f>BI60/'Alternative 1'!$M61</f>
        <v>#VALUE!</v>
      </c>
      <c r="BL60" s="105" t="e">
        <f t="shared" si="9"/>
        <v>#VALUE!</v>
      </c>
      <c r="BN60" s="105" t="e">
        <f>'Alternative 1'!$B$39*$B60*$C60*COS($K$83)-($N$82/3)*$E60*SIN($K$83)-($N$82/3)*$F60*SIN($K$83)-($N$82/3)*$G60*SIN($K$83)</f>
        <v>#VALUE!</v>
      </c>
      <c r="BO60" s="106" t="e">
        <f>IF(($A60&lt;'Alternative 1'!$B$27),(($H60*'Alternative 1'!$B$39)+(3*($N$82/3)*COS($K$83))),IF(($A60&lt;'Alternative 1'!$B$28),(($H60*'Alternative 1'!$B$39)+(2*(($N$82/3)*COS($K$83)))),IF(($A60&lt;'Alternative 1'!$B$29),(($H$3*'Alternative 1'!$B$39+(($N$82/3)*COS($K$83)))),($H60*'Alternative 1'!$B$39))))</f>
        <v>#VALUE!</v>
      </c>
      <c r="BP60" s="105" t="e">
        <f>BN60*'Alternative 1'!$K61/'Alternative 1'!$L61</f>
        <v>#VALUE!</v>
      </c>
      <c r="BQ60" s="105" t="e">
        <f>BO60/'Alternative 1'!$M61</f>
        <v>#VALUE!</v>
      </c>
      <c r="BR60" s="105" t="e">
        <f t="shared" si="10"/>
        <v>#VALUE!</v>
      </c>
      <c r="BT60" s="105" t="e">
        <f>'Alternative 1'!$B$39*$B60*$C60*COS($K$93)-($K$92/3)*$E60*SIN($K$93)-($K$92/3)*$F60*SIN($K$93)-($K$92/3)*$G60*SIN($K$93)</f>
        <v>#VALUE!</v>
      </c>
      <c r="BU60" s="106" t="e">
        <f>IF(($A60&lt;'Alternative 1'!$B$27),(($H60*'Alternative 1'!$B$39)+(3*($N$92/3)*COS($K$93))),IF(($A60&lt;'Alternative 1'!$B$28),(($H60*'Alternative 1'!$B$39)+(2*(($N$92/3)*COS($K$93)))),IF(($A60&lt;'Alternative 1'!$B$29),(($H$3*'Alternative 1'!$B$39+(($N$92/3)*COS($K$93)))),($H60*'Alternative 1'!$B$39))))</f>
        <v>#VALUE!</v>
      </c>
      <c r="BV60" s="105" t="e">
        <f>BT60*'Alternative 1'!$K61/'Alternative 1'!$L61</f>
        <v>#VALUE!</v>
      </c>
      <c r="BW60" s="105" t="e">
        <f>BU60/'Alternative 1'!$M61</f>
        <v>#VALUE!</v>
      </c>
      <c r="BX60" s="105" t="e">
        <f t="shared" si="11"/>
        <v>#VALUE!</v>
      </c>
      <c r="BZ60" s="104">
        <v>150</v>
      </c>
      <c r="CA60" s="104">
        <v>-150</v>
      </c>
    </row>
    <row r="61" spans="1:79" ht="15" customHeight="1" x14ac:dyDescent="0.25">
      <c r="A61" s="18" t="str">
        <f>IF('Alternative 1'!F62&gt;0,'Alternative 1'!F62,"x")</f>
        <v>x</v>
      </c>
      <c r="B61" s="18" t="e">
        <f t="shared" si="17"/>
        <v>#VALUE!</v>
      </c>
      <c r="C61" s="18">
        <f t="shared" si="12"/>
        <v>0</v>
      </c>
      <c r="D61" s="18" t="str">
        <f t="shared" si="13"/>
        <v>x</v>
      </c>
      <c r="E61" s="101">
        <f>IF($A61&lt;='Alternative 1'!$B$27, IF($A61='Alternative 1'!$B$27,0,E62+1),0)</f>
        <v>0</v>
      </c>
      <c r="F61" s="101">
        <f>IF($A61&lt;=('Alternative 1'!$B$28), IF($A61=ROUNDDOWN('Alternative 1'!$B$28,0),0,F62+1),0)</f>
        <v>0</v>
      </c>
      <c r="G61" s="101">
        <f>IF($A61&lt;=('Alternative 1'!$B$29), IF($A61=ROUNDDOWN('Alternative 1'!$B$29,0),0,G62+1),0)</f>
        <v>0</v>
      </c>
      <c r="H61" s="18" t="e">
        <f t="shared" si="14"/>
        <v>#VALUE!</v>
      </c>
      <c r="J61" s="104">
        <f t="shared" si="15"/>
        <v>58</v>
      </c>
      <c r="K61" s="104">
        <f t="shared" si="16"/>
        <v>1.0122909661567112</v>
      </c>
      <c r="L61" s="105">
        <f>'Alternative 1'!$B$27*SIN(K61)+'Alternative 1'!$B$28*SIN(K61)+'Alternative 1'!$B$29*SIN(K61)</f>
        <v>57.667270538636963</v>
      </c>
      <c r="M61" s="104">
        <f>(('Alternative 1'!$B$27)*(((('Alternative 1'!$B$28-'Alternative 1'!$B$27)/2)+'Alternative 1'!$B$27)*'Alternative 1'!$B$39)*COS('Alternative 1-Tilt Up (3pt)'!K61))+(('Alternative 1'!$B$28)*((('Alternative 1'!$B$28-'Alternative 1'!$B$27)/2)+(('Alternative 1'!$B$29-'Alternative 1'!$B$28)/2))*('Alternative 1'!$B$39)*COS('Alternative 1-Tilt Up (3pt)'!K61))+(('Alternative 1'!$B$29)*((('Alternative 1'!$B$12-'Alternative 1'!$B$29+(('Alternative 1'!$B$29-'Alternative 1'!$B$28)/2)*('Alternative 1'!$B$39)*COS('Alternative 1-Tilt Up (3pt)'!K61)))))</f>
        <v>2515148.3657336924</v>
      </c>
      <c r="N61" s="104">
        <f t="shared" si="0"/>
        <v>130844.49856432244</v>
      </c>
      <c r="O61" s="104">
        <f>(((('Alternative 1'!$B$28-'Alternative 1'!$B$27)/2)+'Alternative 1'!$B$27)*('Alternative 1'!$B$39)*COS('Alternative 1-Tilt Up (3pt)'!K61))+(((('Alternative 1'!$B$28-'Alternative 1'!$B$27)/2)+(('Alternative 1'!$B$29-'Alternative 1'!$B$28)/2))*('Alternative 1'!$B$39)*COS('Alternative 1-Tilt Up (3pt)'!K61))+(((('Alternative 1'!$B$12-'Alternative 1'!$B$29)+(('Alternative 1'!$B$29-'Alternative 1'!$B$28)/2))*('Alternative 1'!$B$39)*COS('Alternative 1-Tilt Up (3pt)'!K61)))</f>
        <v>162218.83568586351</v>
      </c>
      <c r="P61" s="104">
        <f t="shared" si="1"/>
        <v>69337.020408168377</v>
      </c>
      <c r="R61" s="105" t="e">
        <f>'Alternative 1'!$B$39*$B61*$C61*COS($K$5)-($N$5/3)*$E61*SIN($K$5)-($N$5/3)*$F61*SIN($K$5)-($N$5/3)*$G61*SIN($K$5)</f>
        <v>#VALUE!</v>
      </c>
      <c r="S61" s="106" t="e">
        <f>IF(($A61&lt;'Alternative 1'!$B$27),(($H61*'Alternative 1'!$B$39)+(3*($N$5/3)*COS($K$5))),IF(($A61&lt;'Alternative 1'!$B$28),(($H61*'Alternative 1'!$B$39)+(2*(($N$5/3)*COS($K$5)))),IF(($A61&lt;'Alternative 1'!$B$29),(($H$3*'Alternative 1'!$B$39+(($N$5/3)*COS($K$5)))),($H61*'Alternative 1'!$B$39))))</f>
        <v>#VALUE!</v>
      </c>
      <c r="T61" s="105" t="e">
        <f>R61*'Alternative 1'!$K62/'Alternative 1'!$L62</f>
        <v>#VALUE!</v>
      </c>
      <c r="U61" s="105" t="e">
        <f>S61/'Alternative 1'!$M62</f>
        <v>#VALUE!</v>
      </c>
      <c r="V61" s="105" t="e">
        <f t="shared" si="2"/>
        <v>#VALUE!</v>
      </c>
      <c r="X61" s="105" t="e">
        <f>'Alternative 1'!$B$39*$B61*$C61*COS($K$13)-($N$12/3)*$E61*SIN($K$13)-($N$12/3)*$F61*SIN($K$13)-($N$12/3)*$G61*SIN($K$13)</f>
        <v>#VALUE!</v>
      </c>
      <c r="Y61" s="106" t="e">
        <f>IF(($A61&lt;'Alternative 1'!$B$27),(($H61*'Alternative 1'!$B$39)+(3*($N$12/3)*COS($K$13))),IF(($A61&lt;'Alternative 1'!$B$28),(($H61*'Alternative 1'!$B$39)+(2*(($N$12/3)*COS($K$13)))),IF(($A61&lt;'Alternative 1'!$B$29),(($H$3*'Alternative 1'!$B$39+(($N$12/3)*COS($K$13)))),($H61*'Alternative 1'!$B$39))))</f>
        <v>#VALUE!</v>
      </c>
      <c r="Z61" s="105" t="e">
        <f>X61*'Alternative 1'!$K62/'Alternative 1'!$L62</f>
        <v>#VALUE!</v>
      </c>
      <c r="AA61" s="105" t="e">
        <f>Y61/'Alternative 1'!$M62</f>
        <v>#VALUE!</v>
      </c>
      <c r="AB61" s="105" t="e">
        <f t="shared" si="3"/>
        <v>#VALUE!</v>
      </c>
      <c r="AD61" s="105" t="e">
        <f>'Alternative 1'!$B$39*$B61*$C61*COS($K$23)-($N$22/3)*$E61*SIN($K$23)-($N$22/3)*$F61*SIN($K$23)-($N$22/3)*$G61*SIN($K$23)</f>
        <v>#VALUE!</v>
      </c>
      <c r="AE61" s="106" t="e">
        <f>IF(($A61&lt;'Alternative 1'!$B$27),(($H61*'Alternative 1'!$B$39)+(3*($N$22/3)*COS($K$23))),IF(($A61&lt;'Alternative 1'!$B$28),(($H61*'Alternative 1'!$B$39)+(2*(($N$22/3)*COS($K$23)))),IF(($A61&lt;'Alternative 1'!$B$29),(($H$3*'Alternative 1'!$B$39+(($N$22/3)*COS($K$23)))),($H61*'Alternative 1'!$B$39))))</f>
        <v>#VALUE!</v>
      </c>
      <c r="AF61" s="105" t="e">
        <f>AD61*'Alternative 1'!$K62/'Alternative 1'!$L62</f>
        <v>#VALUE!</v>
      </c>
      <c r="AG61" s="105" t="e">
        <f>AE61/'Alternative 1'!$M62</f>
        <v>#VALUE!</v>
      </c>
      <c r="AH61" s="105" t="e">
        <f t="shared" si="4"/>
        <v>#VALUE!</v>
      </c>
      <c r="AJ61" s="105" t="e">
        <f>'Alternative 1'!$B$39*$B61*$C61*COS($K$33)-($N$32/3)*$E61*SIN($K$33)-($N$32/3)*$F61*SIN($K$33)-($N$32/3)*$G61*SIN($K$33)</f>
        <v>#VALUE!</v>
      </c>
      <c r="AK61" s="106" t="e">
        <f>IF(($A61&lt;'Alternative 1'!$B$27),(($H61*'Alternative 1'!$B$39)+(3*($N$32/3)*COS($K$33))),IF(($A61&lt;'Alternative 1'!$B$28),(($H61*'Alternative 1'!$B$39)+(2*(($N$32/3)*COS($K$33)))),IF(($A61&lt;'Alternative 1'!$B$29),(($H$3*'Alternative 1'!$B$39+(($N$32/3)*COS($K$33)))),($H61*'Alternative 1'!$B$39))))</f>
        <v>#VALUE!</v>
      </c>
      <c r="AL61" s="105" t="e">
        <f>AJ61*'Alternative 1'!$K62/'Alternative 1'!$L62</f>
        <v>#VALUE!</v>
      </c>
      <c r="AM61" s="105" t="e">
        <f>AK61/'Alternative 1'!$M62</f>
        <v>#VALUE!</v>
      </c>
      <c r="AN61" s="105" t="e">
        <f t="shared" si="5"/>
        <v>#VALUE!</v>
      </c>
      <c r="AP61" s="105" t="e">
        <f>'Alternative 1'!$B$39*$B61*$C61*COS($K$43)-($N$42/3)*$E61*SIN($K$43)-($N$42/3)*$F61*SIN($K$43)-($N$42/3)*$G61*SIN($K$43)</f>
        <v>#VALUE!</v>
      </c>
      <c r="AQ61" s="106" t="e">
        <f>IF(($A61&lt;'Alternative 1'!$B$27),(($H61*'Alternative 1'!$B$39)+(3*($N$42/3)*COS($K$43))),IF(($A61&lt;'Alternative 1'!$B$28),(($H61*'Alternative 1'!$B$39)+(2*(($N$42/3)*COS($K$43)))),IF(($A61&lt;'Alternative 1'!$B$29),(($H$3*'Alternative 1'!$B$39+(($N$42/3)*COS($K$43)))),($H61*'Alternative 1'!$B$39))))</f>
        <v>#VALUE!</v>
      </c>
      <c r="AR61" s="105" t="e">
        <f>AP61*'Alternative 1'!$K62/'Alternative 1'!$L62</f>
        <v>#VALUE!</v>
      </c>
      <c r="AS61" s="105" t="e">
        <f>AQ61/'Alternative 1'!$M62</f>
        <v>#VALUE!</v>
      </c>
      <c r="AT61" s="105" t="e">
        <f t="shared" si="6"/>
        <v>#VALUE!</v>
      </c>
      <c r="AV61" s="105" t="e">
        <f>'Alternative 1'!$B$39*$B61*$C61*COS($K$53)-($N$52/3)*$E61*SIN($K$53)-($N$52/3)*$F61*SIN($K$53)-($N$52/3)*$G61*SIN($K$53)</f>
        <v>#VALUE!</v>
      </c>
      <c r="AW61" s="106" t="e">
        <f>IF(($A61&lt;'Alternative 1'!$B$27),(($H61*'Alternative 1'!$B$39)+(3*($N$52/3)*COS($K$53))),IF(($A61&lt;'Alternative 1'!$B$28),(($H61*'Alternative 1'!$B$39)+(2*(($N$52/3)*COS($K$53)))),IF(($A61&lt;'Alternative 1'!$B$29),(($H$3*'Alternative 1'!$B$39+(($N$52/3)*COS($K$53)))),($H61*'Alternative 1'!$B$39))))</f>
        <v>#VALUE!</v>
      </c>
      <c r="AX61" s="105" t="e">
        <f>AV61*'Alternative 1'!$K62/'Alternative 1'!$L62</f>
        <v>#VALUE!</v>
      </c>
      <c r="AY61" s="105" t="e">
        <f>AW61/'Alternative 1'!$M62</f>
        <v>#VALUE!</v>
      </c>
      <c r="AZ61" s="105" t="e">
        <f t="shared" si="7"/>
        <v>#VALUE!</v>
      </c>
      <c r="BB61" s="105" t="e">
        <f>'Alternative 1'!$B$39*$B61*$C61*COS($K$63)-($N$62/3)*$E61*SIN($K$63)-($N$62/3)*$F61*SIN($K$63)-($N$62/3)*$G61*SIN($K$63)</f>
        <v>#VALUE!</v>
      </c>
      <c r="BC61" s="106" t="e">
        <f>IF(($A61&lt;'Alternative 1'!$B$27),(($H61*'Alternative 1'!$B$39)+(3*($N$62/3)*COS($K$63))),IF(($A61&lt;'Alternative 1'!$B$28),(($H61*'Alternative 1'!$B$39)+(2*(($N$62/3)*COS($K$63)))),IF(($A61&lt;'Alternative 1'!$B$29),(($H$3*'Alternative 1'!$B$39+(($N$62/3)*COS($K$63)))),($H61*'Alternative 1'!$B$39))))</f>
        <v>#VALUE!</v>
      </c>
      <c r="BD61" s="105" t="e">
        <f>BB61*'Alternative 1'!$K62/'Alternative 1'!$L62</f>
        <v>#VALUE!</v>
      </c>
      <c r="BE61" s="105" t="e">
        <f>BC61/'Alternative 1'!$M62</f>
        <v>#VALUE!</v>
      </c>
      <c r="BF61" s="105" t="e">
        <f t="shared" si="8"/>
        <v>#VALUE!</v>
      </c>
      <c r="BH61" s="105" t="e">
        <f>'Alternative 1'!$B$39*$B61*$C61*COS($K$73)-($N$72/3)*$E61*SIN($K$73)-($N$72/3)*$F61*SIN($K$73)-($N$72/3)*$G61*SIN($K$73)</f>
        <v>#VALUE!</v>
      </c>
      <c r="BI61" s="106" t="e">
        <f>IF(($A61&lt;'Alternative 1'!$B$27),(($H61*'Alternative 1'!$B$39)+(3*($N$72/3)*COS($K$73))),IF(($A61&lt;'Alternative 1'!$B$28),(($H61*'Alternative 1'!$B$39)+(2*(($N$72/3)*COS($K$73)))),IF(($A61&lt;'Alternative 1'!$B$29),(($H$3*'Alternative 1'!$B$39+(($N$72/3)*COS($K$73)))),($H61*'Alternative 1'!$B$39))))</f>
        <v>#VALUE!</v>
      </c>
      <c r="BJ61" s="105" t="e">
        <f>BH61*'Alternative 1'!$K62/'Alternative 1'!$L62</f>
        <v>#VALUE!</v>
      </c>
      <c r="BK61" s="105" t="e">
        <f>BI61/'Alternative 1'!$M62</f>
        <v>#VALUE!</v>
      </c>
      <c r="BL61" s="105" t="e">
        <f t="shared" si="9"/>
        <v>#VALUE!</v>
      </c>
      <c r="BN61" s="105" t="e">
        <f>'Alternative 1'!$B$39*$B61*$C61*COS($K$83)-($N$82/3)*$E61*SIN($K$83)-($N$82/3)*$F61*SIN($K$83)-($N$82/3)*$G61*SIN($K$83)</f>
        <v>#VALUE!</v>
      </c>
      <c r="BO61" s="106" t="e">
        <f>IF(($A61&lt;'Alternative 1'!$B$27),(($H61*'Alternative 1'!$B$39)+(3*($N$82/3)*COS($K$83))),IF(($A61&lt;'Alternative 1'!$B$28),(($H61*'Alternative 1'!$B$39)+(2*(($N$82/3)*COS($K$83)))),IF(($A61&lt;'Alternative 1'!$B$29),(($H$3*'Alternative 1'!$B$39+(($N$82/3)*COS($K$83)))),($H61*'Alternative 1'!$B$39))))</f>
        <v>#VALUE!</v>
      </c>
      <c r="BP61" s="105" t="e">
        <f>BN61*'Alternative 1'!$K62/'Alternative 1'!$L62</f>
        <v>#VALUE!</v>
      </c>
      <c r="BQ61" s="105" t="e">
        <f>BO61/'Alternative 1'!$M62</f>
        <v>#VALUE!</v>
      </c>
      <c r="BR61" s="105" t="e">
        <f t="shared" si="10"/>
        <v>#VALUE!</v>
      </c>
      <c r="BT61" s="105" t="e">
        <f>'Alternative 1'!$B$39*$B61*$C61*COS($K$93)-($K$92/3)*$E61*SIN($K$93)-($K$92/3)*$F61*SIN($K$93)-($K$92/3)*$G61*SIN($K$93)</f>
        <v>#VALUE!</v>
      </c>
      <c r="BU61" s="106" t="e">
        <f>IF(($A61&lt;'Alternative 1'!$B$27),(($H61*'Alternative 1'!$B$39)+(3*($N$92/3)*COS($K$93))),IF(($A61&lt;'Alternative 1'!$B$28),(($H61*'Alternative 1'!$B$39)+(2*(($N$92/3)*COS($K$93)))),IF(($A61&lt;'Alternative 1'!$B$29),(($H$3*'Alternative 1'!$B$39+(($N$92/3)*COS($K$93)))),($H61*'Alternative 1'!$B$39))))</f>
        <v>#VALUE!</v>
      </c>
      <c r="BV61" s="105" t="e">
        <f>BT61*'Alternative 1'!$K62/'Alternative 1'!$L62</f>
        <v>#VALUE!</v>
      </c>
      <c r="BW61" s="105" t="e">
        <f>BU61/'Alternative 1'!$M62</f>
        <v>#VALUE!</v>
      </c>
      <c r="BX61" s="105" t="e">
        <f t="shared" si="11"/>
        <v>#VALUE!</v>
      </c>
      <c r="BZ61" s="104">
        <v>150</v>
      </c>
      <c r="CA61" s="104">
        <v>-150</v>
      </c>
    </row>
    <row r="62" spans="1:79" ht="15" customHeight="1" x14ac:dyDescent="0.25">
      <c r="A62" s="18" t="str">
        <f>IF('Alternative 1'!F63&gt;0,'Alternative 1'!F63,"x")</f>
        <v>x</v>
      </c>
      <c r="B62" s="18" t="e">
        <f t="shared" si="17"/>
        <v>#VALUE!</v>
      </c>
      <c r="C62" s="18">
        <f t="shared" si="12"/>
        <v>0</v>
      </c>
      <c r="D62" s="18" t="str">
        <f t="shared" si="13"/>
        <v>x</v>
      </c>
      <c r="E62" s="101">
        <f>IF($A62&lt;='Alternative 1'!$B$27, IF($A62='Alternative 1'!$B$27,0,E63+1),0)</f>
        <v>0</v>
      </c>
      <c r="F62" s="101">
        <f>IF($A62&lt;=('Alternative 1'!$B$28), IF($A62=ROUNDDOWN('Alternative 1'!$B$28,0),0,F63+1),0)</f>
        <v>0</v>
      </c>
      <c r="G62" s="101">
        <f>IF($A62&lt;=('Alternative 1'!$B$29), IF($A62=ROUNDDOWN('Alternative 1'!$B$29,0),0,G63+1),0)</f>
        <v>0</v>
      </c>
      <c r="H62" s="18" t="e">
        <f t="shared" si="14"/>
        <v>#VALUE!</v>
      </c>
      <c r="J62" s="104">
        <f t="shared" si="15"/>
        <v>59</v>
      </c>
      <c r="K62" s="104">
        <f t="shared" si="16"/>
        <v>1.0297442586766543</v>
      </c>
      <c r="L62" s="105">
        <f>'Alternative 1'!$B$27*SIN(K62)+'Alternative 1'!$B$28*SIN(K62)+'Alternative 1'!$B$29*SIN(K62)</f>
        <v>58.287376447743625</v>
      </c>
      <c r="M62" s="104">
        <f>(('Alternative 1'!$B$27)*(((('Alternative 1'!$B$28-'Alternative 1'!$B$27)/2)+'Alternative 1'!$B$27)*'Alternative 1'!$B$39)*COS('Alternative 1-Tilt Up (3pt)'!K62))+(('Alternative 1'!$B$28)*((('Alternative 1'!$B$28-'Alternative 1'!$B$27)/2)+(('Alternative 1'!$B$29-'Alternative 1'!$B$28)/2))*('Alternative 1'!$B$39)*COS('Alternative 1-Tilt Up (3pt)'!K62))+(('Alternative 1'!$B$29)*((('Alternative 1'!$B$12-'Alternative 1'!$B$29+(('Alternative 1'!$B$29-'Alternative 1'!$B$28)/2)*('Alternative 1'!$B$39)*COS('Alternative 1-Tilt Up (3pt)'!K62)))))</f>
        <v>2444523.4794370718</v>
      </c>
      <c r="N62" s="109">
        <f t="shared" si="0"/>
        <v>125817.47344360199</v>
      </c>
      <c r="O62" s="104">
        <f>(((('Alternative 1'!$B$28-'Alternative 1'!$B$27)/2)+'Alternative 1'!$B$27)*('Alternative 1'!$B$39)*COS('Alternative 1-Tilt Up (3pt)'!K62))+(((('Alternative 1'!$B$28-'Alternative 1'!$B$27)/2)+(('Alternative 1'!$B$29-'Alternative 1'!$B$28)/2))*('Alternative 1'!$B$39)*COS('Alternative 1-Tilt Up (3pt)'!K62))+(((('Alternative 1'!$B$12-'Alternative 1'!$B$29)+(('Alternative 1'!$B$29-'Alternative 1'!$B$28)/2))*('Alternative 1'!$B$39)*COS('Alternative 1-Tilt Up (3pt)'!K62)))</f>
        <v>157663.40739979155</v>
      </c>
      <c r="P62" s="104">
        <f t="shared" si="1"/>
        <v>64800.789312439658</v>
      </c>
      <c r="R62" s="105" t="e">
        <f>'Alternative 1'!$B$39*$B62*$C62*COS($K$5)-($N$5/3)*$E62*SIN($K$5)-($N$5/3)*$F62*SIN($K$5)-($N$5/3)*$G62*SIN($K$5)</f>
        <v>#VALUE!</v>
      </c>
      <c r="S62" s="106" t="e">
        <f>IF(($A62&lt;'Alternative 1'!$B$27),(($H62*'Alternative 1'!$B$39)+(3*($N$5/3)*COS($K$5))),IF(($A62&lt;'Alternative 1'!$B$28),(($H62*'Alternative 1'!$B$39)+(2*(($N$5/3)*COS($K$5)))),IF(($A62&lt;'Alternative 1'!$B$29),(($H$3*'Alternative 1'!$B$39+(($N$5/3)*COS($K$5)))),($H62*'Alternative 1'!$B$39))))</f>
        <v>#VALUE!</v>
      </c>
      <c r="T62" s="105" t="e">
        <f>R62*'Alternative 1'!$K63/'Alternative 1'!$L63</f>
        <v>#VALUE!</v>
      </c>
      <c r="U62" s="105" t="e">
        <f>S62/'Alternative 1'!$M63</f>
        <v>#VALUE!</v>
      </c>
      <c r="V62" s="105" t="e">
        <f t="shared" si="2"/>
        <v>#VALUE!</v>
      </c>
      <c r="X62" s="105" t="e">
        <f>'Alternative 1'!$B$39*$B62*$C62*COS($K$13)-($N$12/3)*$E62*SIN($K$13)-($N$12/3)*$F62*SIN($K$13)-($N$12/3)*$G62*SIN($K$13)</f>
        <v>#VALUE!</v>
      </c>
      <c r="Y62" s="106" t="e">
        <f>IF(($A62&lt;'Alternative 1'!$B$27),(($H62*'Alternative 1'!$B$39)+(3*($N$12/3)*COS($K$13))),IF(($A62&lt;'Alternative 1'!$B$28),(($H62*'Alternative 1'!$B$39)+(2*(($N$12/3)*COS($K$13)))),IF(($A62&lt;'Alternative 1'!$B$29),(($H$3*'Alternative 1'!$B$39+(($N$12/3)*COS($K$13)))),($H62*'Alternative 1'!$B$39))))</f>
        <v>#VALUE!</v>
      </c>
      <c r="Z62" s="105" t="e">
        <f>X62*'Alternative 1'!$K63/'Alternative 1'!$L63</f>
        <v>#VALUE!</v>
      </c>
      <c r="AA62" s="105" t="e">
        <f>Y62/'Alternative 1'!$M63</f>
        <v>#VALUE!</v>
      </c>
      <c r="AB62" s="105" t="e">
        <f t="shared" si="3"/>
        <v>#VALUE!</v>
      </c>
      <c r="AD62" s="105" t="e">
        <f>'Alternative 1'!$B$39*$B62*$C62*COS($K$23)-($N$22/3)*$E62*SIN($K$23)-($N$22/3)*$F62*SIN($K$23)-($N$22/3)*$G62*SIN($K$23)</f>
        <v>#VALUE!</v>
      </c>
      <c r="AE62" s="106" t="e">
        <f>IF(($A62&lt;'Alternative 1'!$B$27),(($H62*'Alternative 1'!$B$39)+(3*($N$22/3)*COS($K$23))),IF(($A62&lt;'Alternative 1'!$B$28),(($H62*'Alternative 1'!$B$39)+(2*(($N$22/3)*COS($K$23)))),IF(($A62&lt;'Alternative 1'!$B$29),(($H$3*'Alternative 1'!$B$39+(($N$22/3)*COS($K$23)))),($H62*'Alternative 1'!$B$39))))</f>
        <v>#VALUE!</v>
      </c>
      <c r="AF62" s="105" t="e">
        <f>AD62*'Alternative 1'!$K63/'Alternative 1'!$L63</f>
        <v>#VALUE!</v>
      </c>
      <c r="AG62" s="105" t="e">
        <f>AE62/'Alternative 1'!$M63</f>
        <v>#VALUE!</v>
      </c>
      <c r="AH62" s="105" t="e">
        <f t="shared" si="4"/>
        <v>#VALUE!</v>
      </c>
      <c r="AJ62" s="105" t="e">
        <f>'Alternative 1'!$B$39*$B62*$C62*COS($K$33)-($N$32/3)*$E62*SIN($K$33)-($N$32/3)*$F62*SIN($K$33)-($N$32/3)*$G62*SIN($K$33)</f>
        <v>#VALUE!</v>
      </c>
      <c r="AK62" s="106" t="e">
        <f>IF(($A62&lt;'Alternative 1'!$B$27),(($H62*'Alternative 1'!$B$39)+(3*($N$32/3)*COS($K$33))),IF(($A62&lt;'Alternative 1'!$B$28),(($H62*'Alternative 1'!$B$39)+(2*(($N$32/3)*COS($K$33)))),IF(($A62&lt;'Alternative 1'!$B$29),(($H$3*'Alternative 1'!$B$39+(($N$32/3)*COS($K$33)))),($H62*'Alternative 1'!$B$39))))</f>
        <v>#VALUE!</v>
      </c>
      <c r="AL62" s="105" t="e">
        <f>AJ62*'Alternative 1'!$K63/'Alternative 1'!$L63</f>
        <v>#VALUE!</v>
      </c>
      <c r="AM62" s="105" t="e">
        <f>AK62/'Alternative 1'!$M63</f>
        <v>#VALUE!</v>
      </c>
      <c r="AN62" s="105" t="e">
        <f t="shared" si="5"/>
        <v>#VALUE!</v>
      </c>
      <c r="AP62" s="105" t="e">
        <f>'Alternative 1'!$B$39*$B62*$C62*COS($K$43)-($N$42/3)*$E62*SIN($K$43)-($N$42/3)*$F62*SIN($K$43)-($N$42/3)*$G62*SIN($K$43)</f>
        <v>#VALUE!</v>
      </c>
      <c r="AQ62" s="106" t="e">
        <f>IF(($A62&lt;'Alternative 1'!$B$27),(($H62*'Alternative 1'!$B$39)+(3*($N$42/3)*COS($K$43))),IF(($A62&lt;'Alternative 1'!$B$28),(($H62*'Alternative 1'!$B$39)+(2*(($N$42/3)*COS($K$43)))),IF(($A62&lt;'Alternative 1'!$B$29),(($H$3*'Alternative 1'!$B$39+(($N$42/3)*COS($K$43)))),($H62*'Alternative 1'!$B$39))))</f>
        <v>#VALUE!</v>
      </c>
      <c r="AR62" s="105" t="e">
        <f>AP62*'Alternative 1'!$K63/'Alternative 1'!$L63</f>
        <v>#VALUE!</v>
      </c>
      <c r="AS62" s="105" t="e">
        <f>AQ62/'Alternative 1'!$M63</f>
        <v>#VALUE!</v>
      </c>
      <c r="AT62" s="105" t="e">
        <f t="shared" si="6"/>
        <v>#VALUE!</v>
      </c>
      <c r="AV62" s="105" t="e">
        <f>'Alternative 1'!$B$39*$B62*$C62*COS($K$53)-($N$52/3)*$E62*SIN($K$53)-($N$52/3)*$F62*SIN($K$53)-($N$52/3)*$G62*SIN($K$53)</f>
        <v>#VALUE!</v>
      </c>
      <c r="AW62" s="106" t="e">
        <f>IF(($A62&lt;'Alternative 1'!$B$27),(($H62*'Alternative 1'!$B$39)+(3*($N$52/3)*COS($K$53))),IF(($A62&lt;'Alternative 1'!$B$28),(($H62*'Alternative 1'!$B$39)+(2*(($N$52/3)*COS($K$53)))),IF(($A62&lt;'Alternative 1'!$B$29),(($H$3*'Alternative 1'!$B$39+(($N$52/3)*COS($K$53)))),($H62*'Alternative 1'!$B$39))))</f>
        <v>#VALUE!</v>
      </c>
      <c r="AX62" s="105" t="e">
        <f>AV62*'Alternative 1'!$K63/'Alternative 1'!$L63</f>
        <v>#VALUE!</v>
      </c>
      <c r="AY62" s="105" t="e">
        <f>AW62/'Alternative 1'!$M63</f>
        <v>#VALUE!</v>
      </c>
      <c r="AZ62" s="105" t="e">
        <f t="shared" si="7"/>
        <v>#VALUE!</v>
      </c>
      <c r="BB62" s="105" t="e">
        <f>'Alternative 1'!$B$39*$B62*$C62*COS($K$63)-($N$62/3)*$E62*SIN($K$63)-($N$62/3)*$F62*SIN($K$63)-($N$62/3)*$G62*SIN($K$63)</f>
        <v>#VALUE!</v>
      </c>
      <c r="BC62" s="106" t="e">
        <f>IF(($A62&lt;'Alternative 1'!$B$27),(($H62*'Alternative 1'!$B$39)+(3*($N$62/3)*COS($K$63))),IF(($A62&lt;'Alternative 1'!$B$28),(($H62*'Alternative 1'!$B$39)+(2*(($N$62/3)*COS($K$63)))),IF(($A62&lt;'Alternative 1'!$B$29),(($H$3*'Alternative 1'!$B$39+(($N$62/3)*COS($K$63)))),($H62*'Alternative 1'!$B$39))))</f>
        <v>#VALUE!</v>
      </c>
      <c r="BD62" s="105" t="e">
        <f>BB62*'Alternative 1'!$K63/'Alternative 1'!$L63</f>
        <v>#VALUE!</v>
      </c>
      <c r="BE62" s="105" t="e">
        <f>BC62/'Alternative 1'!$M63</f>
        <v>#VALUE!</v>
      </c>
      <c r="BF62" s="105" t="e">
        <f t="shared" si="8"/>
        <v>#VALUE!</v>
      </c>
      <c r="BH62" s="105" t="e">
        <f>'Alternative 1'!$B$39*$B62*$C62*COS($K$73)-($N$72/3)*$E62*SIN($K$73)-($N$72/3)*$F62*SIN($K$73)-($N$72/3)*$G62*SIN($K$73)</f>
        <v>#VALUE!</v>
      </c>
      <c r="BI62" s="106" t="e">
        <f>IF(($A62&lt;'Alternative 1'!$B$27),(($H62*'Alternative 1'!$B$39)+(3*($N$72/3)*COS($K$73))),IF(($A62&lt;'Alternative 1'!$B$28),(($H62*'Alternative 1'!$B$39)+(2*(($N$72/3)*COS($K$73)))),IF(($A62&lt;'Alternative 1'!$B$29),(($H$3*'Alternative 1'!$B$39+(($N$72/3)*COS($K$73)))),($H62*'Alternative 1'!$B$39))))</f>
        <v>#VALUE!</v>
      </c>
      <c r="BJ62" s="105" t="e">
        <f>BH62*'Alternative 1'!$K63/'Alternative 1'!$L63</f>
        <v>#VALUE!</v>
      </c>
      <c r="BK62" s="105" t="e">
        <f>BI62/'Alternative 1'!$M63</f>
        <v>#VALUE!</v>
      </c>
      <c r="BL62" s="105" t="e">
        <f t="shared" si="9"/>
        <v>#VALUE!</v>
      </c>
      <c r="BN62" s="105" t="e">
        <f>'Alternative 1'!$B$39*$B62*$C62*COS($K$83)-($N$82/3)*$E62*SIN($K$83)-($N$82/3)*$F62*SIN($K$83)-($N$82/3)*$G62*SIN($K$83)</f>
        <v>#VALUE!</v>
      </c>
      <c r="BO62" s="106" t="e">
        <f>IF(($A62&lt;'Alternative 1'!$B$27),(($H62*'Alternative 1'!$B$39)+(3*($N$82/3)*COS($K$83))),IF(($A62&lt;'Alternative 1'!$B$28),(($H62*'Alternative 1'!$B$39)+(2*(($N$82/3)*COS($K$83)))),IF(($A62&lt;'Alternative 1'!$B$29),(($H$3*'Alternative 1'!$B$39+(($N$82/3)*COS($K$83)))),($H62*'Alternative 1'!$B$39))))</f>
        <v>#VALUE!</v>
      </c>
      <c r="BP62" s="105" t="e">
        <f>BN62*'Alternative 1'!$K63/'Alternative 1'!$L63</f>
        <v>#VALUE!</v>
      </c>
      <c r="BQ62" s="105" t="e">
        <f>BO62/'Alternative 1'!$M63</f>
        <v>#VALUE!</v>
      </c>
      <c r="BR62" s="105" t="e">
        <f t="shared" si="10"/>
        <v>#VALUE!</v>
      </c>
      <c r="BT62" s="105" t="e">
        <f>'Alternative 1'!$B$39*$B62*$C62*COS($K$93)-($K$92/3)*$E62*SIN($K$93)-($K$92/3)*$F62*SIN($K$93)-($K$92/3)*$G62*SIN($K$93)</f>
        <v>#VALUE!</v>
      </c>
      <c r="BU62" s="106" t="e">
        <f>IF(($A62&lt;'Alternative 1'!$B$27),(($H62*'Alternative 1'!$B$39)+(3*($N$92/3)*COS($K$93))),IF(($A62&lt;'Alternative 1'!$B$28),(($H62*'Alternative 1'!$B$39)+(2*(($N$92/3)*COS($K$93)))),IF(($A62&lt;'Alternative 1'!$B$29),(($H$3*'Alternative 1'!$B$39+(($N$92/3)*COS($K$93)))),($H62*'Alternative 1'!$B$39))))</f>
        <v>#VALUE!</v>
      </c>
      <c r="BV62" s="105" t="e">
        <f>BT62*'Alternative 1'!$K63/'Alternative 1'!$L63</f>
        <v>#VALUE!</v>
      </c>
      <c r="BW62" s="105" t="e">
        <f>BU62/'Alternative 1'!$M63</f>
        <v>#VALUE!</v>
      </c>
      <c r="BX62" s="105" t="e">
        <f t="shared" si="11"/>
        <v>#VALUE!</v>
      </c>
      <c r="BZ62" s="104">
        <v>150</v>
      </c>
      <c r="CA62" s="104">
        <v>-150</v>
      </c>
    </row>
    <row r="63" spans="1:79" ht="15" customHeight="1" x14ac:dyDescent="0.25">
      <c r="A63" s="18" t="str">
        <f>IF('Alternative 1'!F64&gt;0,'Alternative 1'!F64,"x")</f>
        <v>x</v>
      </c>
      <c r="B63" s="18" t="e">
        <f t="shared" si="17"/>
        <v>#VALUE!</v>
      </c>
      <c r="C63" s="18">
        <f t="shared" si="12"/>
        <v>0</v>
      </c>
      <c r="D63" s="18" t="str">
        <f t="shared" si="13"/>
        <v>x</v>
      </c>
      <c r="E63" s="101">
        <f>IF($A63&lt;='Alternative 1'!$B$27, IF($A63='Alternative 1'!$B$27,0,E64+1),0)</f>
        <v>0</v>
      </c>
      <c r="F63" s="101">
        <f>IF($A63&lt;=('Alternative 1'!$B$28), IF($A63=ROUNDDOWN('Alternative 1'!$B$28,0),0,F64+1),0)</f>
        <v>0</v>
      </c>
      <c r="G63" s="101">
        <f>IF($A63&lt;=('Alternative 1'!$B$29), IF($A63=ROUNDDOWN('Alternative 1'!$B$29,0),0,G64+1),0)</f>
        <v>0</v>
      </c>
      <c r="H63" s="18" t="e">
        <f t="shared" si="14"/>
        <v>#VALUE!</v>
      </c>
      <c r="J63" s="104">
        <f t="shared" si="15"/>
        <v>60</v>
      </c>
      <c r="K63" s="109">
        <f t="shared" si="16"/>
        <v>1.0471975511965976</v>
      </c>
      <c r="L63" s="105">
        <f>'Alternative 1'!$B$27*SIN(K63)+'Alternative 1'!$B$28*SIN(K63)+'Alternative 1'!$B$29*SIN(K63)</f>
        <v>58.88972745734182</v>
      </c>
      <c r="M63" s="104">
        <f>(('Alternative 1'!$B$27)*(((('Alternative 1'!$B$28-'Alternative 1'!$B$27)/2)+'Alternative 1'!$B$27)*'Alternative 1'!$B$39)*COS('Alternative 1-Tilt Up (3pt)'!K63))+(('Alternative 1'!$B$28)*((('Alternative 1'!$B$28-'Alternative 1'!$B$27)/2)+(('Alternative 1'!$B$29-'Alternative 1'!$B$28)/2))*('Alternative 1'!$B$39)*COS('Alternative 1-Tilt Up (3pt)'!K63))+(('Alternative 1'!$B$29)*((('Alternative 1'!$B$12-'Alternative 1'!$B$29+(('Alternative 1'!$B$29-'Alternative 1'!$B$28)/2)*('Alternative 1'!$B$39)*COS('Alternative 1-Tilt Up (3pt)'!K63)))))</f>
        <v>2373154.0271991105</v>
      </c>
      <c r="N63" s="104">
        <f t="shared" si="0"/>
        <v>120894.80439104569</v>
      </c>
      <c r="O63" s="104">
        <f>(((('Alternative 1'!$B$28-'Alternative 1'!$B$27)/2)+'Alternative 1'!$B$27)*('Alternative 1'!$B$39)*COS('Alternative 1-Tilt Up (3pt)'!K63))+(((('Alternative 1'!$B$28-'Alternative 1'!$B$27)/2)+(('Alternative 1'!$B$29-'Alternative 1'!$B$28)/2))*('Alternative 1'!$B$39)*COS('Alternative 1-Tilt Up (3pt)'!K63))+(((('Alternative 1'!$B$12-'Alternative 1'!$B$29)+(('Alternative 1'!$B$29-'Alternative 1'!$B$28)/2))*('Alternative 1'!$B$39)*COS('Alternative 1-Tilt Up (3pt)'!K63)))</f>
        <v>153059.95331250579</v>
      </c>
      <c r="P63" s="109">
        <f t="shared" si="1"/>
        <v>60447.40219552286</v>
      </c>
      <c r="R63" s="105" t="e">
        <f>'Alternative 1'!$B$39*$B63*$C63*COS($K$5)-($N$5/3)*$E63*SIN($K$5)-($N$5/3)*$F63*SIN($K$5)-($N$5/3)*$G63*SIN($K$5)</f>
        <v>#VALUE!</v>
      </c>
      <c r="S63" s="106" t="e">
        <f>IF(($A63&lt;'Alternative 1'!$B$27),(($H63*'Alternative 1'!$B$39)+(3*($N$5/3)*COS($K$5))),IF(($A63&lt;'Alternative 1'!$B$28),(($H63*'Alternative 1'!$B$39)+(2*(($N$5/3)*COS($K$5)))),IF(($A63&lt;'Alternative 1'!$B$29),(($H$3*'Alternative 1'!$B$39+(($N$5/3)*COS($K$5)))),($H63*'Alternative 1'!$B$39))))</f>
        <v>#VALUE!</v>
      </c>
      <c r="T63" s="105" t="e">
        <f>R63*'Alternative 1'!$K64/'Alternative 1'!$L64</f>
        <v>#VALUE!</v>
      </c>
      <c r="U63" s="105" t="e">
        <f>S63/'Alternative 1'!$M64</f>
        <v>#VALUE!</v>
      </c>
      <c r="V63" s="105" t="e">
        <f t="shared" si="2"/>
        <v>#VALUE!</v>
      </c>
      <c r="X63" s="105" t="e">
        <f>'Alternative 1'!$B$39*$B63*$C63*COS($K$13)-($N$12/3)*$E63*SIN($K$13)-($N$12/3)*$F63*SIN($K$13)-($N$12/3)*$G63*SIN($K$13)</f>
        <v>#VALUE!</v>
      </c>
      <c r="Y63" s="106" t="e">
        <f>IF(($A63&lt;'Alternative 1'!$B$27),(($H63*'Alternative 1'!$B$39)+(3*($N$12/3)*COS($K$13))),IF(($A63&lt;'Alternative 1'!$B$28),(($H63*'Alternative 1'!$B$39)+(2*(($N$12/3)*COS($K$13)))),IF(($A63&lt;'Alternative 1'!$B$29),(($H$3*'Alternative 1'!$B$39+(($N$12/3)*COS($K$13)))),($H63*'Alternative 1'!$B$39))))</f>
        <v>#VALUE!</v>
      </c>
      <c r="Z63" s="105" t="e">
        <f>X63*'Alternative 1'!$K64/'Alternative 1'!$L64</f>
        <v>#VALUE!</v>
      </c>
      <c r="AA63" s="105" t="e">
        <f>Y63/'Alternative 1'!$M64</f>
        <v>#VALUE!</v>
      </c>
      <c r="AB63" s="105" t="e">
        <f t="shared" si="3"/>
        <v>#VALUE!</v>
      </c>
      <c r="AD63" s="105" t="e">
        <f>'Alternative 1'!$B$39*$B63*$C63*COS($K$23)-($N$22/3)*$E63*SIN($K$23)-($N$22/3)*$F63*SIN($K$23)-($N$22/3)*$G63*SIN($K$23)</f>
        <v>#VALUE!</v>
      </c>
      <c r="AE63" s="106" t="e">
        <f>IF(($A63&lt;'Alternative 1'!$B$27),(($H63*'Alternative 1'!$B$39)+(3*($N$22/3)*COS($K$23))),IF(($A63&lt;'Alternative 1'!$B$28),(($H63*'Alternative 1'!$B$39)+(2*(($N$22/3)*COS($K$23)))),IF(($A63&lt;'Alternative 1'!$B$29),(($H$3*'Alternative 1'!$B$39+(($N$22/3)*COS($K$23)))),($H63*'Alternative 1'!$B$39))))</f>
        <v>#VALUE!</v>
      </c>
      <c r="AF63" s="105" t="e">
        <f>AD63*'Alternative 1'!$K64/'Alternative 1'!$L64</f>
        <v>#VALUE!</v>
      </c>
      <c r="AG63" s="105" t="e">
        <f>AE63/'Alternative 1'!$M64</f>
        <v>#VALUE!</v>
      </c>
      <c r="AH63" s="105" t="e">
        <f t="shared" si="4"/>
        <v>#VALUE!</v>
      </c>
      <c r="AJ63" s="105" t="e">
        <f>'Alternative 1'!$B$39*$B63*$C63*COS($K$33)-($N$32/3)*$E63*SIN($K$33)-($N$32/3)*$F63*SIN($K$33)-($N$32/3)*$G63*SIN($K$33)</f>
        <v>#VALUE!</v>
      </c>
      <c r="AK63" s="106" t="e">
        <f>IF(($A63&lt;'Alternative 1'!$B$27),(($H63*'Alternative 1'!$B$39)+(3*($N$32/3)*COS($K$33))),IF(($A63&lt;'Alternative 1'!$B$28),(($H63*'Alternative 1'!$B$39)+(2*(($N$32/3)*COS($K$33)))),IF(($A63&lt;'Alternative 1'!$B$29),(($H$3*'Alternative 1'!$B$39+(($N$32/3)*COS($K$33)))),($H63*'Alternative 1'!$B$39))))</f>
        <v>#VALUE!</v>
      </c>
      <c r="AL63" s="105" t="e">
        <f>AJ63*'Alternative 1'!$K64/'Alternative 1'!$L64</f>
        <v>#VALUE!</v>
      </c>
      <c r="AM63" s="105" t="e">
        <f>AK63/'Alternative 1'!$M64</f>
        <v>#VALUE!</v>
      </c>
      <c r="AN63" s="105" t="e">
        <f t="shared" si="5"/>
        <v>#VALUE!</v>
      </c>
      <c r="AP63" s="105" t="e">
        <f>'Alternative 1'!$B$39*$B63*$C63*COS($K$43)-($N$42/3)*$E63*SIN($K$43)-($N$42/3)*$F63*SIN($K$43)-($N$42/3)*$G63*SIN($K$43)</f>
        <v>#VALUE!</v>
      </c>
      <c r="AQ63" s="106" t="e">
        <f>IF(($A63&lt;'Alternative 1'!$B$27),(($H63*'Alternative 1'!$B$39)+(3*($N$42/3)*COS($K$43))),IF(($A63&lt;'Alternative 1'!$B$28),(($H63*'Alternative 1'!$B$39)+(2*(($N$42/3)*COS($K$43)))),IF(($A63&lt;'Alternative 1'!$B$29),(($H$3*'Alternative 1'!$B$39+(($N$42/3)*COS($K$43)))),($H63*'Alternative 1'!$B$39))))</f>
        <v>#VALUE!</v>
      </c>
      <c r="AR63" s="105" t="e">
        <f>AP63*'Alternative 1'!$K64/'Alternative 1'!$L64</f>
        <v>#VALUE!</v>
      </c>
      <c r="AS63" s="105" t="e">
        <f>AQ63/'Alternative 1'!$M64</f>
        <v>#VALUE!</v>
      </c>
      <c r="AT63" s="105" t="e">
        <f t="shared" si="6"/>
        <v>#VALUE!</v>
      </c>
      <c r="AV63" s="105" t="e">
        <f>'Alternative 1'!$B$39*$B63*$C63*COS($K$53)-($N$52/3)*$E63*SIN($K$53)-($N$52/3)*$F63*SIN($K$53)-($N$52/3)*$G63*SIN($K$53)</f>
        <v>#VALUE!</v>
      </c>
      <c r="AW63" s="106" t="e">
        <f>IF(($A63&lt;'Alternative 1'!$B$27),(($H63*'Alternative 1'!$B$39)+(3*($N$52/3)*COS($K$53))),IF(($A63&lt;'Alternative 1'!$B$28),(($H63*'Alternative 1'!$B$39)+(2*(($N$52/3)*COS($K$53)))),IF(($A63&lt;'Alternative 1'!$B$29),(($H$3*'Alternative 1'!$B$39+(($N$52/3)*COS($K$53)))),($H63*'Alternative 1'!$B$39))))</f>
        <v>#VALUE!</v>
      </c>
      <c r="AX63" s="105" t="e">
        <f>AV63*'Alternative 1'!$K64/'Alternative 1'!$L64</f>
        <v>#VALUE!</v>
      </c>
      <c r="AY63" s="105" t="e">
        <f>AW63/'Alternative 1'!$M64</f>
        <v>#VALUE!</v>
      </c>
      <c r="AZ63" s="105" t="e">
        <f t="shared" si="7"/>
        <v>#VALUE!</v>
      </c>
      <c r="BB63" s="105" t="e">
        <f>'Alternative 1'!$B$39*$B63*$C63*COS($K$63)-($N$62/3)*$E63*SIN($K$63)-($N$62/3)*$F63*SIN($K$63)-($N$62/3)*$G63*SIN($K$63)</f>
        <v>#VALUE!</v>
      </c>
      <c r="BC63" s="106" t="e">
        <f>IF(($A63&lt;'Alternative 1'!$B$27),(($H63*'Alternative 1'!$B$39)+(3*($N$62/3)*COS($K$63))),IF(($A63&lt;'Alternative 1'!$B$28),(($H63*'Alternative 1'!$B$39)+(2*(($N$62/3)*COS($K$63)))),IF(($A63&lt;'Alternative 1'!$B$29),(($H$3*'Alternative 1'!$B$39+(($N$62/3)*COS($K$63)))),($H63*'Alternative 1'!$B$39))))</f>
        <v>#VALUE!</v>
      </c>
      <c r="BD63" s="105" t="e">
        <f>BB63*'Alternative 1'!$K64/'Alternative 1'!$L64</f>
        <v>#VALUE!</v>
      </c>
      <c r="BE63" s="105" t="e">
        <f>BC63/'Alternative 1'!$M64</f>
        <v>#VALUE!</v>
      </c>
      <c r="BF63" s="105" t="e">
        <f t="shared" si="8"/>
        <v>#VALUE!</v>
      </c>
      <c r="BH63" s="105" t="e">
        <f>'Alternative 1'!$B$39*$B63*$C63*COS($K$73)-($N$72/3)*$E63*SIN($K$73)-($N$72/3)*$F63*SIN($K$73)-($N$72/3)*$G63*SIN($K$73)</f>
        <v>#VALUE!</v>
      </c>
      <c r="BI63" s="106" t="e">
        <f>IF(($A63&lt;'Alternative 1'!$B$27),(($H63*'Alternative 1'!$B$39)+(3*($N$72/3)*COS($K$73))),IF(($A63&lt;'Alternative 1'!$B$28),(($H63*'Alternative 1'!$B$39)+(2*(($N$72/3)*COS($K$73)))),IF(($A63&lt;'Alternative 1'!$B$29),(($H$3*'Alternative 1'!$B$39+(($N$72/3)*COS($K$73)))),($H63*'Alternative 1'!$B$39))))</f>
        <v>#VALUE!</v>
      </c>
      <c r="BJ63" s="105" t="e">
        <f>BH63*'Alternative 1'!$K64/'Alternative 1'!$L64</f>
        <v>#VALUE!</v>
      </c>
      <c r="BK63" s="105" t="e">
        <f>BI63/'Alternative 1'!$M64</f>
        <v>#VALUE!</v>
      </c>
      <c r="BL63" s="105" t="e">
        <f t="shared" si="9"/>
        <v>#VALUE!</v>
      </c>
      <c r="BN63" s="105" t="e">
        <f>'Alternative 1'!$B$39*$B63*$C63*COS($K$83)-($N$82/3)*$E63*SIN($K$83)-($N$82/3)*$F63*SIN($K$83)-($N$82/3)*$G63*SIN($K$83)</f>
        <v>#VALUE!</v>
      </c>
      <c r="BO63" s="106" t="e">
        <f>IF(($A63&lt;'Alternative 1'!$B$27),(($H63*'Alternative 1'!$B$39)+(3*($N$82/3)*COS($K$83))),IF(($A63&lt;'Alternative 1'!$B$28),(($H63*'Alternative 1'!$B$39)+(2*(($N$82/3)*COS($K$83)))),IF(($A63&lt;'Alternative 1'!$B$29),(($H$3*'Alternative 1'!$B$39+(($N$82/3)*COS($K$83)))),($H63*'Alternative 1'!$B$39))))</f>
        <v>#VALUE!</v>
      </c>
      <c r="BP63" s="105" t="e">
        <f>BN63*'Alternative 1'!$K64/'Alternative 1'!$L64</f>
        <v>#VALUE!</v>
      </c>
      <c r="BQ63" s="105" t="e">
        <f>BO63/'Alternative 1'!$M64</f>
        <v>#VALUE!</v>
      </c>
      <c r="BR63" s="105" t="e">
        <f t="shared" si="10"/>
        <v>#VALUE!</v>
      </c>
      <c r="BT63" s="105" t="e">
        <f>'Alternative 1'!$B$39*$B63*$C63*COS($K$93)-($K$92/3)*$E63*SIN($K$93)-($K$92/3)*$F63*SIN($K$93)-($K$92/3)*$G63*SIN($K$93)</f>
        <v>#VALUE!</v>
      </c>
      <c r="BU63" s="106" t="e">
        <f>IF(($A63&lt;'Alternative 1'!$B$27),(($H63*'Alternative 1'!$B$39)+(3*($N$92/3)*COS($K$93))),IF(($A63&lt;'Alternative 1'!$B$28),(($H63*'Alternative 1'!$B$39)+(2*(($N$92/3)*COS($K$93)))),IF(($A63&lt;'Alternative 1'!$B$29),(($H$3*'Alternative 1'!$B$39+(($N$92/3)*COS($K$93)))),($H63*'Alternative 1'!$B$39))))</f>
        <v>#VALUE!</v>
      </c>
      <c r="BV63" s="105" t="e">
        <f>BT63*'Alternative 1'!$K64/'Alternative 1'!$L64</f>
        <v>#VALUE!</v>
      </c>
      <c r="BW63" s="105" t="e">
        <f>BU63/'Alternative 1'!$M64</f>
        <v>#VALUE!</v>
      </c>
      <c r="BX63" s="105" t="e">
        <f t="shared" si="11"/>
        <v>#VALUE!</v>
      </c>
      <c r="BZ63" s="104">
        <v>150</v>
      </c>
      <c r="CA63" s="104">
        <v>-150</v>
      </c>
    </row>
    <row r="64" spans="1:79" ht="15" customHeight="1" x14ac:dyDescent="0.25">
      <c r="A64" s="18" t="str">
        <f>IF('Alternative 1'!F65&gt;0,'Alternative 1'!F65,"x")</f>
        <v>x</v>
      </c>
      <c r="B64" s="18" t="e">
        <f t="shared" si="17"/>
        <v>#VALUE!</v>
      </c>
      <c r="C64" s="18">
        <f t="shared" si="12"/>
        <v>0</v>
      </c>
      <c r="D64" s="18" t="str">
        <f t="shared" si="13"/>
        <v>x</v>
      </c>
      <c r="E64" s="101">
        <f>IF($A64&lt;='Alternative 1'!$B$27, IF($A64='Alternative 1'!$B$27,0,E65+1),0)</f>
        <v>0</v>
      </c>
      <c r="F64" s="101">
        <f>IF($A64&lt;=('Alternative 1'!$B$28), IF($A64=ROUNDDOWN('Alternative 1'!$B$28,0),0,F65+1),0)</f>
        <v>0</v>
      </c>
      <c r="G64" s="101">
        <f>IF($A64&lt;=('Alternative 1'!$B$29), IF($A64=ROUNDDOWN('Alternative 1'!$B$29,0),0,G65+1),0)</f>
        <v>0</v>
      </c>
      <c r="H64" s="18" t="e">
        <f t="shared" si="14"/>
        <v>#VALUE!</v>
      </c>
      <c r="J64" s="104">
        <f t="shared" si="15"/>
        <v>61</v>
      </c>
      <c r="K64" s="104">
        <f t="shared" si="16"/>
        <v>1.064650843716541</v>
      </c>
      <c r="L64" s="105">
        <f>'Alternative 1'!$B$27*SIN(K64)+'Alternative 1'!$B$28*SIN(K64)+'Alternative 1'!$B$29*SIN(K64)</f>
        <v>59.474140085478915</v>
      </c>
      <c r="M64" s="104">
        <f>(('Alternative 1'!$B$27)*(((('Alternative 1'!$B$28-'Alternative 1'!$B$27)/2)+'Alternative 1'!$B$27)*'Alternative 1'!$B$39)*COS('Alternative 1-Tilt Up (3pt)'!K64))+(('Alternative 1'!$B$28)*((('Alternative 1'!$B$28-'Alternative 1'!$B$27)/2)+(('Alternative 1'!$B$29-'Alternative 1'!$B$28)/2))*('Alternative 1'!$B$39)*COS('Alternative 1-Tilt Up (3pt)'!K64))+(('Alternative 1'!$B$29)*((('Alternative 1'!$B$12-'Alternative 1'!$B$29+(('Alternative 1'!$B$29-'Alternative 1'!$B$28)/2)*('Alternative 1'!$B$39)*COS('Alternative 1-Tilt Up (3pt)'!K64)))))</f>
        <v>2301061.7488463335</v>
      </c>
      <c r="N64" s="104">
        <f t="shared" si="0"/>
        <v>116070.36666049196</v>
      </c>
      <c r="O64" s="104">
        <f>(((('Alternative 1'!$B$28-'Alternative 1'!$B$27)/2)+'Alternative 1'!$B$27)*('Alternative 1'!$B$39)*COS('Alternative 1-Tilt Up (3pt)'!K64))+(((('Alternative 1'!$B$28-'Alternative 1'!$B$27)/2)+(('Alternative 1'!$B$29-'Alternative 1'!$B$28)/2))*('Alternative 1'!$B$39)*COS('Alternative 1-Tilt Up (3pt)'!K64))+(((('Alternative 1'!$B$12-'Alternative 1'!$B$29)+(('Alternative 1'!$B$29-'Alternative 1'!$B$28)/2))*('Alternative 1'!$B$39)*COS('Alternative 1-Tilt Up (3pt)'!K64)))</f>
        <v>148409.87568071604</v>
      </c>
      <c r="P64" s="104">
        <f t="shared" si="1"/>
        <v>56272.030382526216</v>
      </c>
      <c r="R64" s="105" t="e">
        <f>'Alternative 1'!$B$39*$B64*$C64*COS($K$5)-($N$5/3)*$E64*SIN($K$5)-($N$5/3)*$F64*SIN($K$5)-($N$5/3)*$G64*SIN($K$5)</f>
        <v>#VALUE!</v>
      </c>
      <c r="S64" s="106" t="e">
        <f>IF(($A64&lt;'Alternative 1'!$B$27),(($H64*'Alternative 1'!$B$39)+(3*($N$5/3)*COS($K$5))),IF(($A64&lt;'Alternative 1'!$B$28),(($H64*'Alternative 1'!$B$39)+(2*(($N$5/3)*COS($K$5)))),IF(($A64&lt;'Alternative 1'!$B$29),(($H$3*'Alternative 1'!$B$39+(($N$5/3)*COS($K$5)))),($H64*'Alternative 1'!$B$39))))</f>
        <v>#VALUE!</v>
      </c>
      <c r="T64" s="105" t="e">
        <f>R64*'Alternative 1'!$K65/'Alternative 1'!$L65</f>
        <v>#VALUE!</v>
      </c>
      <c r="U64" s="105" t="e">
        <f>S64/'Alternative 1'!$M65</f>
        <v>#VALUE!</v>
      </c>
      <c r="V64" s="105" t="e">
        <f t="shared" si="2"/>
        <v>#VALUE!</v>
      </c>
      <c r="X64" s="105" t="e">
        <f>'Alternative 1'!$B$39*$B64*$C64*COS($K$13)-($N$12/3)*$E64*SIN($K$13)-($N$12/3)*$F64*SIN($K$13)-($N$12/3)*$G64*SIN($K$13)</f>
        <v>#VALUE!</v>
      </c>
      <c r="Y64" s="106" t="e">
        <f>IF(($A64&lt;'Alternative 1'!$B$27),(($H64*'Alternative 1'!$B$39)+(3*($N$12/3)*COS($K$13))),IF(($A64&lt;'Alternative 1'!$B$28),(($H64*'Alternative 1'!$B$39)+(2*(($N$12/3)*COS($K$13)))),IF(($A64&lt;'Alternative 1'!$B$29),(($H$3*'Alternative 1'!$B$39+(($N$12/3)*COS($K$13)))),($H64*'Alternative 1'!$B$39))))</f>
        <v>#VALUE!</v>
      </c>
      <c r="Z64" s="105" t="e">
        <f>X64*'Alternative 1'!$K65/'Alternative 1'!$L65</f>
        <v>#VALUE!</v>
      </c>
      <c r="AA64" s="105" t="e">
        <f>Y64/'Alternative 1'!$M65</f>
        <v>#VALUE!</v>
      </c>
      <c r="AB64" s="105" t="e">
        <f t="shared" si="3"/>
        <v>#VALUE!</v>
      </c>
      <c r="AD64" s="105" t="e">
        <f>'Alternative 1'!$B$39*$B64*$C64*COS($K$23)-($N$22/3)*$E64*SIN($K$23)-($N$22/3)*$F64*SIN($K$23)-($N$22/3)*$G64*SIN($K$23)</f>
        <v>#VALUE!</v>
      </c>
      <c r="AE64" s="106" t="e">
        <f>IF(($A64&lt;'Alternative 1'!$B$27),(($H64*'Alternative 1'!$B$39)+(3*($N$22/3)*COS($K$23))),IF(($A64&lt;'Alternative 1'!$B$28),(($H64*'Alternative 1'!$B$39)+(2*(($N$22/3)*COS($K$23)))),IF(($A64&lt;'Alternative 1'!$B$29),(($H$3*'Alternative 1'!$B$39+(($N$22/3)*COS($K$23)))),($H64*'Alternative 1'!$B$39))))</f>
        <v>#VALUE!</v>
      </c>
      <c r="AF64" s="105" t="e">
        <f>AD64*'Alternative 1'!$K65/'Alternative 1'!$L65</f>
        <v>#VALUE!</v>
      </c>
      <c r="AG64" s="105" t="e">
        <f>AE64/'Alternative 1'!$M65</f>
        <v>#VALUE!</v>
      </c>
      <c r="AH64" s="105" t="e">
        <f t="shared" si="4"/>
        <v>#VALUE!</v>
      </c>
      <c r="AJ64" s="105" t="e">
        <f>'Alternative 1'!$B$39*$B64*$C64*COS($K$33)-($N$32/3)*$E64*SIN($K$33)-($N$32/3)*$F64*SIN($K$33)-($N$32/3)*$G64*SIN($K$33)</f>
        <v>#VALUE!</v>
      </c>
      <c r="AK64" s="106" t="e">
        <f>IF(($A64&lt;'Alternative 1'!$B$27),(($H64*'Alternative 1'!$B$39)+(3*($N$32/3)*COS($K$33))),IF(($A64&lt;'Alternative 1'!$B$28),(($H64*'Alternative 1'!$B$39)+(2*(($N$32/3)*COS($K$33)))),IF(($A64&lt;'Alternative 1'!$B$29),(($H$3*'Alternative 1'!$B$39+(($N$32/3)*COS($K$33)))),($H64*'Alternative 1'!$B$39))))</f>
        <v>#VALUE!</v>
      </c>
      <c r="AL64" s="105" t="e">
        <f>AJ64*'Alternative 1'!$K65/'Alternative 1'!$L65</f>
        <v>#VALUE!</v>
      </c>
      <c r="AM64" s="105" t="e">
        <f>AK64/'Alternative 1'!$M65</f>
        <v>#VALUE!</v>
      </c>
      <c r="AN64" s="105" t="e">
        <f t="shared" si="5"/>
        <v>#VALUE!</v>
      </c>
      <c r="AP64" s="105" t="e">
        <f>'Alternative 1'!$B$39*$B64*$C64*COS($K$43)-($N$42/3)*$E64*SIN($K$43)-($N$42/3)*$F64*SIN($K$43)-($N$42/3)*$G64*SIN($K$43)</f>
        <v>#VALUE!</v>
      </c>
      <c r="AQ64" s="106" t="e">
        <f>IF(($A64&lt;'Alternative 1'!$B$27),(($H64*'Alternative 1'!$B$39)+(3*($N$42/3)*COS($K$43))),IF(($A64&lt;'Alternative 1'!$B$28),(($H64*'Alternative 1'!$B$39)+(2*(($N$42/3)*COS($K$43)))),IF(($A64&lt;'Alternative 1'!$B$29),(($H$3*'Alternative 1'!$B$39+(($N$42/3)*COS($K$43)))),($H64*'Alternative 1'!$B$39))))</f>
        <v>#VALUE!</v>
      </c>
      <c r="AR64" s="105" t="e">
        <f>AP64*'Alternative 1'!$K65/'Alternative 1'!$L65</f>
        <v>#VALUE!</v>
      </c>
      <c r="AS64" s="105" t="e">
        <f>AQ64/'Alternative 1'!$M65</f>
        <v>#VALUE!</v>
      </c>
      <c r="AT64" s="105" t="e">
        <f t="shared" si="6"/>
        <v>#VALUE!</v>
      </c>
      <c r="AV64" s="105" t="e">
        <f>'Alternative 1'!$B$39*$B64*$C64*COS($K$53)-($N$52/3)*$E64*SIN($K$53)-($N$52/3)*$F64*SIN($K$53)-($N$52/3)*$G64*SIN($K$53)</f>
        <v>#VALUE!</v>
      </c>
      <c r="AW64" s="106" t="e">
        <f>IF(($A64&lt;'Alternative 1'!$B$27),(($H64*'Alternative 1'!$B$39)+(3*($N$52/3)*COS($K$53))),IF(($A64&lt;'Alternative 1'!$B$28),(($H64*'Alternative 1'!$B$39)+(2*(($N$52/3)*COS($K$53)))),IF(($A64&lt;'Alternative 1'!$B$29),(($H$3*'Alternative 1'!$B$39+(($N$52/3)*COS($K$53)))),($H64*'Alternative 1'!$B$39))))</f>
        <v>#VALUE!</v>
      </c>
      <c r="AX64" s="105" t="e">
        <f>AV64*'Alternative 1'!$K65/'Alternative 1'!$L65</f>
        <v>#VALUE!</v>
      </c>
      <c r="AY64" s="105" t="e">
        <f>AW64/'Alternative 1'!$M65</f>
        <v>#VALUE!</v>
      </c>
      <c r="AZ64" s="105" t="e">
        <f t="shared" si="7"/>
        <v>#VALUE!</v>
      </c>
      <c r="BB64" s="105" t="e">
        <f>'Alternative 1'!$B$39*$B64*$C64*COS($K$63)-($N$62/3)*$E64*SIN($K$63)-($N$62/3)*$F64*SIN($K$63)-($N$62/3)*$G64*SIN($K$63)</f>
        <v>#VALUE!</v>
      </c>
      <c r="BC64" s="106" t="e">
        <f>IF(($A64&lt;'Alternative 1'!$B$27),(($H64*'Alternative 1'!$B$39)+(3*($N$62/3)*COS($K$63))),IF(($A64&lt;'Alternative 1'!$B$28),(($H64*'Alternative 1'!$B$39)+(2*(($N$62/3)*COS($K$63)))),IF(($A64&lt;'Alternative 1'!$B$29),(($H$3*'Alternative 1'!$B$39+(($N$62/3)*COS($K$63)))),($H64*'Alternative 1'!$B$39))))</f>
        <v>#VALUE!</v>
      </c>
      <c r="BD64" s="105" t="e">
        <f>BB64*'Alternative 1'!$K65/'Alternative 1'!$L65</f>
        <v>#VALUE!</v>
      </c>
      <c r="BE64" s="105" t="e">
        <f>BC64/'Alternative 1'!$M65</f>
        <v>#VALUE!</v>
      </c>
      <c r="BF64" s="105" t="e">
        <f t="shared" si="8"/>
        <v>#VALUE!</v>
      </c>
      <c r="BH64" s="105" t="e">
        <f>'Alternative 1'!$B$39*$B64*$C64*COS($K$73)-($N$72/3)*$E64*SIN($K$73)-($N$72/3)*$F64*SIN($K$73)-($N$72/3)*$G64*SIN($K$73)</f>
        <v>#VALUE!</v>
      </c>
      <c r="BI64" s="106" t="e">
        <f>IF(($A64&lt;'Alternative 1'!$B$27),(($H64*'Alternative 1'!$B$39)+(3*($N$72/3)*COS($K$73))),IF(($A64&lt;'Alternative 1'!$B$28),(($H64*'Alternative 1'!$B$39)+(2*(($N$72/3)*COS($K$73)))),IF(($A64&lt;'Alternative 1'!$B$29),(($H$3*'Alternative 1'!$B$39+(($N$72/3)*COS($K$73)))),($H64*'Alternative 1'!$B$39))))</f>
        <v>#VALUE!</v>
      </c>
      <c r="BJ64" s="105" t="e">
        <f>BH64*'Alternative 1'!$K65/'Alternative 1'!$L65</f>
        <v>#VALUE!</v>
      </c>
      <c r="BK64" s="105" t="e">
        <f>BI64/'Alternative 1'!$M65</f>
        <v>#VALUE!</v>
      </c>
      <c r="BL64" s="105" t="e">
        <f t="shared" si="9"/>
        <v>#VALUE!</v>
      </c>
      <c r="BN64" s="105" t="e">
        <f>'Alternative 1'!$B$39*$B64*$C64*COS($K$83)-($N$82/3)*$E64*SIN($K$83)-($N$82/3)*$F64*SIN($K$83)-($N$82/3)*$G64*SIN($K$83)</f>
        <v>#VALUE!</v>
      </c>
      <c r="BO64" s="106" t="e">
        <f>IF(($A64&lt;'Alternative 1'!$B$27),(($H64*'Alternative 1'!$B$39)+(3*($N$82/3)*COS($K$83))),IF(($A64&lt;'Alternative 1'!$B$28),(($H64*'Alternative 1'!$B$39)+(2*(($N$82/3)*COS($K$83)))),IF(($A64&lt;'Alternative 1'!$B$29),(($H$3*'Alternative 1'!$B$39+(($N$82/3)*COS($K$83)))),($H64*'Alternative 1'!$B$39))))</f>
        <v>#VALUE!</v>
      </c>
      <c r="BP64" s="105" t="e">
        <f>BN64*'Alternative 1'!$K65/'Alternative 1'!$L65</f>
        <v>#VALUE!</v>
      </c>
      <c r="BQ64" s="105" t="e">
        <f>BO64/'Alternative 1'!$M65</f>
        <v>#VALUE!</v>
      </c>
      <c r="BR64" s="105" t="e">
        <f t="shared" si="10"/>
        <v>#VALUE!</v>
      </c>
      <c r="BT64" s="105" t="e">
        <f>'Alternative 1'!$B$39*$B64*$C64*COS($K$93)-($K$92/3)*$E64*SIN($K$93)-($K$92/3)*$F64*SIN($K$93)-($K$92/3)*$G64*SIN($K$93)</f>
        <v>#VALUE!</v>
      </c>
      <c r="BU64" s="106" t="e">
        <f>IF(($A64&lt;'Alternative 1'!$B$27),(($H64*'Alternative 1'!$B$39)+(3*($N$92/3)*COS($K$93))),IF(($A64&lt;'Alternative 1'!$B$28),(($H64*'Alternative 1'!$B$39)+(2*(($N$92/3)*COS($K$93)))),IF(($A64&lt;'Alternative 1'!$B$29),(($H$3*'Alternative 1'!$B$39+(($N$92/3)*COS($K$93)))),($H64*'Alternative 1'!$B$39))))</f>
        <v>#VALUE!</v>
      </c>
      <c r="BV64" s="105" t="e">
        <f>BT64*'Alternative 1'!$K65/'Alternative 1'!$L65</f>
        <v>#VALUE!</v>
      </c>
      <c r="BW64" s="105" t="e">
        <f>BU64/'Alternative 1'!$M65</f>
        <v>#VALUE!</v>
      </c>
      <c r="BX64" s="105" t="e">
        <f t="shared" si="11"/>
        <v>#VALUE!</v>
      </c>
      <c r="BZ64" s="104">
        <v>150</v>
      </c>
      <c r="CA64" s="104">
        <v>-150</v>
      </c>
    </row>
    <row r="65" spans="1:79" ht="15" customHeight="1" x14ac:dyDescent="0.25">
      <c r="A65" s="18" t="str">
        <f>IF('Alternative 1'!F66&gt;0,'Alternative 1'!F66,"x")</f>
        <v>x</v>
      </c>
      <c r="B65" s="18" t="e">
        <f t="shared" si="17"/>
        <v>#VALUE!</v>
      </c>
      <c r="C65" s="18">
        <f t="shared" si="12"/>
        <v>0</v>
      </c>
      <c r="D65" s="18" t="str">
        <f t="shared" si="13"/>
        <v>x</v>
      </c>
      <c r="E65" s="101">
        <f>IF($A65&lt;='Alternative 1'!$B$27, IF($A65='Alternative 1'!$B$27,0,E66+1),0)</f>
        <v>0</v>
      </c>
      <c r="F65" s="101">
        <f>IF($A65&lt;=('Alternative 1'!$B$28), IF($A65=ROUNDDOWN('Alternative 1'!$B$28,0),0,F66+1),0)</f>
        <v>0</v>
      </c>
      <c r="G65" s="101">
        <f>IF($A65&lt;=('Alternative 1'!$B$29), IF($A65=ROUNDDOWN('Alternative 1'!$B$29,0),0,G66+1),0)</f>
        <v>0</v>
      </c>
      <c r="H65" s="18" t="e">
        <f t="shared" si="14"/>
        <v>#VALUE!</v>
      </c>
      <c r="J65" s="104">
        <f t="shared" si="15"/>
        <v>62</v>
      </c>
      <c r="K65" s="104">
        <f t="shared" si="16"/>
        <v>1.0821041362364843</v>
      </c>
      <c r="L65" s="105">
        <f>'Alternative 1'!$B$27*SIN(K65)+'Alternative 1'!$B$28*SIN(K65)+'Alternative 1'!$B$29*SIN(K65)</f>
        <v>60.040436314407032</v>
      </c>
      <c r="M65" s="104">
        <f>(('Alternative 1'!$B$27)*(((('Alternative 1'!$B$28-'Alternative 1'!$B$27)/2)+'Alternative 1'!$B$27)*'Alternative 1'!$B$39)*COS('Alternative 1-Tilt Up (3pt)'!K65))+(('Alternative 1'!$B$28)*((('Alternative 1'!$B$28-'Alternative 1'!$B$27)/2)+(('Alternative 1'!$B$29-'Alternative 1'!$B$28)/2))*('Alternative 1'!$B$39)*COS('Alternative 1-Tilt Up (3pt)'!K65))+(('Alternative 1'!$B$29)*((('Alternative 1'!$B$12-'Alternative 1'!$B$29+(('Alternative 1'!$B$29-'Alternative 1'!$B$28)/2)*('Alternative 1'!$B$39)*COS('Alternative 1-Tilt Up (3pt)'!K65)))))</f>
        <v>2228268.6043851003</v>
      </c>
      <c r="N65" s="104">
        <f t="shared" si="0"/>
        <v>111338.39498017181</v>
      </c>
      <c r="O65" s="104">
        <f>(((('Alternative 1'!$B$28-'Alternative 1'!$B$27)/2)+'Alternative 1'!$B$27)*('Alternative 1'!$B$39)*COS('Alternative 1-Tilt Up (3pt)'!K65))+(((('Alternative 1'!$B$28-'Alternative 1'!$B$27)/2)+(('Alternative 1'!$B$29-'Alternative 1'!$B$28)/2))*('Alternative 1'!$B$39)*COS('Alternative 1-Tilt Up (3pt)'!K65))+(((('Alternative 1'!$B$12-'Alternative 1'!$B$29)+(('Alternative 1'!$B$29-'Alternative 1'!$B$28)/2))*('Alternative 1'!$B$39)*COS('Alternative 1-Tilt Up (3pt)'!K65)))</f>
        <v>143714.59096311516</v>
      </c>
      <c r="P65" s="104">
        <f t="shared" si="1"/>
        <v>52270.210289414048</v>
      </c>
      <c r="R65" s="105" t="e">
        <f>'Alternative 1'!$B$39*$B65*$C65*COS($K$5)-($N$5/3)*$E65*SIN($K$5)-($N$5/3)*$F65*SIN($K$5)-($N$5/3)*$G65*SIN($K$5)</f>
        <v>#VALUE!</v>
      </c>
      <c r="S65" s="106" t="e">
        <f>IF(($A65&lt;'Alternative 1'!$B$27),(($H65*'Alternative 1'!$B$39)+(3*($N$5/3)*COS($K$5))),IF(($A65&lt;'Alternative 1'!$B$28),(($H65*'Alternative 1'!$B$39)+(2*(($N$5/3)*COS($K$5)))),IF(($A65&lt;'Alternative 1'!$B$29),(($H$3*'Alternative 1'!$B$39+(($N$5/3)*COS($K$5)))),($H65*'Alternative 1'!$B$39))))</f>
        <v>#VALUE!</v>
      </c>
      <c r="T65" s="105" t="e">
        <f>R65*'Alternative 1'!$K66/'Alternative 1'!$L66</f>
        <v>#VALUE!</v>
      </c>
      <c r="U65" s="105" t="e">
        <f>S65/'Alternative 1'!$M66</f>
        <v>#VALUE!</v>
      </c>
      <c r="V65" s="105" t="e">
        <f t="shared" si="2"/>
        <v>#VALUE!</v>
      </c>
      <c r="X65" s="105" t="e">
        <f>'Alternative 1'!$B$39*$B65*$C65*COS($K$13)-($N$12/3)*$E65*SIN($K$13)-($N$12/3)*$F65*SIN($K$13)-($N$12/3)*$G65*SIN($K$13)</f>
        <v>#VALUE!</v>
      </c>
      <c r="Y65" s="106" t="e">
        <f>IF(($A65&lt;'Alternative 1'!$B$27),(($H65*'Alternative 1'!$B$39)+(3*($N$12/3)*COS($K$13))),IF(($A65&lt;'Alternative 1'!$B$28),(($H65*'Alternative 1'!$B$39)+(2*(($N$12/3)*COS($K$13)))),IF(($A65&lt;'Alternative 1'!$B$29),(($H$3*'Alternative 1'!$B$39+(($N$12/3)*COS($K$13)))),($H65*'Alternative 1'!$B$39))))</f>
        <v>#VALUE!</v>
      </c>
      <c r="Z65" s="105" t="e">
        <f>X65*'Alternative 1'!$K66/'Alternative 1'!$L66</f>
        <v>#VALUE!</v>
      </c>
      <c r="AA65" s="105" t="e">
        <f>Y65/'Alternative 1'!$M66</f>
        <v>#VALUE!</v>
      </c>
      <c r="AB65" s="105" t="e">
        <f t="shared" si="3"/>
        <v>#VALUE!</v>
      </c>
      <c r="AD65" s="105" t="e">
        <f>'Alternative 1'!$B$39*$B65*$C65*COS($K$23)-($N$22/3)*$E65*SIN($K$23)-($N$22/3)*$F65*SIN($K$23)-($N$22/3)*$G65*SIN($K$23)</f>
        <v>#VALUE!</v>
      </c>
      <c r="AE65" s="106" t="e">
        <f>IF(($A65&lt;'Alternative 1'!$B$27),(($H65*'Alternative 1'!$B$39)+(3*($N$22/3)*COS($K$23))),IF(($A65&lt;'Alternative 1'!$B$28),(($H65*'Alternative 1'!$B$39)+(2*(($N$22/3)*COS($K$23)))),IF(($A65&lt;'Alternative 1'!$B$29),(($H$3*'Alternative 1'!$B$39+(($N$22/3)*COS($K$23)))),($H65*'Alternative 1'!$B$39))))</f>
        <v>#VALUE!</v>
      </c>
      <c r="AF65" s="105" t="e">
        <f>AD65*'Alternative 1'!$K66/'Alternative 1'!$L66</f>
        <v>#VALUE!</v>
      </c>
      <c r="AG65" s="105" t="e">
        <f>AE65/'Alternative 1'!$M66</f>
        <v>#VALUE!</v>
      </c>
      <c r="AH65" s="105" t="e">
        <f t="shared" si="4"/>
        <v>#VALUE!</v>
      </c>
      <c r="AJ65" s="105" t="e">
        <f>'Alternative 1'!$B$39*$B65*$C65*COS($K$33)-($N$32/3)*$E65*SIN($K$33)-($N$32/3)*$F65*SIN($K$33)-($N$32/3)*$G65*SIN($K$33)</f>
        <v>#VALUE!</v>
      </c>
      <c r="AK65" s="106" t="e">
        <f>IF(($A65&lt;'Alternative 1'!$B$27),(($H65*'Alternative 1'!$B$39)+(3*($N$32/3)*COS($K$33))),IF(($A65&lt;'Alternative 1'!$B$28),(($H65*'Alternative 1'!$B$39)+(2*(($N$32/3)*COS($K$33)))),IF(($A65&lt;'Alternative 1'!$B$29),(($H$3*'Alternative 1'!$B$39+(($N$32/3)*COS($K$33)))),($H65*'Alternative 1'!$B$39))))</f>
        <v>#VALUE!</v>
      </c>
      <c r="AL65" s="105" t="e">
        <f>AJ65*'Alternative 1'!$K66/'Alternative 1'!$L66</f>
        <v>#VALUE!</v>
      </c>
      <c r="AM65" s="105" t="e">
        <f>AK65/'Alternative 1'!$M66</f>
        <v>#VALUE!</v>
      </c>
      <c r="AN65" s="105" t="e">
        <f t="shared" si="5"/>
        <v>#VALUE!</v>
      </c>
      <c r="AP65" s="105" t="e">
        <f>'Alternative 1'!$B$39*$B65*$C65*COS($K$43)-($N$42/3)*$E65*SIN($K$43)-($N$42/3)*$F65*SIN($K$43)-($N$42/3)*$G65*SIN($K$43)</f>
        <v>#VALUE!</v>
      </c>
      <c r="AQ65" s="106" t="e">
        <f>IF(($A65&lt;'Alternative 1'!$B$27),(($H65*'Alternative 1'!$B$39)+(3*($N$42/3)*COS($K$43))),IF(($A65&lt;'Alternative 1'!$B$28),(($H65*'Alternative 1'!$B$39)+(2*(($N$42/3)*COS($K$43)))),IF(($A65&lt;'Alternative 1'!$B$29),(($H$3*'Alternative 1'!$B$39+(($N$42/3)*COS($K$43)))),($H65*'Alternative 1'!$B$39))))</f>
        <v>#VALUE!</v>
      </c>
      <c r="AR65" s="105" t="e">
        <f>AP65*'Alternative 1'!$K66/'Alternative 1'!$L66</f>
        <v>#VALUE!</v>
      </c>
      <c r="AS65" s="105" t="e">
        <f>AQ65/'Alternative 1'!$M66</f>
        <v>#VALUE!</v>
      </c>
      <c r="AT65" s="105" t="e">
        <f t="shared" si="6"/>
        <v>#VALUE!</v>
      </c>
      <c r="AV65" s="105" t="e">
        <f>'Alternative 1'!$B$39*$B65*$C65*COS($K$53)-($N$52/3)*$E65*SIN($K$53)-($N$52/3)*$F65*SIN($K$53)-($N$52/3)*$G65*SIN($K$53)</f>
        <v>#VALUE!</v>
      </c>
      <c r="AW65" s="106" t="e">
        <f>IF(($A65&lt;'Alternative 1'!$B$27),(($H65*'Alternative 1'!$B$39)+(3*($N$52/3)*COS($K$53))),IF(($A65&lt;'Alternative 1'!$B$28),(($H65*'Alternative 1'!$B$39)+(2*(($N$52/3)*COS($K$53)))),IF(($A65&lt;'Alternative 1'!$B$29),(($H$3*'Alternative 1'!$B$39+(($N$52/3)*COS($K$53)))),($H65*'Alternative 1'!$B$39))))</f>
        <v>#VALUE!</v>
      </c>
      <c r="AX65" s="105" t="e">
        <f>AV65*'Alternative 1'!$K66/'Alternative 1'!$L66</f>
        <v>#VALUE!</v>
      </c>
      <c r="AY65" s="105" t="e">
        <f>AW65/'Alternative 1'!$M66</f>
        <v>#VALUE!</v>
      </c>
      <c r="AZ65" s="105" t="e">
        <f t="shared" si="7"/>
        <v>#VALUE!</v>
      </c>
      <c r="BB65" s="105" t="e">
        <f>'Alternative 1'!$B$39*$B65*$C65*COS($K$63)-($N$62/3)*$E65*SIN($K$63)-($N$62/3)*$F65*SIN($K$63)-($N$62/3)*$G65*SIN($K$63)</f>
        <v>#VALUE!</v>
      </c>
      <c r="BC65" s="106" t="e">
        <f>IF(($A65&lt;'Alternative 1'!$B$27),(($H65*'Alternative 1'!$B$39)+(3*($N$62/3)*COS($K$63))),IF(($A65&lt;'Alternative 1'!$B$28),(($H65*'Alternative 1'!$B$39)+(2*(($N$62/3)*COS($K$63)))),IF(($A65&lt;'Alternative 1'!$B$29),(($H$3*'Alternative 1'!$B$39+(($N$62/3)*COS($K$63)))),($H65*'Alternative 1'!$B$39))))</f>
        <v>#VALUE!</v>
      </c>
      <c r="BD65" s="105" t="e">
        <f>BB65*'Alternative 1'!$K66/'Alternative 1'!$L66</f>
        <v>#VALUE!</v>
      </c>
      <c r="BE65" s="105" t="e">
        <f>BC65/'Alternative 1'!$M66</f>
        <v>#VALUE!</v>
      </c>
      <c r="BF65" s="105" t="e">
        <f t="shared" si="8"/>
        <v>#VALUE!</v>
      </c>
      <c r="BH65" s="105" t="e">
        <f>'Alternative 1'!$B$39*$B65*$C65*COS($K$73)-($N$72/3)*$E65*SIN($K$73)-($N$72/3)*$F65*SIN($K$73)-($N$72/3)*$G65*SIN($K$73)</f>
        <v>#VALUE!</v>
      </c>
      <c r="BI65" s="106" t="e">
        <f>IF(($A65&lt;'Alternative 1'!$B$27),(($H65*'Alternative 1'!$B$39)+(3*($N$72/3)*COS($K$73))),IF(($A65&lt;'Alternative 1'!$B$28),(($H65*'Alternative 1'!$B$39)+(2*(($N$72/3)*COS($K$73)))),IF(($A65&lt;'Alternative 1'!$B$29),(($H$3*'Alternative 1'!$B$39+(($N$72/3)*COS($K$73)))),($H65*'Alternative 1'!$B$39))))</f>
        <v>#VALUE!</v>
      </c>
      <c r="BJ65" s="105" t="e">
        <f>BH65*'Alternative 1'!$K66/'Alternative 1'!$L66</f>
        <v>#VALUE!</v>
      </c>
      <c r="BK65" s="105" t="e">
        <f>BI65/'Alternative 1'!$M66</f>
        <v>#VALUE!</v>
      </c>
      <c r="BL65" s="105" t="e">
        <f t="shared" si="9"/>
        <v>#VALUE!</v>
      </c>
      <c r="BN65" s="105" t="e">
        <f>'Alternative 1'!$B$39*$B65*$C65*COS($K$83)-($N$82/3)*$E65*SIN($K$83)-($N$82/3)*$F65*SIN($K$83)-($N$82/3)*$G65*SIN($K$83)</f>
        <v>#VALUE!</v>
      </c>
      <c r="BO65" s="106" t="e">
        <f>IF(($A65&lt;'Alternative 1'!$B$27),(($H65*'Alternative 1'!$B$39)+(3*($N$82/3)*COS($K$83))),IF(($A65&lt;'Alternative 1'!$B$28),(($H65*'Alternative 1'!$B$39)+(2*(($N$82/3)*COS($K$83)))),IF(($A65&lt;'Alternative 1'!$B$29),(($H$3*'Alternative 1'!$B$39+(($N$82/3)*COS($K$83)))),($H65*'Alternative 1'!$B$39))))</f>
        <v>#VALUE!</v>
      </c>
      <c r="BP65" s="105" t="e">
        <f>BN65*'Alternative 1'!$K66/'Alternative 1'!$L66</f>
        <v>#VALUE!</v>
      </c>
      <c r="BQ65" s="105" t="e">
        <f>BO65/'Alternative 1'!$M66</f>
        <v>#VALUE!</v>
      </c>
      <c r="BR65" s="105" t="e">
        <f t="shared" si="10"/>
        <v>#VALUE!</v>
      </c>
      <c r="BT65" s="105" t="e">
        <f>'Alternative 1'!$B$39*$B65*$C65*COS($K$93)-($K$92/3)*$E65*SIN($K$93)-($K$92/3)*$F65*SIN($K$93)-($K$92/3)*$G65*SIN($K$93)</f>
        <v>#VALUE!</v>
      </c>
      <c r="BU65" s="106" t="e">
        <f>IF(($A65&lt;'Alternative 1'!$B$27),(($H65*'Alternative 1'!$B$39)+(3*($N$92/3)*COS($K$93))),IF(($A65&lt;'Alternative 1'!$B$28),(($H65*'Alternative 1'!$B$39)+(2*(($N$92/3)*COS($K$93)))),IF(($A65&lt;'Alternative 1'!$B$29),(($H$3*'Alternative 1'!$B$39+(($N$92/3)*COS($K$93)))),($H65*'Alternative 1'!$B$39))))</f>
        <v>#VALUE!</v>
      </c>
      <c r="BV65" s="105" t="e">
        <f>BT65*'Alternative 1'!$K66/'Alternative 1'!$L66</f>
        <v>#VALUE!</v>
      </c>
      <c r="BW65" s="105" t="e">
        <f>BU65/'Alternative 1'!$M66</f>
        <v>#VALUE!</v>
      </c>
      <c r="BX65" s="105" t="e">
        <f t="shared" si="11"/>
        <v>#VALUE!</v>
      </c>
      <c r="BZ65" s="104">
        <v>150</v>
      </c>
      <c r="CA65" s="104">
        <v>-150</v>
      </c>
    </row>
    <row r="66" spans="1:79" ht="15" customHeight="1" x14ac:dyDescent="0.25">
      <c r="A66" s="18" t="str">
        <f>IF('Alternative 1'!F67&gt;0,'Alternative 1'!F67,"x")</f>
        <v>x</v>
      </c>
      <c r="B66" s="18" t="e">
        <f t="shared" si="17"/>
        <v>#VALUE!</v>
      </c>
      <c r="C66" s="18">
        <f t="shared" si="12"/>
        <v>0</v>
      </c>
      <c r="D66" s="18" t="str">
        <f t="shared" si="13"/>
        <v>x</v>
      </c>
      <c r="E66" s="101">
        <f>IF($A66&lt;='Alternative 1'!$B$27, IF($A66='Alternative 1'!$B$27,0,E67+1),0)</f>
        <v>0</v>
      </c>
      <c r="F66" s="101">
        <f>IF($A66&lt;=('Alternative 1'!$B$28), IF($A66=ROUNDDOWN('Alternative 1'!$B$28,0),0,F67+1),0)</f>
        <v>0</v>
      </c>
      <c r="G66" s="101">
        <f>IF($A66&lt;=('Alternative 1'!$B$29), IF($A66=ROUNDDOWN('Alternative 1'!$B$29,0),0,G67+1),0)</f>
        <v>0</v>
      </c>
      <c r="H66" s="18" t="e">
        <f t="shared" si="14"/>
        <v>#VALUE!</v>
      </c>
      <c r="J66" s="104">
        <f t="shared" si="15"/>
        <v>63</v>
      </c>
      <c r="K66" s="104">
        <f t="shared" si="16"/>
        <v>1.0995574287564276</v>
      </c>
      <c r="L66" s="105">
        <f>'Alternative 1'!$B$27*SIN(K66)+'Alternative 1'!$B$28*SIN(K66)+'Alternative 1'!$B$29*SIN(K66)</f>
        <v>60.588443644809004</v>
      </c>
      <c r="M66" s="104">
        <f>(('Alternative 1'!$B$27)*(((('Alternative 1'!$B$28-'Alternative 1'!$B$27)/2)+'Alternative 1'!$B$27)*'Alternative 1'!$B$39)*COS('Alternative 1-Tilt Up (3pt)'!K66))+(('Alternative 1'!$B$28)*((('Alternative 1'!$B$28-'Alternative 1'!$B$27)/2)+(('Alternative 1'!$B$29-'Alternative 1'!$B$28)/2))*('Alternative 1'!$B$39)*COS('Alternative 1-Tilt Up (3pt)'!K66))+(('Alternative 1'!$B$29)*((('Alternative 1'!$B$12-'Alternative 1'!$B$29+(('Alternative 1'!$B$29-'Alternative 1'!$B$28)/2)*('Alternative 1'!$B$39)*COS('Alternative 1-Tilt Up (3pt)'!K66)))))</f>
        <v>2154796.7673123768</v>
      </c>
      <c r="N66" s="104">
        <f t="shared" si="0"/>
        <v>106693.45362019338</v>
      </c>
      <c r="O66" s="104">
        <f>(((('Alternative 1'!$B$28-'Alternative 1'!$B$27)/2)+'Alternative 1'!$B$27)*('Alternative 1'!$B$39)*COS('Alternative 1-Tilt Up (3pt)'!K66))+(((('Alternative 1'!$B$28-'Alternative 1'!$B$27)/2)+(('Alternative 1'!$B$29-'Alternative 1'!$B$28)/2))*('Alternative 1'!$B$39)*COS('Alternative 1-Tilt Up (3pt)'!K66))+(((('Alternative 1'!$B$12-'Alternative 1'!$B$29)+(('Alternative 1'!$B$29-'Alternative 1'!$B$28)/2))*('Alternative 1'!$B$39)*COS('Alternative 1-Tilt Up (3pt)'!K66)))</f>
        <v>138975.5293889124</v>
      </c>
      <c r="P66" s="104">
        <f t="shared" si="1"/>
        <v>48437.814327969754</v>
      </c>
      <c r="R66" s="105" t="e">
        <f>'Alternative 1'!$B$39*$B66*$C66*COS($K$5)-($N$5/3)*$E66*SIN($K$5)-($N$5/3)*$F66*SIN($K$5)-($N$5/3)*$G66*SIN($K$5)</f>
        <v>#VALUE!</v>
      </c>
      <c r="S66" s="106" t="e">
        <f>IF(($A66&lt;'Alternative 1'!$B$27),(($H66*'Alternative 1'!$B$39)+(3*($N$5/3)*COS($K$5))),IF(($A66&lt;'Alternative 1'!$B$28),(($H66*'Alternative 1'!$B$39)+(2*(($N$5/3)*COS($K$5)))),IF(($A66&lt;'Alternative 1'!$B$29),(($H$3*'Alternative 1'!$B$39+(($N$5/3)*COS($K$5)))),($H66*'Alternative 1'!$B$39))))</f>
        <v>#VALUE!</v>
      </c>
      <c r="T66" s="105" t="e">
        <f>R66*'Alternative 1'!$K67/'Alternative 1'!$L67</f>
        <v>#VALUE!</v>
      </c>
      <c r="U66" s="105" t="e">
        <f>S66/'Alternative 1'!$M67</f>
        <v>#VALUE!</v>
      </c>
      <c r="V66" s="105" t="e">
        <f t="shared" si="2"/>
        <v>#VALUE!</v>
      </c>
      <c r="X66" s="105" t="e">
        <f>'Alternative 1'!$B$39*$B66*$C66*COS($K$13)-($N$12/3)*$E66*SIN($K$13)-($N$12/3)*$F66*SIN($K$13)-($N$12/3)*$G66*SIN($K$13)</f>
        <v>#VALUE!</v>
      </c>
      <c r="Y66" s="106" t="e">
        <f>IF(($A66&lt;'Alternative 1'!$B$27),(($H66*'Alternative 1'!$B$39)+(3*($N$12/3)*COS($K$13))),IF(($A66&lt;'Alternative 1'!$B$28),(($H66*'Alternative 1'!$B$39)+(2*(($N$12/3)*COS($K$13)))),IF(($A66&lt;'Alternative 1'!$B$29),(($H$3*'Alternative 1'!$B$39+(($N$12/3)*COS($K$13)))),($H66*'Alternative 1'!$B$39))))</f>
        <v>#VALUE!</v>
      </c>
      <c r="Z66" s="105" t="e">
        <f>X66*'Alternative 1'!$K67/'Alternative 1'!$L67</f>
        <v>#VALUE!</v>
      </c>
      <c r="AA66" s="105" t="e">
        <f>Y66/'Alternative 1'!$M67</f>
        <v>#VALUE!</v>
      </c>
      <c r="AB66" s="105" t="e">
        <f t="shared" si="3"/>
        <v>#VALUE!</v>
      </c>
      <c r="AD66" s="105" t="e">
        <f>'Alternative 1'!$B$39*$B66*$C66*COS($K$23)-($N$22/3)*$E66*SIN($K$23)-($N$22/3)*$F66*SIN($K$23)-($N$22/3)*$G66*SIN($K$23)</f>
        <v>#VALUE!</v>
      </c>
      <c r="AE66" s="106" t="e">
        <f>IF(($A66&lt;'Alternative 1'!$B$27),(($H66*'Alternative 1'!$B$39)+(3*($N$22/3)*COS($K$23))),IF(($A66&lt;'Alternative 1'!$B$28),(($H66*'Alternative 1'!$B$39)+(2*(($N$22/3)*COS($K$23)))),IF(($A66&lt;'Alternative 1'!$B$29),(($H$3*'Alternative 1'!$B$39+(($N$22/3)*COS($K$23)))),($H66*'Alternative 1'!$B$39))))</f>
        <v>#VALUE!</v>
      </c>
      <c r="AF66" s="105" t="e">
        <f>AD66*'Alternative 1'!$K67/'Alternative 1'!$L67</f>
        <v>#VALUE!</v>
      </c>
      <c r="AG66" s="105" t="e">
        <f>AE66/'Alternative 1'!$M67</f>
        <v>#VALUE!</v>
      </c>
      <c r="AH66" s="105" t="e">
        <f t="shared" si="4"/>
        <v>#VALUE!</v>
      </c>
      <c r="AJ66" s="105" t="e">
        <f>'Alternative 1'!$B$39*$B66*$C66*COS($K$33)-($N$32/3)*$E66*SIN($K$33)-($N$32/3)*$F66*SIN($K$33)-($N$32/3)*$G66*SIN($K$33)</f>
        <v>#VALUE!</v>
      </c>
      <c r="AK66" s="106" t="e">
        <f>IF(($A66&lt;'Alternative 1'!$B$27),(($H66*'Alternative 1'!$B$39)+(3*($N$32/3)*COS($K$33))),IF(($A66&lt;'Alternative 1'!$B$28),(($H66*'Alternative 1'!$B$39)+(2*(($N$32/3)*COS($K$33)))),IF(($A66&lt;'Alternative 1'!$B$29),(($H$3*'Alternative 1'!$B$39+(($N$32/3)*COS($K$33)))),($H66*'Alternative 1'!$B$39))))</f>
        <v>#VALUE!</v>
      </c>
      <c r="AL66" s="105" t="e">
        <f>AJ66*'Alternative 1'!$K67/'Alternative 1'!$L67</f>
        <v>#VALUE!</v>
      </c>
      <c r="AM66" s="105" t="e">
        <f>AK66/'Alternative 1'!$M67</f>
        <v>#VALUE!</v>
      </c>
      <c r="AN66" s="105" t="e">
        <f t="shared" si="5"/>
        <v>#VALUE!</v>
      </c>
      <c r="AP66" s="105" t="e">
        <f>'Alternative 1'!$B$39*$B66*$C66*COS($K$43)-($N$42/3)*$E66*SIN($K$43)-($N$42/3)*$F66*SIN($K$43)-($N$42/3)*$G66*SIN($K$43)</f>
        <v>#VALUE!</v>
      </c>
      <c r="AQ66" s="106" t="e">
        <f>IF(($A66&lt;'Alternative 1'!$B$27),(($H66*'Alternative 1'!$B$39)+(3*($N$42/3)*COS($K$43))),IF(($A66&lt;'Alternative 1'!$B$28),(($H66*'Alternative 1'!$B$39)+(2*(($N$42/3)*COS($K$43)))),IF(($A66&lt;'Alternative 1'!$B$29),(($H$3*'Alternative 1'!$B$39+(($N$42/3)*COS($K$43)))),($H66*'Alternative 1'!$B$39))))</f>
        <v>#VALUE!</v>
      </c>
      <c r="AR66" s="105" t="e">
        <f>AP66*'Alternative 1'!$K67/'Alternative 1'!$L67</f>
        <v>#VALUE!</v>
      </c>
      <c r="AS66" s="105" t="e">
        <f>AQ66/'Alternative 1'!$M67</f>
        <v>#VALUE!</v>
      </c>
      <c r="AT66" s="105" t="e">
        <f t="shared" si="6"/>
        <v>#VALUE!</v>
      </c>
      <c r="AV66" s="105" t="e">
        <f>'Alternative 1'!$B$39*$B66*$C66*COS($K$53)-($N$52/3)*$E66*SIN($K$53)-($N$52/3)*$F66*SIN($K$53)-($N$52/3)*$G66*SIN($K$53)</f>
        <v>#VALUE!</v>
      </c>
      <c r="AW66" s="106" t="e">
        <f>IF(($A66&lt;'Alternative 1'!$B$27),(($H66*'Alternative 1'!$B$39)+(3*($N$52/3)*COS($K$53))),IF(($A66&lt;'Alternative 1'!$B$28),(($H66*'Alternative 1'!$B$39)+(2*(($N$52/3)*COS($K$53)))),IF(($A66&lt;'Alternative 1'!$B$29),(($H$3*'Alternative 1'!$B$39+(($N$52/3)*COS($K$53)))),($H66*'Alternative 1'!$B$39))))</f>
        <v>#VALUE!</v>
      </c>
      <c r="AX66" s="105" t="e">
        <f>AV66*'Alternative 1'!$K67/'Alternative 1'!$L67</f>
        <v>#VALUE!</v>
      </c>
      <c r="AY66" s="105" t="e">
        <f>AW66/'Alternative 1'!$M67</f>
        <v>#VALUE!</v>
      </c>
      <c r="AZ66" s="105" t="e">
        <f t="shared" si="7"/>
        <v>#VALUE!</v>
      </c>
      <c r="BB66" s="105" t="e">
        <f>'Alternative 1'!$B$39*$B66*$C66*COS($K$63)-($N$62/3)*$E66*SIN($K$63)-($N$62/3)*$F66*SIN($K$63)-($N$62/3)*$G66*SIN($K$63)</f>
        <v>#VALUE!</v>
      </c>
      <c r="BC66" s="106" t="e">
        <f>IF(($A66&lt;'Alternative 1'!$B$27),(($H66*'Alternative 1'!$B$39)+(3*($N$62/3)*COS($K$63))),IF(($A66&lt;'Alternative 1'!$B$28),(($H66*'Alternative 1'!$B$39)+(2*(($N$62/3)*COS($K$63)))),IF(($A66&lt;'Alternative 1'!$B$29),(($H$3*'Alternative 1'!$B$39+(($N$62/3)*COS($K$63)))),($H66*'Alternative 1'!$B$39))))</f>
        <v>#VALUE!</v>
      </c>
      <c r="BD66" s="105" t="e">
        <f>BB66*'Alternative 1'!$K67/'Alternative 1'!$L67</f>
        <v>#VALUE!</v>
      </c>
      <c r="BE66" s="105" t="e">
        <f>BC66/'Alternative 1'!$M67</f>
        <v>#VALUE!</v>
      </c>
      <c r="BF66" s="105" t="e">
        <f t="shared" si="8"/>
        <v>#VALUE!</v>
      </c>
      <c r="BH66" s="105" t="e">
        <f>'Alternative 1'!$B$39*$B66*$C66*COS($K$73)-($N$72/3)*$E66*SIN($K$73)-($N$72/3)*$F66*SIN($K$73)-($N$72/3)*$G66*SIN($K$73)</f>
        <v>#VALUE!</v>
      </c>
      <c r="BI66" s="106" t="e">
        <f>IF(($A66&lt;'Alternative 1'!$B$27),(($H66*'Alternative 1'!$B$39)+(3*($N$72/3)*COS($K$73))),IF(($A66&lt;'Alternative 1'!$B$28),(($H66*'Alternative 1'!$B$39)+(2*(($N$72/3)*COS($K$73)))),IF(($A66&lt;'Alternative 1'!$B$29),(($H$3*'Alternative 1'!$B$39+(($N$72/3)*COS($K$73)))),($H66*'Alternative 1'!$B$39))))</f>
        <v>#VALUE!</v>
      </c>
      <c r="BJ66" s="105" t="e">
        <f>BH66*'Alternative 1'!$K67/'Alternative 1'!$L67</f>
        <v>#VALUE!</v>
      </c>
      <c r="BK66" s="105" t="e">
        <f>BI66/'Alternative 1'!$M67</f>
        <v>#VALUE!</v>
      </c>
      <c r="BL66" s="105" t="e">
        <f t="shared" si="9"/>
        <v>#VALUE!</v>
      </c>
      <c r="BN66" s="105" t="e">
        <f>'Alternative 1'!$B$39*$B66*$C66*COS($K$83)-($N$82/3)*$E66*SIN($K$83)-($N$82/3)*$F66*SIN($K$83)-($N$82/3)*$G66*SIN($K$83)</f>
        <v>#VALUE!</v>
      </c>
      <c r="BO66" s="106" t="e">
        <f>IF(($A66&lt;'Alternative 1'!$B$27),(($H66*'Alternative 1'!$B$39)+(3*($N$82/3)*COS($K$83))),IF(($A66&lt;'Alternative 1'!$B$28),(($H66*'Alternative 1'!$B$39)+(2*(($N$82/3)*COS($K$83)))),IF(($A66&lt;'Alternative 1'!$B$29),(($H$3*'Alternative 1'!$B$39+(($N$82/3)*COS($K$83)))),($H66*'Alternative 1'!$B$39))))</f>
        <v>#VALUE!</v>
      </c>
      <c r="BP66" s="105" t="e">
        <f>BN66*'Alternative 1'!$K67/'Alternative 1'!$L67</f>
        <v>#VALUE!</v>
      </c>
      <c r="BQ66" s="105" t="e">
        <f>BO66/'Alternative 1'!$M67</f>
        <v>#VALUE!</v>
      </c>
      <c r="BR66" s="105" t="e">
        <f t="shared" si="10"/>
        <v>#VALUE!</v>
      </c>
      <c r="BT66" s="105" t="e">
        <f>'Alternative 1'!$B$39*$B66*$C66*COS($K$93)-($K$92/3)*$E66*SIN($K$93)-($K$92/3)*$F66*SIN($K$93)-($K$92/3)*$G66*SIN($K$93)</f>
        <v>#VALUE!</v>
      </c>
      <c r="BU66" s="106" t="e">
        <f>IF(($A66&lt;'Alternative 1'!$B$27),(($H66*'Alternative 1'!$B$39)+(3*($N$92/3)*COS($K$93))),IF(($A66&lt;'Alternative 1'!$B$28),(($H66*'Alternative 1'!$B$39)+(2*(($N$92/3)*COS($K$93)))),IF(($A66&lt;'Alternative 1'!$B$29),(($H$3*'Alternative 1'!$B$39+(($N$92/3)*COS($K$93)))),($H66*'Alternative 1'!$B$39))))</f>
        <v>#VALUE!</v>
      </c>
      <c r="BV66" s="105" t="e">
        <f>BT66*'Alternative 1'!$K67/'Alternative 1'!$L67</f>
        <v>#VALUE!</v>
      </c>
      <c r="BW66" s="105" t="e">
        <f>BU66/'Alternative 1'!$M67</f>
        <v>#VALUE!</v>
      </c>
      <c r="BX66" s="105" t="e">
        <f t="shared" si="11"/>
        <v>#VALUE!</v>
      </c>
      <c r="BZ66" s="104">
        <v>150</v>
      </c>
      <c r="CA66" s="104">
        <v>-150</v>
      </c>
    </row>
    <row r="67" spans="1:79" ht="15" customHeight="1" x14ac:dyDescent="0.25">
      <c r="A67" s="18" t="str">
        <f>IF('Alternative 1'!F68&gt;0,'Alternative 1'!F68,"x")</f>
        <v>x</v>
      </c>
      <c r="B67" s="18" t="e">
        <f t="shared" si="17"/>
        <v>#VALUE!</v>
      </c>
      <c r="C67" s="18">
        <f t="shared" si="12"/>
        <v>0</v>
      </c>
      <c r="D67" s="18" t="str">
        <f t="shared" si="13"/>
        <v>x</v>
      </c>
      <c r="E67" s="101">
        <f>IF($A67&lt;='Alternative 1'!$B$27, IF($A67='Alternative 1'!$B$27,0,E68+1),0)</f>
        <v>0</v>
      </c>
      <c r="F67" s="101">
        <f>IF($A67&lt;=('Alternative 1'!$B$28), IF($A67=ROUNDDOWN('Alternative 1'!$B$28,0),0,F68+1),0)</f>
        <v>0</v>
      </c>
      <c r="G67" s="101">
        <f>IF($A67&lt;=('Alternative 1'!$B$29), IF($A67=ROUNDDOWN('Alternative 1'!$B$29,0),0,G68+1),0)</f>
        <v>0</v>
      </c>
      <c r="H67" s="18" t="e">
        <f t="shared" si="14"/>
        <v>#VALUE!</v>
      </c>
      <c r="J67" s="104">
        <f t="shared" si="15"/>
        <v>64</v>
      </c>
      <c r="K67" s="104">
        <f t="shared" si="16"/>
        <v>1.1170107212763709</v>
      </c>
      <c r="L67" s="105">
        <f>'Alternative 1'!$B$27*SIN(K67)+'Alternative 1'!$B$28*SIN(K67)+'Alternative 1'!$B$29*SIN(K67)</f>
        <v>61.117995148343354</v>
      </c>
      <c r="M67" s="104">
        <f>(('Alternative 1'!$B$27)*(((('Alternative 1'!$B$28-'Alternative 1'!$B$27)/2)+'Alternative 1'!$B$27)*'Alternative 1'!$B$39)*COS('Alternative 1-Tilt Up (3pt)'!K67))+(('Alternative 1'!$B$28)*((('Alternative 1'!$B$28-'Alternative 1'!$B$27)/2)+(('Alternative 1'!$B$29-'Alternative 1'!$B$28)/2))*('Alternative 1'!$B$39)*COS('Alternative 1-Tilt Up (3pt)'!K67))+(('Alternative 1'!$B$29)*((('Alternative 1'!$B$12-'Alternative 1'!$B$29+(('Alternative 1'!$B$29-'Alternative 1'!$B$28)/2)*('Alternative 1'!$B$39)*COS('Alternative 1-Tilt Up (3pt)'!K67)))))</f>
        <v>2080668.6178614735</v>
      </c>
      <c r="N67" s="104">
        <f t="shared" ref="N67:N93" si="18">M67*3/L67</f>
        <v>102130.40919346343</v>
      </c>
      <c r="O67" s="104">
        <f>(((('Alternative 1'!$B$28-'Alternative 1'!$B$27)/2)+'Alternative 1'!$B$27)*('Alternative 1'!$B$39)*COS('Alternative 1-Tilt Up (3pt)'!K67))+(((('Alternative 1'!$B$28-'Alternative 1'!$B$27)/2)+(('Alternative 1'!$B$29-'Alternative 1'!$B$28)/2))*('Alternative 1'!$B$39)*COS('Alternative 1-Tilt Up (3pt)'!K67))+(((('Alternative 1'!$B$12-'Alternative 1'!$B$29)+(('Alternative 1'!$B$29-'Alternative 1'!$B$28)/2))*('Alternative 1'!$B$39)*COS('Alternative 1-Tilt Up (3pt)'!K67)))</f>
        <v>134194.13452217163</v>
      </c>
      <c r="P67" s="104">
        <f t="shared" ref="P67:P93" si="19">N67*COS(K67)</f>
        <v>44771.024600176308</v>
      </c>
      <c r="R67" s="105" t="e">
        <f>'Alternative 1'!$B$39*$B67*$C67*COS($K$5)-($N$5/3)*$E67*SIN($K$5)-($N$5/3)*$F67*SIN($K$5)-($N$5/3)*$G67*SIN($K$5)</f>
        <v>#VALUE!</v>
      </c>
      <c r="S67" s="106" t="e">
        <f>IF(($A67&lt;'Alternative 1'!$B$27),(($H67*'Alternative 1'!$B$39)+(3*($N$5/3)*COS($K$5))),IF(($A67&lt;'Alternative 1'!$B$28),(($H67*'Alternative 1'!$B$39)+(2*(($N$5/3)*COS($K$5)))),IF(($A67&lt;'Alternative 1'!$B$29),(($H$3*'Alternative 1'!$B$39+(($N$5/3)*COS($K$5)))),($H67*'Alternative 1'!$B$39))))</f>
        <v>#VALUE!</v>
      </c>
      <c r="T67" s="105" t="e">
        <f>R67*'Alternative 1'!$K68/'Alternative 1'!$L68</f>
        <v>#VALUE!</v>
      </c>
      <c r="U67" s="105" t="e">
        <f>S67/'Alternative 1'!$M68</f>
        <v>#VALUE!</v>
      </c>
      <c r="V67" s="105" t="e">
        <f t="shared" ref="V67:V93" si="20">(T67+U67)/1000000</f>
        <v>#VALUE!</v>
      </c>
      <c r="X67" s="105" t="e">
        <f>'Alternative 1'!$B$39*$B67*$C67*COS($K$13)-($N$12/3)*$E67*SIN($K$13)-($N$12/3)*$F67*SIN($K$13)-($N$12/3)*$G67*SIN($K$13)</f>
        <v>#VALUE!</v>
      </c>
      <c r="Y67" s="106" t="e">
        <f>IF(($A67&lt;'Alternative 1'!$B$27),(($H67*'Alternative 1'!$B$39)+(3*($N$12/3)*COS($K$13))),IF(($A67&lt;'Alternative 1'!$B$28),(($H67*'Alternative 1'!$B$39)+(2*(($N$12/3)*COS($K$13)))),IF(($A67&lt;'Alternative 1'!$B$29),(($H$3*'Alternative 1'!$B$39+(($N$12/3)*COS($K$13)))),($H67*'Alternative 1'!$B$39))))</f>
        <v>#VALUE!</v>
      </c>
      <c r="Z67" s="105" t="e">
        <f>X67*'Alternative 1'!$K68/'Alternative 1'!$L68</f>
        <v>#VALUE!</v>
      </c>
      <c r="AA67" s="105" t="e">
        <f>Y67/'Alternative 1'!$M68</f>
        <v>#VALUE!</v>
      </c>
      <c r="AB67" s="105" t="e">
        <f t="shared" ref="AB67:AB93" si="21">(Z67+AA67)/1000000</f>
        <v>#VALUE!</v>
      </c>
      <c r="AD67" s="105" t="e">
        <f>'Alternative 1'!$B$39*$B67*$C67*COS($K$23)-($N$22/3)*$E67*SIN($K$23)-($N$22/3)*$F67*SIN($K$23)-($N$22/3)*$G67*SIN($K$23)</f>
        <v>#VALUE!</v>
      </c>
      <c r="AE67" s="106" t="e">
        <f>IF(($A67&lt;'Alternative 1'!$B$27),(($H67*'Alternative 1'!$B$39)+(3*($N$22/3)*COS($K$23))),IF(($A67&lt;'Alternative 1'!$B$28),(($H67*'Alternative 1'!$B$39)+(2*(($N$22/3)*COS($K$23)))),IF(($A67&lt;'Alternative 1'!$B$29),(($H$3*'Alternative 1'!$B$39+(($N$22/3)*COS($K$23)))),($H67*'Alternative 1'!$B$39))))</f>
        <v>#VALUE!</v>
      </c>
      <c r="AF67" s="105" t="e">
        <f>AD67*'Alternative 1'!$K68/'Alternative 1'!$L68</f>
        <v>#VALUE!</v>
      </c>
      <c r="AG67" s="105" t="e">
        <f>AE67/'Alternative 1'!$M68</f>
        <v>#VALUE!</v>
      </c>
      <c r="AH67" s="105" t="e">
        <f t="shared" ref="AH67:AH93" si="22">(AF67+AG67)/1000000</f>
        <v>#VALUE!</v>
      </c>
      <c r="AJ67" s="105" t="e">
        <f>'Alternative 1'!$B$39*$B67*$C67*COS($K$33)-($N$32/3)*$E67*SIN($K$33)-($N$32/3)*$F67*SIN($K$33)-($N$32/3)*$G67*SIN($K$33)</f>
        <v>#VALUE!</v>
      </c>
      <c r="AK67" s="106" t="e">
        <f>IF(($A67&lt;'Alternative 1'!$B$27),(($H67*'Alternative 1'!$B$39)+(3*($N$32/3)*COS($K$33))),IF(($A67&lt;'Alternative 1'!$B$28),(($H67*'Alternative 1'!$B$39)+(2*(($N$32/3)*COS($K$33)))),IF(($A67&lt;'Alternative 1'!$B$29),(($H$3*'Alternative 1'!$B$39+(($N$32/3)*COS($K$33)))),($H67*'Alternative 1'!$B$39))))</f>
        <v>#VALUE!</v>
      </c>
      <c r="AL67" s="105" t="e">
        <f>AJ67*'Alternative 1'!$K68/'Alternative 1'!$L68</f>
        <v>#VALUE!</v>
      </c>
      <c r="AM67" s="105" t="e">
        <f>AK67/'Alternative 1'!$M68</f>
        <v>#VALUE!</v>
      </c>
      <c r="AN67" s="105" t="e">
        <f t="shared" ref="AN67:AN93" si="23">(AL67+AM67)/1000000</f>
        <v>#VALUE!</v>
      </c>
      <c r="AP67" s="105" t="e">
        <f>'Alternative 1'!$B$39*$B67*$C67*COS($K$43)-($N$42/3)*$E67*SIN($K$43)-($N$42/3)*$F67*SIN($K$43)-($N$42/3)*$G67*SIN($K$43)</f>
        <v>#VALUE!</v>
      </c>
      <c r="AQ67" s="106" t="e">
        <f>IF(($A67&lt;'Alternative 1'!$B$27),(($H67*'Alternative 1'!$B$39)+(3*($N$42/3)*COS($K$43))),IF(($A67&lt;'Alternative 1'!$B$28),(($H67*'Alternative 1'!$B$39)+(2*(($N$42/3)*COS($K$43)))),IF(($A67&lt;'Alternative 1'!$B$29),(($H$3*'Alternative 1'!$B$39+(($N$42/3)*COS($K$43)))),($H67*'Alternative 1'!$B$39))))</f>
        <v>#VALUE!</v>
      </c>
      <c r="AR67" s="105" t="e">
        <f>AP67*'Alternative 1'!$K68/'Alternative 1'!$L68</f>
        <v>#VALUE!</v>
      </c>
      <c r="AS67" s="105" t="e">
        <f>AQ67/'Alternative 1'!$M68</f>
        <v>#VALUE!</v>
      </c>
      <c r="AT67" s="105" t="e">
        <f t="shared" ref="AT67:AT93" si="24">(AR67+AS67)/1000000</f>
        <v>#VALUE!</v>
      </c>
      <c r="AV67" s="105" t="e">
        <f>'Alternative 1'!$B$39*$B67*$C67*COS($K$53)-($N$52/3)*$E67*SIN($K$53)-($N$52/3)*$F67*SIN($K$53)-($N$52/3)*$G67*SIN($K$53)</f>
        <v>#VALUE!</v>
      </c>
      <c r="AW67" s="106" t="e">
        <f>IF(($A67&lt;'Alternative 1'!$B$27),(($H67*'Alternative 1'!$B$39)+(3*($N$52/3)*COS($K$53))),IF(($A67&lt;'Alternative 1'!$B$28),(($H67*'Alternative 1'!$B$39)+(2*(($N$52/3)*COS($K$53)))),IF(($A67&lt;'Alternative 1'!$B$29),(($H$3*'Alternative 1'!$B$39+(($N$52/3)*COS($K$53)))),($H67*'Alternative 1'!$B$39))))</f>
        <v>#VALUE!</v>
      </c>
      <c r="AX67" s="105" t="e">
        <f>AV67*'Alternative 1'!$K68/'Alternative 1'!$L68</f>
        <v>#VALUE!</v>
      </c>
      <c r="AY67" s="105" t="e">
        <f>AW67/'Alternative 1'!$M68</f>
        <v>#VALUE!</v>
      </c>
      <c r="AZ67" s="105" t="e">
        <f t="shared" ref="AZ67:AZ93" si="25">(AX67+AY67)/1000000</f>
        <v>#VALUE!</v>
      </c>
      <c r="BB67" s="105" t="e">
        <f>'Alternative 1'!$B$39*$B67*$C67*COS($K$63)-($N$62/3)*$E67*SIN($K$63)-($N$62/3)*$F67*SIN($K$63)-($N$62/3)*$G67*SIN($K$63)</f>
        <v>#VALUE!</v>
      </c>
      <c r="BC67" s="106" t="e">
        <f>IF(($A67&lt;'Alternative 1'!$B$27),(($H67*'Alternative 1'!$B$39)+(3*($N$62/3)*COS($K$63))),IF(($A67&lt;'Alternative 1'!$B$28),(($H67*'Alternative 1'!$B$39)+(2*(($N$62/3)*COS($K$63)))),IF(($A67&lt;'Alternative 1'!$B$29),(($H$3*'Alternative 1'!$B$39+(($N$62/3)*COS($K$63)))),($H67*'Alternative 1'!$B$39))))</f>
        <v>#VALUE!</v>
      </c>
      <c r="BD67" s="105" t="e">
        <f>BB67*'Alternative 1'!$K68/'Alternative 1'!$L68</f>
        <v>#VALUE!</v>
      </c>
      <c r="BE67" s="105" t="e">
        <f>BC67/'Alternative 1'!$M68</f>
        <v>#VALUE!</v>
      </c>
      <c r="BF67" s="105" t="e">
        <f t="shared" ref="BF67:BF93" si="26">(BD67+BE67)/1000000</f>
        <v>#VALUE!</v>
      </c>
      <c r="BH67" s="105" t="e">
        <f>'Alternative 1'!$B$39*$B67*$C67*COS($K$73)-($N$72/3)*$E67*SIN($K$73)-($N$72/3)*$F67*SIN($K$73)-($N$72/3)*$G67*SIN($K$73)</f>
        <v>#VALUE!</v>
      </c>
      <c r="BI67" s="106" t="e">
        <f>IF(($A67&lt;'Alternative 1'!$B$27),(($H67*'Alternative 1'!$B$39)+(3*($N$72/3)*COS($K$73))),IF(($A67&lt;'Alternative 1'!$B$28),(($H67*'Alternative 1'!$B$39)+(2*(($N$72/3)*COS($K$73)))),IF(($A67&lt;'Alternative 1'!$B$29),(($H$3*'Alternative 1'!$B$39+(($N$72/3)*COS($K$73)))),($H67*'Alternative 1'!$B$39))))</f>
        <v>#VALUE!</v>
      </c>
      <c r="BJ67" s="105" t="e">
        <f>BH67*'Alternative 1'!$K68/'Alternative 1'!$L68</f>
        <v>#VALUE!</v>
      </c>
      <c r="BK67" s="105" t="e">
        <f>BI67/'Alternative 1'!$M68</f>
        <v>#VALUE!</v>
      </c>
      <c r="BL67" s="105" t="e">
        <f t="shared" ref="BL67:BL93" si="27">(BJ67+BK67)/1000000</f>
        <v>#VALUE!</v>
      </c>
      <c r="BN67" s="105" t="e">
        <f>'Alternative 1'!$B$39*$B67*$C67*COS($K$83)-($N$82/3)*$E67*SIN($K$83)-($N$82/3)*$F67*SIN($K$83)-($N$82/3)*$G67*SIN($K$83)</f>
        <v>#VALUE!</v>
      </c>
      <c r="BO67" s="106" t="e">
        <f>IF(($A67&lt;'Alternative 1'!$B$27),(($H67*'Alternative 1'!$B$39)+(3*($N$82/3)*COS($K$83))),IF(($A67&lt;'Alternative 1'!$B$28),(($H67*'Alternative 1'!$B$39)+(2*(($N$82/3)*COS($K$83)))),IF(($A67&lt;'Alternative 1'!$B$29),(($H$3*'Alternative 1'!$B$39+(($N$82/3)*COS($K$83)))),($H67*'Alternative 1'!$B$39))))</f>
        <v>#VALUE!</v>
      </c>
      <c r="BP67" s="105" t="e">
        <f>BN67*'Alternative 1'!$K68/'Alternative 1'!$L68</f>
        <v>#VALUE!</v>
      </c>
      <c r="BQ67" s="105" t="e">
        <f>BO67/'Alternative 1'!$M68</f>
        <v>#VALUE!</v>
      </c>
      <c r="BR67" s="105" t="e">
        <f t="shared" ref="BR67:BR93" si="28">(BP67+BQ67)/1000000</f>
        <v>#VALUE!</v>
      </c>
      <c r="BT67" s="105" t="e">
        <f>'Alternative 1'!$B$39*$B67*$C67*COS($K$93)-($K$92/3)*$E67*SIN($K$93)-($K$92/3)*$F67*SIN($K$93)-($K$92/3)*$G67*SIN($K$93)</f>
        <v>#VALUE!</v>
      </c>
      <c r="BU67" s="106" t="e">
        <f>IF(($A67&lt;'Alternative 1'!$B$27),(($H67*'Alternative 1'!$B$39)+(3*($N$92/3)*COS($K$93))),IF(($A67&lt;'Alternative 1'!$B$28),(($H67*'Alternative 1'!$B$39)+(2*(($N$92/3)*COS($K$93)))),IF(($A67&lt;'Alternative 1'!$B$29),(($H$3*'Alternative 1'!$B$39+(($N$92/3)*COS($K$93)))),($H67*'Alternative 1'!$B$39))))</f>
        <v>#VALUE!</v>
      </c>
      <c r="BV67" s="105" t="e">
        <f>BT67*'Alternative 1'!$K68/'Alternative 1'!$L68</f>
        <v>#VALUE!</v>
      </c>
      <c r="BW67" s="105" t="e">
        <f>BU67/'Alternative 1'!$M68</f>
        <v>#VALUE!</v>
      </c>
      <c r="BX67" s="105" t="e">
        <f t="shared" ref="BX67:BX93" si="29">(BV67+BW67)/1000000</f>
        <v>#VALUE!</v>
      </c>
      <c r="BZ67" s="104">
        <v>150</v>
      </c>
      <c r="CA67" s="104">
        <v>-150</v>
      </c>
    </row>
    <row r="68" spans="1:79" ht="15" customHeight="1" x14ac:dyDescent="0.25">
      <c r="A68" s="18" t="str">
        <f>IF('Alternative 1'!F69&gt;0,'Alternative 1'!F69,"x")</f>
        <v>x</v>
      </c>
      <c r="B68" s="18" t="e">
        <f t="shared" si="17"/>
        <v>#VALUE!</v>
      </c>
      <c r="C68" s="18">
        <f t="shared" ref="C68:C92" si="30">IF((A68="x"),0,C69+0.5)</f>
        <v>0</v>
      </c>
      <c r="D68" s="18" t="str">
        <f t="shared" ref="D68:D92" si="31">A68</f>
        <v>x</v>
      </c>
      <c r="E68" s="101">
        <f>IF($A68&lt;='Alternative 1'!$B$27, IF($A68='Alternative 1'!$B$27,0,E69+1),0)</f>
        <v>0</v>
      </c>
      <c r="F68" s="101">
        <f>IF($A68&lt;=('Alternative 1'!$B$28), IF($A68=ROUNDDOWN('Alternative 1'!$B$28,0),0,F69+1),0)</f>
        <v>0</v>
      </c>
      <c r="G68" s="101">
        <f>IF($A68&lt;=('Alternative 1'!$B$29), IF($A68=ROUNDDOWN('Alternative 1'!$B$29,0),0,G69+1),0)</f>
        <v>0</v>
      </c>
      <c r="H68" s="18" t="e">
        <f t="shared" ref="H68:H92" si="32">B68</f>
        <v>#VALUE!</v>
      </c>
      <c r="J68" s="104">
        <f t="shared" ref="J68:J93" si="33">J67+1</f>
        <v>65</v>
      </c>
      <c r="K68" s="104">
        <f t="shared" ref="K68:K93" si="34">J68*PI()/180</f>
        <v>1.1344640137963142</v>
      </c>
      <c r="L68" s="105">
        <f>'Alternative 1'!$B$27*SIN(K68)+'Alternative 1'!$B$28*SIN(K68)+'Alternative 1'!$B$29*SIN(K68)</f>
        <v>61.628929518492193</v>
      </c>
      <c r="M68" s="104">
        <f>(('Alternative 1'!$B$27)*(((('Alternative 1'!$B$28-'Alternative 1'!$B$27)/2)+'Alternative 1'!$B$27)*'Alternative 1'!$B$39)*COS('Alternative 1-Tilt Up (3pt)'!K68))+(('Alternative 1'!$B$28)*((('Alternative 1'!$B$28-'Alternative 1'!$B$27)/2)+(('Alternative 1'!$B$29-'Alternative 1'!$B$28)/2))*('Alternative 1'!$B$39)*COS('Alternative 1-Tilt Up (3pt)'!K68))+(('Alternative 1'!$B$29)*((('Alternative 1'!$B$12-'Alternative 1'!$B$29+(('Alternative 1'!$B$29-'Alternative 1'!$B$28)/2)*('Alternative 1'!$B$39)*COS('Alternative 1-Tilt Up (3pt)'!K68)))))</f>
        <v>2005906.7361848082</v>
      </c>
      <c r="N68" s="104">
        <f t="shared" si="18"/>
        <v>97644.405891372255</v>
      </c>
      <c r="O68" s="104">
        <f>(((('Alternative 1'!$B$28-'Alternative 1'!$B$27)/2)+'Alternative 1'!$B$27)*('Alternative 1'!$B$39)*COS('Alternative 1-Tilt Up (3pt)'!K68))+(((('Alternative 1'!$B$28-'Alternative 1'!$B$27)/2)+(('Alternative 1'!$B$29-'Alternative 1'!$B$28)/2))*('Alternative 1'!$B$39)*COS('Alternative 1-Tilt Up (3pt)'!K68))+(((('Alternative 1'!$B$12-'Alternative 1'!$B$29)+(('Alternative 1'!$B$29-'Alternative 1'!$B$28)/2))*('Alternative 1'!$B$39)*COS('Alternative 1-Tilt Up (3pt)'!K68)))</f>
        <v>129371.8628220876</v>
      </c>
      <c r="P68" s="104">
        <f t="shared" si="19"/>
        <v>41266.309086515052</v>
      </c>
      <c r="R68" s="105" t="e">
        <f>'Alternative 1'!$B$39*$B68*$C68*COS($K$5)-($N$5/3)*$E68*SIN($K$5)-($N$5/3)*$F68*SIN($K$5)-($N$5/3)*$G68*SIN($K$5)</f>
        <v>#VALUE!</v>
      </c>
      <c r="S68" s="106" t="e">
        <f>IF(($A68&lt;'Alternative 1'!$B$27),(($H68*'Alternative 1'!$B$39)+(3*($N$5/3)*COS($K$5))),IF(($A68&lt;'Alternative 1'!$B$28),(($H68*'Alternative 1'!$B$39)+(2*(($N$5/3)*COS($K$5)))),IF(($A68&lt;'Alternative 1'!$B$29),(($H$3*'Alternative 1'!$B$39+(($N$5/3)*COS($K$5)))),($H68*'Alternative 1'!$B$39))))</f>
        <v>#VALUE!</v>
      </c>
      <c r="T68" s="105" t="e">
        <f>R68*'Alternative 1'!$K69/'Alternative 1'!$L69</f>
        <v>#VALUE!</v>
      </c>
      <c r="U68" s="105" t="e">
        <f>S68/'Alternative 1'!$M69</f>
        <v>#VALUE!</v>
      </c>
      <c r="V68" s="105" t="e">
        <f t="shared" si="20"/>
        <v>#VALUE!</v>
      </c>
      <c r="X68" s="105" t="e">
        <f>'Alternative 1'!$B$39*$B68*$C68*COS($K$13)-($N$12/3)*$E68*SIN($K$13)-($N$12/3)*$F68*SIN($K$13)-($N$12/3)*$G68*SIN($K$13)</f>
        <v>#VALUE!</v>
      </c>
      <c r="Y68" s="106" t="e">
        <f>IF(($A68&lt;'Alternative 1'!$B$27),(($H68*'Alternative 1'!$B$39)+(3*($N$12/3)*COS($K$13))),IF(($A68&lt;'Alternative 1'!$B$28),(($H68*'Alternative 1'!$B$39)+(2*(($N$12/3)*COS($K$13)))),IF(($A68&lt;'Alternative 1'!$B$29),(($H$3*'Alternative 1'!$B$39+(($N$12/3)*COS($K$13)))),($H68*'Alternative 1'!$B$39))))</f>
        <v>#VALUE!</v>
      </c>
      <c r="Z68" s="105" t="e">
        <f>X68*'Alternative 1'!$K69/'Alternative 1'!$L69</f>
        <v>#VALUE!</v>
      </c>
      <c r="AA68" s="105" t="e">
        <f>Y68/'Alternative 1'!$M69</f>
        <v>#VALUE!</v>
      </c>
      <c r="AB68" s="105" t="e">
        <f t="shared" si="21"/>
        <v>#VALUE!</v>
      </c>
      <c r="AD68" s="105" t="e">
        <f>'Alternative 1'!$B$39*$B68*$C68*COS($K$23)-($N$22/3)*$E68*SIN($K$23)-($N$22/3)*$F68*SIN($K$23)-($N$22/3)*$G68*SIN($K$23)</f>
        <v>#VALUE!</v>
      </c>
      <c r="AE68" s="106" t="e">
        <f>IF(($A68&lt;'Alternative 1'!$B$27),(($H68*'Alternative 1'!$B$39)+(3*($N$22/3)*COS($K$23))),IF(($A68&lt;'Alternative 1'!$B$28),(($H68*'Alternative 1'!$B$39)+(2*(($N$22/3)*COS($K$23)))),IF(($A68&lt;'Alternative 1'!$B$29),(($H$3*'Alternative 1'!$B$39+(($N$22/3)*COS($K$23)))),($H68*'Alternative 1'!$B$39))))</f>
        <v>#VALUE!</v>
      </c>
      <c r="AF68" s="105" t="e">
        <f>AD68*'Alternative 1'!$K69/'Alternative 1'!$L69</f>
        <v>#VALUE!</v>
      </c>
      <c r="AG68" s="105" t="e">
        <f>AE68/'Alternative 1'!$M69</f>
        <v>#VALUE!</v>
      </c>
      <c r="AH68" s="105" t="e">
        <f t="shared" si="22"/>
        <v>#VALUE!</v>
      </c>
      <c r="AJ68" s="105" t="e">
        <f>'Alternative 1'!$B$39*$B68*$C68*COS($K$33)-($N$32/3)*$E68*SIN($K$33)-($N$32/3)*$F68*SIN($K$33)-($N$32/3)*$G68*SIN($K$33)</f>
        <v>#VALUE!</v>
      </c>
      <c r="AK68" s="106" t="e">
        <f>IF(($A68&lt;'Alternative 1'!$B$27),(($H68*'Alternative 1'!$B$39)+(3*($N$32/3)*COS($K$33))),IF(($A68&lt;'Alternative 1'!$B$28),(($H68*'Alternative 1'!$B$39)+(2*(($N$32/3)*COS($K$33)))),IF(($A68&lt;'Alternative 1'!$B$29),(($H$3*'Alternative 1'!$B$39+(($N$32/3)*COS($K$33)))),($H68*'Alternative 1'!$B$39))))</f>
        <v>#VALUE!</v>
      </c>
      <c r="AL68" s="105" t="e">
        <f>AJ68*'Alternative 1'!$K69/'Alternative 1'!$L69</f>
        <v>#VALUE!</v>
      </c>
      <c r="AM68" s="105" t="e">
        <f>AK68/'Alternative 1'!$M69</f>
        <v>#VALUE!</v>
      </c>
      <c r="AN68" s="105" t="e">
        <f t="shared" si="23"/>
        <v>#VALUE!</v>
      </c>
      <c r="AP68" s="105" t="e">
        <f>'Alternative 1'!$B$39*$B68*$C68*COS($K$43)-($N$42/3)*$E68*SIN($K$43)-($N$42/3)*$F68*SIN($K$43)-($N$42/3)*$G68*SIN($K$43)</f>
        <v>#VALUE!</v>
      </c>
      <c r="AQ68" s="106" t="e">
        <f>IF(($A68&lt;'Alternative 1'!$B$27),(($H68*'Alternative 1'!$B$39)+(3*($N$42/3)*COS($K$43))),IF(($A68&lt;'Alternative 1'!$B$28),(($H68*'Alternative 1'!$B$39)+(2*(($N$42/3)*COS($K$43)))),IF(($A68&lt;'Alternative 1'!$B$29),(($H$3*'Alternative 1'!$B$39+(($N$42/3)*COS($K$43)))),($H68*'Alternative 1'!$B$39))))</f>
        <v>#VALUE!</v>
      </c>
      <c r="AR68" s="105" t="e">
        <f>AP68*'Alternative 1'!$K69/'Alternative 1'!$L69</f>
        <v>#VALUE!</v>
      </c>
      <c r="AS68" s="105" t="e">
        <f>AQ68/'Alternative 1'!$M69</f>
        <v>#VALUE!</v>
      </c>
      <c r="AT68" s="105" t="e">
        <f t="shared" si="24"/>
        <v>#VALUE!</v>
      </c>
      <c r="AV68" s="105" t="e">
        <f>'Alternative 1'!$B$39*$B68*$C68*COS($K$53)-($N$52/3)*$E68*SIN($K$53)-($N$52/3)*$F68*SIN($K$53)-($N$52/3)*$G68*SIN($K$53)</f>
        <v>#VALUE!</v>
      </c>
      <c r="AW68" s="106" t="e">
        <f>IF(($A68&lt;'Alternative 1'!$B$27),(($H68*'Alternative 1'!$B$39)+(3*($N$52/3)*COS($K$53))),IF(($A68&lt;'Alternative 1'!$B$28),(($H68*'Alternative 1'!$B$39)+(2*(($N$52/3)*COS($K$53)))),IF(($A68&lt;'Alternative 1'!$B$29),(($H$3*'Alternative 1'!$B$39+(($N$52/3)*COS($K$53)))),($H68*'Alternative 1'!$B$39))))</f>
        <v>#VALUE!</v>
      </c>
      <c r="AX68" s="105" t="e">
        <f>AV68*'Alternative 1'!$K69/'Alternative 1'!$L69</f>
        <v>#VALUE!</v>
      </c>
      <c r="AY68" s="105" t="e">
        <f>AW68/'Alternative 1'!$M69</f>
        <v>#VALUE!</v>
      </c>
      <c r="AZ68" s="105" t="e">
        <f t="shared" si="25"/>
        <v>#VALUE!</v>
      </c>
      <c r="BB68" s="105" t="e">
        <f>'Alternative 1'!$B$39*$B68*$C68*COS($K$63)-($N$62/3)*$E68*SIN($K$63)-($N$62/3)*$F68*SIN($K$63)-($N$62/3)*$G68*SIN($K$63)</f>
        <v>#VALUE!</v>
      </c>
      <c r="BC68" s="106" t="e">
        <f>IF(($A68&lt;'Alternative 1'!$B$27),(($H68*'Alternative 1'!$B$39)+(3*($N$62/3)*COS($K$63))),IF(($A68&lt;'Alternative 1'!$B$28),(($H68*'Alternative 1'!$B$39)+(2*(($N$62/3)*COS($K$63)))),IF(($A68&lt;'Alternative 1'!$B$29),(($H$3*'Alternative 1'!$B$39+(($N$62/3)*COS($K$63)))),($H68*'Alternative 1'!$B$39))))</f>
        <v>#VALUE!</v>
      </c>
      <c r="BD68" s="105" t="e">
        <f>BB68*'Alternative 1'!$K69/'Alternative 1'!$L69</f>
        <v>#VALUE!</v>
      </c>
      <c r="BE68" s="105" t="e">
        <f>BC68/'Alternative 1'!$M69</f>
        <v>#VALUE!</v>
      </c>
      <c r="BF68" s="105" t="e">
        <f t="shared" si="26"/>
        <v>#VALUE!</v>
      </c>
      <c r="BH68" s="105" t="e">
        <f>'Alternative 1'!$B$39*$B68*$C68*COS($K$73)-($N$72/3)*$E68*SIN($K$73)-($N$72/3)*$F68*SIN($K$73)-($N$72/3)*$G68*SIN($K$73)</f>
        <v>#VALUE!</v>
      </c>
      <c r="BI68" s="106" t="e">
        <f>IF(($A68&lt;'Alternative 1'!$B$27),(($H68*'Alternative 1'!$B$39)+(3*($N$72/3)*COS($K$73))),IF(($A68&lt;'Alternative 1'!$B$28),(($H68*'Alternative 1'!$B$39)+(2*(($N$72/3)*COS($K$73)))),IF(($A68&lt;'Alternative 1'!$B$29),(($H$3*'Alternative 1'!$B$39+(($N$72/3)*COS($K$73)))),($H68*'Alternative 1'!$B$39))))</f>
        <v>#VALUE!</v>
      </c>
      <c r="BJ68" s="105" t="e">
        <f>BH68*'Alternative 1'!$K69/'Alternative 1'!$L69</f>
        <v>#VALUE!</v>
      </c>
      <c r="BK68" s="105" t="e">
        <f>BI68/'Alternative 1'!$M69</f>
        <v>#VALUE!</v>
      </c>
      <c r="BL68" s="105" t="e">
        <f t="shared" si="27"/>
        <v>#VALUE!</v>
      </c>
      <c r="BN68" s="105" t="e">
        <f>'Alternative 1'!$B$39*$B68*$C68*COS($K$83)-($N$82/3)*$E68*SIN($K$83)-($N$82/3)*$F68*SIN($K$83)-($N$82/3)*$G68*SIN($K$83)</f>
        <v>#VALUE!</v>
      </c>
      <c r="BO68" s="106" t="e">
        <f>IF(($A68&lt;'Alternative 1'!$B$27),(($H68*'Alternative 1'!$B$39)+(3*($N$82/3)*COS($K$83))),IF(($A68&lt;'Alternative 1'!$B$28),(($H68*'Alternative 1'!$B$39)+(2*(($N$82/3)*COS($K$83)))),IF(($A68&lt;'Alternative 1'!$B$29),(($H$3*'Alternative 1'!$B$39+(($N$82/3)*COS($K$83)))),($H68*'Alternative 1'!$B$39))))</f>
        <v>#VALUE!</v>
      </c>
      <c r="BP68" s="105" t="e">
        <f>BN68*'Alternative 1'!$K69/'Alternative 1'!$L69</f>
        <v>#VALUE!</v>
      </c>
      <c r="BQ68" s="105" t="e">
        <f>BO68/'Alternative 1'!$M69</f>
        <v>#VALUE!</v>
      </c>
      <c r="BR68" s="105" t="e">
        <f t="shared" si="28"/>
        <v>#VALUE!</v>
      </c>
      <c r="BT68" s="105" t="e">
        <f>'Alternative 1'!$B$39*$B68*$C68*COS($K$93)-($K$92/3)*$E68*SIN($K$93)-($K$92/3)*$F68*SIN($K$93)-($K$92/3)*$G68*SIN($K$93)</f>
        <v>#VALUE!</v>
      </c>
      <c r="BU68" s="106" t="e">
        <f>IF(($A68&lt;'Alternative 1'!$B$27),(($H68*'Alternative 1'!$B$39)+(3*($N$92/3)*COS($K$93))),IF(($A68&lt;'Alternative 1'!$B$28),(($H68*'Alternative 1'!$B$39)+(2*(($N$92/3)*COS($K$93)))),IF(($A68&lt;'Alternative 1'!$B$29),(($H$3*'Alternative 1'!$B$39+(($N$92/3)*COS($K$93)))),($H68*'Alternative 1'!$B$39))))</f>
        <v>#VALUE!</v>
      </c>
      <c r="BV68" s="105" t="e">
        <f>BT68*'Alternative 1'!$K69/'Alternative 1'!$L69</f>
        <v>#VALUE!</v>
      </c>
      <c r="BW68" s="105" t="e">
        <f>BU68/'Alternative 1'!$M69</f>
        <v>#VALUE!</v>
      </c>
      <c r="BX68" s="105" t="e">
        <f t="shared" si="29"/>
        <v>#VALUE!</v>
      </c>
      <c r="BZ68" s="104">
        <v>150</v>
      </c>
      <c r="CA68" s="104">
        <v>-150</v>
      </c>
    </row>
    <row r="69" spans="1:79" ht="15" customHeight="1" x14ac:dyDescent="0.25">
      <c r="A69" s="18" t="str">
        <f>IF('Alternative 1'!F70&gt;0,'Alternative 1'!F70,"x")</f>
        <v>x</v>
      </c>
      <c r="B69" s="18" t="e">
        <f t="shared" ref="B69:B92" si="35">IF(B68-1&gt;0,B68-1,"x")</f>
        <v>#VALUE!</v>
      </c>
      <c r="C69" s="18">
        <f t="shared" si="30"/>
        <v>0</v>
      </c>
      <c r="D69" s="18" t="str">
        <f t="shared" si="31"/>
        <v>x</v>
      </c>
      <c r="E69" s="101">
        <f>IF($A69&lt;='Alternative 1'!$B$27, IF($A69='Alternative 1'!$B$27,0,E70+1),0)</f>
        <v>0</v>
      </c>
      <c r="F69" s="101">
        <f>IF($A69&lt;=('Alternative 1'!$B$28), IF($A69=ROUNDDOWN('Alternative 1'!$B$28,0),0,F70+1),0)</f>
        <v>0</v>
      </c>
      <c r="G69" s="101">
        <f>IF($A69&lt;=('Alternative 1'!$B$29), IF($A69=ROUNDDOWN('Alternative 1'!$B$29,0),0,G70+1),0)</f>
        <v>0</v>
      </c>
      <c r="H69" s="18" t="e">
        <f t="shared" si="32"/>
        <v>#VALUE!</v>
      </c>
      <c r="J69" s="104">
        <f t="shared" si="33"/>
        <v>66</v>
      </c>
      <c r="K69" s="104">
        <f t="shared" si="34"/>
        <v>1.1519173063162575</v>
      </c>
      <c r="L69" s="105">
        <f>'Alternative 1'!$B$27*SIN(K69)+'Alternative 1'!$B$28*SIN(K69)+'Alternative 1'!$B$29*SIN(K69)</f>
        <v>62.121091119696857</v>
      </c>
      <c r="M69" s="104">
        <f>(('Alternative 1'!$B$27)*(((('Alternative 1'!$B$28-'Alternative 1'!$B$27)/2)+'Alternative 1'!$B$27)*'Alternative 1'!$B$39)*COS('Alternative 1-Tilt Up (3pt)'!K69))+(('Alternative 1'!$B$28)*((('Alternative 1'!$B$28-'Alternative 1'!$B$27)/2)+(('Alternative 1'!$B$29-'Alternative 1'!$B$28)/2))*('Alternative 1'!$B$39)*COS('Alternative 1-Tilt Up (3pt)'!K69))+(('Alternative 1'!$B$29)*((('Alternative 1'!$B$12-'Alternative 1'!$B$29+(('Alternative 1'!$B$29-'Alternative 1'!$B$28)/2)*('Alternative 1'!$B$39)*COS('Alternative 1-Tilt Up (3pt)'!K69)))))</f>
        <v>1930533.8954757741</v>
      </c>
      <c r="N69" s="104">
        <f t="shared" si="18"/>
        <v>93230.84289147277</v>
      </c>
      <c r="O69" s="104">
        <f>(((('Alternative 1'!$B$28-'Alternative 1'!$B$27)/2)+'Alternative 1'!$B$27)*('Alternative 1'!$B$39)*COS('Alternative 1-Tilt Up (3pt)'!K69))+(((('Alternative 1'!$B$28-'Alternative 1'!$B$27)/2)+(('Alternative 1'!$B$29-'Alternative 1'!$B$28)/2))*('Alternative 1'!$B$39)*COS('Alternative 1-Tilt Up (3pt)'!K69))+(((('Alternative 1'!$B$12-'Alternative 1'!$B$29)+(('Alternative 1'!$B$29-'Alternative 1'!$B$28)/2))*('Alternative 1'!$B$39)*COS('Alternative 1-Tilt Up (3pt)'!K69)))</f>
        <v>124510.18319933461</v>
      </c>
      <c r="P69" s="104">
        <f t="shared" si="19"/>
        <v>37920.400068804964</v>
      </c>
      <c r="R69" s="105" t="e">
        <f>'Alternative 1'!$B$39*$B69*$C69*COS($K$5)-($N$5/3)*$E69*SIN($K$5)-($N$5/3)*$F69*SIN($K$5)-($N$5/3)*$G69*SIN($K$5)</f>
        <v>#VALUE!</v>
      </c>
      <c r="S69" s="106" t="e">
        <f>IF(($A69&lt;'Alternative 1'!$B$27),(($H69*'Alternative 1'!$B$39)+(3*($N$5/3)*COS($K$5))),IF(($A69&lt;'Alternative 1'!$B$28),(($H69*'Alternative 1'!$B$39)+(2*(($N$5/3)*COS($K$5)))),IF(($A69&lt;'Alternative 1'!$B$29),(($H$3*'Alternative 1'!$B$39+(($N$5/3)*COS($K$5)))),($H69*'Alternative 1'!$B$39))))</f>
        <v>#VALUE!</v>
      </c>
      <c r="T69" s="105" t="e">
        <f>R69*'Alternative 1'!$K70/'Alternative 1'!$L70</f>
        <v>#VALUE!</v>
      </c>
      <c r="U69" s="105" t="e">
        <f>S69/'Alternative 1'!$M70</f>
        <v>#VALUE!</v>
      </c>
      <c r="V69" s="105" t="e">
        <f t="shared" si="20"/>
        <v>#VALUE!</v>
      </c>
      <c r="X69" s="105" t="e">
        <f>'Alternative 1'!$B$39*$B69*$C69*COS($K$13)-($N$12/3)*$E69*SIN($K$13)-($N$12/3)*$F69*SIN($K$13)-($N$12/3)*$G69*SIN($K$13)</f>
        <v>#VALUE!</v>
      </c>
      <c r="Y69" s="106" t="e">
        <f>IF(($A69&lt;'Alternative 1'!$B$27),(($H69*'Alternative 1'!$B$39)+(3*($N$12/3)*COS($K$13))),IF(($A69&lt;'Alternative 1'!$B$28),(($H69*'Alternative 1'!$B$39)+(2*(($N$12/3)*COS($K$13)))),IF(($A69&lt;'Alternative 1'!$B$29),(($H$3*'Alternative 1'!$B$39+(($N$12/3)*COS($K$13)))),($H69*'Alternative 1'!$B$39))))</f>
        <v>#VALUE!</v>
      </c>
      <c r="Z69" s="105" t="e">
        <f>X69*'Alternative 1'!$K70/'Alternative 1'!$L70</f>
        <v>#VALUE!</v>
      </c>
      <c r="AA69" s="105" t="e">
        <f>Y69/'Alternative 1'!$M70</f>
        <v>#VALUE!</v>
      </c>
      <c r="AB69" s="105" t="e">
        <f t="shared" si="21"/>
        <v>#VALUE!</v>
      </c>
      <c r="AD69" s="105" t="e">
        <f>'Alternative 1'!$B$39*$B69*$C69*COS($K$23)-($N$22/3)*$E69*SIN($K$23)-($N$22/3)*$F69*SIN($K$23)-($N$22/3)*$G69*SIN($K$23)</f>
        <v>#VALUE!</v>
      </c>
      <c r="AE69" s="106" t="e">
        <f>IF(($A69&lt;'Alternative 1'!$B$27),(($H69*'Alternative 1'!$B$39)+(3*($N$22/3)*COS($K$23))),IF(($A69&lt;'Alternative 1'!$B$28),(($H69*'Alternative 1'!$B$39)+(2*(($N$22/3)*COS($K$23)))),IF(($A69&lt;'Alternative 1'!$B$29),(($H$3*'Alternative 1'!$B$39+(($N$22/3)*COS($K$23)))),($H69*'Alternative 1'!$B$39))))</f>
        <v>#VALUE!</v>
      </c>
      <c r="AF69" s="105" t="e">
        <f>AD69*'Alternative 1'!$K70/'Alternative 1'!$L70</f>
        <v>#VALUE!</v>
      </c>
      <c r="AG69" s="105" t="e">
        <f>AE69/'Alternative 1'!$M70</f>
        <v>#VALUE!</v>
      </c>
      <c r="AH69" s="105" t="e">
        <f t="shared" si="22"/>
        <v>#VALUE!</v>
      </c>
      <c r="AJ69" s="105" t="e">
        <f>'Alternative 1'!$B$39*$B69*$C69*COS($K$33)-($N$32/3)*$E69*SIN($K$33)-($N$32/3)*$F69*SIN($K$33)-($N$32/3)*$G69*SIN($K$33)</f>
        <v>#VALUE!</v>
      </c>
      <c r="AK69" s="106" t="e">
        <f>IF(($A69&lt;'Alternative 1'!$B$27),(($H69*'Alternative 1'!$B$39)+(3*($N$32/3)*COS($K$33))),IF(($A69&lt;'Alternative 1'!$B$28),(($H69*'Alternative 1'!$B$39)+(2*(($N$32/3)*COS($K$33)))),IF(($A69&lt;'Alternative 1'!$B$29),(($H$3*'Alternative 1'!$B$39+(($N$32/3)*COS($K$33)))),($H69*'Alternative 1'!$B$39))))</f>
        <v>#VALUE!</v>
      </c>
      <c r="AL69" s="105" t="e">
        <f>AJ69*'Alternative 1'!$K70/'Alternative 1'!$L70</f>
        <v>#VALUE!</v>
      </c>
      <c r="AM69" s="105" t="e">
        <f>AK69/'Alternative 1'!$M70</f>
        <v>#VALUE!</v>
      </c>
      <c r="AN69" s="105" t="e">
        <f t="shared" si="23"/>
        <v>#VALUE!</v>
      </c>
      <c r="AP69" s="105" t="e">
        <f>'Alternative 1'!$B$39*$B69*$C69*COS($K$43)-($N$42/3)*$E69*SIN($K$43)-($N$42/3)*$F69*SIN($K$43)-($N$42/3)*$G69*SIN($K$43)</f>
        <v>#VALUE!</v>
      </c>
      <c r="AQ69" s="106" t="e">
        <f>IF(($A69&lt;'Alternative 1'!$B$27),(($H69*'Alternative 1'!$B$39)+(3*($N$42/3)*COS($K$43))),IF(($A69&lt;'Alternative 1'!$B$28),(($H69*'Alternative 1'!$B$39)+(2*(($N$42/3)*COS($K$43)))),IF(($A69&lt;'Alternative 1'!$B$29),(($H$3*'Alternative 1'!$B$39+(($N$42/3)*COS($K$43)))),($H69*'Alternative 1'!$B$39))))</f>
        <v>#VALUE!</v>
      </c>
      <c r="AR69" s="105" t="e">
        <f>AP69*'Alternative 1'!$K70/'Alternative 1'!$L70</f>
        <v>#VALUE!</v>
      </c>
      <c r="AS69" s="105" t="e">
        <f>AQ69/'Alternative 1'!$M70</f>
        <v>#VALUE!</v>
      </c>
      <c r="AT69" s="105" t="e">
        <f t="shared" si="24"/>
        <v>#VALUE!</v>
      </c>
      <c r="AV69" s="105" t="e">
        <f>'Alternative 1'!$B$39*$B69*$C69*COS($K$53)-($N$52/3)*$E69*SIN($K$53)-($N$52/3)*$F69*SIN($K$53)-($N$52/3)*$G69*SIN($K$53)</f>
        <v>#VALUE!</v>
      </c>
      <c r="AW69" s="106" t="e">
        <f>IF(($A69&lt;'Alternative 1'!$B$27),(($H69*'Alternative 1'!$B$39)+(3*($N$52/3)*COS($K$53))),IF(($A69&lt;'Alternative 1'!$B$28),(($H69*'Alternative 1'!$B$39)+(2*(($N$52/3)*COS($K$53)))),IF(($A69&lt;'Alternative 1'!$B$29),(($H$3*'Alternative 1'!$B$39+(($N$52/3)*COS($K$53)))),($H69*'Alternative 1'!$B$39))))</f>
        <v>#VALUE!</v>
      </c>
      <c r="AX69" s="105" t="e">
        <f>AV69*'Alternative 1'!$K70/'Alternative 1'!$L70</f>
        <v>#VALUE!</v>
      </c>
      <c r="AY69" s="105" t="e">
        <f>AW69/'Alternative 1'!$M70</f>
        <v>#VALUE!</v>
      </c>
      <c r="AZ69" s="105" t="e">
        <f t="shared" si="25"/>
        <v>#VALUE!</v>
      </c>
      <c r="BB69" s="105" t="e">
        <f>'Alternative 1'!$B$39*$B69*$C69*COS($K$63)-($N$62/3)*$E69*SIN($K$63)-($N$62/3)*$F69*SIN($K$63)-($N$62/3)*$G69*SIN($K$63)</f>
        <v>#VALUE!</v>
      </c>
      <c r="BC69" s="106" t="e">
        <f>IF(($A69&lt;'Alternative 1'!$B$27),(($H69*'Alternative 1'!$B$39)+(3*($N$62/3)*COS($K$63))),IF(($A69&lt;'Alternative 1'!$B$28),(($H69*'Alternative 1'!$B$39)+(2*(($N$62/3)*COS($K$63)))),IF(($A69&lt;'Alternative 1'!$B$29),(($H$3*'Alternative 1'!$B$39+(($N$62/3)*COS($K$63)))),($H69*'Alternative 1'!$B$39))))</f>
        <v>#VALUE!</v>
      </c>
      <c r="BD69" s="105" t="e">
        <f>BB69*'Alternative 1'!$K70/'Alternative 1'!$L70</f>
        <v>#VALUE!</v>
      </c>
      <c r="BE69" s="105" t="e">
        <f>BC69/'Alternative 1'!$M70</f>
        <v>#VALUE!</v>
      </c>
      <c r="BF69" s="105" t="e">
        <f t="shared" si="26"/>
        <v>#VALUE!</v>
      </c>
      <c r="BH69" s="105" t="e">
        <f>'Alternative 1'!$B$39*$B69*$C69*COS($K$73)-($N$72/3)*$E69*SIN($K$73)-($N$72/3)*$F69*SIN($K$73)-($N$72/3)*$G69*SIN($K$73)</f>
        <v>#VALUE!</v>
      </c>
      <c r="BI69" s="106" t="e">
        <f>IF(($A69&lt;'Alternative 1'!$B$27),(($H69*'Alternative 1'!$B$39)+(3*($N$72/3)*COS($K$73))),IF(($A69&lt;'Alternative 1'!$B$28),(($H69*'Alternative 1'!$B$39)+(2*(($N$72/3)*COS($K$73)))),IF(($A69&lt;'Alternative 1'!$B$29),(($H$3*'Alternative 1'!$B$39+(($N$72/3)*COS($K$73)))),($H69*'Alternative 1'!$B$39))))</f>
        <v>#VALUE!</v>
      </c>
      <c r="BJ69" s="105" t="e">
        <f>BH69*'Alternative 1'!$K70/'Alternative 1'!$L70</f>
        <v>#VALUE!</v>
      </c>
      <c r="BK69" s="105" t="e">
        <f>BI69/'Alternative 1'!$M70</f>
        <v>#VALUE!</v>
      </c>
      <c r="BL69" s="105" t="e">
        <f t="shared" si="27"/>
        <v>#VALUE!</v>
      </c>
      <c r="BN69" s="105" t="e">
        <f>'Alternative 1'!$B$39*$B69*$C69*COS($K$83)-($N$82/3)*$E69*SIN($K$83)-($N$82/3)*$F69*SIN($K$83)-($N$82/3)*$G69*SIN($K$83)</f>
        <v>#VALUE!</v>
      </c>
      <c r="BO69" s="106" t="e">
        <f>IF(($A69&lt;'Alternative 1'!$B$27),(($H69*'Alternative 1'!$B$39)+(3*($N$82/3)*COS($K$83))),IF(($A69&lt;'Alternative 1'!$B$28),(($H69*'Alternative 1'!$B$39)+(2*(($N$82/3)*COS($K$83)))),IF(($A69&lt;'Alternative 1'!$B$29),(($H$3*'Alternative 1'!$B$39+(($N$82/3)*COS($K$83)))),($H69*'Alternative 1'!$B$39))))</f>
        <v>#VALUE!</v>
      </c>
      <c r="BP69" s="105" t="e">
        <f>BN69*'Alternative 1'!$K70/'Alternative 1'!$L70</f>
        <v>#VALUE!</v>
      </c>
      <c r="BQ69" s="105" t="e">
        <f>BO69/'Alternative 1'!$M70</f>
        <v>#VALUE!</v>
      </c>
      <c r="BR69" s="105" t="e">
        <f t="shared" si="28"/>
        <v>#VALUE!</v>
      </c>
      <c r="BT69" s="105" t="e">
        <f>'Alternative 1'!$B$39*$B69*$C69*COS($K$93)-($K$92/3)*$E69*SIN($K$93)-($K$92/3)*$F69*SIN($K$93)-($K$92/3)*$G69*SIN($K$93)</f>
        <v>#VALUE!</v>
      </c>
      <c r="BU69" s="106" t="e">
        <f>IF(($A69&lt;'Alternative 1'!$B$27),(($H69*'Alternative 1'!$B$39)+(3*($N$92/3)*COS($K$93))),IF(($A69&lt;'Alternative 1'!$B$28),(($H69*'Alternative 1'!$B$39)+(2*(($N$92/3)*COS($K$93)))),IF(($A69&lt;'Alternative 1'!$B$29),(($H$3*'Alternative 1'!$B$39+(($N$92/3)*COS($K$93)))),($H69*'Alternative 1'!$B$39))))</f>
        <v>#VALUE!</v>
      </c>
      <c r="BV69" s="105" t="e">
        <f>BT69*'Alternative 1'!$K70/'Alternative 1'!$L70</f>
        <v>#VALUE!</v>
      </c>
      <c r="BW69" s="105" t="e">
        <f>BU69/'Alternative 1'!$M70</f>
        <v>#VALUE!</v>
      </c>
      <c r="BX69" s="105" t="e">
        <f t="shared" si="29"/>
        <v>#VALUE!</v>
      </c>
      <c r="BZ69" s="104">
        <v>150</v>
      </c>
      <c r="CA69" s="104">
        <v>-150</v>
      </c>
    </row>
    <row r="70" spans="1:79" ht="15" customHeight="1" x14ac:dyDescent="0.25">
      <c r="A70" s="18" t="str">
        <f>IF('Alternative 1'!F71&gt;0,'Alternative 1'!F71,"x")</f>
        <v>x</v>
      </c>
      <c r="B70" s="18" t="e">
        <f t="shared" si="35"/>
        <v>#VALUE!</v>
      </c>
      <c r="C70" s="18">
        <f t="shared" si="30"/>
        <v>0</v>
      </c>
      <c r="D70" s="18" t="str">
        <f t="shared" si="31"/>
        <v>x</v>
      </c>
      <c r="E70" s="101">
        <f>IF($A70&lt;='Alternative 1'!$B$27, IF($A70='Alternative 1'!$B$27,0,E71+1),0)</f>
        <v>0</v>
      </c>
      <c r="F70" s="101">
        <f>IF($A70&lt;=('Alternative 1'!$B$28), IF($A70=ROUNDDOWN('Alternative 1'!$B$28,0),0,F71+1),0)</f>
        <v>0</v>
      </c>
      <c r="G70" s="101">
        <f>IF($A70&lt;=('Alternative 1'!$B$29), IF($A70=ROUNDDOWN('Alternative 1'!$B$29,0),0,G71+1),0)</f>
        <v>0</v>
      </c>
      <c r="H70" s="18" t="e">
        <f t="shared" si="32"/>
        <v>#VALUE!</v>
      </c>
      <c r="J70" s="104">
        <f t="shared" si="33"/>
        <v>67</v>
      </c>
      <c r="K70" s="104">
        <f t="shared" si="34"/>
        <v>1.1693705988362006</v>
      </c>
      <c r="L70" s="105">
        <f>'Alternative 1'!$B$27*SIN(K70)+'Alternative 1'!$B$28*SIN(K70)+'Alternative 1'!$B$29*SIN(K70)</f>
        <v>62.594330034765939</v>
      </c>
      <c r="M70" s="104">
        <f>(('Alternative 1'!$B$27)*(((('Alternative 1'!$B$28-'Alternative 1'!$B$27)/2)+'Alternative 1'!$B$27)*'Alternative 1'!$B$39)*COS('Alternative 1-Tilt Up (3pt)'!K70))+(('Alternative 1'!$B$28)*((('Alternative 1'!$B$28-'Alternative 1'!$B$27)/2)+(('Alternative 1'!$B$29-'Alternative 1'!$B$28)/2))*('Alternative 1'!$B$39)*COS('Alternative 1-Tilt Up (3pt)'!K70))+(('Alternative 1'!$B$29)*((('Alternative 1'!$B$12-'Alternative 1'!$B$29+(('Alternative 1'!$B$29-'Alternative 1'!$B$28)/2)*('Alternative 1'!$B$39)*COS('Alternative 1-Tilt Up (3pt)'!K70)))))</f>
        <v>1854573.0550318055</v>
      </c>
      <c r="N70" s="104">
        <f t="shared" si="18"/>
        <v>88885.353705443194</v>
      </c>
      <c r="O70" s="104">
        <f>(((('Alternative 1'!$B$28-'Alternative 1'!$B$27)/2)+'Alternative 1'!$B$27)*('Alternative 1'!$B$39)*COS('Alternative 1-Tilt Up (3pt)'!K70))+(((('Alternative 1'!$B$28-'Alternative 1'!$B$27)/2)+(('Alternative 1'!$B$29-'Alternative 1'!$B$28)/2))*('Alternative 1'!$B$39)*COS('Alternative 1-Tilt Up (3pt)'!K70))+(((('Alternative 1'!$B$12-'Alternative 1'!$B$29)+(('Alternative 1'!$B$29-'Alternative 1'!$B$28)/2))*('Alternative 1'!$B$39)*COS('Alternative 1-Tilt Up (3pt)'!K70)))</f>
        <v>119610.57656862192</v>
      </c>
      <c r="P70" s="104">
        <f t="shared" si="19"/>
        <v>34730.274559496087</v>
      </c>
      <c r="R70" s="105" t="e">
        <f>'Alternative 1'!$B$39*$B70*$C70*COS($K$5)-($N$5/3)*$E70*SIN($K$5)-($N$5/3)*$F70*SIN($K$5)-($N$5/3)*$G70*SIN($K$5)</f>
        <v>#VALUE!</v>
      </c>
      <c r="S70" s="106" t="e">
        <f>IF(($A70&lt;'Alternative 1'!$B$27),(($H70*'Alternative 1'!$B$39)+(3*($N$5/3)*COS($K$5))),IF(($A70&lt;'Alternative 1'!$B$28),(($H70*'Alternative 1'!$B$39)+(2*(($N$5/3)*COS($K$5)))),IF(($A70&lt;'Alternative 1'!$B$29),(($H$3*'Alternative 1'!$B$39+(($N$5/3)*COS($K$5)))),($H70*'Alternative 1'!$B$39))))</f>
        <v>#VALUE!</v>
      </c>
      <c r="T70" s="105" t="e">
        <f>R70*'Alternative 1'!$K71/'Alternative 1'!$L71</f>
        <v>#VALUE!</v>
      </c>
      <c r="U70" s="105" t="e">
        <f>S70/'Alternative 1'!$M71</f>
        <v>#VALUE!</v>
      </c>
      <c r="V70" s="105" t="e">
        <f t="shared" si="20"/>
        <v>#VALUE!</v>
      </c>
      <c r="X70" s="105" t="e">
        <f>'Alternative 1'!$B$39*$B70*$C70*COS($K$13)-($N$12/3)*$E70*SIN($K$13)-($N$12/3)*$F70*SIN($K$13)-($N$12/3)*$G70*SIN($K$13)</f>
        <v>#VALUE!</v>
      </c>
      <c r="Y70" s="106" t="e">
        <f>IF(($A70&lt;'Alternative 1'!$B$27),(($H70*'Alternative 1'!$B$39)+(3*($N$12/3)*COS($K$13))),IF(($A70&lt;'Alternative 1'!$B$28),(($H70*'Alternative 1'!$B$39)+(2*(($N$12/3)*COS($K$13)))),IF(($A70&lt;'Alternative 1'!$B$29),(($H$3*'Alternative 1'!$B$39+(($N$12/3)*COS($K$13)))),($H70*'Alternative 1'!$B$39))))</f>
        <v>#VALUE!</v>
      </c>
      <c r="Z70" s="105" t="e">
        <f>X70*'Alternative 1'!$K71/'Alternative 1'!$L71</f>
        <v>#VALUE!</v>
      </c>
      <c r="AA70" s="105" t="e">
        <f>Y70/'Alternative 1'!$M71</f>
        <v>#VALUE!</v>
      </c>
      <c r="AB70" s="105" t="e">
        <f t="shared" si="21"/>
        <v>#VALUE!</v>
      </c>
      <c r="AD70" s="105" t="e">
        <f>'Alternative 1'!$B$39*$B70*$C70*COS($K$23)-($N$22/3)*$E70*SIN($K$23)-($N$22/3)*$F70*SIN($K$23)-($N$22/3)*$G70*SIN($K$23)</f>
        <v>#VALUE!</v>
      </c>
      <c r="AE70" s="106" t="e">
        <f>IF(($A70&lt;'Alternative 1'!$B$27),(($H70*'Alternative 1'!$B$39)+(3*($N$22/3)*COS($K$23))),IF(($A70&lt;'Alternative 1'!$B$28),(($H70*'Alternative 1'!$B$39)+(2*(($N$22/3)*COS($K$23)))),IF(($A70&lt;'Alternative 1'!$B$29),(($H$3*'Alternative 1'!$B$39+(($N$22/3)*COS($K$23)))),($H70*'Alternative 1'!$B$39))))</f>
        <v>#VALUE!</v>
      </c>
      <c r="AF70" s="105" t="e">
        <f>AD70*'Alternative 1'!$K71/'Alternative 1'!$L71</f>
        <v>#VALUE!</v>
      </c>
      <c r="AG70" s="105" t="e">
        <f>AE70/'Alternative 1'!$M71</f>
        <v>#VALUE!</v>
      </c>
      <c r="AH70" s="105" t="e">
        <f t="shared" si="22"/>
        <v>#VALUE!</v>
      </c>
      <c r="AJ70" s="105" t="e">
        <f>'Alternative 1'!$B$39*$B70*$C70*COS($K$33)-($N$32/3)*$E70*SIN($K$33)-($N$32/3)*$F70*SIN($K$33)-($N$32/3)*$G70*SIN($K$33)</f>
        <v>#VALUE!</v>
      </c>
      <c r="AK70" s="106" t="e">
        <f>IF(($A70&lt;'Alternative 1'!$B$27),(($H70*'Alternative 1'!$B$39)+(3*($N$32/3)*COS($K$33))),IF(($A70&lt;'Alternative 1'!$B$28),(($H70*'Alternative 1'!$B$39)+(2*(($N$32/3)*COS($K$33)))),IF(($A70&lt;'Alternative 1'!$B$29),(($H$3*'Alternative 1'!$B$39+(($N$32/3)*COS($K$33)))),($H70*'Alternative 1'!$B$39))))</f>
        <v>#VALUE!</v>
      </c>
      <c r="AL70" s="105" t="e">
        <f>AJ70*'Alternative 1'!$K71/'Alternative 1'!$L71</f>
        <v>#VALUE!</v>
      </c>
      <c r="AM70" s="105" t="e">
        <f>AK70/'Alternative 1'!$M71</f>
        <v>#VALUE!</v>
      </c>
      <c r="AN70" s="105" t="e">
        <f t="shared" si="23"/>
        <v>#VALUE!</v>
      </c>
      <c r="AP70" s="105" t="e">
        <f>'Alternative 1'!$B$39*$B70*$C70*COS($K$43)-($N$42/3)*$E70*SIN($K$43)-($N$42/3)*$F70*SIN($K$43)-($N$42/3)*$G70*SIN($K$43)</f>
        <v>#VALUE!</v>
      </c>
      <c r="AQ70" s="106" t="e">
        <f>IF(($A70&lt;'Alternative 1'!$B$27),(($H70*'Alternative 1'!$B$39)+(3*($N$42/3)*COS($K$43))),IF(($A70&lt;'Alternative 1'!$B$28),(($H70*'Alternative 1'!$B$39)+(2*(($N$42/3)*COS($K$43)))),IF(($A70&lt;'Alternative 1'!$B$29),(($H$3*'Alternative 1'!$B$39+(($N$42/3)*COS($K$43)))),($H70*'Alternative 1'!$B$39))))</f>
        <v>#VALUE!</v>
      </c>
      <c r="AR70" s="105" t="e">
        <f>AP70*'Alternative 1'!$K71/'Alternative 1'!$L71</f>
        <v>#VALUE!</v>
      </c>
      <c r="AS70" s="105" t="e">
        <f>AQ70/'Alternative 1'!$M71</f>
        <v>#VALUE!</v>
      </c>
      <c r="AT70" s="105" t="e">
        <f t="shared" si="24"/>
        <v>#VALUE!</v>
      </c>
      <c r="AV70" s="105" t="e">
        <f>'Alternative 1'!$B$39*$B70*$C70*COS($K$53)-($N$52/3)*$E70*SIN($K$53)-($N$52/3)*$F70*SIN($K$53)-($N$52/3)*$G70*SIN($K$53)</f>
        <v>#VALUE!</v>
      </c>
      <c r="AW70" s="106" t="e">
        <f>IF(($A70&lt;'Alternative 1'!$B$27),(($H70*'Alternative 1'!$B$39)+(3*($N$52/3)*COS($K$53))),IF(($A70&lt;'Alternative 1'!$B$28),(($H70*'Alternative 1'!$B$39)+(2*(($N$52/3)*COS($K$53)))),IF(($A70&lt;'Alternative 1'!$B$29),(($H$3*'Alternative 1'!$B$39+(($N$52/3)*COS($K$53)))),($H70*'Alternative 1'!$B$39))))</f>
        <v>#VALUE!</v>
      </c>
      <c r="AX70" s="105" t="e">
        <f>AV70*'Alternative 1'!$K71/'Alternative 1'!$L71</f>
        <v>#VALUE!</v>
      </c>
      <c r="AY70" s="105" t="e">
        <f>AW70/'Alternative 1'!$M71</f>
        <v>#VALUE!</v>
      </c>
      <c r="AZ70" s="105" t="e">
        <f t="shared" si="25"/>
        <v>#VALUE!</v>
      </c>
      <c r="BB70" s="105" t="e">
        <f>'Alternative 1'!$B$39*$B70*$C70*COS($K$63)-($N$62/3)*$E70*SIN($K$63)-($N$62/3)*$F70*SIN($K$63)-($N$62/3)*$G70*SIN($K$63)</f>
        <v>#VALUE!</v>
      </c>
      <c r="BC70" s="106" t="e">
        <f>IF(($A70&lt;'Alternative 1'!$B$27),(($H70*'Alternative 1'!$B$39)+(3*($N$62/3)*COS($K$63))),IF(($A70&lt;'Alternative 1'!$B$28),(($H70*'Alternative 1'!$B$39)+(2*(($N$62/3)*COS($K$63)))),IF(($A70&lt;'Alternative 1'!$B$29),(($H$3*'Alternative 1'!$B$39+(($N$62/3)*COS($K$63)))),($H70*'Alternative 1'!$B$39))))</f>
        <v>#VALUE!</v>
      </c>
      <c r="BD70" s="105" t="e">
        <f>BB70*'Alternative 1'!$K71/'Alternative 1'!$L71</f>
        <v>#VALUE!</v>
      </c>
      <c r="BE70" s="105" t="e">
        <f>BC70/'Alternative 1'!$M71</f>
        <v>#VALUE!</v>
      </c>
      <c r="BF70" s="105" t="e">
        <f t="shared" si="26"/>
        <v>#VALUE!</v>
      </c>
      <c r="BH70" s="105" t="e">
        <f>'Alternative 1'!$B$39*$B70*$C70*COS($K$73)-($N$72/3)*$E70*SIN($K$73)-($N$72/3)*$F70*SIN($K$73)-($N$72/3)*$G70*SIN($K$73)</f>
        <v>#VALUE!</v>
      </c>
      <c r="BI70" s="106" t="e">
        <f>IF(($A70&lt;'Alternative 1'!$B$27),(($H70*'Alternative 1'!$B$39)+(3*($N$72/3)*COS($K$73))),IF(($A70&lt;'Alternative 1'!$B$28),(($H70*'Alternative 1'!$B$39)+(2*(($N$72/3)*COS($K$73)))),IF(($A70&lt;'Alternative 1'!$B$29),(($H$3*'Alternative 1'!$B$39+(($N$72/3)*COS($K$73)))),($H70*'Alternative 1'!$B$39))))</f>
        <v>#VALUE!</v>
      </c>
      <c r="BJ70" s="105" t="e">
        <f>BH70*'Alternative 1'!$K71/'Alternative 1'!$L71</f>
        <v>#VALUE!</v>
      </c>
      <c r="BK70" s="105" t="e">
        <f>BI70/'Alternative 1'!$M71</f>
        <v>#VALUE!</v>
      </c>
      <c r="BL70" s="105" t="e">
        <f t="shared" si="27"/>
        <v>#VALUE!</v>
      </c>
      <c r="BN70" s="105" t="e">
        <f>'Alternative 1'!$B$39*$B70*$C70*COS($K$83)-($N$82/3)*$E70*SIN($K$83)-($N$82/3)*$F70*SIN($K$83)-($N$82/3)*$G70*SIN($K$83)</f>
        <v>#VALUE!</v>
      </c>
      <c r="BO70" s="106" t="e">
        <f>IF(($A70&lt;'Alternative 1'!$B$27),(($H70*'Alternative 1'!$B$39)+(3*($N$82/3)*COS($K$83))),IF(($A70&lt;'Alternative 1'!$B$28),(($H70*'Alternative 1'!$B$39)+(2*(($N$82/3)*COS($K$83)))),IF(($A70&lt;'Alternative 1'!$B$29),(($H$3*'Alternative 1'!$B$39+(($N$82/3)*COS($K$83)))),($H70*'Alternative 1'!$B$39))))</f>
        <v>#VALUE!</v>
      </c>
      <c r="BP70" s="105" t="e">
        <f>BN70*'Alternative 1'!$K71/'Alternative 1'!$L71</f>
        <v>#VALUE!</v>
      </c>
      <c r="BQ70" s="105" t="e">
        <f>BO70/'Alternative 1'!$M71</f>
        <v>#VALUE!</v>
      </c>
      <c r="BR70" s="105" t="e">
        <f t="shared" si="28"/>
        <v>#VALUE!</v>
      </c>
      <c r="BT70" s="105" t="e">
        <f>'Alternative 1'!$B$39*$B70*$C70*COS($K$93)-($K$92/3)*$E70*SIN($K$93)-($K$92/3)*$F70*SIN($K$93)-($K$92/3)*$G70*SIN($K$93)</f>
        <v>#VALUE!</v>
      </c>
      <c r="BU70" s="106" t="e">
        <f>IF(($A70&lt;'Alternative 1'!$B$27),(($H70*'Alternative 1'!$B$39)+(3*($N$92/3)*COS($K$93))),IF(($A70&lt;'Alternative 1'!$B$28),(($H70*'Alternative 1'!$B$39)+(2*(($N$92/3)*COS($K$93)))),IF(($A70&lt;'Alternative 1'!$B$29),(($H$3*'Alternative 1'!$B$39+(($N$92/3)*COS($K$93)))),($H70*'Alternative 1'!$B$39))))</f>
        <v>#VALUE!</v>
      </c>
      <c r="BV70" s="105" t="e">
        <f>BT70*'Alternative 1'!$K71/'Alternative 1'!$L71</f>
        <v>#VALUE!</v>
      </c>
      <c r="BW70" s="105" t="e">
        <f>BU70/'Alternative 1'!$M71</f>
        <v>#VALUE!</v>
      </c>
      <c r="BX70" s="105" t="e">
        <f t="shared" si="29"/>
        <v>#VALUE!</v>
      </c>
    </row>
    <row r="71" spans="1:79" ht="15" customHeight="1" x14ac:dyDescent="0.25">
      <c r="A71" s="18" t="str">
        <f>IF('Alternative 1'!F72&gt;0,'Alternative 1'!F72,"x")</f>
        <v>x</v>
      </c>
      <c r="B71" s="18" t="e">
        <f t="shared" si="35"/>
        <v>#VALUE!</v>
      </c>
      <c r="C71" s="18">
        <f t="shared" si="30"/>
        <v>0</v>
      </c>
      <c r="D71" s="18" t="str">
        <f t="shared" si="31"/>
        <v>x</v>
      </c>
      <c r="E71" s="101">
        <f>IF($A71&lt;='Alternative 1'!$B$27, IF($A71='Alternative 1'!$B$27,0,E72+1),0)</f>
        <v>0</v>
      </c>
      <c r="F71" s="101">
        <f>IF($A71&lt;=('Alternative 1'!$B$28), IF($A71=ROUNDDOWN('Alternative 1'!$B$28,0),0,F72+1),0)</f>
        <v>0</v>
      </c>
      <c r="G71" s="101">
        <f>IF($A71&lt;=('Alternative 1'!$B$29), IF($A71=ROUNDDOWN('Alternative 1'!$B$29,0),0,G72+1),0)</f>
        <v>0</v>
      </c>
      <c r="H71" s="18" t="e">
        <f t="shared" si="32"/>
        <v>#VALUE!</v>
      </c>
      <c r="J71" s="104">
        <f t="shared" si="33"/>
        <v>68</v>
      </c>
      <c r="K71" s="104">
        <f t="shared" si="34"/>
        <v>1.1868238913561442</v>
      </c>
      <c r="L71" s="105">
        <f>'Alternative 1'!$B$27*SIN(K71)+'Alternative 1'!$B$28*SIN(K71)+'Alternative 1'!$B$29*SIN(K71)</f>
        <v>63.048502110541548</v>
      </c>
      <c r="M71" s="104">
        <f>(('Alternative 1'!$B$27)*(((('Alternative 1'!$B$28-'Alternative 1'!$B$27)/2)+'Alternative 1'!$B$27)*'Alternative 1'!$B$39)*COS('Alternative 1-Tilt Up (3pt)'!K71))+(('Alternative 1'!$B$28)*((('Alternative 1'!$B$28-'Alternative 1'!$B$27)/2)+(('Alternative 1'!$B$29-'Alternative 1'!$B$28)/2))*('Alternative 1'!$B$39)*COS('Alternative 1-Tilt Up (3pt)'!K71))+(('Alternative 1'!$B$29)*((('Alternative 1'!$B$12-'Alternative 1'!$B$29+(('Alternative 1'!$B$29-'Alternative 1'!$B$28)/2)*('Alternative 1'!$B$39)*COS('Alternative 1-Tilt Up (3pt)'!K71)))))</f>
        <v>1778047.3532607479</v>
      </c>
      <c r="N71" s="104">
        <f t="shared" si="18"/>
        <v>84603.787262542886</v>
      </c>
      <c r="O71" s="104">
        <f>(((('Alternative 1'!$B$28-'Alternative 1'!$B$27)/2)+'Alternative 1'!$B$27)*('Alternative 1'!$B$39)*COS('Alternative 1-Tilt Up (3pt)'!K71))+(((('Alternative 1'!$B$28-'Alternative 1'!$B$27)/2)+(('Alternative 1'!$B$29-'Alternative 1'!$B$28)/2))*('Alternative 1'!$B$39)*COS('Alternative 1-Tilt Up (3pt)'!K71))+(((('Alternative 1'!$B$12-'Alternative 1'!$B$29)+(('Alternative 1'!$B$29-'Alternative 1'!$B$28)/2))*('Alternative 1'!$B$39)*COS('Alternative 1-Tilt Up (3pt)'!K71)))</f>
        <v>114674.53539759264</v>
      </c>
      <c r="P71" s="104">
        <f t="shared" si="19"/>
        <v>31693.136536505714</v>
      </c>
      <c r="R71" s="105" t="e">
        <f>'Alternative 1'!$B$39*$B71*$C71*COS($K$5)-($N$5/3)*$E71*SIN($K$5)-($N$5/3)*$F71*SIN($K$5)-($N$5/3)*$G71*SIN($K$5)</f>
        <v>#VALUE!</v>
      </c>
      <c r="S71" s="106" t="e">
        <f>IF(($A71&lt;'Alternative 1'!$B$27),(($H71*'Alternative 1'!$B$39)+(3*($N$5/3)*COS($K$5))),IF(($A71&lt;'Alternative 1'!$B$28),(($H71*'Alternative 1'!$B$39)+(2*(($N$5/3)*COS($K$5)))),IF(($A71&lt;'Alternative 1'!$B$29),(($H$3*'Alternative 1'!$B$39+(($N$5/3)*COS($K$5)))),($H71*'Alternative 1'!$B$39))))</f>
        <v>#VALUE!</v>
      </c>
      <c r="T71" s="105" t="e">
        <f>R71*'Alternative 1'!$K72/'Alternative 1'!$L72</f>
        <v>#VALUE!</v>
      </c>
      <c r="U71" s="105" t="e">
        <f>S71/'Alternative 1'!$M72</f>
        <v>#VALUE!</v>
      </c>
      <c r="V71" s="105" t="e">
        <f t="shared" si="20"/>
        <v>#VALUE!</v>
      </c>
      <c r="X71" s="105" t="e">
        <f>'Alternative 1'!$B$39*$B71*$C71*COS($K$13)-($N$12/3)*$E71*SIN($K$13)-($N$12/3)*$F71*SIN($K$13)-($N$12/3)*$G71*SIN($K$13)</f>
        <v>#VALUE!</v>
      </c>
      <c r="Y71" s="106" t="e">
        <f>IF(($A71&lt;'Alternative 1'!$B$27),(($H71*'Alternative 1'!$B$39)+(3*($N$12/3)*COS($K$13))),IF(($A71&lt;'Alternative 1'!$B$28),(($H71*'Alternative 1'!$B$39)+(2*(($N$12/3)*COS($K$13)))),IF(($A71&lt;'Alternative 1'!$B$29),(($H$3*'Alternative 1'!$B$39+(($N$12/3)*COS($K$13)))),($H71*'Alternative 1'!$B$39))))</f>
        <v>#VALUE!</v>
      </c>
      <c r="Z71" s="105" t="e">
        <f>X71*'Alternative 1'!$K72/'Alternative 1'!$L72</f>
        <v>#VALUE!</v>
      </c>
      <c r="AA71" s="105" t="e">
        <f>Y71/'Alternative 1'!$M72</f>
        <v>#VALUE!</v>
      </c>
      <c r="AB71" s="105" t="e">
        <f t="shared" si="21"/>
        <v>#VALUE!</v>
      </c>
      <c r="AD71" s="105" t="e">
        <f>'Alternative 1'!$B$39*$B71*$C71*COS($K$23)-($N$22/3)*$E71*SIN($K$23)-($N$22/3)*$F71*SIN($K$23)-($N$22/3)*$G71*SIN($K$23)</f>
        <v>#VALUE!</v>
      </c>
      <c r="AE71" s="106" t="e">
        <f>IF(($A71&lt;'Alternative 1'!$B$27),(($H71*'Alternative 1'!$B$39)+(3*($N$22/3)*COS($K$23))),IF(($A71&lt;'Alternative 1'!$B$28),(($H71*'Alternative 1'!$B$39)+(2*(($N$22/3)*COS($K$23)))),IF(($A71&lt;'Alternative 1'!$B$29),(($H$3*'Alternative 1'!$B$39+(($N$22/3)*COS($K$23)))),($H71*'Alternative 1'!$B$39))))</f>
        <v>#VALUE!</v>
      </c>
      <c r="AF71" s="105" t="e">
        <f>AD71*'Alternative 1'!$K72/'Alternative 1'!$L72</f>
        <v>#VALUE!</v>
      </c>
      <c r="AG71" s="105" t="e">
        <f>AE71/'Alternative 1'!$M72</f>
        <v>#VALUE!</v>
      </c>
      <c r="AH71" s="105" t="e">
        <f t="shared" si="22"/>
        <v>#VALUE!</v>
      </c>
      <c r="AJ71" s="105" t="e">
        <f>'Alternative 1'!$B$39*$B71*$C71*COS($K$33)-($N$32/3)*$E71*SIN($K$33)-($N$32/3)*$F71*SIN($K$33)-($N$32/3)*$G71*SIN($K$33)</f>
        <v>#VALUE!</v>
      </c>
      <c r="AK71" s="106" t="e">
        <f>IF(($A71&lt;'Alternative 1'!$B$27),(($H71*'Alternative 1'!$B$39)+(3*($N$32/3)*COS($K$33))),IF(($A71&lt;'Alternative 1'!$B$28),(($H71*'Alternative 1'!$B$39)+(2*(($N$32/3)*COS($K$33)))),IF(($A71&lt;'Alternative 1'!$B$29),(($H$3*'Alternative 1'!$B$39+(($N$32/3)*COS($K$33)))),($H71*'Alternative 1'!$B$39))))</f>
        <v>#VALUE!</v>
      </c>
      <c r="AL71" s="105" t="e">
        <f>AJ71*'Alternative 1'!$K72/'Alternative 1'!$L72</f>
        <v>#VALUE!</v>
      </c>
      <c r="AM71" s="105" t="e">
        <f>AK71/'Alternative 1'!$M72</f>
        <v>#VALUE!</v>
      </c>
      <c r="AN71" s="105" t="e">
        <f t="shared" si="23"/>
        <v>#VALUE!</v>
      </c>
      <c r="AP71" s="105" t="e">
        <f>'Alternative 1'!$B$39*$B71*$C71*COS($K$43)-($N$42/3)*$E71*SIN($K$43)-($N$42/3)*$F71*SIN($K$43)-($N$42/3)*$G71*SIN($K$43)</f>
        <v>#VALUE!</v>
      </c>
      <c r="AQ71" s="106" t="e">
        <f>IF(($A71&lt;'Alternative 1'!$B$27),(($H71*'Alternative 1'!$B$39)+(3*($N$42/3)*COS($K$43))),IF(($A71&lt;'Alternative 1'!$B$28),(($H71*'Alternative 1'!$B$39)+(2*(($N$42/3)*COS($K$43)))),IF(($A71&lt;'Alternative 1'!$B$29),(($H$3*'Alternative 1'!$B$39+(($N$42/3)*COS($K$43)))),($H71*'Alternative 1'!$B$39))))</f>
        <v>#VALUE!</v>
      </c>
      <c r="AR71" s="105" t="e">
        <f>AP71*'Alternative 1'!$K72/'Alternative 1'!$L72</f>
        <v>#VALUE!</v>
      </c>
      <c r="AS71" s="105" t="e">
        <f>AQ71/'Alternative 1'!$M72</f>
        <v>#VALUE!</v>
      </c>
      <c r="AT71" s="105" t="e">
        <f t="shared" si="24"/>
        <v>#VALUE!</v>
      </c>
      <c r="AV71" s="105" t="e">
        <f>'Alternative 1'!$B$39*$B71*$C71*COS($K$53)-($N$52/3)*$E71*SIN($K$53)-($N$52/3)*$F71*SIN($K$53)-($N$52/3)*$G71*SIN($K$53)</f>
        <v>#VALUE!</v>
      </c>
      <c r="AW71" s="106" t="e">
        <f>IF(($A71&lt;'Alternative 1'!$B$27),(($H71*'Alternative 1'!$B$39)+(3*($N$52/3)*COS($K$53))),IF(($A71&lt;'Alternative 1'!$B$28),(($H71*'Alternative 1'!$B$39)+(2*(($N$52/3)*COS($K$53)))),IF(($A71&lt;'Alternative 1'!$B$29),(($H$3*'Alternative 1'!$B$39+(($N$52/3)*COS($K$53)))),($H71*'Alternative 1'!$B$39))))</f>
        <v>#VALUE!</v>
      </c>
      <c r="AX71" s="105" t="e">
        <f>AV71*'Alternative 1'!$K72/'Alternative 1'!$L72</f>
        <v>#VALUE!</v>
      </c>
      <c r="AY71" s="105" t="e">
        <f>AW71/'Alternative 1'!$M72</f>
        <v>#VALUE!</v>
      </c>
      <c r="AZ71" s="105" t="e">
        <f t="shared" si="25"/>
        <v>#VALUE!</v>
      </c>
      <c r="BB71" s="105" t="e">
        <f>'Alternative 1'!$B$39*$B71*$C71*COS($K$63)-($N$62/3)*$E71*SIN($K$63)-($N$62/3)*$F71*SIN($K$63)-($N$62/3)*$G71*SIN($K$63)</f>
        <v>#VALUE!</v>
      </c>
      <c r="BC71" s="106" t="e">
        <f>IF(($A71&lt;'Alternative 1'!$B$27),(($H71*'Alternative 1'!$B$39)+(3*($N$62/3)*COS($K$63))),IF(($A71&lt;'Alternative 1'!$B$28),(($H71*'Alternative 1'!$B$39)+(2*(($N$62/3)*COS($K$63)))),IF(($A71&lt;'Alternative 1'!$B$29),(($H$3*'Alternative 1'!$B$39+(($N$62/3)*COS($K$63)))),($H71*'Alternative 1'!$B$39))))</f>
        <v>#VALUE!</v>
      </c>
      <c r="BD71" s="105" t="e">
        <f>BB71*'Alternative 1'!$K72/'Alternative 1'!$L72</f>
        <v>#VALUE!</v>
      </c>
      <c r="BE71" s="105" t="e">
        <f>BC71/'Alternative 1'!$M72</f>
        <v>#VALUE!</v>
      </c>
      <c r="BF71" s="105" t="e">
        <f t="shared" si="26"/>
        <v>#VALUE!</v>
      </c>
      <c r="BH71" s="105" t="e">
        <f>'Alternative 1'!$B$39*$B71*$C71*COS($K$73)-($N$72/3)*$E71*SIN($K$73)-($N$72/3)*$F71*SIN($K$73)-($N$72/3)*$G71*SIN($K$73)</f>
        <v>#VALUE!</v>
      </c>
      <c r="BI71" s="106" t="e">
        <f>IF(($A71&lt;'Alternative 1'!$B$27),(($H71*'Alternative 1'!$B$39)+(3*($N$72/3)*COS($K$73))),IF(($A71&lt;'Alternative 1'!$B$28),(($H71*'Alternative 1'!$B$39)+(2*(($N$72/3)*COS($K$73)))),IF(($A71&lt;'Alternative 1'!$B$29),(($H$3*'Alternative 1'!$B$39+(($N$72/3)*COS($K$73)))),($H71*'Alternative 1'!$B$39))))</f>
        <v>#VALUE!</v>
      </c>
      <c r="BJ71" s="105" t="e">
        <f>BH71*'Alternative 1'!$K72/'Alternative 1'!$L72</f>
        <v>#VALUE!</v>
      </c>
      <c r="BK71" s="105" t="e">
        <f>BI71/'Alternative 1'!$M72</f>
        <v>#VALUE!</v>
      </c>
      <c r="BL71" s="105" t="e">
        <f t="shared" si="27"/>
        <v>#VALUE!</v>
      </c>
      <c r="BN71" s="105" t="e">
        <f>'Alternative 1'!$B$39*$B71*$C71*COS($K$83)-($N$82/3)*$E71*SIN($K$83)-($N$82/3)*$F71*SIN($K$83)-($N$82/3)*$G71*SIN($K$83)</f>
        <v>#VALUE!</v>
      </c>
      <c r="BO71" s="106" t="e">
        <f>IF(($A71&lt;'Alternative 1'!$B$27),(($H71*'Alternative 1'!$B$39)+(3*($N$82/3)*COS($K$83))),IF(($A71&lt;'Alternative 1'!$B$28),(($H71*'Alternative 1'!$B$39)+(2*(($N$82/3)*COS($K$83)))),IF(($A71&lt;'Alternative 1'!$B$29),(($H$3*'Alternative 1'!$B$39+(($N$82/3)*COS($K$83)))),($H71*'Alternative 1'!$B$39))))</f>
        <v>#VALUE!</v>
      </c>
      <c r="BP71" s="105" t="e">
        <f>BN71*'Alternative 1'!$K72/'Alternative 1'!$L72</f>
        <v>#VALUE!</v>
      </c>
      <c r="BQ71" s="105" t="e">
        <f>BO71/'Alternative 1'!$M72</f>
        <v>#VALUE!</v>
      </c>
      <c r="BR71" s="105" t="e">
        <f t="shared" si="28"/>
        <v>#VALUE!</v>
      </c>
      <c r="BT71" s="105" t="e">
        <f>'Alternative 1'!$B$39*$B71*$C71*COS($K$93)-($K$92/3)*$E71*SIN($K$93)-($K$92/3)*$F71*SIN($K$93)-($K$92/3)*$G71*SIN($K$93)</f>
        <v>#VALUE!</v>
      </c>
      <c r="BU71" s="106" t="e">
        <f>IF(($A71&lt;'Alternative 1'!$B$27),(($H71*'Alternative 1'!$B$39)+(3*($N$92/3)*COS($K$93))),IF(($A71&lt;'Alternative 1'!$B$28),(($H71*'Alternative 1'!$B$39)+(2*(($N$92/3)*COS($K$93)))),IF(($A71&lt;'Alternative 1'!$B$29),(($H$3*'Alternative 1'!$B$39+(($N$92/3)*COS($K$93)))),($H71*'Alternative 1'!$B$39))))</f>
        <v>#VALUE!</v>
      </c>
      <c r="BV71" s="105" t="e">
        <f>BT71*'Alternative 1'!$K72/'Alternative 1'!$L72</f>
        <v>#VALUE!</v>
      </c>
      <c r="BW71" s="105" t="e">
        <f>BU71/'Alternative 1'!$M72</f>
        <v>#VALUE!</v>
      </c>
      <c r="BX71" s="105" t="e">
        <f t="shared" si="29"/>
        <v>#VALUE!</v>
      </c>
    </row>
    <row r="72" spans="1:79" ht="15" customHeight="1" x14ac:dyDescent="0.25">
      <c r="A72" s="18" t="str">
        <f>IF('Alternative 1'!F73&gt;0,'Alternative 1'!F73,"x")</f>
        <v>x</v>
      </c>
      <c r="B72" s="18" t="e">
        <f t="shared" si="35"/>
        <v>#VALUE!</v>
      </c>
      <c r="C72" s="18">
        <f t="shared" si="30"/>
        <v>0</v>
      </c>
      <c r="D72" s="18" t="str">
        <f t="shared" si="31"/>
        <v>x</v>
      </c>
      <c r="E72" s="101">
        <f>IF($A72&lt;='Alternative 1'!$B$27, IF($A72='Alternative 1'!$B$27,0,E73+1),0)</f>
        <v>0</v>
      </c>
      <c r="F72" s="101">
        <f>IF($A72&lt;=('Alternative 1'!$B$28), IF($A72=ROUNDDOWN('Alternative 1'!$B$28,0),0,F73+1),0)</f>
        <v>0</v>
      </c>
      <c r="G72" s="101">
        <f>IF($A72&lt;=('Alternative 1'!$B$29), IF($A72=ROUNDDOWN('Alternative 1'!$B$29,0),0,G73+1),0)</f>
        <v>0</v>
      </c>
      <c r="H72" s="18" t="e">
        <f t="shared" si="32"/>
        <v>#VALUE!</v>
      </c>
      <c r="J72" s="104">
        <f t="shared" si="33"/>
        <v>69</v>
      </c>
      <c r="K72" s="104">
        <f t="shared" si="34"/>
        <v>1.2042771838760873</v>
      </c>
      <c r="L72" s="105">
        <f>'Alternative 1'!$B$27*SIN(K72)+'Alternative 1'!$B$28*SIN(K72)+'Alternative 1'!$B$29*SIN(K72)</f>
        <v>63.483469001809716</v>
      </c>
      <c r="M72" s="104">
        <f>(('Alternative 1'!$B$27)*(((('Alternative 1'!$B$28-'Alternative 1'!$B$27)/2)+'Alternative 1'!$B$27)*'Alternative 1'!$B$39)*COS('Alternative 1-Tilt Up (3pt)'!K72))+(('Alternative 1'!$B$28)*((('Alternative 1'!$B$28-'Alternative 1'!$B$27)/2)+(('Alternative 1'!$B$29-'Alternative 1'!$B$28)/2))*('Alternative 1'!$B$39)*COS('Alternative 1-Tilt Up (3pt)'!K72))+(('Alternative 1'!$B$29)*((('Alternative 1'!$B$12-'Alternative 1'!$B$29+(('Alternative 1'!$B$29-'Alternative 1'!$B$28)/2)*('Alternative 1'!$B$39)*COS('Alternative 1-Tilt Up (3pt)'!K72)))))</f>
        <v>1700980.1006326857</v>
      </c>
      <c r="N72" s="109">
        <f t="shared" si="18"/>
        <v>80382.190547157836</v>
      </c>
      <c r="O72" s="104">
        <f>(((('Alternative 1'!$B$28-'Alternative 1'!$B$27)/2)+'Alternative 1'!$B$27)*('Alternative 1'!$B$39)*COS('Alternative 1-Tilt Up (3pt)'!K72))+(((('Alternative 1'!$B$28-'Alternative 1'!$B$27)/2)+(('Alternative 1'!$B$29-'Alternative 1'!$B$28)/2))*('Alternative 1'!$B$39)*COS('Alternative 1-Tilt Up (3pt)'!K72))+(((('Alternative 1'!$B$12-'Alternative 1'!$B$29)+(('Alternative 1'!$B$29-'Alternative 1'!$B$28)/2))*('Alternative 1'!$B$39)*COS('Alternative 1-Tilt Up (3pt)'!K72)))</f>
        <v>109703.56325220421</v>
      </c>
      <c r="P72" s="104">
        <f t="shared" si="19"/>
        <v>28806.40080634458</v>
      </c>
      <c r="R72" s="105" t="e">
        <f>'Alternative 1'!$B$39*$B72*$C72*COS($K$5)-($N$5/3)*$E72*SIN($K$5)-($N$5/3)*$F72*SIN($K$5)-($N$5/3)*$G72*SIN($K$5)</f>
        <v>#VALUE!</v>
      </c>
      <c r="S72" s="106" t="e">
        <f>IF(($A72&lt;'Alternative 1'!$B$27),(($H72*'Alternative 1'!$B$39)+(3*($N$5/3)*COS($K$5))),IF(($A72&lt;'Alternative 1'!$B$28),(($H72*'Alternative 1'!$B$39)+(2*(($N$5/3)*COS($K$5)))),IF(($A72&lt;'Alternative 1'!$B$29),(($H$3*'Alternative 1'!$B$39+(($N$5/3)*COS($K$5)))),($H72*'Alternative 1'!$B$39))))</f>
        <v>#VALUE!</v>
      </c>
      <c r="T72" s="105" t="e">
        <f>R72*'Alternative 1'!$K73/'Alternative 1'!$L73</f>
        <v>#VALUE!</v>
      </c>
      <c r="U72" s="105" t="e">
        <f>S72/'Alternative 1'!$M73</f>
        <v>#VALUE!</v>
      </c>
      <c r="V72" s="105" t="e">
        <f t="shared" si="20"/>
        <v>#VALUE!</v>
      </c>
      <c r="X72" s="105" t="e">
        <f>'Alternative 1'!$B$39*$B72*$C72*COS($K$13)-($N$12/3)*$E72*SIN($K$13)-($N$12/3)*$F72*SIN($K$13)-($N$12/3)*$G72*SIN($K$13)</f>
        <v>#VALUE!</v>
      </c>
      <c r="Y72" s="106" t="e">
        <f>IF(($A72&lt;'Alternative 1'!$B$27),(($H72*'Alternative 1'!$B$39)+(3*($N$12/3)*COS($K$13))),IF(($A72&lt;'Alternative 1'!$B$28),(($H72*'Alternative 1'!$B$39)+(2*(($N$12/3)*COS($K$13)))),IF(($A72&lt;'Alternative 1'!$B$29),(($H$3*'Alternative 1'!$B$39+(($N$12/3)*COS($K$13)))),($H72*'Alternative 1'!$B$39))))</f>
        <v>#VALUE!</v>
      </c>
      <c r="Z72" s="105" t="e">
        <f>X72*'Alternative 1'!$K73/'Alternative 1'!$L73</f>
        <v>#VALUE!</v>
      </c>
      <c r="AA72" s="105" t="e">
        <f>Y72/'Alternative 1'!$M73</f>
        <v>#VALUE!</v>
      </c>
      <c r="AB72" s="105" t="e">
        <f t="shared" si="21"/>
        <v>#VALUE!</v>
      </c>
      <c r="AD72" s="105" t="e">
        <f>'Alternative 1'!$B$39*$B72*$C72*COS($K$23)-($N$22/3)*$E72*SIN($K$23)-($N$22/3)*$F72*SIN($K$23)-($N$22/3)*$G72*SIN($K$23)</f>
        <v>#VALUE!</v>
      </c>
      <c r="AE72" s="106" t="e">
        <f>IF(($A72&lt;'Alternative 1'!$B$27),(($H72*'Alternative 1'!$B$39)+(3*($N$22/3)*COS($K$23))),IF(($A72&lt;'Alternative 1'!$B$28),(($H72*'Alternative 1'!$B$39)+(2*(($N$22/3)*COS($K$23)))),IF(($A72&lt;'Alternative 1'!$B$29),(($H$3*'Alternative 1'!$B$39+(($N$22/3)*COS($K$23)))),($H72*'Alternative 1'!$B$39))))</f>
        <v>#VALUE!</v>
      </c>
      <c r="AF72" s="105" t="e">
        <f>AD72*'Alternative 1'!$K73/'Alternative 1'!$L73</f>
        <v>#VALUE!</v>
      </c>
      <c r="AG72" s="105" t="e">
        <f>AE72/'Alternative 1'!$M73</f>
        <v>#VALUE!</v>
      </c>
      <c r="AH72" s="105" t="e">
        <f t="shared" si="22"/>
        <v>#VALUE!</v>
      </c>
      <c r="AJ72" s="105" t="e">
        <f>'Alternative 1'!$B$39*$B72*$C72*COS($K$33)-($N$32/3)*$E72*SIN($K$33)-($N$32/3)*$F72*SIN($K$33)-($N$32/3)*$G72*SIN($K$33)</f>
        <v>#VALUE!</v>
      </c>
      <c r="AK72" s="106" t="e">
        <f>IF(($A72&lt;'Alternative 1'!$B$27),(($H72*'Alternative 1'!$B$39)+(3*($N$32/3)*COS($K$33))),IF(($A72&lt;'Alternative 1'!$B$28),(($H72*'Alternative 1'!$B$39)+(2*(($N$32/3)*COS($K$33)))),IF(($A72&lt;'Alternative 1'!$B$29),(($H$3*'Alternative 1'!$B$39+(($N$32/3)*COS($K$33)))),($H72*'Alternative 1'!$B$39))))</f>
        <v>#VALUE!</v>
      </c>
      <c r="AL72" s="105" t="e">
        <f>AJ72*'Alternative 1'!$K73/'Alternative 1'!$L73</f>
        <v>#VALUE!</v>
      </c>
      <c r="AM72" s="105" t="e">
        <f>AK72/'Alternative 1'!$M73</f>
        <v>#VALUE!</v>
      </c>
      <c r="AN72" s="105" t="e">
        <f t="shared" si="23"/>
        <v>#VALUE!</v>
      </c>
      <c r="AP72" s="105" t="e">
        <f>'Alternative 1'!$B$39*$B72*$C72*COS($K$43)-($N$42/3)*$E72*SIN($K$43)-($N$42/3)*$F72*SIN($K$43)-($N$42/3)*$G72*SIN($K$43)</f>
        <v>#VALUE!</v>
      </c>
      <c r="AQ72" s="106" t="e">
        <f>IF(($A72&lt;'Alternative 1'!$B$27),(($H72*'Alternative 1'!$B$39)+(3*($N$42/3)*COS($K$43))),IF(($A72&lt;'Alternative 1'!$B$28),(($H72*'Alternative 1'!$B$39)+(2*(($N$42/3)*COS($K$43)))),IF(($A72&lt;'Alternative 1'!$B$29),(($H$3*'Alternative 1'!$B$39+(($N$42/3)*COS($K$43)))),($H72*'Alternative 1'!$B$39))))</f>
        <v>#VALUE!</v>
      </c>
      <c r="AR72" s="105" t="e">
        <f>AP72*'Alternative 1'!$K73/'Alternative 1'!$L73</f>
        <v>#VALUE!</v>
      </c>
      <c r="AS72" s="105" t="e">
        <f>AQ72/'Alternative 1'!$M73</f>
        <v>#VALUE!</v>
      </c>
      <c r="AT72" s="105" t="e">
        <f t="shared" si="24"/>
        <v>#VALUE!</v>
      </c>
      <c r="AV72" s="105" t="e">
        <f>'Alternative 1'!$B$39*$B72*$C72*COS($K$53)-($N$52/3)*$E72*SIN($K$53)-($N$52/3)*$F72*SIN($K$53)-($N$52/3)*$G72*SIN($K$53)</f>
        <v>#VALUE!</v>
      </c>
      <c r="AW72" s="106" t="e">
        <f>IF(($A72&lt;'Alternative 1'!$B$27),(($H72*'Alternative 1'!$B$39)+(3*($N$52/3)*COS($K$53))),IF(($A72&lt;'Alternative 1'!$B$28),(($H72*'Alternative 1'!$B$39)+(2*(($N$52/3)*COS($K$53)))),IF(($A72&lt;'Alternative 1'!$B$29),(($H$3*'Alternative 1'!$B$39+(($N$52/3)*COS($K$53)))),($H72*'Alternative 1'!$B$39))))</f>
        <v>#VALUE!</v>
      </c>
      <c r="AX72" s="105" t="e">
        <f>AV72*'Alternative 1'!$K73/'Alternative 1'!$L73</f>
        <v>#VALUE!</v>
      </c>
      <c r="AY72" s="105" t="e">
        <f>AW72/'Alternative 1'!$M73</f>
        <v>#VALUE!</v>
      </c>
      <c r="AZ72" s="105" t="e">
        <f t="shared" si="25"/>
        <v>#VALUE!</v>
      </c>
      <c r="BB72" s="105" t="e">
        <f>'Alternative 1'!$B$39*$B72*$C72*COS($K$63)-($N$62/3)*$E72*SIN($K$63)-($N$62/3)*$F72*SIN($K$63)-($N$62/3)*$G72*SIN($K$63)</f>
        <v>#VALUE!</v>
      </c>
      <c r="BC72" s="106" t="e">
        <f>IF(($A72&lt;'Alternative 1'!$B$27),(($H72*'Alternative 1'!$B$39)+(3*($N$62/3)*COS($K$63))),IF(($A72&lt;'Alternative 1'!$B$28),(($H72*'Alternative 1'!$B$39)+(2*(($N$62/3)*COS($K$63)))),IF(($A72&lt;'Alternative 1'!$B$29),(($H$3*'Alternative 1'!$B$39+(($N$62/3)*COS($K$63)))),($H72*'Alternative 1'!$B$39))))</f>
        <v>#VALUE!</v>
      </c>
      <c r="BD72" s="105" t="e">
        <f>BB72*'Alternative 1'!$K73/'Alternative 1'!$L73</f>
        <v>#VALUE!</v>
      </c>
      <c r="BE72" s="105" t="e">
        <f>BC72/'Alternative 1'!$M73</f>
        <v>#VALUE!</v>
      </c>
      <c r="BF72" s="105" t="e">
        <f t="shared" si="26"/>
        <v>#VALUE!</v>
      </c>
      <c r="BH72" s="105" t="e">
        <f>'Alternative 1'!$B$39*$B72*$C72*COS($K$73)-($N$72/3)*$E72*SIN($K$73)-($N$72/3)*$F72*SIN($K$73)-($N$72/3)*$G72*SIN($K$73)</f>
        <v>#VALUE!</v>
      </c>
      <c r="BI72" s="106" t="e">
        <f>IF(($A72&lt;'Alternative 1'!$B$27),(($H72*'Alternative 1'!$B$39)+(3*($N$72/3)*COS($K$73))),IF(($A72&lt;'Alternative 1'!$B$28),(($H72*'Alternative 1'!$B$39)+(2*(($N$72/3)*COS($K$73)))),IF(($A72&lt;'Alternative 1'!$B$29),(($H$3*'Alternative 1'!$B$39+(($N$72/3)*COS($K$73)))),($H72*'Alternative 1'!$B$39))))</f>
        <v>#VALUE!</v>
      </c>
      <c r="BJ72" s="105" t="e">
        <f>BH72*'Alternative 1'!$K73/'Alternative 1'!$L73</f>
        <v>#VALUE!</v>
      </c>
      <c r="BK72" s="105" t="e">
        <f>BI72/'Alternative 1'!$M73</f>
        <v>#VALUE!</v>
      </c>
      <c r="BL72" s="105" t="e">
        <f t="shared" si="27"/>
        <v>#VALUE!</v>
      </c>
      <c r="BN72" s="105" t="e">
        <f>'Alternative 1'!$B$39*$B72*$C72*COS($K$83)-($N$82/3)*$E72*SIN($K$83)-($N$82/3)*$F72*SIN($K$83)-($N$82/3)*$G72*SIN($K$83)</f>
        <v>#VALUE!</v>
      </c>
      <c r="BO72" s="106" t="e">
        <f>IF(($A72&lt;'Alternative 1'!$B$27),(($H72*'Alternative 1'!$B$39)+(3*($N$82/3)*COS($K$83))),IF(($A72&lt;'Alternative 1'!$B$28),(($H72*'Alternative 1'!$B$39)+(2*(($N$82/3)*COS($K$83)))),IF(($A72&lt;'Alternative 1'!$B$29),(($H$3*'Alternative 1'!$B$39+(($N$82/3)*COS($K$83)))),($H72*'Alternative 1'!$B$39))))</f>
        <v>#VALUE!</v>
      </c>
      <c r="BP72" s="105" t="e">
        <f>BN72*'Alternative 1'!$K73/'Alternative 1'!$L73</f>
        <v>#VALUE!</v>
      </c>
      <c r="BQ72" s="105" t="e">
        <f>BO72/'Alternative 1'!$M73</f>
        <v>#VALUE!</v>
      </c>
      <c r="BR72" s="105" t="e">
        <f t="shared" si="28"/>
        <v>#VALUE!</v>
      </c>
      <c r="BT72" s="105" t="e">
        <f>'Alternative 1'!$B$39*$B72*$C72*COS($K$93)-($K$92/3)*$E72*SIN($K$93)-($K$92/3)*$F72*SIN($K$93)-($K$92/3)*$G72*SIN($K$93)</f>
        <v>#VALUE!</v>
      </c>
      <c r="BU72" s="106" t="e">
        <f>IF(($A72&lt;'Alternative 1'!$B$27),(($H72*'Alternative 1'!$B$39)+(3*($N$92/3)*COS($K$93))),IF(($A72&lt;'Alternative 1'!$B$28),(($H72*'Alternative 1'!$B$39)+(2*(($N$92/3)*COS($K$93)))),IF(($A72&lt;'Alternative 1'!$B$29),(($H$3*'Alternative 1'!$B$39+(($N$92/3)*COS($K$93)))),($H72*'Alternative 1'!$B$39))))</f>
        <v>#VALUE!</v>
      </c>
      <c r="BV72" s="105" t="e">
        <f>BT72*'Alternative 1'!$K73/'Alternative 1'!$L73</f>
        <v>#VALUE!</v>
      </c>
      <c r="BW72" s="105" t="e">
        <f>BU72/'Alternative 1'!$M73</f>
        <v>#VALUE!</v>
      </c>
      <c r="BX72" s="105" t="e">
        <f t="shared" si="29"/>
        <v>#VALUE!</v>
      </c>
    </row>
    <row r="73" spans="1:79" ht="15" customHeight="1" x14ac:dyDescent="0.25">
      <c r="A73" s="18" t="str">
        <f>IF('Alternative 1'!F74&gt;0,'Alternative 1'!F74,"x")</f>
        <v>x</v>
      </c>
      <c r="B73" s="18" t="e">
        <f t="shared" si="35"/>
        <v>#VALUE!</v>
      </c>
      <c r="C73" s="18">
        <f t="shared" si="30"/>
        <v>0</v>
      </c>
      <c r="D73" s="18" t="str">
        <f t="shared" si="31"/>
        <v>x</v>
      </c>
      <c r="E73" s="101">
        <f>IF($A73&lt;='Alternative 1'!$B$27, IF($A73='Alternative 1'!$B$27,0,E74+1),0)</f>
        <v>0</v>
      </c>
      <c r="F73" s="101">
        <f>IF($A73&lt;=('Alternative 1'!$B$28), IF($A73=ROUNDDOWN('Alternative 1'!$B$28,0),0,F74+1),0)</f>
        <v>0</v>
      </c>
      <c r="G73" s="101">
        <f>IF($A73&lt;=('Alternative 1'!$B$29), IF($A73=ROUNDDOWN('Alternative 1'!$B$29,0),0,G74+1),0)</f>
        <v>0</v>
      </c>
      <c r="H73" s="18" t="e">
        <f t="shared" si="32"/>
        <v>#VALUE!</v>
      </c>
      <c r="J73" s="104">
        <f t="shared" si="33"/>
        <v>70</v>
      </c>
      <c r="K73" s="109">
        <f t="shared" si="34"/>
        <v>1.2217304763960306</v>
      </c>
      <c r="L73" s="105">
        <f>'Alternative 1'!$B$27*SIN(K73)+'Alternative 1'!$B$28*SIN(K73)+'Alternative 1'!$B$29*SIN(K73)</f>
        <v>63.899098213441761</v>
      </c>
      <c r="M73" s="104">
        <f>(('Alternative 1'!$B$27)*(((('Alternative 1'!$B$28-'Alternative 1'!$B$27)/2)+'Alternative 1'!$B$27)*'Alternative 1'!$B$39)*COS('Alternative 1-Tilt Up (3pt)'!K73))+(('Alternative 1'!$B$28)*((('Alternative 1'!$B$28-'Alternative 1'!$B$27)/2)+(('Alternative 1'!$B$29-'Alternative 1'!$B$28)/2))*('Alternative 1'!$B$39)*COS('Alternative 1-Tilt Up (3pt)'!K73))+(('Alternative 1'!$B$29)*((('Alternative 1'!$B$12-'Alternative 1'!$B$29+(('Alternative 1'!$B$29-'Alternative 1'!$B$28)/2)*('Alternative 1'!$B$39)*COS('Alternative 1-Tilt Up (3pt)'!K73)))))</f>
        <v>1623394.7725793337</v>
      </c>
      <c r="N73" s="104">
        <f t="shared" si="18"/>
        <v>76216.79262937569</v>
      </c>
      <c r="O73" s="104">
        <f>(((('Alternative 1'!$B$28-'Alternative 1'!$B$27)/2)+'Alternative 1'!$B$27)*('Alternative 1'!$B$39)*COS('Alternative 1-Tilt Up (3pt)'!K73))+(((('Alternative 1'!$B$28-'Alternative 1'!$B$27)/2)+(('Alternative 1'!$B$29-'Alternative 1'!$B$28)/2))*('Alternative 1'!$B$39)*COS('Alternative 1-Tilt Up (3pt)'!K73))+(((('Alternative 1'!$B$12-'Alternative 1'!$B$29)+(('Alternative 1'!$B$29-'Alternative 1'!$B$28)/2))*('Alternative 1'!$B$39)*COS('Alternative 1-Tilt Up (3pt)'!K73)))</f>
        <v>104699.17433872681</v>
      </c>
      <c r="P73" s="109">
        <f t="shared" si="19"/>
        <v>26067.678338921854</v>
      </c>
      <c r="R73" s="105" t="e">
        <f>'Alternative 1'!$B$39*$B73*$C73*COS($K$5)-($N$5/3)*$E73*SIN($K$5)-($N$5/3)*$F73*SIN($K$5)-($N$5/3)*$G73*SIN($K$5)</f>
        <v>#VALUE!</v>
      </c>
      <c r="S73" s="106" t="e">
        <f>IF(($A73&lt;'Alternative 1'!$B$27),(($H73*'Alternative 1'!$B$39)+(3*($N$5/3)*COS($K$5))),IF(($A73&lt;'Alternative 1'!$B$28),(($H73*'Alternative 1'!$B$39)+(2*(($N$5/3)*COS($K$5)))),IF(($A73&lt;'Alternative 1'!$B$29),(($H$3*'Alternative 1'!$B$39+(($N$5/3)*COS($K$5)))),($H73*'Alternative 1'!$B$39))))</f>
        <v>#VALUE!</v>
      </c>
      <c r="T73" s="105" t="e">
        <f>R73*'Alternative 1'!$K74/'Alternative 1'!$L74</f>
        <v>#VALUE!</v>
      </c>
      <c r="U73" s="105" t="e">
        <f>S73/'Alternative 1'!$M74</f>
        <v>#VALUE!</v>
      </c>
      <c r="V73" s="105" t="e">
        <f t="shared" si="20"/>
        <v>#VALUE!</v>
      </c>
      <c r="X73" s="105" t="e">
        <f>'Alternative 1'!$B$39*$B73*$C73*COS($K$13)-($N$12/3)*$E73*SIN($K$13)-($N$12/3)*$F73*SIN($K$13)-($N$12/3)*$G73*SIN($K$13)</f>
        <v>#VALUE!</v>
      </c>
      <c r="Y73" s="106" t="e">
        <f>IF(($A73&lt;'Alternative 1'!$B$27),(($H73*'Alternative 1'!$B$39)+(3*($N$12/3)*COS($K$13))),IF(($A73&lt;'Alternative 1'!$B$28),(($H73*'Alternative 1'!$B$39)+(2*(($N$12/3)*COS($K$13)))),IF(($A73&lt;'Alternative 1'!$B$29),(($H$3*'Alternative 1'!$B$39+(($N$12/3)*COS($K$13)))),($H73*'Alternative 1'!$B$39))))</f>
        <v>#VALUE!</v>
      </c>
      <c r="Z73" s="105" t="e">
        <f>X73*'Alternative 1'!$K74/'Alternative 1'!$L74</f>
        <v>#VALUE!</v>
      </c>
      <c r="AA73" s="105" t="e">
        <f>Y73/'Alternative 1'!$M74</f>
        <v>#VALUE!</v>
      </c>
      <c r="AB73" s="105" t="e">
        <f t="shared" si="21"/>
        <v>#VALUE!</v>
      </c>
      <c r="AD73" s="105" t="e">
        <f>'Alternative 1'!$B$39*$B73*$C73*COS($K$23)-($N$22/3)*$E73*SIN($K$23)-($N$22/3)*$F73*SIN($K$23)-($N$22/3)*$G73*SIN($K$23)</f>
        <v>#VALUE!</v>
      </c>
      <c r="AE73" s="106" t="e">
        <f>IF(($A73&lt;'Alternative 1'!$B$27),(($H73*'Alternative 1'!$B$39)+(3*($N$22/3)*COS($K$23))),IF(($A73&lt;'Alternative 1'!$B$28),(($H73*'Alternative 1'!$B$39)+(2*(($N$22/3)*COS($K$23)))),IF(($A73&lt;'Alternative 1'!$B$29),(($H$3*'Alternative 1'!$B$39+(($N$22/3)*COS($K$23)))),($H73*'Alternative 1'!$B$39))))</f>
        <v>#VALUE!</v>
      </c>
      <c r="AF73" s="105" t="e">
        <f>AD73*'Alternative 1'!$K74/'Alternative 1'!$L74</f>
        <v>#VALUE!</v>
      </c>
      <c r="AG73" s="105" t="e">
        <f>AE73/'Alternative 1'!$M74</f>
        <v>#VALUE!</v>
      </c>
      <c r="AH73" s="105" t="e">
        <f t="shared" si="22"/>
        <v>#VALUE!</v>
      </c>
      <c r="AJ73" s="105" t="e">
        <f>'Alternative 1'!$B$39*$B73*$C73*COS($K$33)-($N$32/3)*$E73*SIN($K$33)-($N$32/3)*$F73*SIN($K$33)-($N$32/3)*$G73*SIN($K$33)</f>
        <v>#VALUE!</v>
      </c>
      <c r="AK73" s="106" t="e">
        <f>IF(($A73&lt;'Alternative 1'!$B$27),(($H73*'Alternative 1'!$B$39)+(3*($N$32/3)*COS($K$33))),IF(($A73&lt;'Alternative 1'!$B$28),(($H73*'Alternative 1'!$B$39)+(2*(($N$32/3)*COS($K$33)))),IF(($A73&lt;'Alternative 1'!$B$29),(($H$3*'Alternative 1'!$B$39+(($N$32/3)*COS($K$33)))),($H73*'Alternative 1'!$B$39))))</f>
        <v>#VALUE!</v>
      </c>
      <c r="AL73" s="105" t="e">
        <f>AJ73*'Alternative 1'!$K74/'Alternative 1'!$L74</f>
        <v>#VALUE!</v>
      </c>
      <c r="AM73" s="105" t="e">
        <f>AK73/'Alternative 1'!$M74</f>
        <v>#VALUE!</v>
      </c>
      <c r="AN73" s="105" t="e">
        <f t="shared" si="23"/>
        <v>#VALUE!</v>
      </c>
      <c r="AP73" s="105" t="e">
        <f>'Alternative 1'!$B$39*$B73*$C73*COS($K$43)-($N$42/3)*$E73*SIN($K$43)-($N$42/3)*$F73*SIN($K$43)-($N$42/3)*$G73*SIN($K$43)</f>
        <v>#VALUE!</v>
      </c>
      <c r="AQ73" s="106" t="e">
        <f>IF(($A73&lt;'Alternative 1'!$B$27),(($H73*'Alternative 1'!$B$39)+(3*($N$42/3)*COS($K$43))),IF(($A73&lt;'Alternative 1'!$B$28),(($H73*'Alternative 1'!$B$39)+(2*(($N$42/3)*COS($K$43)))),IF(($A73&lt;'Alternative 1'!$B$29),(($H$3*'Alternative 1'!$B$39+(($N$42/3)*COS($K$43)))),($H73*'Alternative 1'!$B$39))))</f>
        <v>#VALUE!</v>
      </c>
      <c r="AR73" s="105" t="e">
        <f>AP73*'Alternative 1'!$K74/'Alternative 1'!$L74</f>
        <v>#VALUE!</v>
      </c>
      <c r="AS73" s="105" t="e">
        <f>AQ73/'Alternative 1'!$M74</f>
        <v>#VALUE!</v>
      </c>
      <c r="AT73" s="105" t="e">
        <f t="shared" si="24"/>
        <v>#VALUE!</v>
      </c>
      <c r="AV73" s="105" t="e">
        <f>'Alternative 1'!$B$39*$B73*$C73*COS($K$53)-($N$52/3)*$E73*SIN($K$53)-($N$52/3)*$F73*SIN($K$53)-($N$52/3)*$G73*SIN($K$53)</f>
        <v>#VALUE!</v>
      </c>
      <c r="AW73" s="106" t="e">
        <f>IF(($A73&lt;'Alternative 1'!$B$27),(($H73*'Alternative 1'!$B$39)+(3*($N$52/3)*COS($K$53))),IF(($A73&lt;'Alternative 1'!$B$28),(($H73*'Alternative 1'!$B$39)+(2*(($N$52/3)*COS($K$53)))),IF(($A73&lt;'Alternative 1'!$B$29),(($H$3*'Alternative 1'!$B$39+(($N$52/3)*COS($K$53)))),($H73*'Alternative 1'!$B$39))))</f>
        <v>#VALUE!</v>
      </c>
      <c r="AX73" s="105" t="e">
        <f>AV73*'Alternative 1'!$K74/'Alternative 1'!$L74</f>
        <v>#VALUE!</v>
      </c>
      <c r="AY73" s="105" t="e">
        <f>AW73/'Alternative 1'!$M74</f>
        <v>#VALUE!</v>
      </c>
      <c r="AZ73" s="105" t="e">
        <f t="shared" si="25"/>
        <v>#VALUE!</v>
      </c>
      <c r="BB73" s="105" t="e">
        <f>'Alternative 1'!$B$39*$B73*$C73*COS($K$63)-($N$62/3)*$E73*SIN($K$63)-($N$62/3)*$F73*SIN($K$63)-($N$62/3)*$G73*SIN($K$63)</f>
        <v>#VALUE!</v>
      </c>
      <c r="BC73" s="106" t="e">
        <f>IF(($A73&lt;'Alternative 1'!$B$27),(($H73*'Alternative 1'!$B$39)+(3*($N$62/3)*COS($K$63))),IF(($A73&lt;'Alternative 1'!$B$28),(($H73*'Alternative 1'!$B$39)+(2*(($N$62/3)*COS($K$63)))),IF(($A73&lt;'Alternative 1'!$B$29),(($H$3*'Alternative 1'!$B$39+(($N$62/3)*COS($K$63)))),($H73*'Alternative 1'!$B$39))))</f>
        <v>#VALUE!</v>
      </c>
      <c r="BD73" s="105" t="e">
        <f>BB73*'Alternative 1'!$K74/'Alternative 1'!$L74</f>
        <v>#VALUE!</v>
      </c>
      <c r="BE73" s="105" t="e">
        <f>BC73/'Alternative 1'!$M74</f>
        <v>#VALUE!</v>
      </c>
      <c r="BF73" s="105" t="e">
        <f t="shared" si="26"/>
        <v>#VALUE!</v>
      </c>
      <c r="BH73" s="105" t="e">
        <f>'Alternative 1'!$B$39*$B73*$C73*COS($K$73)-($N$72/3)*$E73*SIN($K$73)-($N$72/3)*$F73*SIN($K$73)-($N$72/3)*$G73*SIN($K$73)</f>
        <v>#VALUE!</v>
      </c>
      <c r="BI73" s="106" t="e">
        <f>IF(($A73&lt;'Alternative 1'!$B$27),(($H73*'Alternative 1'!$B$39)+(3*($N$72/3)*COS($K$73))),IF(($A73&lt;'Alternative 1'!$B$28),(($H73*'Alternative 1'!$B$39)+(2*(($N$72/3)*COS($K$73)))),IF(($A73&lt;'Alternative 1'!$B$29),(($H$3*'Alternative 1'!$B$39+(($N$72/3)*COS($K$73)))),($H73*'Alternative 1'!$B$39))))</f>
        <v>#VALUE!</v>
      </c>
      <c r="BJ73" s="105" t="e">
        <f>BH73*'Alternative 1'!$K74/'Alternative 1'!$L74</f>
        <v>#VALUE!</v>
      </c>
      <c r="BK73" s="105" t="e">
        <f>BI73/'Alternative 1'!$M74</f>
        <v>#VALUE!</v>
      </c>
      <c r="BL73" s="105" t="e">
        <f t="shared" si="27"/>
        <v>#VALUE!</v>
      </c>
      <c r="BN73" s="105" t="e">
        <f>'Alternative 1'!$B$39*$B73*$C73*COS($K$83)-($N$82/3)*$E73*SIN($K$83)-($N$82/3)*$F73*SIN($K$83)-($N$82/3)*$G73*SIN($K$83)</f>
        <v>#VALUE!</v>
      </c>
      <c r="BO73" s="106" t="e">
        <f>IF(($A73&lt;'Alternative 1'!$B$27),(($H73*'Alternative 1'!$B$39)+(3*($N$82/3)*COS($K$83))),IF(($A73&lt;'Alternative 1'!$B$28),(($H73*'Alternative 1'!$B$39)+(2*(($N$82/3)*COS($K$83)))),IF(($A73&lt;'Alternative 1'!$B$29),(($H$3*'Alternative 1'!$B$39+(($N$82/3)*COS($K$83)))),($H73*'Alternative 1'!$B$39))))</f>
        <v>#VALUE!</v>
      </c>
      <c r="BP73" s="105" t="e">
        <f>BN73*'Alternative 1'!$K74/'Alternative 1'!$L74</f>
        <v>#VALUE!</v>
      </c>
      <c r="BQ73" s="105" t="e">
        <f>BO73/'Alternative 1'!$M74</f>
        <v>#VALUE!</v>
      </c>
      <c r="BR73" s="105" t="e">
        <f t="shared" si="28"/>
        <v>#VALUE!</v>
      </c>
      <c r="BT73" s="105" t="e">
        <f>'Alternative 1'!$B$39*$B73*$C73*COS($K$93)-($K$92/3)*$E73*SIN($K$93)-($K$92/3)*$F73*SIN($K$93)-($K$92/3)*$G73*SIN($K$93)</f>
        <v>#VALUE!</v>
      </c>
      <c r="BU73" s="106" t="e">
        <f>IF(($A73&lt;'Alternative 1'!$B$27),(($H73*'Alternative 1'!$B$39)+(3*($N$92/3)*COS($K$93))),IF(($A73&lt;'Alternative 1'!$B$28),(($H73*'Alternative 1'!$B$39)+(2*(($N$92/3)*COS($K$93)))),IF(($A73&lt;'Alternative 1'!$B$29),(($H$3*'Alternative 1'!$B$39+(($N$92/3)*COS($K$93)))),($H73*'Alternative 1'!$B$39))))</f>
        <v>#VALUE!</v>
      </c>
      <c r="BV73" s="105" t="e">
        <f>BT73*'Alternative 1'!$K74/'Alternative 1'!$L74</f>
        <v>#VALUE!</v>
      </c>
      <c r="BW73" s="105" t="e">
        <f>BU73/'Alternative 1'!$M74</f>
        <v>#VALUE!</v>
      </c>
      <c r="BX73" s="105" t="e">
        <f t="shared" si="29"/>
        <v>#VALUE!</v>
      </c>
    </row>
    <row r="74" spans="1:79" ht="15" customHeight="1" x14ac:dyDescent="0.25">
      <c r="A74" s="18" t="str">
        <f>IF('Alternative 1'!F75&gt;0,'Alternative 1'!F75,"x")</f>
        <v>x</v>
      </c>
      <c r="B74" s="18" t="e">
        <f t="shared" si="35"/>
        <v>#VALUE!</v>
      </c>
      <c r="C74" s="18">
        <f t="shared" si="30"/>
        <v>0</v>
      </c>
      <c r="D74" s="18" t="str">
        <f t="shared" si="31"/>
        <v>x</v>
      </c>
      <c r="E74" s="101">
        <f>IF($A74&lt;='Alternative 1'!$B$27, IF($A74='Alternative 1'!$B$27,0,E75+1),0)</f>
        <v>0</v>
      </c>
      <c r="F74" s="101">
        <f>IF($A74&lt;=('Alternative 1'!$B$28), IF($A74=ROUNDDOWN('Alternative 1'!$B$28,0),0,F75+1),0)</f>
        <v>0</v>
      </c>
      <c r="G74" s="101">
        <f>IF($A74&lt;=('Alternative 1'!$B$29), IF($A74=ROUNDDOWN('Alternative 1'!$B$29,0),0,G75+1),0)</f>
        <v>0</v>
      </c>
      <c r="H74" s="18" t="e">
        <f t="shared" si="32"/>
        <v>#VALUE!</v>
      </c>
      <c r="J74" s="104">
        <f t="shared" si="33"/>
        <v>71</v>
      </c>
      <c r="K74" s="104">
        <f t="shared" si="34"/>
        <v>1.2391837689159739</v>
      </c>
      <c r="L74" s="105">
        <f>'Alternative 1'!$B$27*SIN(K74)+'Alternative 1'!$B$28*SIN(K74)+'Alternative 1'!$B$29*SIN(K74)</f>
        <v>64.295263140753534</v>
      </c>
      <c r="M74" s="104">
        <f>(('Alternative 1'!$B$27)*(((('Alternative 1'!$B$28-'Alternative 1'!$B$27)/2)+'Alternative 1'!$B$27)*'Alternative 1'!$B$39)*COS('Alternative 1-Tilt Up (3pt)'!K74))+(('Alternative 1'!$B$28)*((('Alternative 1'!$B$28-'Alternative 1'!$B$27)/2)+(('Alternative 1'!$B$29-'Alternative 1'!$B$28)/2))*('Alternative 1'!$B$39)*COS('Alternative 1-Tilt Up (3pt)'!K74))+(('Alternative 1'!$B$29)*((('Alternative 1'!$B$12-'Alternative 1'!$B$29+(('Alternative 1'!$B$29-'Alternative 1'!$B$28)/2)*('Alternative 1'!$B$39)*COS('Alternative 1-Tilt Up (3pt)'!K74)))))</f>
        <v>1545315.0023432039</v>
      </c>
      <c r="N74" s="104">
        <f t="shared" si="18"/>
        <v>72103.98994527357</v>
      </c>
      <c r="O74" s="104">
        <f>(((('Alternative 1'!$B$28-'Alternative 1'!$B$27)/2)+'Alternative 1'!$B$27)*('Alternative 1'!$B$39)*COS('Alternative 1-Tilt Up (3pt)'!K74))+(((('Alternative 1'!$B$28-'Alternative 1'!$B$27)/2)+(('Alternative 1'!$B$29-'Alternative 1'!$B$28)/2))*('Alternative 1'!$B$39)*COS('Alternative 1-Tilt Up (3pt)'!K74))+(((('Alternative 1'!$B$12-'Alternative 1'!$B$29)+(('Alternative 1'!$B$29-'Alternative 1'!$B$28)/2))*('Alternative 1'!$B$39)*COS('Alternative 1-Tilt Up (3pt)'!K74)))</f>
        <v>99662.893042502154</v>
      </c>
      <c r="P74" s="104">
        <f t="shared" si="19"/>
        <v>23474.762935480103</v>
      </c>
      <c r="R74" s="105" t="e">
        <f>'Alternative 1'!$B$39*$B74*$C74*COS($K$5)-($N$5/3)*$E74*SIN($K$5)-($N$5/3)*$F74*SIN($K$5)-($N$5/3)*$G74*SIN($K$5)</f>
        <v>#VALUE!</v>
      </c>
      <c r="S74" s="106" t="e">
        <f>IF(($A74&lt;'Alternative 1'!$B$27),(($H74*'Alternative 1'!$B$39)+(3*($N$5/3)*COS($K$5))),IF(($A74&lt;'Alternative 1'!$B$28),(($H74*'Alternative 1'!$B$39)+(2*(($N$5/3)*COS($K$5)))),IF(($A74&lt;'Alternative 1'!$B$29),(($H$3*'Alternative 1'!$B$39+(($N$5/3)*COS($K$5)))),($H74*'Alternative 1'!$B$39))))</f>
        <v>#VALUE!</v>
      </c>
      <c r="T74" s="105" t="e">
        <f>R74*'Alternative 1'!$K75/'Alternative 1'!$L75</f>
        <v>#VALUE!</v>
      </c>
      <c r="U74" s="105" t="e">
        <f>S74/'Alternative 1'!$M75</f>
        <v>#VALUE!</v>
      </c>
      <c r="V74" s="105" t="e">
        <f t="shared" si="20"/>
        <v>#VALUE!</v>
      </c>
      <c r="X74" s="105" t="e">
        <f>'Alternative 1'!$B$39*$B74*$C74*COS($K$13)-($N$12/3)*$E74*SIN($K$13)-($N$12/3)*$F74*SIN($K$13)-($N$12/3)*$G74*SIN($K$13)</f>
        <v>#VALUE!</v>
      </c>
      <c r="Y74" s="106" t="e">
        <f>IF(($A74&lt;'Alternative 1'!$B$27),(($H74*'Alternative 1'!$B$39)+(3*($N$12/3)*COS($K$13))),IF(($A74&lt;'Alternative 1'!$B$28),(($H74*'Alternative 1'!$B$39)+(2*(($N$12/3)*COS($K$13)))),IF(($A74&lt;'Alternative 1'!$B$29),(($H$3*'Alternative 1'!$B$39+(($N$12/3)*COS($K$13)))),($H74*'Alternative 1'!$B$39))))</f>
        <v>#VALUE!</v>
      </c>
      <c r="Z74" s="105" t="e">
        <f>X74*'Alternative 1'!$K75/'Alternative 1'!$L75</f>
        <v>#VALUE!</v>
      </c>
      <c r="AA74" s="105" t="e">
        <f>Y74/'Alternative 1'!$M75</f>
        <v>#VALUE!</v>
      </c>
      <c r="AB74" s="105" t="e">
        <f t="shared" si="21"/>
        <v>#VALUE!</v>
      </c>
      <c r="AD74" s="105" t="e">
        <f>'Alternative 1'!$B$39*$B74*$C74*COS($K$23)-($N$22/3)*$E74*SIN($K$23)-($N$22/3)*$F74*SIN($K$23)-($N$22/3)*$G74*SIN($K$23)</f>
        <v>#VALUE!</v>
      </c>
      <c r="AE74" s="106" t="e">
        <f>IF(($A74&lt;'Alternative 1'!$B$27),(($H74*'Alternative 1'!$B$39)+(3*($N$22/3)*COS($K$23))),IF(($A74&lt;'Alternative 1'!$B$28),(($H74*'Alternative 1'!$B$39)+(2*(($N$22/3)*COS($K$23)))),IF(($A74&lt;'Alternative 1'!$B$29),(($H$3*'Alternative 1'!$B$39+(($N$22/3)*COS($K$23)))),($H74*'Alternative 1'!$B$39))))</f>
        <v>#VALUE!</v>
      </c>
      <c r="AF74" s="105" t="e">
        <f>AD74*'Alternative 1'!$K75/'Alternative 1'!$L75</f>
        <v>#VALUE!</v>
      </c>
      <c r="AG74" s="105" t="e">
        <f>AE74/'Alternative 1'!$M75</f>
        <v>#VALUE!</v>
      </c>
      <c r="AH74" s="105" t="e">
        <f t="shared" si="22"/>
        <v>#VALUE!</v>
      </c>
      <c r="AJ74" s="105" t="e">
        <f>'Alternative 1'!$B$39*$B74*$C74*COS($K$33)-($N$32/3)*$E74*SIN($K$33)-($N$32/3)*$F74*SIN($K$33)-($N$32/3)*$G74*SIN($K$33)</f>
        <v>#VALUE!</v>
      </c>
      <c r="AK74" s="106" t="e">
        <f>IF(($A74&lt;'Alternative 1'!$B$27),(($H74*'Alternative 1'!$B$39)+(3*($N$32/3)*COS($K$33))),IF(($A74&lt;'Alternative 1'!$B$28),(($H74*'Alternative 1'!$B$39)+(2*(($N$32/3)*COS($K$33)))),IF(($A74&lt;'Alternative 1'!$B$29),(($H$3*'Alternative 1'!$B$39+(($N$32/3)*COS($K$33)))),($H74*'Alternative 1'!$B$39))))</f>
        <v>#VALUE!</v>
      </c>
      <c r="AL74" s="105" t="e">
        <f>AJ74*'Alternative 1'!$K75/'Alternative 1'!$L75</f>
        <v>#VALUE!</v>
      </c>
      <c r="AM74" s="105" t="e">
        <f>AK74/'Alternative 1'!$M75</f>
        <v>#VALUE!</v>
      </c>
      <c r="AN74" s="105" t="e">
        <f t="shared" si="23"/>
        <v>#VALUE!</v>
      </c>
      <c r="AP74" s="105" t="e">
        <f>'Alternative 1'!$B$39*$B74*$C74*COS($K$43)-($N$42/3)*$E74*SIN($K$43)-($N$42/3)*$F74*SIN($K$43)-($N$42/3)*$G74*SIN($K$43)</f>
        <v>#VALUE!</v>
      </c>
      <c r="AQ74" s="106" t="e">
        <f>IF(($A74&lt;'Alternative 1'!$B$27),(($H74*'Alternative 1'!$B$39)+(3*($N$42/3)*COS($K$43))),IF(($A74&lt;'Alternative 1'!$B$28),(($H74*'Alternative 1'!$B$39)+(2*(($N$42/3)*COS($K$43)))),IF(($A74&lt;'Alternative 1'!$B$29),(($H$3*'Alternative 1'!$B$39+(($N$42/3)*COS($K$43)))),($H74*'Alternative 1'!$B$39))))</f>
        <v>#VALUE!</v>
      </c>
      <c r="AR74" s="105" t="e">
        <f>AP74*'Alternative 1'!$K75/'Alternative 1'!$L75</f>
        <v>#VALUE!</v>
      </c>
      <c r="AS74" s="105" t="e">
        <f>AQ74/'Alternative 1'!$M75</f>
        <v>#VALUE!</v>
      </c>
      <c r="AT74" s="105" t="e">
        <f t="shared" si="24"/>
        <v>#VALUE!</v>
      </c>
      <c r="AV74" s="105" t="e">
        <f>'Alternative 1'!$B$39*$B74*$C74*COS($K$53)-($N$52/3)*$E74*SIN($K$53)-($N$52/3)*$F74*SIN($K$53)-($N$52/3)*$G74*SIN($K$53)</f>
        <v>#VALUE!</v>
      </c>
      <c r="AW74" s="106" t="e">
        <f>IF(($A74&lt;'Alternative 1'!$B$27),(($H74*'Alternative 1'!$B$39)+(3*($N$52/3)*COS($K$53))),IF(($A74&lt;'Alternative 1'!$B$28),(($H74*'Alternative 1'!$B$39)+(2*(($N$52/3)*COS($K$53)))),IF(($A74&lt;'Alternative 1'!$B$29),(($H$3*'Alternative 1'!$B$39+(($N$52/3)*COS($K$53)))),($H74*'Alternative 1'!$B$39))))</f>
        <v>#VALUE!</v>
      </c>
      <c r="AX74" s="105" t="e">
        <f>AV74*'Alternative 1'!$K75/'Alternative 1'!$L75</f>
        <v>#VALUE!</v>
      </c>
      <c r="AY74" s="105" t="e">
        <f>AW74/'Alternative 1'!$M75</f>
        <v>#VALUE!</v>
      </c>
      <c r="AZ74" s="105" t="e">
        <f t="shared" si="25"/>
        <v>#VALUE!</v>
      </c>
      <c r="BB74" s="105" t="e">
        <f>'Alternative 1'!$B$39*$B74*$C74*COS($K$63)-($N$62/3)*$E74*SIN($K$63)-($N$62/3)*$F74*SIN($K$63)-($N$62/3)*$G74*SIN($K$63)</f>
        <v>#VALUE!</v>
      </c>
      <c r="BC74" s="106" t="e">
        <f>IF(($A74&lt;'Alternative 1'!$B$27),(($H74*'Alternative 1'!$B$39)+(3*($N$62/3)*COS($K$63))),IF(($A74&lt;'Alternative 1'!$B$28),(($H74*'Alternative 1'!$B$39)+(2*(($N$62/3)*COS($K$63)))),IF(($A74&lt;'Alternative 1'!$B$29),(($H$3*'Alternative 1'!$B$39+(($N$62/3)*COS($K$63)))),($H74*'Alternative 1'!$B$39))))</f>
        <v>#VALUE!</v>
      </c>
      <c r="BD74" s="105" t="e">
        <f>BB74*'Alternative 1'!$K75/'Alternative 1'!$L75</f>
        <v>#VALUE!</v>
      </c>
      <c r="BE74" s="105" t="e">
        <f>BC74/'Alternative 1'!$M75</f>
        <v>#VALUE!</v>
      </c>
      <c r="BF74" s="105" t="e">
        <f t="shared" si="26"/>
        <v>#VALUE!</v>
      </c>
      <c r="BH74" s="105" t="e">
        <f>'Alternative 1'!$B$39*$B74*$C74*COS($K$73)-($N$72/3)*$E74*SIN($K$73)-($N$72/3)*$F74*SIN($K$73)-($N$72/3)*$G74*SIN($K$73)</f>
        <v>#VALUE!</v>
      </c>
      <c r="BI74" s="106" t="e">
        <f>IF(($A74&lt;'Alternative 1'!$B$27),(($H74*'Alternative 1'!$B$39)+(3*($N$72/3)*COS($K$73))),IF(($A74&lt;'Alternative 1'!$B$28),(($H74*'Alternative 1'!$B$39)+(2*(($N$72/3)*COS($K$73)))),IF(($A74&lt;'Alternative 1'!$B$29),(($H$3*'Alternative 1'!$B$39+(($N$72/3)*COS($K$73)))),($H74*'Alternative 1'!$B$39))))</f>
        <v>#VALUE!</v>
      </c>
      <c r="BJ74" s="105" t="e">
        <f>BH74*'Alternative 1'!$K75/'Alternative 1'!$L75</f>
        <v>#VALUE!</v>
      </c>
      <c r="BK74" s="105" t="e">
        <f>BI74/'Alternative 1'!$M75</f>
        <v>#VALUE!</v>
      </c>
      <c r="BL74" s="105" t="e">
        <f t="shared" si="27"/>
        <v>#VALUE!</v>
      </c>
      <c r="BN74" s="105" t="e">
        <f>'Alternative 1'!$B$39*$B74*$C74*COS($K$83)-($N$82/3)*$E74*SIN($K$83)-($N$82/3)*$F74*SIN($K$83)-($N$82/3)*$G74*SIN($K$83)</f>
        <v>#VALUE!</v>
      </c>
      <c r="BO74" s="106" t="e">
        <f>IF(($A74&lt;'Alternative 1'!$B$27),(($H74*'Alternative 1'!$B$39)+(3*($N$82/3)*COS($K$83))),IF(($A74&lt;'Alternative 1'!$B$28),(($H74*'Alternative 1'!$B$39)+(2*(($N$82/3)*COS($K$83)))),IF(($A74&lt;'Alternative 1'!$B$29),(($H$3*'Alternative 1'!$B$39+(($N$82/3)*COS($K$83)))),($H74*'Alternative 1'!$B$39))))</f>
        <v>#VALUE!</v>
      </c>
      <c r="BP74" s="105" t="e">
        <f>BN74*'Alternative 1'!$K75/'Alternative 1'!$L75</f>
        <v>#VALUE!</v>
      </c>
      <c r="BQ74" s="105" t="e">
        <f>BO74/'Alternative 1'!$M75</f>
        <v>#VALUE!</v>
      </c>
      <c r="BR74" s="105" t="e">
        <f t="shared" si="28"/>
        <v>#VALUE!</v>
      </c>
      <c r="BT74" s="105" t="e">
        <f>'Alternative 1'!$B$39*$B74*$C74*COS($K$93)-($K$92/3)*$E74*SIN($K$93)-($K$92/3)*$F74*SIN($K$93)-($K$92/3)*$G74*SIN($K$93)</f>
        <v>#VALUE!</v>
      </c>
      <c r="BU74" s="106" t="e">
        <f>IF(($A74&lt;'Alternative 1'!$B$27),(($H74*'Alternative 1'!$B$39)+(3*($N$92/3)*COS($K$93))),IF(($A74&lt;'Alternative 1'!$B$28),(($H74*'Alternative 1'!$B$39)+(2*(($N$92/3)*COS($K$93)))),IF(($A74&lt;'Alternative 1'!$B$29),(($H$3*'Alternative 1'!$B$39+(($N$92/3)*COS($K$93)))),($H74*'Alternative 1'!$B$39))))</f>
        <v>#VALUE!</v>
      </c>
      <c r="BV74" s="105" t="e">
        <f>BT74*'Alternative 1'!$K75/'Alternative 1'!$L75</f>
        <v>#VALUE!</v>
      </c>
      <c r="BW74" s="105" t="e">
        <f>BU74/'Alternative 1'!$M75</f>
        <v>#VALUE!</v>
      </c>
      <c r="BX74" s="105" t="e">
        <f t="shared" si="29"/>
        <v>#VALUE!</v>
      </c>
    </row>
    <row r="75" spans="1:79" ht="15" customHeight="1" x14ac:dyDescent="0.25">
      <c r="A75" s="18" t="str">
        <f>IF('Alternative 1'!F76&gt;0,'Alternative 1'!F76,"x")</f>
        <v>x</v>
      </c>
      <c r="B75" s="18" t="e">
        <f t="shared" si="35"/>
        <v>#VALUE!</v>
      </c>
      <c r="C75" s="18">
        <f t="shared" si="30"/>
        <v>0</v>
      </c>
      <c r="D75" s="18" t="str">
        <f t="shared" si="31"/>
        <v>x</v>
      </c>
      <c r="E75" s="101">
        <f>IF($A75&lt;='Alternative 1'!$B$27, IF($A75='Alternative 1'!$B$27,0,E76+1),0)</f>
        <v>0</v>
      </c>
      <c r="F75" s="101">
        <f>IF($A75&lt;=('Alternative 1'!$B$28), IF($A75=ROUNDDOWN('Alternative 1'!$B$28,0),0,F76+1),0)</f>
        <v>0</v>
      </c>
      <c r="G75" s="101">
        <f>IF($A75&lt;=('Alternative 1'!$B$29), IF($A75=ROUNDDOWN('Alternative 1'!$B$29,0),0,G76+1),0)</f>
        <v>0</v>
      </c>
      <c r="H75" s="18" t="e">
        <f t="shared" si="32"/>
        <v>#VALUE!</v>
      </c>
      <c r="J75" s="104">
        <f t="shared" si="33"/>
        <v>72</v>
      </c>
      <c r="K75" s="104">
        <f t="shared" si="34"/>
        <v>1.2566370614359172</v>
      </c>
      <c r="L75" s="105">
        <f>'Alternative 1'!$B$27*SIN(K75)+'Alternative 1'!$B$28*SIN(K75)+'Alternative 1'!$B$29*SIN(K75)</f>
        <v>64.671843108070448</v>
      </c>
      <c r="M75" s="104">
        <f>(('Alternative 1'!$B$27)*(((('Alternative 1'!$B$28-'Alternative 1'!$B$27)/2)+'Alternative 1'!$B$27)*'Alternative 1'!$B$39)*COS('Alternative 1-Tilt Up (3pt)'!K75))+(('Alternative 1'!$B$28)*((('Alternative 1'!$B$28-'Alternative 1'!$B$27)/2)+(('Alternative 1'!$B$29-'Alternative 1'!$B$28)/2))*('Alternative 1'!$B$39)*COS('Alternative 1-Tilt Up (3pt)'!K75))+(('Alternative 1'!$B$29)*((('Alternative 1'!$B$12-'Alternative 1'!$B$29+(('Alternative 1'!$B$29-'Alternative 1'!$B$28)/2)*('Alternative 1'!$B$39)*COS('Alternative 1-Tilt Up (3pt)'!K75)))))</f>
        <v>1466764.5737786861</v>
      </c>
      <c r="N75" s="104">
        <f t="shared" si="18"/>
        <v>68040.332699083723</v>
      </c>
      <c r="O75" s="104">
        <f>(((('Alternative 1'!$B$28-'Alternative 1'!$B$27)/2)+'Alternative 1'!$B$27)*('Alternative 1'!$B$39)*COS('Alternative 1-Tilt Up (3pt)'!K75))+(((('Alternative 1'!$B$28-'Alternative 1'!$B$27)/2)+(('Alternative 1'!$B$29-'Alternative 1'!$B$28)/2))*('Alternative 1'!$B$39)*COS('Alternative 1-Tilt Up (3pt)'!K75))+(((('Alternative 1'!$B$12-'Alternative 1'!$B$29)+(('Alternative 1'!$B$29-'Alternative 1'!$B$28)/2))*('Alternative 1'!$B$39)*COS('Alternative 1-Tilt Up (3pt)'!K75)))</f>
        <v>94596.253463600631</v>
      </c>
      <c r="P75" s="104">
        <f t="shared" si="19"/>
        <v>21025.619106942308</v>
      </c>
      <c r="R75" s="105" t="e">
        <f>'Alternative 1'!$B$39*$B75*$C75*COS($K$5)-($N$5/3)*$E75*SIN($K$5)-($N$5/3)*$F75*SIN($K$5)-($N$5/3)*$G75*SIN($K$5)</f>
        <v>#VALUE!</v>
      </c>
      <c r="S75" s="106" t="e">
        <f>IF(($A75&lt;'Alternative 1'!$B$27),(($H75*'Alternative 1'!$B$39)+(3*($N$5/3)*COS($K$5))),IF(($A75&lt;'Alternative 1'!$B$28),(($H75*'Alternative 1'!$B$39)+(2*(($N$5/3)*COS($K$5)))),IF(($A75&lt;'Alternative 1'!$B$29),(($H$3*'Alternative 1'!$B$39+(($N$5/3)*COS($K$5)))),($H75*'Alternative 1'!$B$39))))</f>
        <v>#VALUE!</v>
      </c>
      <c r="T75" s="105" t="e">
        <f>R75*'Alternative 1'!$K76/'Alternative 1'!$L76</f>
        <v>#VALUE!</v>
      </c>
      <c r="U75" s="105" t="e">
        <f>S75/'Alternative 1'!$M76</f>
        <v>#VALUE!</v>
      </c>
      <c r="V75" s="105" t="e">
        <f t="shared" si="20"/>
        <v>#VALUE!</v>
      </c>
      <c r="X75" s="105" t="e">
        <f>'Alternative 1'!$B$39*$B75*$C75*COS($K$13)-($N$12/3)*$E75*SIN($K$13)-($N$12/3)*$F75*SIN($K$13)-($N$12/3)*$G75*SIN($K$13)</f>
        <v>#VALUE!</v>
      </c>
      <c r="Y75" s="106" t="e">
        <f>IF(($A75&lt;'Alternative 1'!$B$27),(($H75*'Alternative 1'!$B$39)+(3*($N$12/3)*COS($K$13))),IF(($A75&lt;'Alternative 1'!$B$28),(($H75*'Alternative 1'!$B$39)+(2*(($N$12/3)*COS($K$13)))),IF(($A75&lt;'Alternative 1'!$B$29),(($H$3*'Alternative 1'!$B$39+(($N$12/3)*COS($K$13)))),($H75*'Alternative 1'!$B$39))))</f>
        <v>#VALUE!</v>
      </c>
      <c r="Z75" s="105" t="e">
        <f>X75*'Alternative 1'!$K76/'Alternative 1'!$L76</f>
        <v>#VALUE!</v>
      </c>
      <c r="AA75" s="105" t="e">
        <f>Y75/'Alternative 1'!$M76</f>
        <v>#VALUE!</v>
      </c>
      <c r="AB75" s="105" t="e">
        <f t="shared" si="21"/>
        <v>#VALUE!</v>
      </c>
      <c r="AD75" s="105" t="e">
        <f>'Alternative 1'!$B$39*$B75*$C75*COS($K$23)-($N$22/3)*$E75*SIN($K$23)-($N$22/3)*$F75*SIN($K$23)-($N$22/3)*$G75*SIN($K$23)</f>
        <v>#VALUE!</v>
      </c>
      <c r="AE75" s="106" t="e">
        <f>IF(($A75&lt;'Alternative 1'!$B$27),(($H75*'Alternative 1'!$B$39)+(3*($N$22/3)*COS($K$23))),IF(($A75&lt;'Alternative 1'!$B$28),(($H75*'Alternative 1'!$B$39)+(2*(($N$22/3)*COS($K$23)))),IF(($A75&lt;'Alternative 1'!$B$29),(($H$3*'Alternative 1'!$B$39+(($N$22/3)*COS($K$23)))),($H75*'Alternative 1'!$B$39))))</f>
        <v>#VALUE!</v>
      </c>
      <c r="AF75" s="105" t="e">
        <f>AD75*'Alternative 1'!$K76/'Alternative 1'!$L76</f>
        <v>#VALUE!</v>
      </c>
      <c r="AG75" s="105" t="e">
        <f>AE75/'Alternative 1'!$M76</f>
        <v>#VALUE!</v>
      </c>
      <c r="AH75" s="105" t="e">
        <f t="shared" si="22"/>
        <v>#VALUE!</v>
      </c>
      <c r="AJ75" s="105" t="e">
        <f>'Alternative 1'!$B$39*$B75*$C75*COS($K$33)-($N$32/3)*$E75*SIN($K$33)-($N$32/3)*$F75*SIN($K$33)-($N$32/3)*$G75*SIN($K$33)</f>
        <v>#VALUE!</v>
      </c>
      <c r="AK75" s="106" t="e">
        <f>IF(($A75&lt;'Alternative 1'!$B$27),(($H75*'Alternative 1'!$B$39)+(3*($N$32/3)*COS($K$33))),IF(($A75&lt;'Alternative 1'!$B$28),(($H75*'Alternative 1'!$B$39)+(2*(($N$32/3)*COS($K$33)))),IF(($A75&lt;'Alternative 1'!$B$29),(($H$3*'Alternative 1'!$B$39+(($N$32/3)*COS($K$33)))),($H75*'Alternative 1'!$B$39))))</f>
        <v>#VALUE!</v>
      </c>
      <c r="AL75" s="105" t="e">
        <f>AJ75*'Alternative 1'!$K76/'Alternative 1'!$L76</f>
        <v>#VALUE!</v>
      </c>
      <c r="AM75" s="105" t="e">
        <f>AK75/'Alternative 1'!$M76</f>
        <v>#VALUE!</v>
      </c>
      <c r="AN75" s="105" t="e">
        <f t="shared" si="23"/>
        <v>#VALUE!</v>
      </c>
      <c r="AP75" s="105" t="e">
        <f>'Alternative 1'!$B$39*$B75*$C75*COS($K$43)-($N$42/3)*$E75*SIN($K$43)-($N$42/3)*$F75*SIN($K$43)-($N$42/3)*$G75*SIN($K$43)</f>
        <v>#VALUE!</v>
      </c>
      <c r="AQ75" s="106" t="e">
        <f>IF(($A75&lt;'Alternative 1'!$B$27),(($H75*'Alternative 1'!$B$39)+(3*($N$42/3)*COS($K$43))),IF(($A75&lt;'Alternative 1'!$B$28),(($H75*'Alternative 1'!$B$39)+(2*(($N$42/3)*COS($K$43)))),IF(($A75&lt;'Alternative 1'!$B$29),(($H$3*'Alternative 1'!$B$39+(($N$42/3)*COS($K$43)))),($H75*'Alternative 1'!$B$39))))</f>
        <v>#VALUE!</v>
      </c>
      <c r="AR75" s="105" t="e">
        <f>AP75*'Alternative 1'!$K76/'Alternative 1'!$L76</f>
        <v>#VALUE!</v>
      </c>
      <c r="AS75" s="105" t="e">
        <f>AQ75/'Alternative 1'!$M76</f>
        <v>#VALUE!</v>
      </c>
      <c r="AT75" s="105" t="e">
        <f t="shared" si="24"/>
        <v>#VALUE!</v>
      </c>
      <c r="AV75" s="105" t="e">
        <f>'Alternative 1'!$B$39*$B75*$C75*COS($K$53)-($N$52/3)*$E75*SIN($K$53)-($N$52/3)*$F75*SIN($K$53)-($N$52/3)*$G75*SIN($K$53)</f>
        <v>#VALUE!</v>
      </c>
      <c r="AW75" s="106" t="e">
        <f>IF(($A75&lt;'Alternative 1'!$B$27),(($H75*'Alternative 1'!$B$39)+(3*($N$52/3)*COS($K$53))),IF(($A75&lt;'Alternative 1'!$B$28),(($H75*'Alternative 1'!$B$39)+(2*(($N$52/3)*COS($K$53)))),IF(($A75&lt;'Alternative 1'!$B$29),(($H$3*'Alternative 1'!$B$39+(($N$52/3)*COS($K$53)))),($H75*'Alternative 1'!$B$39))))</f>
        <v>#VALUE!</v>
      </c>
      <c r="AX75" s="105" t="e">
        <f>AV75*'Alternative 1'!$K76/'Alternative 1'!$L76</f>
        <v>#VALUE!</v>
      </c>
      <c r="AY75" s="105" t="e">
        <f>AW75/'Alternative 1'!$M76</f>
        <v>#VALUE!</v>
      </c>
      <c r="AZ75" s="105" t="e">
        <f t="shared" si="25"/>
        <v>#VALUE!</v>
      </c>
      <c r="BB75" s="105" t="e">
        <f>'Alternative 1'!$B$39*$B75*$C75*COS($K$63)-($N$62/3)*$E75*SIN($K$63)-($N$62/3)*$F75*SIN($K$63)-($N$62/3)*$G75*SIN($K$63)</f>
        <v>#VALUE!</v>
      </c>
      <c r="BC75" s="106" t="e">
        <f>IF(($A75&lt;'Alternative 1'!$B$27),(($H75*'Alternative 1'!$B$39)+(3*($N$62/3)*COS($K$63))),IF(($A75&lt;'Alternative 1'!$B$28),(($H75*'Alternative 1'!$B$39)+(2*(($N$62/3)*COS($K$63)))),IF(($A75&lt;'Alternative 1'!$B$29),(($H$3*'Alternative 1'!$B$39+(($N$62/3)*COS($K$63)))),($H75*'Alternative 1'!$B$39))))</f>
        <v>#VALUE!</v>
      </c>
      <c r="BD75" s="105" t="e">
        <f>BB75*'Alternative 1'!$K76/'Alternative 1'!$L76</f>
        <v>#VALUE!</v>
      </c>
      <c r="BE75" s="105" t="e">
        <f>BC75/'Alternative 1'!$M76</f>
        <v>#VALUE!</v>
      </c>
      <c r="BF75" s="105" t="e">
        <f t="shared" si="26"/>
        <v>#VALUE!</v>
      </c>
      <c r="BH75" s="105" t="e">
        <f>'Alternative 1'!$B$39*$B75*$C75*COS($K$73)-($N$72/3)*$E75*SIN($K$73)-($N$72/3)*$F75*SIN($K$73)-($N$72/3)*$G75*SIN($K$73)</f>
        <v>#VALUE!</v>
      </c>
      <c r="BI75" s="106" t="e">
        <f>IF(($A75&lt;'Alternative 1'!$B$27),(($H75*'Alternative 1'!$B$39)+(3*($N$72/3)*COS($K$73))),IF(($A75&lt;'Alternative 1'!$B$28),(($H75*'Alternative 1'!$B$39)+(2*(($N$72/3)*COS($K$73)))),IF(($A75&lt;'Alternative 1'!$B$29),(($H$3*'Alternative 1'!$B$39+(($N$72/3)*COS($K$73)))),($H75*'Alternative 1'!$B$39))))</f>
        <v>#VALUE!</v>
      </c>
      <c r="BJ75" s="105" t="e">
        <f>BH75*'Alternative 1'!$K76/'Alternative 1'!$L76</f>
        <v>#VALUE!</v>
      </c>
      <c r="BK75" s="105" t="e">
        <f>BI75/'Alternative 1'!$M76</f>
        <v>#VALUE!</v>
      </c>
      <c r="BL75" s="105" t="e">
        <f t="shared" si="27"/>
        <v>#VALUE!</v>
      </c>
      <c r="BN75" s="105" t="e">
        <f>'Alternative 1'!$B$39*$B75*$C75*COS($K$83)-($N$82/3)*$E75*SIN($K$83)-($N$82/3)*$F75*SIN($K$83)-($N$82/3)*$G75*SIN($K$83)</f>
        <v>#VALUE!</v>
      </c>
      <c r="BO75" s="106" t="e">
        <f>IF(($A75&lt;'Alternative 1'!$B$27),(($H75*'Alternative 1'!$B$39)+(3*($N$82/3)*COS($K$83))),IF(($A75&lt;'Alternative 1'!$B$28),(($H75*'Alternative 1'!$B$39)+(2*(($N$82/3)*COS($K$83)))),IF(($A75&lt;'Alternative 1'!$B$29),(($H$3*'Alternative 1'!$B$39+(($N$82/3)*COS($K$83)))),($H75*'Alternative 1'!$B$39))))</f>
        <v>#VALUE!</v>
      </c>
      <c r="BP75" s="105" t="e">
        <f>BN75*'Alternative 1'!$K76/'Alternative 1'!$L76</f>
        <v>#VALUE!</v>
      </c>
      <c r="BQ75" s="105" t="e">
        <f>BO75/'Alternative 1'!$M76</f>
        <v>#VALUE!</v>
      </c>
      <c r="BR75" s="105" t="e">
        <f t="shared" si="28"/>
        <v>#VALUE!</v>
      </c>
      <c r="BT75" s="105" t="e">
        <f>'Alternative 1'!$B$39*$B75*$C75*COS($K$93)-($K$92/3)*$E75*SIN($K$93)-($K$92/3)*$F75*SIN($K$93)-($K$92/3)*$G75*SIN($K$93)</f>
        <v>#VALUE!</v>
      </c>
      <c r="BU75" s="106" t="e">
        <f>IF(($A75&lt;'Alternative 1'!$B$27),(($H75*'Alternative 1'!$B$39)+(3*($N$92/3)*COS($K$93))),IF(($A75&lt;'Alternative 1'!$B$28),(($H75*'Alternative 1'!$B$39)+(2*(($N$92/3)*COS($K$93)))),IF(($A75&lt;'Alternative 1'!$B$29),(($H$3*'Alternative 1'!$B$39+(($N$92/3)*COS($K$93)))),($H75*'Alternative 1'!$B$39))))</f>
        <v>#VALUE!</v>
      </c>
      <c r="BV75" s="105" t="e">
        <f>BT75*'Alternative 1'!$K76/'Alternative 1'!$L76</f>
        <v>#VALUE!</v>
      </c>
      <c r="BW75" s="105" t="e">
        <f>BU75/'Alternative 1'!$M76</f>
        <v>#VALUE!</v>
      </c>
      <c r="BX75" s="105" t="e">
        <f t="shared" si="29"/>
        <v>#VALUE!</v>
      </c>
    </row>
    <row r="76" spans="1:79" ht="15" customHeight="1" x14ac:dyDescent="0.25">
      <c r="A76" s="18" t="str">
        <f>IF('Alternative 1'!F77&gt;0,'Alternative 1'!F77,"x")</f>
        <v>x</v>
      </c>
      <c r="B76" s="18" t="e">
        <f t="shared" si="35"/>
        <v>#VALUE!</v>
      </c>
      <c r="C76" s="18">
        <f t="shared" si="30"/>
        <v>0</v>
      </c>
      <c r="D76" s="18" t="str">
        <f t="shared" si="31"/>
        <v>x</v>
      </c>
      <c r="E76" s="101">
        <f>IF($A76&lt;='Alternative 1'!$B$27, IF($A76='Alternative 1'!$B$27,0,E77+1),0)</f>
        <v>0</v>
      </c>
      <c r="F76" s="101">
        <f>IF($A76&lt;=('Alternative 1'!$B$28), IF($A76=ROUNDDOWN('Alternative 1'!$B$28,0),0,F77+1),0)</f>
        <v>0</v>
      </c>
      <c r="G76" s="101">
        <f>IF($A76&lt;=('Alternative 1'!$B$29), IF($A76=ROUNDDOWN('Alternative 1'!$B$29,0),0,G77+1),0)</f>
        <v>0</v>
      </c>
      <c r="H76" s="18" t="e">
        <f t="shared" si="32"/>
        <v>#VALUE!</v>
      </c>
      <c r="J76" s="104">
        <f t="shared" si="33"/>
        <v>73</v>
      </c>
      <c r="K76" s="104">
        <f t="shared" si="34"/>
        <v>1.2740903539558606</v>
      </c>
      <c r="L76" s="105">
        <f>'Alternative 1'!$B$27*SIN(K76)+'Alternative 1'!$B$28*SIN(K76)+'Alternative 1'!$B$29*SIN(K76)</f>
        <v>65.028723405486417</v>
      </c>
      <c r="M76" s="104">
        <f>(('Alternative 1'!$B$27)*(((('Alternative 1'!$B$28-'Alternative 1'!$B$27)/2)+'Alternative 1'!$B$27)*'Alternative 1'!$B$39)*COS('Alternative 1-Tilt Up (3pt)'!K76))+(('Alternative 1'!$B$28)*((('Alternative 1'!$B$28-'Alternative 1'!$B$27)/2)+(('Alternative 1'!$B$29-'Alternative 1'!$B$28)/2))*('Alternative 1'!$B$39)*COS('Alternative 1-Tilt Up (3pt)'!K76))+(('Alternative 1'!$B$29)*((('Alternative 1'!$B$12-'Alternative 1'!$B$29+(('Alternative 1'!$B$29-'Alternative 1'!$B$28)/2)*('Alternative 1'!$B$39)*COS('Alternative 1-Tilt Up (3pt)'!K76)))))</f>
        <v>1387767.4141072561</v>
      </c>
      <c r="N76" s="104">
        <f t="shared" si="18"/>
        <v>64022.512272946049</v>
      </c>
      <c r="O76" s="104">
        <f>(((('Alternative 1'!$B$28-'Alternative 1'!$B$27)/2)+'Alternative 1'!$B$27)*('Alternative 1'!$B$39)*COS('Alternative 1-Tilt Up (3pt)'!K76))+(((('Alternative 1'!$B$28-'Alternative 1'!$B$27)/2)+(('Alternative 1'!$B$29-'Alternative 1'!$B$28)/2))*('Alternative 1'!$B$39)*COS('Alternative 1-Tilt Up (3pt)'!K76))+(((('Alternative 1'!$B$12-'Alternative 1'!$B$29)+(('Alternative 1'!$B$29-'Alternative 1'!$B$28)/2))*('Alternative 1'!$B$39)*COS('Alternative 1-Tilt Up (3pt)'!K76)))</f>
        <v>89500.798949519623</v>
      </c>
      <c r="P76" s="104">
        <f t="shared" si="19"/>
        <v>18718.371053873572</v>
      </c>
      <c r="R76" s="105" t="e">
        <f>'Alternative 1'!$B$39*$B76*$C76*COS($K$5)-($N$5/3)*$E76*SIN($K$5)-($N$5/3)*$F76*SIN($K$5)-($N$5/3)*$G76*SIN($K$5)</f>
        <v>#VALUE!</v>
      </c>
      <c r="S76" s="106" t="e">
        <f>IF(($A76&lt;'Alternative 1'!$B$27),(($H76*'Alternative 1'!$B$39)+(3*($N$5/3)*COS($K$5))),IF(($A76&lt;'Alternative 1'!$B$28),(($H76*'Alternative 1'!$B$39)+(2*(($N$5/3)*COS($K$5)))),IF(($A76&lt;'Alternative 1'!$B$29),(($H$3*'Alternative 1'!$B$39+(($N$5/3)*COS($K$5)))),($H76*'Alternative 1'!$B$39))))</f>
        <v>#VALUE!</v>
      </c>
      <c r="T76" s="105" t="e">
        <f>R76*'Alternative 1'!$K77/'Alternative 1'!$L77</f>
        <v>#VALUE!</v>
      </c>
      <c r="U76" s="105" t="e">
        <f>S76/'Alternative 1'!$M77</f>
        <v>#VALUE!</v>
      </c>
      <c r="V76" s="105" t="e">
        <f t="shared" si="20"/>
        <v>#VALUE!</v>
      </c>
      <c r="X76" s="105" t="e">
        <f>'Alternative 1'!$B$39*$B76*$C76*COS($K$13)-($N$12/3)*$E76*SIN($K$13)-($N$12/3)*$F76*SIN($K$13)-($N$12/3)*$G76*SIN($K$13)</f>
        <v>#VALUE!</v>
      </c>
      <c r="Y76" s="106" t="e">
        <f>IF(($A76&lt;'Alternative 1'!$B$27),(($H76*'Alternative 1'!$B$39)+(3*($N$12/3)*COS($K$13))),IF(($A76&lt;'Alternative 1'!$B$28),(($H76*'Alternative 1'!$B$39)+(2*(($N$12/3)*COS($K$13)))),IF(($A76&lt;'Alternative 1'!$B$29),(($H$3*'Alternative 1'!$B$39+(($N$12/3)*COS($K$13)))),($H76*'Alternative 1'!$B$39))))</f>
        <v>#VALUE!</v>
      </c>
      <c r="Z76" s="105" t="e">
        <f>X76*'Alternative 1'!$K77/'Alternative 1'!$L77</f>
        <v>#VALUE!</v>
      </c>
      <c r="AA76" s="105" t="e">
        <f>Y76/'Alternative 1'!$M77</f>
        <v>#VALUE!</v>
      </c>
      <c r="AB76" s="105" t="e">
        <f t="shared" si="21"/>
        <v>#VALUE!</v>
      </c>
      <c r="AD76" s="105" t="e">
        <f>'Alternative 1'!$B$39*$B76*$C76*COS($K$23)-($N$22/3)*$E76*SIN($K$23)-($N$22/3)*$F76*SIN($K$23)-($N$22/3)*$G76*SIN($K$23)</f>
        <v>#VALUE!</v>
      </c>
      <c r="AE76" s="106" t="e">
        <f>IF(($A76&lt;'Alternative 1'!$B$27),(($H76*'Alternative 1'!$B$39)+(3*($N$22/3)*COS($K$23))),IF(($A76&lt;'Alternative 1'!$B$28),(($H76*'Alternative 1'!$B$39)+(2*(($N$22/3)*COS($K$23)))),IF(($A76&lt;'Alternative 1'!$B$29),(($H$3*'Alternative 1'!$B$39+(($N$22/3)*COS($K$23)))),($H76*'Alternative 1'!$B$39))))</f>
        <v>#VALUE!</v>
      </c>
      <c r="AF76" s="105" t="e">
        <f>AD76*'Alternative 1'!$K77/'Alternative 1'!$L77</f>
        <v>#VALUE!</v>
      </c>
      <c r="AG76" s="105" t="e">
        <f>AE76/'Alternative 1'!$M77</f>
        <v>#VALUE!</v>
      </c>
      <c r="AH76" s="105" t="e">
        <f t="shared" si="22"/>
        <v>#VALUE!</v>
      </c>
      <c r="AJ76" s="105" t="e">
        <f>'Alternative 1'!$B$39*$B76*$C76*COS($K$33)-($N$32/3)*$E76*SIN($K$33)-($N$32/3)*$F76*SIN($K$33)-($N$32/3)*$G76*SIN($K$33)</f>
        <v>#VALUE!</v>
      </c>
      <c r="AK76" s="106" t="e">
        <f>IF(($A76&lt;'Alternative 1'!$B$27),(($H76*'Alternative 1'!$B$39)+(3*($N$32/3)*COS($K$33))),IF(($A76&lt;'Alternative 1'!$B$28),(($H76*'Alternative 1'!$B$39)+(2*(($N$32/3)*COS($K$33)))),IF(($A76&lt;'Alternative 1'!$B$29),(($H$3*'Alternative 1'!$B$39+(($N$32/3)*COS($K$33)))),($H76*'Alternative 1'!$B$39))))</f>
        <v>#VALUE!</v>
      </c>
      <c r="AL76" s="105" t="e">
        <f>AJ76*'Alternative 1'!$K77/'Alternative 1'!$L77</f>
        <v>#VALUE!</v>
      </c>
      <c r="AM76" s="105" t="e">
        <f>AK76/'Alternative 1'!$M77</f>
        <v>#VALUE!</v>
      </c>
      <c r="AN76" s="105" t="e">
        <f t="shared" si="23"/>
        <v>#VALUE!</v>
      </c>
      <c r="AP76" s="105" t="e">
        <f>'Alternative 1'!$B$39*$B76*$C76*COS($K$43)-($N$42/3)*$E76*SIN($K$43)-($N$42/3)*$F76*SIN($K$43)-($N$42/3)*$G76*SIN($K$43)</f>
        <v>#VALUE!</v>
      </c>
      <c r="AQ76" s="106" t="e">
        <f>IF(($A76&lt;'Alternative 1'!$B$27),(($H76*'Alternative 1'!$B$39)+(3*($N$42/3)*COS($K$43))),IF(($A76&lt;'Alternative 1'!$B$28),(($H76*'Alternative 1'!$B$39)+(2*(($N$42/3)*COS($K$43)))),IF(($A76&lt;'Alternative 1'!$B$29),(($H$3*'Alternative 1'!$B$39+(($N$42/3)*COS($K$43)))),($H76*'Alternative 1'!$B$39))))</f>
        <v>#VALUE!</v>
      </c>
      <c r="AR76" s="105" t="e">
        <f>AP76*'Alternative 1'!$K77/'Alternative 1'!$L77</f>
        <v>#VALUE!</v>
      </c>
      <c r="AS76" s="105" t="e">
        <f>AQ76/'Alternative 1'!$M77</f>
        <v>#VALUE!</v>
      </c>
      <c r="AT76" s="105" t="e">
        <f t="shared" si="24"/>
        <v>#VALUE!</v>
      </c>
      <c r="AV76" s="105" t="e">
        <f>'Alternative 1'!$B$39*$B76*$C76*COS($K$53)-($N$52/3)*$E76*SIN($K$53)-($N$52/3)*$F76*SIN($K$53)-($N$52/3)*$G76*SIN($K$53)</f>
        <v>#VALUE!</v>
      </c>
      <c r="AW76" s="106" t="e">
        <f>IF(($A76&lt;'Alternative 1'!$B$27),(($H76*'Alternative 1'!$B$39)+(3*($N$52/3)*COS($K$53))),IF(($A76&lt;'Alternative 1'!$B$28),(($H76*'Alternative 1'!$B$39)+(2*(($N$52/3)*COS($K$53)))),IF(($A76&lt;'Alternative 1'!$B$29),(($H$3*'Alternative 1'!$B$39+(($N$52/3)*COS($K$53)))),($H76*'Alternative 1'!$B$39))))</f>
        <v>#VALUE!</v>
      </c>
      <c r="AX76" s="105" t="e">
        <f>AV76*'Alternative 1'!$K77/'Alternative 1'!$L77</f>
        <v>#VALUE!</v>
      </c>
      <c r="AY76" s="105" t="e">
        <f>AW76/'Alternative 1'!$M77</f>
        <v>#VALUE!</v>
      </c>
      <c r="AZ76" s="105" t="e">
        <f t="shared" si="25"/>
        <v>#VALUE!</v>
      </c>
      <c r="BB76" s="105" t="e">
        <f>'Alternative 1'!$B$39*$B76*$C76*COS($K$63)-($N$62/3)*$E76*SIN($K$63)-($N$62/3)*$F76*SIN($K$63)-($N$62/3)*$G76*SIN($K$63)</f>
        <v>#VALUE!</v>
      </c>
      <c r="BC76" s="106" t="e">
        <f>IF(($A76&lt;'Alternative 1'!$B$27),(($H76*'Alternative 1'!$B$39)+(3*($N$62/3)*COS($K$63))),IF(($A76&lt;'Alternative 1'!$B$28),(($H76*'Alternative 1'!$B$39)+(2*(($N$62/3)*COS($K$63)))),IF(($A76&lt;'Alternative 1'!$B$29),(($H$3*'Alternative 1'!$B$39+(($N$62/3)*COS($K$63)))),($H76*'Alternative 1'!$B$39))))</f>
        <v>#VALUE!</v>
      </c>
      <c r="BD76" s="105" t="e">
        <f>BB76*'Alternative 1'!$K77/'Alternative 1'!$L77</f>
        <v>#VALUE!</v>
      </c>
      <c r="BE76" s="105" t="e">
        <f>BC76/'Alternative 1'!$M77</f>
        <v>#VALUE!</v>
      </c>
      <c r="BF76" s="105" t="e">
        <f t="shared" si="26"/>
        <v>#VALUE!</v>
      </c>
      <c r="BH76" s="105" t="e">
        <f>'Alternative 1'!$B$39*$B76*$C76*COS($K$73)-($N$72/3)*$E76*SIN($K$73)-($N$72/3)*$F76*SIN($K$73)-($N$72/3)*$G76*SIN($K$73)</f>
        <v>#VALUE!</v>
      </c>
      <c r="BI76" s="106" t="e">
        <f>IF(($A76&lt;'Alternative 1'!$B$27),(($H76*'Alternative 1'!$B$39)+(3*($N$72/3)*COS($K$73))),IF(($A76&lt;'Alternative 1'!$B$28),(($H76*'Alternative 1'!$B$39)+(2*(($N$72/3)*COS($K$73)))),IF(($A76&lt;'Alternative 1'!$B$29),(($H$3*'Alternative 1'!$B$39+(($N$72/3)*COS($K$73)))),($H76*'Alternative 1'!$B$39))))</f>
        <v>#VALUE!</v>
      </c>
      <c r="BJ76" s="105" t="e">
        <f>BH76*'Alternative 1'!$K77/'Alternative 1'!$L77</f>
        <v>#VALUE!</v>
      </c>
      <c r="BK76" s="105" t="e">
        <f>BI76/'Alternative 1'!$M77</f>
        <v>#VALUE!</v>
      </c>
      <c r="BL76" s="105" t="e">
        <f t="shared" si="27"/>
        <v>#VALUE!</v>
      </c>
      <c r="BN76" s="105" t="e">
        <f>'Alternative 1'!$B$39*$B76*$C76*COS($K$83)-($N$82/3)*$E76*SIN($K$83)-($N$82/3)*$F76*SIN($K$83)-($N$82/3)*$G76*SIN($K$83)</f>
        <v>#VALUE!</v>
      </c>
      <c r="BO76" s="106" t="e">
        <f>IF(($A76&lt;'Alternative 1'!$B$27),(($H76*'Alternative 1'!$B$39)+(3*($N$82/3)*COS($K$83))),IF(($A76&lt;'Alternative 1'!$B$28),(($H76*'Alternative 1'!$B$39)+(2*(($N$82/3)*COS($K$83)))),IF(($A76&lt;'Alternative 1'!$B$29),(($H$3*'Alternative 1'!$B$39+(($N$82/3)*COS($K$83)))),($H76*'Alternative 1'!$B$39))))</f>
        <v>#VALUE!</v>
      </c>
      <c r="BP76" s="105" t="e">
        <f>BN76*'Alternative 1'!$K77/'Alternative 1'!$L77</f>
        <v>#VALUE!</v>
      </c>
      <c r="BQ76" s="105" t="e">
        <f>BO76/'Alternative 1'!$M77</f>
        <v>#VALUE!</v>
      </c>
      <c r="BR76" s="105" t="e">
        <f t="shared" si="28"/>
        <v>#VALUE!</v>
      </c>
      <c r="BT76" s="105" t="e">
        <f>'Alternative 1'!$B$39*$B76*$C76*COS($K$93)-($K$92/3)*$E76*SIN($K$93)-($K$92/3)*$F76*SIN($K$93)-($K$92/3)*$G76*SIN($K$93)</f>
        <v>#VALUE!</v>
      </c>
      <c r="BU76" s="106" t="e">
        <f>IF(($A76&lt;'Alternative 1'!$B$27),(($H76*'Alternative 1'!$B$39)+(3*($N$92/3)*COS($K$93))),IF(($A76&lt;'Alternative 1'!$B$28),(($H76*'Alternative 1'!$B$39)+(2*(($N$92/3)*COS($K$93)))),IF(($A76&lt;'Alternative 1'!$B$29),(($H$3*'Alternative 1'!$B$39+(($N$92/3)*COS($K$93)))),($H76*'Alternative 1'!$B$39))))</f>
        <v>#VALUE!</v>
      </c>
      <c r="BV76" s="105" t="e">
        <f>BT76*'Alternative 1'!$K77/'Alternative 1'!$L77</f>
        <v>#VALUE!</v>
      </c>
      <c r="BW76" s="105" t="e">
        <f>BU76/'Alternative 1'!$M77</f>
        <v>#VALUE!</v>
      </c>
      <c r="BX76" s="105" t="e">
        <f t="shared" si="29"/>
        <v>#VALUE!</v>
      </c>
    </row>
    <row r="77" spans="1:79" ht="15" customHeight="1" x14ac:dyDescent="0.25">
      <c r="A77" s="18" t="str">
        <f>IF('Alternative 1'!F78&gt;0,'Alternative 1'!F78,"x")</f>
        <v>x</v>
      </c>
      <c r="B77" s="18" t="e">
        <f t="shared" si="35"/>
        <v>#VALUE!</v>
      </c>
      <c r="C77" s="18">
        <f t="shared" si="30"/>
        <v>0</v>
      </c>
      <c r="D77" s="18" t="str">
        <f t="shared" si="31"/>
        <v>x</v>
      </c>
      <c r="E77" s="101">
        <f>IF($A77&lt;='Alternative 1'!$B$27, IF($A77='Alternative 1'!$B$27,0,E78+1),0)</f>
        <v>0</v>
      </c>
      <c r="F77" s="101">
        <f>IF($A77&lt;=('Alternative 1'!$B$28), IF($A77=ROUNDDOWN('Alternative 1'!$B$28,0),0,F78+1),0)</f>
        <v>0</v>
      </c>
      <c r="G77" s="101">
        <f>IF($A77&lt;=('Alternative 1'!$B$29), IF($A77=ROUNDDOWN('Alternative 1'!$B$29,0),0,G78+1),0)</f>
        <v>0</v>
      </c>
      <c r="H77" s="18" t="e">
        <f t="shared" si="32"/>
        <v>#VALUE!</v>
      </c>
      <c r="J77" s="104">
        <f t="shared" si="33"/>
        <v>74</v>
      </c>
      <c r="K77" s="104">
        <f t="shared" si="34"/>
        <v>1.2915436464758039</v>
      </c>
      <c r="L77" s="105">
        <f>'Alternative 1'!$B$27*SIN(K77)+'Alternative 1'!$B$28*SIN(K77)+'Alternative 1'!$B$29*SIN(K77)</f>
        <v>65.365795323805685</v>
      </c>
      <c r="M77" s="104">
        <f>(('Alternative 1'!$B$27)*(((('Alternative 1'!$B$28-'Alternative 1'!$B$27)/2)+'Alternative 1'!$B$27)*'Alternative 1'!$B$39)*COS('Alternative 1-Tilt Up (3pt)'!K77))+(('Alternative 1'!$B$28)*((('Alternative 1'!$B$28-'Alternative 1'!$B$27)/2)+(('Alternative 1'!$B$29-'Alternative 1'!$B$28)/2))*('Alternative 1'!$B$39)*COS('Alternative 1-Tilt Up (3pt)'!K77))+(('Alternative 1'!$B$29)*((('Alternative 1'!$B$12-'Alternative 1'!$B$29+(('Alternative 1'!$B$29-'Alternative 1'!$B$28)/2)*('Alternative 1'!$B$39)*COS('Alternative 1-Tilt Up (3pt)'!K77)))))</f>
        <v>1308347.5866290119</v>
      </c>
      <c r="N77" s="104">
        <f t="shared" si="18"/>
        <v>60047.349541811018</v>
      </c>
      <c r="O77" s="104">
        <f>(((('Alternative 1'!$B$28-'Alternative 1'!$B$27)/2)+'Alternative 1'!$B$27)*('Alternative 1'!$B$39)*COS('Alternative 1-Tilt Up (3pt)'!K77))+(((('Alternative 1'!$B$28-'Alternative 1'!$B$27)/2)+(('Alternative 1'!$B$29-'Alternative 1'!$B$28)/2))*('Alternative 1'!$B$39)*COS('Alternative 1-Tilt Up (3pt)'!K77))+(((('Alternative 1'!$B$12-'Alternative 1'!$B$29)+(('Alternative 1'!$B$29-'Alternative 1'!$B$28)/2))*('Alternative 1'!$B$39)*COS('Alternative 1-Tilt Up (3pt)'!K77)))</f>
        <v>84378.081625064864</v>
      </c>
      <c r="P77" s="104">
        <f t="shared" si="19"/>
        <v>16551.292651523887</v>
      </c>
      <c r="R77" s="105" t="e">
        <f>'Alternative 1'!$B$39*$B77*$C77*COS($K$5)-($N$5/3)*$E77*SIN($K$5)-($N$5/3)*$F77*SIN($K$5)-($N$5/3)*$G77*SIN($K$5)</f>
        <v>#VALUE!</v>
      </c>
      <c r="S77" s="106" t="e">
        <f>IF(($A77&lt;'Alternative 1'!$B$27),(($H77*'Alternative 1'!$B$39)+(3*($N$5/3)*COS($K$5))),IF(($A77&lt;'Alternative 1'!$B$28),(($H77*'Alternative 1'!$B$39)+(2*(($N$5/3)*COS($K$5)))),IF(($A77&lt;'Alternative 1'!$B$29),(($H$3*'Alternative 1'!$B$39+(($N$5/3)*COS($K$5)))),($H77*'Alternative 1'!$B$39))))</f>
        <v>#VALUE!</v>
      </c>
      <c r="T77" s="105" t="e">
        <f>R77*'Alternative 1'!$K78/'Alternative 1'!$L78</f>
        <v>#VALUE!</v>
      </c>
      <c r="U77" s="105" t="e">
        <f>S77/'Alternative 1'!$M78</f>
        <v>#VALUE!</v>
      </c>
      <c r="V77" s="105" t="e">
        <f t="shared" si="20"/>
        <v>#VALUE!</v>
      </c>
      <c r="X77" s="105" t="e">
        <f>'Alternative 1'!$B$39*$B77*$C77*COS($K$13)-($N$12/3)*$E77*SIN($K$13)-($N$12/3)*$F77*SIN($K$13)-($N$12/3)*$G77*SIN($K$13)</f>
        <v>#VALUE!</v>
      </c>
      <c r="Y77" s="106" t="e">
        <f>IF(($A77&lt;'Alternative 1'!$B$27),(($H77*'Alternative 1'!$B$39)+(3*($N$12/3)*COS($K$13))),IF(($A77&lt;'Alternative 1'!$B$28),(($H77*'Alternative 1'!$B$39)+(2*(($N$12/3)*COS($K$13)))),IF(($A77&lt;'Alternative 1'!$B$29),(($H$3*'Alternative 1'!$B$39+(($N$12/3)*COS($K$13)))),($H77*'Alternative 1'!$B$39))))</f>
        <v>#VALUE!</v>
      </c>
      <c r="Z77" s="105" t="e">
        <f>X77*'Alternative 1'!$K78/'Alternative 1'!$L78</f>
        <v>#VALUE!</v>
      </c>
      <c r="AA77" s="105" t="e">
        <f>Y77/'Alternative 1'!$M78</f>
        <v>#VALUE!</v>
      </c>
      <c r="AB77" s="105" t="e">
        <f t="shared" si="21"/>
        <v>#VALUE!</v>
      </c>
      <c r="AD77" s="105" t="e">
        <f>'Alternative 1'!$B$39*$B77*$C77*COS($K$23)-($N$22/3)*$E77*SIN($K$23)-($N$22/3)*$F77*SIN($K$23)-($N$22/3)*$G77*SIN($K$23)</f>
        <v>#VALUE!</v>
      </c>
      <c r="AE77" s="106" t="e">
        <f>IF(($A77&lt;'Alternative 1'!$B$27),(($H77*'Alternative 1'!$B$39)+(3*($N$22/3)*COS($K$23))),IF(($A77&lt;'Alternative 1'!$B$28),(($H77*'Alternative 1'!$B$39)+(2*(($N$22/3)*COS($K$23)))),IF(($A77&lt;'Alternative 1'!$B$29),(($H$3*'Alternative 1'!$B$39+(($N$22/3)*COS($K$23)))),($H77*'Alternative 1'!$B$39))))</f>
        <v>#VALUE!</v>
      </c>
      <c r="AF77" s="105" t="e">
        <f>AD77*'Alternative 1'!$K78/'Alternative 1'!$L78</f>
        <v>#VALUE!</v>
      </c>
      <c r="AG77" s="105" t="e">
        <f>AE77/'Alternative 1'!$M78</f>
        <v>#VALUE!</v>
      </c>
      <c r="AH77" s="105" t="e">
        <f t="shared" si="22"/>
        <v>#VALUE!</v>
      </c>
      <c r="AJ77" s="105" t="e">
        <f>'Alternative 1'!$B$39*$B77*$C77*COS($K$33)-($N$32/3)*$E77*SIN($K$33)-($N$32/3)*$F77*SIN($K$33)-($N$32/3)*$G77*SIN($K$33)</f>
        <v>#VALUE!</v>
      </c>
      <c r="AK77" s="106" t="e">
        <f>IF(($A77&lt;'Alternative 1'!$B$27),(($H77*'Alternative 1'!$B$39)+(3*($N$32/3)*COS($K$33))),IF(($A77&lt;'Alternative 1'!$B$28),(($H77*'Alternative 1'!$B$39)+(2*(($N$32/3)*COS($K$33)))),IF(($A77&lt;'Alternative 1'!$B$29),(($H$3*'Alternative 1'!$B$39+(($N$32/3)*COS($K$33)))),($H77*'Alternative 1'!$B$39))))</f>
        <v>#VALUE!</v>
      </c>
      <c r="AL77" s="105" t="e">
        <f>AJ77*'Alternative 1'!$K78/'Alternative 1'!$L78</f>
        <v>#VALUE!</v>
      </c>
      <c r="AM77" s="105" t="e">
        <f>AK77/'Alternative 1'!$M78</f>
        <v>#VALUE!</v>
      </c>
      <c r="AN77" s="105" t="e">
        <f t="shared" si="23"/>
        <v>#VALUE!</v>
      </c>
      <c r="AP77" s="105" t="e">
        <f>'Alternative 1'!$B$39*$B77*$C77*COS($K$43)-($N$42/3)*$E77*SIN($K$43)-($N$42/3)*$F77*SIN($K$43)-($N$42/3)*$G77*SIN($K$43)</f>
        <v>#VALUE!</v>
      </c>
      <c r="AQ77" s="106" t="e">
        <f>IF(($A77&lt;'Alternative 1'!$B$27),(($H77*'Alternative 1'!$B$39)+(3*($N$42/3)*COS($K$43))),IF(($A77&lt;'Alternative 1'!$B$28),(($H77*'Alternative 1'!$B$39)+(2*(($N$42/3)*COS($K$43)))),IF(($A77&lt;'Alternative 1'!$B$29),(($H$3*'Alternative 1'!$B$39+(($N$42/3)*COS($K$43)))),($H77*'Alternative 1'!$B$39))))</f>
        <v>#VALUE!</v>
      </c>
      <c r="AR77" s="105" t="e">
        <f>AP77*'Alternative 1'!$K78/'Alternative 1'!$L78</f>
        <v>#VALUE!</v>
      </c>
      <c r="AS77" s="105" t="e">
        <f>AQ77/'Alternative 1'!$M78</f>
        <v>#VALUE!</v>
      </c>
      <c r="AT77" s="105" t="e">
        <f t="shared" si="24"/>
        <v>#VALUE!</v>
      </c>
      <c r="AV77" s="105" t="e">
        <f>'Alternative 1'!$B$39*$B77*$C77*COS($K$53)-($N$52/3)*$E77*SIN($K$53)-($N$52/3)*$F77*SIN($K$53)-($N$52/3)*$G77*SIN($K$53)</f>
        <v>#VALUE!</v>
      </c>
      <c r="AW77" s="106" t="e">
        <f>IF(($A77&lt;'Alternative 1'!$B$27),(($H77*'Alternative 1'!$B$39)+(3*($N$52/3)*COS($K$53))),IF(($A77&lt;'Alternative 1'!$B$28),(($H77*'Alternative 1'!$B$39)+(2*(($N$52/3)*COS($K$53)))),IF(($A77&lt;'Alternative 1'!$B$29),(($H$3*'Alternative 1'!$B$39+(($N$52/3)*COS($K$53)))),($H77*'Alternative 1'!$B$39))))</f>
        <v>#VALUE!</v>
      </c>
      <c r="AX77" s="105" t="e">
        <f>AV77*'Alternative 1'!$K78/'Alternative 1'!$L78</f>
        <v>#VALUE!</v>
      </c>
      <c r="AY77" s="105" t="e">
        <f>AW77/'Alternative 1'!$M78</f>
        <v>#VALUE!</v>
      </c>
      <c r="AZ77" s="105" t="e">
        <f t="shared" si="25"/>
        <v>#VALUE!</v>
      </c>
      <c r="BB77" s="105" t="e">
        <f>'Alternative 1'!$B$39*$B77*$C77*COS($K$63)-($N$62/3)*$E77*SIN($K$63)-($N$62/3)*$F77*SIN($K$63)-($N$62/3)*$G77*SIN($K$63)</f>
        <v>#VALUE!</v>
      </c>
      <c r="BC77" s="106" t="e">
        <f>IF(($A77&lt;'Alternative 1'!$B$27),(($H77*'Alternative 1'!$B$39)+(3*($N$62/3)*COS($K$63))),IF(($A77&lt;'Alternative 1'!$B$28),(($H77*'Alternative 1'!$B$39)+(2*(($N$62/3)*COS($K$63)))),IF(($A77&lt;'Alternative 1'!$B$29),(($H$3*'Alternative 1'!$B$39+(($N$62/3)*COS($K$63)))),($H77*'Alternative 1'!$B$39))))</f>
        <v>#VALUE!</v>
      </c>
      <c r="BD77" s="105" t="e">
        <f>BB77*'Alternative 1'!$K78/'Alternative 1'!$L78</f>
        <v>#VALUE!</v>
      </c>
      <c r="BE77" s="105" t="e">
        <f>BC77/'Alternative 1'!$M78</f>
        <v>#VALUE!</v>
      </c>
      <c r="BF77" s="105" t="e">
        <f t="shared" si="26"/>
        <v>#VALUE!</v>
      </c>
      <c r="BH77" s="105" t="e">
        <f>'Alternative 1'!$B$39*$B77*$C77*COS($K$73)-($N$72/3)*$E77*SIN($K$73)-($N$72/3)*$F77*SIN($K$73)-($N$72/3)*$G77*SIN($K$73)</f>
        <v>#VALUE!</v>
      </c>
      <c r="BI77" s="106" t="e">
        <f>IF(($A77&lt;'Alternative 1'!$B$27),(($H77*'Alternative 1'!$B$39)+(3*($N$72/3)*COS($K$73))),IF(($A77&lt;'Alternative 1'!$B$28),(($H77*'Alternative 1'!$B$39)+(2*(($N$72/3)*COS($K$73)))),IF(($A77&lt;'Alternative 1'!$B$29),(($H$3*'Alternative 1'!$B$39+(($N$72/3)*COS($K$73)))),($H77*'Alternative 1'!$B$39))))</f>
        <v>#VALUE!</v>
      </c>
      <c r="BJ77" s="105" t="e">
        <f>BH77*'Alternative 1'!$K78/'Alternative 1'!$L78</f>
        <v>#VALUE!</v>
      </c>
      <c r="BK77" s="105" t="e">
        <f>BI77/'Alternative 1'!$M78</f>
        <v>#VALUE!</v>
      </c>
      <c r="BL77" s="105" t="e">
        <f t="shared" si="27"/>
        <v>#VALUE!</v>
      </c>
      <c r="BN77" s="105" t="e">
        <f>'Alternative 1'!$B$39*$B77*$C77*COS($K$83)-($N$82/3)*$E77*SIN($K$83)-($N$82/3)*$F77*SIN($K$83)-($N$82/3)*$G77*SIN($K$83)</f>
        <v>#VALUE!</v>
      </c>
      <c r="BO77" s="106" t="e">
        <f>IF(($A77&lt;'Alternative 1'!$B$27),(($H77*'Alternative 1'!$B$39)+(3*($N$82/3)*COS($K$83))),IF(($A77&lt;'Alternative 1'!$B$28),(($H77*'Alternative 1'!$B$39)+(2*(($N$82/3)*COS($K$83)))),IF(($A77&lt;'Alternative 1'!$B$29),(($H$3*'Alternative 1'!$B$39+(($N$82/3)*COS($K$83)))),($H77*'Alternative 1'!$B$39))))</f>
        <v>#VALUE!</v>
      </c>
      <c r="BP77" s="105" t="e">
        <f>BN77*'Alternative 1'!$K78/'Alternative 1'!$L78</f>
        <v>#VALUE!</v>
      </c>
      <c r="BQ77" s="105" t="e">
        <f>BO77/'Alternative 1'!$M78</f>
        <v>#VALUE!</v>
      </c>
      <c r="BR77" s="105" t="e">
        <f t="shared" si="28"/>
        <v>#VALUE!</v>
      </c>
      <c r="BT77" s="105" t="e">
        <f>'Alternative 1'!$B$39*$B77*$C77*COS($K$93)-($K$92/3)*$E77*SIN($K$93)-($K$92/3)*$F77*SIN($K$93)-($K$92/3)*$G77*SIN($K$93)</f>
        <v>#VALUE!</v>
      </c>
      <c r="BU77" s="106" t="e">
        <f>IF(($A77&lt;'Alternative 1'!$B$27),(($H77*'Alternative 1'!$B$39)+(3*($N$92/3)*COS($K$93))),IF(($A77&lt;'Alternative 1'!$B$28),(($H77*'Alternative 1'!$B$39)+(2*(($N$92/3)*COS($K$93)))),IF(($A77&lt;'Alternative 1'!$B$29),(($H$3*'Alternative 1'!$B$39+(($N$92/3)*COS($K$93)))),($H77*'Alternative 1'!$B$39))))</f>
        <v>#VALUE!</v>
      </c>
      <c r="BV77" s="105" t="e">
        <f>BT77*'Alternative 1'!$K78/'Alternative 1'!$L78</f>
        <v>#VALUE!</v>
      </c>
      <c r="BW77" s="105" t="e">
        <f>BU77/'Alternative 1'!$M78</f>
        <v>#VALUE!</v>
      </c>
      <c r="BX77" s="105" t="e">
        <f t="shared" si="29"/>
        <v>#VALUE!</v>
      </c>
    </row>
    <row r="78" spans="1:79" ht="15" customHeight="1" x14ac:dyDescent="0.25">
      <c r="A78" s="18" t="str">
        <f>IF('Alternative 1'!F79&gt;0,'Alternative 1'!F79,"x")</f>
        <v>x</v>
      </c>
      <c r="B78" s="18" t="e">
        <f t="shared" si="35"/>
        <v>#VALUE!</v>
      </c>
      <c r="C78" s="18">
        <f t="shared" si="30"/>
        <v>0</v>
      </c>
      <c r="D78" s="18" t="str">
        <f t="shared" si="31"/>
        <v>x</v>
      </c>
      <c r="E78" s="101">
        <f>IF($A78&lt;='Alternative 1'!$B$27, IF($A78='Alternative 1'!$B$27,0,E79+1),0)</f>
        <v>0</v>
      </c>
      <c r="F78" s="101">
        <f>IF($A78&lt;=('Alternative 1'!$B$28), IF($A78=ROUNDDOWN('Alternative 1'!$B$28,0),0,F79+1),0)</f>
        <v>0</v>
      </c>
      <c r="G78" s="101">
        <f>IF($A78&lt;=('Alternative 1'!$B$29), IF($A78=ROUNDDOWN('Alternative 1'!$B$29,0),0,G79+1),0)</f>
        <v>0</v>
      </c>
      <c r="H78" s="18" t="e">
        <f t="shared" si="32"/>
        <v>#VALUE!</v>
      </c>
      <c r="J78" s="104">
        <f t="shared" si="33"/>
        <v>75</v>
      </c>
      <c r="K78" s="104">
        <f t="shared" si="34"/>
        <v>1.3089969389957472</v>
      </c>
      <c r="L78" s="105">
        <f>'Alternative 1'!$B$27*SIN(K78)+'Alternative 1'!$B$28*SIN(K78)+'Alternative 1'!$B$29*SIN(K78)</f>
        <v>65.682956187656643</v>
      </c>
      <c r="M78" s="104">
        <f>(('Alternative 1'!$B$27)*(((('Alternative 1'!$B$28-'Alternative 1'!$B$27)/2)+'Alternative 1'!$B$27)*'Alternative 1'!$B$39)*COS('Alternative 1-Tilt Up (3pt)'!K78))+(('Alternative 1'!$B$28)*((('Alternative 1'!$B$28-'Alternative 1'!$B$27)/2)+(('Alternative 1'!$B$29-'Alternative 1'!$B$28)/2))*('Alternative 1'!$B$39)*COS('Alternative 1-Tilt Up (3pt)'!K78))+(('Alternative 1'!$B$29)*((('Alternative 1'!$B$12-'Alternative 1'!$B$29+(('Alternative 1'!$B$29-'Alternative 1'!$B$28)/2)*('Alternative 1'!$B$39)*COS('Alternative 1-Tilt Up (3pt)'!K78)))))</f>
        <v>1228529.2833927616</v>
      </c>
      <c r="N78" s="104">
        <f t="shared" si="18"/>
        <v>56111.784001446824</v>
      </c>
      <c r="O78" s="104">
        <f>(((('Alternative 1'!$B$28-'Alternative 1'!$B$27)/2)+'Alternative 1'!$B$27)*('Alternative 1'!$B$39)*COS('Alternative 1-Tilt Up (3pt)'!K78))+(((('Alternative 1'!$B$28-'Alternative 1'!$B$27)/2)+(('Alternative 1'!$B$29-'Alternative 1'!$B$28)/2))*('Alternative 1'!$B$39)*COS('Alternative 1-Tilt Up (3pt)'!K78))+(((('Alternative 1'!$B$12-'Alternative 1'!$B$29)+(('Alternative 1'!$B$29-'Alternative 1'!$B$28)/2))*('Alternative 1'!$B$39)*COS('Alternative 1-Tilt Up (3pt)'!K78)))</f>
        <v>79229.661919558304</v>
      </c>
      <c r="P78" s="104">
        <f t="shared" si="19"/>
        <v>14522.798354253368</v>
      </c>
      <c r="R78" s="105" t="e">
        <f>'Alternative 1'!$B$39*$B78*$C78*COS($K$5)-($N$5/3)*$E78*SIN($K$5)-($N$5/3)*$F78*SIN($K$5)-($N$5/3)*$G78*SIN($K$5)</f>
        <v>#VALUE!</v>
      </c>
      <c r="S78" s="106" t="e">
        <f>IF(($A78&lt;'Alternative 1'!$B$27),(($H78*'Alternative 1'!$B$39)+(3*($N$5/3)*COS($K$5))),IF(($A78&lt;'Alternative 1'!$B$28),(($H78*'Alternative 1'!$B$39)+(2*(($N$5/3)*COS($K$5)))),IF(($A78&lt;'Alternative 1'!$B$29),(($H$3*'Alternative 1'!$B$39+(($N$5/3)*COS($K$5)))),($H78*'Alternative 1'!$B$39))))</f>
        <v>#VALUE!</v>
      </c>
      <c r="T78" s="105" t="e">
        <f>R78*'Alternative 1'!$K79/'Alternative 1'!$L79</f>
        <v>#VALUE!</v>
      </c>
      <c r="U78" s="105" t="e">
        <f>S78/'Alternative 1'!$M79</f>
        <v>#VALUE!</v>
      </c>
      <c r="V78" s="105" t="e">
        <f t="shared" si="20"/>
        <v>#VALUE!</v>
      </c>
      <c r="X78" s="105" t="e">
        <f>'Alternative 1'!$B$39*$B78*$C78*COS($K$13)-($N$12/3)*$E78*SIN($K$13)-($N$12/3)*$F78*SIN($K$13)-($N$12/3)*$G78*SIN($K$13)</f>
        <v>#VALUE!</v>
      </c>
      <c r="Y78" s="106" t="e">
        <f>IF(($A78&lt;'Alternative 1'!$B$27),(($H78*'Alternative 1'!$B$39)+(3*($N$12/3)*COS($K$13))),IF(($A78&lt;'Alternative 1'!$B$28),(($H78*'Alternative 1'!$B$39)+(2*(($N$12/3)*COS($K$13)))),IF(($A78&lt;'Alternative 1'!$B$29),(($H$3*'Alternative 1'!$B$39+(($N$12/3)*COS($K$13)))),($H78*'Alternative 1'!$B$39))))</f>
        <v>#VALUE!</v>
      </c>
      <c r="Z78" s="105" t="e">
        <f>X78*'Alternative 1'!$K79/'Alternative 1'!$L79</f>
        <v>#VALUE!</v>
      </c>
      <c r="AA78" s="105" t="e">
        <f>Y78/'Alternative 1'!$M79</f>
        <v>#VALUE!</v>
      </c>
      <c r="AB78" s="105" t="e">
        <f t="shared" si="21"/>
        <v>#VALUE!</v>
      </c>
      <c r="AD78" s="105" t="e">
        <f>'Alternative 1'!$B$39*$B78*$C78*COS($K$23)-($N$22/3)*$E78*SIN($K$23)-($N$22/3)*$F78*SIN($K$23)-($N$22/3)*$G78*SIN($K$23)</f>
        <v>#VALUE!</v>
      </c>
      <c r="AE78" s="106" t="e">
        <f>IF(($A78&lt;'Alternative 1'!$B$27),(($H78*'Alternative 1'!$B$39)+(3*($N$22/3)*COS($K$23))),IF(($A78&lt;'Alternative 1'!$B$28),(($H78*'Alternative 1'!$B$39)+(2*(($N$22/3)*COS($K$23)))),IF(($A78&lt;'Alternative 1'!$B$29),(($H$3*'Alternative 1'!$B$39+(($N$22/3)*COS($K$23)))),($H78*'Alternative 1'!$B$39))))</f>
        <v>#VALUE!</v>
      </c>
      <c r="AF78" s="105" t="e">
        <f>AD78*'Alternative 1'!$K79/'Alternative 1'!$L79</f>
        <v>#VALUE!</v>
      </c>
      <c r="AG78" s="105" t="e">
        <f>AE78/'Alternative 1'!$M79</f>
        <v>#VALUE!</v>
      </c>
      <c r="AH78" s="105" t="e">
        <f t="shared" si="22"/>
        <v>#VALUE!</v>
      </c>
      <c r="AJ78" s="105" t="e">
        <f>'Alternative 1'!$B$39*$B78*$C78*COS($K$33)-($N$32/3)*$E78*SIN($K$33)-($N$32/3)*$F78*SIN($K$33)-($N$32/3)*$G78*SIN($K$33)</f>
        <v>#VALUE!</v>
      </c>
      <c r="AK78" s="106" t="e">
        <f>IF(($A78&lt;'Alternative 1'!$B$27),(($H78*'Alternative 1'!$B$39)+(3*($N$32/3)*COS($K$33))),IF(($A78&lt;'Alternative 1'!$B$28),(($H78*'Alternative 1'!$B$39)+(2*(($N$32/3)*COS($K$33)))),IF(($A78&lt;'Alternative 1'!$B$29),(($H$3*'Alternative 1'!$B$39+(($N$32/3)*COS($K$33)))),($H78*'Alternative 1'!$B$39))))</f>
        <v>#VALUE!</v>
      </c>
      <c r="AL78" s="105" t="e">
        <f>AJ78*'Alternative 1'!$K79/'Alternative 1'!$L79</f>
        <v>#VALUE!</v>
      </c>
      <c r="AM78" s="105" t="e">
        <f>AK78/'Alternative 1'!$M79</f>
        <v>#VALUE!</v>
      </c>
      <c r="AN78" s="105" t="e">
        <f t="shared" si="23"/>
        <v>#VALUE!</v>
      </c>
      <c r="AP78" s="105" t="e">
        <f>'Alternative 1'!$B$39*$B78*$C78*COS($K$43)-($N$42/3)*$E78*SIN($K$43)-($N$42/3)*$F78*SIN($K$43)-($N$42/3)*$G78*SIN($K$43)</f>
        <v>#VALUE!</v>
      </c>
      <c r="AQ78" s="106" t="e">
        <f>IF(($A78&lt;'Alternative 1'!$B$27),(($H78*'Alternative 1'!$B$39)+(3*($N$42/3)*COS($K$43))),IF(($A78&lt;'Alternative 1'!$B$28),(($H78*'Alternative 1'!$B$39)+(2*(($N$42/3)*COS($K$43)))),IF(($A78&lt;'Alternative 1'!$B$29),(($H$3*'Alternative 1'!$B$39+(($N$42/3)*COS($K$43)))),($H78*'Alternative 1'!$B$39))))</f>
        <v>#VALUE!</v>
      </c>
      <c r="AR78" s="105" t="e">
        <f>AP78*'Alternative 1'!$K79/'Alternative 1'!$L79</f>
        <v>#VALUE!</v>
      </c>
      <c r="AS78" s="105" t="e">
        <f>AQ78/'Alternative 1'!$M79</f>
        <v>#VALUE!</v>
      </c>
      <c r="AT78" s="105" t="e">
        <f t="shared" si="24"/>
        <v>#VALUE!</v>
      </c>
      <c r="AV78" s="105" t="e">
        <f>'Alternative 1'!$B$39*$B78*$C78*COS($K$53)-($N$52/3)*$E78*SIN($K$53)-($N$52/3)*$F78*SIN($K$53)-($N$52/3)*$G78*SIN($K$53)</f>
        <v>#VALUE!</v>
      </c>
      <c r="AW78" s="106" t="e">
        <f>IF(($A78&lt;'Alternative 1'!$B$27),(($H78*'Alternative 1'!$B$39)+(3*($N$52/3)*COS($K$53))),IF(($A78&lt;'Alternative 1'!$B$28),(($H78*'Alternative 1'!$B$39)+(2*(($N$52/3)*COS($K$53)))),IF(($A78&lt;'Alternative 1'!$B$29),(($H$3*'Alternative 1'!$B$39+(($N$52/3)*COS($K$53)))),($H78*'Alternative 1'!$B$39))))</f>
        <v>#VALUE!</v>
      </c>
      <c r="AX78" s="105" t="e">
        <f>AV78*'Alternative 1'!$K79/'Alternative 1'!$L79</f>
        <v>#VALUE!</v>
      </c>
      <c r="AY78" s="105" t="e">
        <f>AW78/'Alternative 1'!$M79</f>
        <v>#VALUE!</v>
      </c>
      <c r="AZ78" s="105" t="e">
        <f t="shared" si="25"/>
        <v>#VALUE!</v>
      </c>
      <c r="BB78" s="105" t="e">
        <f>'Alternative 1'!$B$39*$B78*$C78*COS($K$63)-($N$62/3)*$E78*SIN($K$63)-($N$62/3)*$F78*SIN($K$63)-($N$62/3)*$G78*SIN($K$63)</f>
        <v>#VALUE!</v>
      </c>
      <c r="BC78" s="106" t="e">
        <f>IF(($A78&lt;'Alternative 1'!$B$27),(($H78*'Alternative 1'!$B$39)+(3*($N$62/3)*COS($K$63))),IF(($A78&lt;'Alternative 1'!$B$28),(($H78*'Alternative 1'!$B$39)+(2*(($N$62/3)*COS($K$63)))),IF(($A78&lt;'Alternative 1'!$B$29),(($H$3*'Alternative 1'!$B$39+(($N$62/3)*COS($K$63)))),($H78*'Alternative 1'!$B$39))))</f>
        <v>#VALUE!</v>
      </c>
      <c r="BD78" s="105" t="e">
        <f>BB78*'Alternative 1'!$K79/'Alternative 1'!$L79</f>
        <v>#VALUE!</v>
      </c>
      <c r="BE78" s="105" t="e">
        <f>BC78/'Alternative 1'!$M79</f>
        <v>#VALUE!</v>
      </c>
      <c r="BF78" s="105" t="e">
        <f t="shared" si="26"/>
        <v>#VALUE!</v>
      </c>
      <c r="BH78" s="105" t="e">
        <f>'Alternative 1'!$B$39*$B78*$C78*COS($K$73)-($N$72/3)*$E78*SIN($K$73)-($N$72/3)*$F78*SIN($K$73)-($N$72/3)*$G78*SIN($K$73)</f>
        <v>#VALUE!</v>
      </c>
      <c r="BI78" s="106" t="e">
        <f>IF(($A78&lt;'Alternative 1'!$B$27),(($H78*'Alternative 1'!$B$39)+(3*($N$72/3)*COS($K$73))),IF(($A78&lt;'Alternative 1'!$B$28),(($H78*'Alternative 1'!$B$39)+(2*(($N$72/3)*COS($K$73)))),IF(($A78&lt;'Alternative 1'!$B$29),(($H$3*'Alternative 1'!$B$39+(($N$72/3)*COS($K$73)))),($H78*'Alternative 1'!$B$39))))</f>
        <v>#VALUE!</v>
      </c>
      <c r="BJ78" s="105" t="e">
        <f>BH78*'Alternative 1'!$K79/'Alternative 1'!$L79</f>
        <v>#VALUE!</v>
      </c>
      <c r="BK78" s="105" t="e">
        <f>BI78/'Alternative 1'!$M79</f>
        <v>#VALUE!</v>
      </c>
      <c r="BL78" s="105" t="e">
        <f t="shared" si="27"/>
        <v>#VALUE!</v>
      </c>
      <c r="BN78" s="105" t="e">
        <f>'Alternative 1'!$B$39*$B78*$C78*COS($K$83)-($N$82/3)*$E78*SIN($K$83)-($N$82/3)*$F78*SIN($K$83)-($N$82/3)*$G78*SIN($K$83)</f>
        <v>#VALUE!</v>
      </c>
      <c r="BO78" s="106" t="e">
        <f>IF(($A78&lt;'Alternative 1'!$B$27),(($H78*'Alternative 1'!$B$39)+(3*($N$82/3)*COS($K$83))),IF(($A78&lt;'Alternative 1'!$B$28),(($H78*'Alternative 1'!$B$39)+(2*(($N$82/3)*COS($K$83)))),IF(($A78&lt;'Alternative 1'!$B$29),(($H$3*'Alternative 1'!$B$39+(($N$82/3)*COS($K$83)))),($H78*'Alternative 1'!$B$39))))</f>
        <v>#VALUE!</v>
      </c>
      <c r="BP78" s="105" t="e">
        <f>BN78*'Alternative 1'!$K79/'Alternative 1'!$L79</f>
        <v>#VALUE!</v>
      </c>
      <c r="BQ78" s="105" t="e">
        <f>BO78/'Alternative 1'!$M79</f>
        <v>#VALUE!</v>
      </c>
      <c r="BR78" s="105" t="e">
        <f t="shared" si="28"/>
        <v>#VALUE!</v>
      </c>
      <c r="BT78" s="105" t="e">
        <f>'Alternative 1'!$B$39*$B78*$C78*COS($K$93)-($K$92/3)*$E78*SIN($K$93)-($K$92/3)*$F78*SIN($K$93)-($K$92/3)*$G78*SIN($K$93)</f>
        <v>#VALUE!</v>
      </c>
      <c r="BU78" s="106" t="e">
        <f>IF(($A78&lt;'Alternative 1'!$B$27),(($H78*'Alternative 1'!$B$39)+(3*($N$92/3)*COS($K$93))),IF(($A78&lt;'Alternative 1'!$B$28),(($H78*'Alternative 1'!$B$39)+(2*(($N$92/3)*COS($K$93)))),IF(($A78&lt;'Alternative 1'!$B$29),(($H$3*'Alternative 1'!$B$39+(($N$92/3)*COS($K$93)))),($H78*'Alternative 1'!$B$39))))</f>
        <v>#VALUE!</v>
      </c>
      <c r="BV78" s="105" t="e">
        <f>BT78*'Alternative 1'!$K79/'Alternative 1'!$L79</f>
        <v>#VALUE!</v>
      </c>
      <c r="BW78" s="105" t="e">
        <f>BU78/'Alternative 1'!$M79</f>
        <v>#VALUE!</v>
      </c>
      <c r="BX78" s="105" t="e">
        <f t="shared" si="29"/>
        <v>#VALUE!</v>
      </c>
    </row>
    <row r="79" spans="1:79" ht="15" customHeight="1" x14ac:dyDescent="0.25">
      <c r="A79" s="18" t="str">
        <f>IF('Alternative 1'!F80&gt;0,'Alternative 1'!F80,"x")</f>
        <v>x</v>
      </c>
      <c r="B79" s="18" t="e">
        <f t="shared" si="35"/>
        <v>#VALUE!</v>
      </c>
      <c r="C79" s="18">
        <f t="shared" si="30"/>
        <v>0</v>
      </c>
      <c r="D79" s="18" t="str">
        <f t="shared" si="31"/>
        <v>x</v>
      </c>
      <c r="E79" s="101">
        <f>IF($A79&lt;='Alternative 1'!$B$27, IF($A79='Alternative 1'!$B$27,0,E80+1),0)</f>
        <v>0</v>
      </c>
      <c r="F79" s="101">
        <f>IF($A79&lt;=('Alternative 1'!$B$28), IF($A79=ROUNDDOWN('Alternative 1'!$B$28,0),0,F80+1),0)</f>
        <v>0</v>
      </c>
      <c r="G79" s="101">
        <f>IF($A79&lt;=('Alternative 1'!$B$29), IF($A79=ROUNDDOWN('Alternative 1'!$B$29,0),0,G80+1),0)</f>
        <v>0</v>
      </c>
      <c r="H79" s="18" t="e">
        <f t="shared" si="32"/>
        <v>#VALUE!</v>
      </c>
      <c r="J79" s="104">
        <f t="shared" si="33"/>
        <v>76</v>
      </c>
      <c r="K79" s="104">
        <f t="shared" si="34"/>
        <v>1.3264502315156903</v>
      </c>
      <c r="L79" s="105">
        <f>'Alternative 1'!$B$27*SIN(K79)+'Alternative 1'!$B$28*SIN(K79)+'Alternative 1'!$B$29*SIN(K79)</f>
        <v>65.980109386767765</v>
      </c>
      <c r="M79" s="104">
        <f>(('Alternative 1'!$B$27)*(((('Alternative 1'!$B$28-'Alternative 1'!$B$27)/2)+'Alternative 1'!$B$27)*'Alternative 1'!$B$39)*COS('Alternative 1-Tilt Up (3pt)'!K79))+(('Alternative 1'!$B$28)*((('Alternative 1'!$B$28-'Alternative 1'!$B$27)/2)+(('Alternative 1'!$B$29-'Alternative 1'!$B$28)/2))*('Alternative 1'!$B$39)*COS('Alternative 1-Tilt Up (3pt)'!K79))+(('Alternative 1'!$B$29)*((('Alternative 1'!$B$12-'Alternative 1'!$B$29+(('Alternative 1'!$B$29-'Alternative 1'!$B$28)/2)*('Alternative 1'!$B$39)*COS('Alternative 1-Tilt Up (3pt)'!K79)))))</f>
        <v>1148336.8178268885</v>
      </c>
      <c r="N79" s="104">
        <f t="shared" si="18"/>
        <v>52212.863626618331</v>
      </c>
      <c r="O79" s="104">
        <f>(((('Alternative 1'!$B$28-'Alternative 1'!$B$27)/2)+'Alternative 1'!$B$27)*('Alternative 1'!$B$39)*COS('Alternative 1-Tilt Up (3pt)'!K79))+(((('Alternative 1'!$B$28-'Alternative 1'!$B$27)/2)+(('Alternative 1'!$B$29-'Alternative 1'!$B$28)/2))*('Alternative 1'!$B$39)*COS('Alternative 1-Tilt Up (3pt)'!K79))+(((('Alternative 1'!$B$12-'Alternative 1'!$B$29)+(('Alternative 1'!$B$29-'Alternative 1'!$B$28)/2))*('Alternative 1'!$B$39)*COS('Alternative 1-Tilt Up (3pt)'!K79)))</f>
        <v>74057.108091516129</v>
      </c>
      <c r="P79" s="104">
        <f t="shared" si="19"/>
        <v>12631.434943238457</v>
      </c>
      <c r="R79" s="105" t="e">
        <f>'Alternative 1'!$B$39*$B79*$C79*COS($K$5)-($N$5/3)*$E79*SIN($K$5)-($N$5/3)*$F79*SIN($K$5)-($N$5/3)*$G79*SIN($K$5)</f>
        <v>#VALUE!</v>
      </c>
      <c r="S79" s="106" t="e">
        <f>IF(($A79&lt;'Alternative 1'!$B$27),(($H79*'Alternative 1'!$B$39)+(3*($N$5/3)*COS($K$5))),IF(($A79&lt;'Alternative 1'!$B$28),(($H79*'Alternative 1'!$B$39)+(2*(($N$5/3)*COS($K$5)))),IF(($A79&lt;'Alternative 1'!$B$29),(($H$3*'Alternative 1'!$B$39+(($N$5/3)*COS($K$5)))),($H79*'Alternative 1'!$B$39))))</f>
        <v>#VALUE!</v>
      </c>
      <c r="T79" s="105" t="e">
        <f>R79*'Alternative 1'!$K80/'Alternative 1'!$L80</f>
        <v>#VALUE!</v>
      </c>
      <c r="U79" s="105" t="e">
        <f>S79/'Alternative 1'!$M80</f>
        <v>#VALUE!</v>
      </c>
      <c r="V79" s="105" t="e">
        <f t="shared" si="20"/>
        <v>#VALUE!</v>
      </c>
      <c r="X79" s="105" t="e">
        <f>'Alternative 1'!$B$39*$B79*$C79*COS($K$13)-($N$12/3)*$E79*SIN($K$13)-($N$12/3)*$F79*SIN($K$13)-($N$12/3)*$G79*SIN($K$13)</f>
        <v>#VALUE!</v>
      </c>
      <c r="Y79" s="106" t="e">
        <f>IF(($A79&lt;'Alternative 1'!$B$27),(($H79*'Alternative 1'!$B$39)+(3*($N$12/3)*COS($K$13))),IF(($A79&lt;'Alternative 1'!$B$28),(($H79*'Alternative 1'!$B$39)+(2*(($N$12/3)*COS($K$13)))),IF(($A79&lt;'Alternative 1'!$B$29),(($H$3*'Alternative 1'!$B$39+(($N$12/3)*COS($K$13)))),($H79*'Alternative 1'!$B$39))))</f>
        <v>#VALUE!</v>
      </c>
      <c r="Z79" s="105" t="e">
        <f>X79*'Alternative 1'!$K80/'Alternative 1'!$L80</f>
        <v>#VALUE!</v>
      </c>
      <c r="AA79" s="105" t="e">
        <f>Y79/'Alternative 1'!$M80</f>
        <v>#VALUE!</v>
      </c>
      <c r="AB79" s="105" t="e">
        <f t="shared" si="21"/>
        <v>#VALUE!</v>
      </c>
      <c r="AD79" s="105" t="e">
        <f>'Alternative 1'!$B$39*$B79*$C79*COS($K$23)-($N$22/3)*$E79*SIN($K$23)-($N$22/3)*$F79*SIN($K$23)-($N$22/3)*$G79*SIN($K$23)</f>
        <v>#VALUE!</v>
      </c>
      <c r="AE79" s="106" t="e">
        <f>IF(($A79&lt;'Alternative 1'!$B$27),(($H79*'Alternative 1'!$B$39)+(3*($N$22/3)*COS($K$23))),IF(($A79&lt;'Alternative 1'!$B$28),(($H79*'Alternative 1'!$B$39)+(2*(($N$22/3)*COS($K$23)))),IF(($A79&lt;'Alternative 1'!$B$29),(($H$3*'Alternative 1'!$B$39+(($N$22/3)*COS($K$23)))),($H79*'Alternative 1'!$B$39))))</f>
        <v>#VALUE!</v>
      </c>
      <c r="AF79" s="105" t="e">
        <f>AD79*'Alternative 1'!$K80/'Alternative 1'!$L80</f>
        <v>#VALUE!</v>
      </c>
      <c r="AG79" s="105" t="e">
        <f>AE79/'Alternative 1'!$M80</f>
        <v>#VALUE!</v>
      </c>
      <c r="AH79" s="105" t="e">
        <f t="shared" si="22"/>
        <v>#VALUE!</v>
      </c>
      <c r="AJ79" s="105" t="e">
        <f>'Alternative 1'!$B$39*$B79*$C79*COS($K$33)-($N$32/3)*$E79*SIN($K$33)-($N$32/3)*$F79*SIN($K$33)-($N$32/3)*$G79*SIN($K$33)</f>
        <v>#VALUE!</v>
      </c>
      <c r="AK79" s="106" t="e">
        <f>IF(($A79&lt;'Alternative 1'!$B$27),(($H79*'Alternative 1'!$B$39)+(3*($N$32/3)*COS($K$33))),IF(($A79&lt;'Alternative 1'!$B$28),(($H79*'Alternative 1'!$B$39)+(2*(($N$32/3)*COS($K$33)))),IF(($A79&lt;'Alternative 1'!$B$29),(($H$3*'Alternative 1'!$B$39+(($N$32/3)*COS($K$33)))),($H79*'Alternative 1'!$B$39))))</f>
        <v>#VALUE!</v>
      </c>
      <c r="AL79" s="105" t="e">
        <f>AJ79*'Alternative 1'!$K80/'Alternative 1'!$L80</f>
        <v>#VALUE!</v>
      </c>
      <c r="AM79" s="105" t="e">
        <f>AK79/'Alternative 1'!$M80</f>
        <v>#VALUE!</v>
      </c>
      <c r="AN79" s="105" t="e">
        <f t="shared" si="23"/>
        <v>#VALUE!</v>
      </c>
      <c r="AP79" s="105" t="e">
        <f>'Alternative 1'!$B$39*$B79*$C79*COS($K$43)-($N$42/3)*$E79*SIN($K$43)-($N$42/3)*$F79*SIN($K$43)-($N$42/3)*$G79*SIN($K$43)</f>
        <v>#VALUE!</v>
      </c>
      <c r="AQ79" s="106" t="e">
        <f>IF(($A79&lt;'Alternative 1'!$B$27),(($H79*'Alternative 1'!$B$39)+(3*($N$42/3)*COS($K$43))),IF(($A79&lt;'Alternative 1'!$B$28),(($H79*'Alternative 1'!$B$39)+(2*(($N$42/3)*COS($K$43)))),IF(($A79&lt;'Alternative 1'!$B$29),(($H$3*'Alternative 1'!$B$39+(($N$42/3)*COS($K$43)))),($H79*'Alternative 1'!$B$39))))</f>
        <v>#VALUE!</v>
      </c>
      <c r="AR79" s="105" t="e">
        <f>AP79*'Alternative 1'!$K80/'Alternative 1'!$L80</f>
        <v>#VALUE!</v>
      </c>
      <c r="AS79" s="105" t="e">
        <f>AQ79/'Alternative 1'!$M80</f>
        <v>#VALUE!</v>
      </c>
      <c r="AT79" s="105" t="e">
        <f t="shared" si="24"/>
        <v>#VALUE!</v>
      </c>
      <c r="AV79" s="105" t="e">
        <f>'Alternative 1'!$B$39*$B79*$C79*COS($K$53)-($N$52/3)*$E79*SIN($K$53)-($N$52/3)*$F79*SIN($K$53)-($N$52/3)*$G79*SIN($K$53)</f>
        <v>#VALUE!</v>
      </c>
      <c r="AW79" s="106" t="e">
        <f>IF(($A79&lt;'Alternative 1'!$B$27),(($H79*'Alternative 1'!$B$39)+(3*($N$52/3)*COS($K$53))),IF(($A79&lt;'Alternative 1'!$B$28),(($H79*'Alternative 1'!$B$39)+(2*(($N$52/3)*COS($K$53)))),IF(($A79&lt;'Alternative 1'!$B$29),(($H$3*'Alternative 1'!$B$39+(($N$52/3)*COS($K$53)))),($H79*'Alternative 1'!$B$39))))</f>
        <v>#VALUE!</v>
      </c>
      <c r="AX79" s="105" t="e">
        <f>AV79*'Alternative 1'!$K80/'Alternative 1'!$L80</f>
        <v>#VALUE!</v>
      </c>
      <c r="AY79" s="105" t="e">
        <f>AW79/'Alternative 1'!$M80</f>
        <v>#VALUE!</v>
      </c>
      <c r="AZ79" s="105" t="e">
        <f t="shared" si="25"/>
        <v>#VALUE!</v>
      </c>
      <c r="BB79" s="105" t="e">
        <f>'Alternative 1'!$B$39*$B79*$C79*COS($K$63)-($N$62/3)*$E79*SIN($K$63)-($N$62/3)*$F79*SIN($K$63)-($N$62/3)*$G79*SIN($K$63)</f>
        <v>#VALUE!</v>
      </c>
      <c r="BC79" s="106" t="e">
        <f>IF(($A79&lt;'Alternative 1'!$B$27),(($H79*'Alternative 1'!$B$39)+(3*($N$62/3)*COS($K$63))),IF(($A79&lt;'Alternative 1'!$B$28),(($H79*'Alternative 1'!$B$39)+(2*(($N$62/3)*COS($K$63)))),IF(($A79&lt;'Alternative 1'!$B$29),(($H$3*'Alternative 1'!$B$39+(($N$62/3)*COS($K$63)))),($H79*'Alternative 1'!$B$39))))</f>
        <v>#VALUE!</v>
      </c>
      <c r="BD79" s="105" t="e">
        <f>BB79*'Alternative 1'!$K80/'Alternative 1'!$L80</f>
        <v>#VALUE!</v>
      </c>
      <c r="BE79" s="105" t="e">
        <f>BC79/'Alternative 1'!$M80</f>
        <v>#VALUE!</v>
      </c>
      <c r="BF79" s="105" t="e">
        <f t="shared" si="26"/>
        <v>#VALUE!</v>
      </c>
      <c r="BH79" s="105" t="e">
        <f>'Alternative 1'!$B$39*$B79*$C79*COS($K$73)-($N$72/3)*$E79*SIN($K$73)-($N$72/3)*$F79*SIN($K$73)-($N$72/3)*$G79*SIN($K$73)</f>
        <v>#VALUE!</v>
      </c>
      <c r="BI79" s="106" t="e">
        <f>IF(($A79&lt;'Alternative 1'!$B$27),(($H79*'Alternative 1'!$B$39)+(3*($N$72/3)*COS($K$73))),IF(($A79&lt;'Alternative 1'!$B$28),(($H79*'Alternative 1'!$B$39)+(2*(($N$72/3)*COS($K$73)))),IF(($A79&lt;'Alternative 1'!$B$29),(($H$3*'Alternative 1'!$B$39+(($N$72/3)*COS($K$73)))),($H79*'Alternative 1'!$B$39))))</f>
        <v>#VALUE!</v>
      </c>
      <c r="BJ79" s="105" t="e">
        <f>BH79*'Alternative 1'!$K80/'Alternative 1'!$L80</f>
        <v>#VALUE!</v>
      </c>
      <c r="BK79" s="105" t="e">
        <f>BI79/'Alternative 1'!$M80</f>
        <v>#VALUE!</v>
      </c>
      <c r="BL79" s="105" t="e">
        <f t="shared" si="27"/>
        <v>#VALUE!</v>
      </c>
      <c r="BN79" s="105" t="e">
        <f>'Alternative 1'!$B$39*$B79*$C79*COS($K$83)-($N$82/3)*$E79*SIN($K$83)-($N$82/3)*$F79*SIN($K$83)-($N$82/3)*$G79*SIN($K$83)</f>
        <v>#VALUE!</v>
      </c>
      <c r="BO79" s="106" t="e">
        <f>IF(($A79&lt;'Alternative 1'!$B$27),(($H79*'Alternative 1'!$B$39)+(3*($N$82/3)*COS($K$83))),IF(($A79&lt;'Alternative 1'!$B$28),(($H79*'Alternative 1'!$B$39)+(2*(($N$82/3)*COS($K$83)))),IF(($A79&lt;'Alternative 1'!$B$29),(($H$3*'Alternative 1'!$B$39+(($N$82/3)*COS($K$83)))),($H79*'Alternative 1'!$B$39))))</f>
        <v>#VALUE!</v>
      </c>
      <c r="BP79" s="105" t="e">
        <f>BN79*'Alternative 1'!$K80/'Alternative 1'!$L80</f>
        <v>#VALUE!</v>
      </c>
      <c r="BQ79" s="105" t="e">
        <f>BO79/'Alternative 1'!$M80</f>
        <v>#VALUE!</v>
      </c>
      <c r="BR79" s="105" t="e">
        <f t="shared" si="28"/>
        <v>#VALUE!</v>
      </c>
      <c r="BT79" s="105" t="e">
        <f>'Alternative 1'!$B$39*$B79*$C79*COS($K$93)-($K$92/3)*$E79*SIN($K$93)-($K$92/3)*$F79*SIN($K$93)-($K$92/3)*$G79*SIN($K$93)</f>
        <v>#VALUE!</v>
      </c>
      <c r="BU79" s="106" t="e">
        <f>IF(($A79&lt;'Alternative 1'!$B$27),(($H79*'Alternative 1'!$B$39)+(3*($N$92/3)*COS($K$93))),IF(($A79&lt;'Alternative 1'!$B$28),(($H79*'Alternative 1'!$B$39)+(2*(($N$92/3)*COS($K$93)))),IF(($A79&lt;'Alternative 1'!$B$29),(($H$3*'Alternative 1'!$B$39+(($N$92/3)*COS($K$93)))),($H79*'Alternative 1'!$B$39))))</f>
        <v>#VALUE!</v>
      </c>
      <c r="BV79" s="105" t="e">
        <f>BT79*'Alternative 1'!$K80/'Alternative 1'!$L80</f>
        <v>#VALUE!</v>
      </c>
      <c r="BW79" s="105" t="e">
        <f>BU79/'Alternative 1'!$M80</f>
        <v>#VALUE!</v>
      </c>
      <c r="BX79" s="105" t="e">
        <f t="shared" si="29"/>
        <v>#VALUE!</v>
      </c>
    </row>
    <row r="80" spans="1:79" ht="15" customHeight="1" x14ac:dyDescent="0.25">
      <c r="A80" s="18" t="str">
        <f>IF('Alternative 1'!F81&gt;0,'Alternative 1'!F81,"x")</f>
        <v>x</v>
      </c>
      <c r="B80" s="18" t="e">
        <f t="shared" si="35"/>
        <v>#VALUE!</v>
      </c>
      <c r="C80" s="18">
        <f t="shared" si="30"/>
        <v>0</v>
      </c>
      <c r="D80" s="18" t="str">
        <f t="shared" si="31"/>
        <v>x</v>
      </c>
      <c r="E80" s="101">
        <f>IF($A80&lt;='Alternative 1'!$B$27, IF($A80='Alternative 1'!$B$27,0,E81+1),0)</f>
        <v>0</v>
      </c>
      <c r="F80" s="101">
        <f>IF($A80&lt;=('Alternative 1'!$B$28), IF($A80=ROUNDDOWN('Alternative 1'!$B$28,0),0,F81+1),0)</f>
        <v>0</v>
      </c>
      <c r="G80" s="101">
        <f>IF($A80&lt;=('Alternative 1'!$B$29), IF($A80=ROUNDDOWN('Alternative 1'!$B$29,0),0,G81+1),0)</f>
        <v>0</v>
      </c>
      <c r="H80" s="18" t="e">
        <f t="shared" si="32"/>
        <v>#VALUE!</v>
      </c>
      <c r="J80" s="104">
        <f t="shared" si="33"/>
        <v>77</v>
      </c>
      <c r="K80" s="104">
        <f t="shared" si="34"/>
        <v>1.3439035240356338</v>
      </c>
      <c r="L80" s="105">
        <f>'Alternative 1'!$B$27*SIN(K80)+'Alternative 1'!$B$28*SIN(K80)+'Alternative 1'!$B$29*SIN(K80)</f>
        <v>66.257164405395997</v>
      </c>
      <c r="M80" s="104">
        <f>(('Alternative 1'!$B$27)*(((('Alternative 1'!$B$28-'Alternative 1'!$B$27)/2)+'Alternative 1'!$B$27)*'Alternative 1'!$B$39)*COS('Alternative 1-Tilt Up (3pt)'!K80))+(('Alternative 1'!$B$28)*((('Alternative 1'!$B$28-'Alternative 1'!$B$27)/2)+(('Alternative 1'!$B$29-'Alternative 1'!$B$28)/2))*('Alternative 1'!$B$39)*COS('Alternative 1-Tilt Up (3pt)'!K80))+(('Alternative 1'!$B$29)*((('Alternative 1'!$B$12-'Alternative 1'!$B$29+(('Alternative 1'!$B$29-'Alternative 1'!$B$28)/2)*('Alternative 1'!$B$39)*COS('Alternative 1-Tilt Up (3pt)'!K80)))))</f>
        <v>1067794.6173332427</v>
      </c>
      <c r="N80" s="104">
        <f t="shared" si="18"/>
        <v>48347.73538450498</v>
      </c>
      <c r="O80" s="104">
        <f>(((('Alternative 1'!$B$28-'Alternative 1'!$B$27)/2)+'Alternative 1'!$B$27)*('Alternative 1'!$B$39)*COS('Alternative 1-Tilt Up (3pt)'!K80))+(((('Alternative 1'!$B$28-'Alternative 1'!$B$27)/2)+(('Alternative 1'!$B$29-'Alternative 1'!$B$28)/2))*('Alternative 1'!$B$39)*COS('Alternative 1-Tilt Up (3pt)'!K80))+(((('Alternative 1'!$B$12-'Alternative 1'!$B$29)+(('Alternative 1'!$B$29-'Alternative 1'!$B$28)/2))*('Alternative 1'!$B$39)*COS('Alternative 1-Tilt Up (3pt)'!K80)))</f>
        <v>68861.995750941831</v>
      </c>
      <c r="P80" s="104">
        <f t="shared" si="19"/>
        <v>10875.874049882581</v>
      </c>
      <c r="R80" s="105" t="e">
        <f>'Alternative 1'!$B$39*$B80*$C80*COS($K$5)-($N$5/3)*$E80*SIN($K$5)-($N$5/3)*$F80*SIN($K$5)-($N$5/3)*$G80*SIN($K$5)</f>
        <v>#VALUE!</v>
      </c>
      <c r="S80" s="106" t="e">
        <f>IF(($A80&lt;'Alternative 1'!$B$27),(($H80*'Alternative 1'!$B$39)+(3*($N$5/3)*COS($K$5))),IF(($A80&lt;'Alternative 1'!$B$28),(($H80*'Alternative 1'!$B$39)+(2*(($N$5/3)*COS($K$5)))),IF(($A80&lt;'Alternative 1'!$B$29),(($H$3*'Alternative 1'!$B$39+(($N$5/3)*COS($K$5)))),($H80*'Alternative 1'!$B$39))))</f>
        <v>#VALUE!</v>
      </c>
      <c r="T80" s="105" t="e">
        <f>R80*'Alternative 1'!$K81/'Alternative 1'!$L81</f>
        <v>#VALUE!</v>
      </c>
      <c r="U80" s="105" t="e">
        <f>S80/'Alternative 1'!$M81</f>
        <v>#VALUE!</v>
      </c>
      <c r="V80" s="105" t="e">
        <f t="shared" si="20"/>
        <v>#VALUE!</v>
      </c>
      <c r="X80" s="105" t="e">
        <f>'Alternative 1'!$B$39*$B80*$C80*COS($K$13)-($N$12/3)*$E80*SIN($K$13)-($N$12/3)*$F80*SIN($K$13)-($N$12/3)*$G80*SIN($K$13)</f>
        <v>#VALUE!</v>
      </c>
      <c r="Y80" s="106" t="e">
        <f>IF(($A80&lt;'Alternative 1'!$B$27),(($H80*'Alternative 1'!$B$39)+(3*($N$12/3)*COS($K$13))),IF(($A80&lt;'Alternative 1'!$B$28),(($H80*'Alternative 1'!$B$39)+(2*(($N$12/3)*COS($K$13)))),IF(($A80&lt;'Alternative 1'!$B$29),(($H$3*'Alternative 1'!$B$39+(($N$12/3)*COS($K$13)))),($H80*'Alternative 1'!$B$39))))</f>
        <v>#VALUE!</v>
      </c>
      <c r="Z80" s="105" t="e">
        <f>X80*'Alternative 1'!$K81/'Alternative 1'!$L81</f>
        <v>#VALUE!</v>
      </c>
      <c r="AA80" s="105" t="e">
        <f>Y80/'Alternative 1'!$M81</f>
        <v>#VALUE!</v>
      </c>
      <c r="AB80" s="105" t="e">
        <f t="shared" si="21"/>
        <v>#VALUE!</v>
      </c>
      <c r="AD80" s="105" t="e">
        <f>'Alternative 1'!$B$39*$B80*$C80*COS($K$23)-($N$22/3)*$E80*SIN($K$23)-($N$22/3)*$F80*SIN($K$23)-($N$22/3)*$G80*SIN($K$23)</f>
        <v>#VALUE!</v>
      </c>
      <c r="AE80" s="106" t="e">
        <f>IF(($A80&lt;'Alternative 1'!$B$27),(($H80*'Alternative 1'!$B$39)+(3*($N$22/3)*COS($K$23))),IF(($A80&lt;'Alternative 1'!$B$28),(($H80*'Alternative 1'!$B$39)+(2*(($N$22/3)*COS($K$23)))),IF(($A80&lt;'Alternative 1'!$B$29),(($H$3*'Alternative 1'!$B$39+(($N$22/3)*COS($K$23)))),($H80*'Alternative 1'!$B$39))))</f>
        <v>#VALUE!</v>
      </c>
      <c r="AF80" s="105" t="e">
        <f>AD80*'Alternative 1'!$K81/'Alternative 1'!$L81</f>
        <v>#VALUE!</v>
      </c>
      <c r="AG80" s="105" t="e">
        <f>AE80/'Alternative 1'!$M81</f>
        <v>#VALUE!</v>
      </c>
      <c r="AH80" s="105" t="e">
        <f t="shared" si="22"/>
        <v>#VALUE!</v>
      </c>
      <c r="AJ80" s="105" t="e">
        <f>'Alternative 1'!$B$39*$B80*$C80*COS($K$33)-($N$32/3)*$E80*SIN($K$33)-($N$32/3)*$F80*SIN($K$33)-($N$32/3)*$G80*SIN($K$33)</f>
        <v>#VALUE!</v>
      </c>
      <c r="AK80" s="106" t="e">
        <f>IF(($A80&lt;'Alternative 1'!$B$27),(($H80*'Alternative 1'!$B$39)+(3*($N$32/3)*COS($K$33))),IF(($A80&lt;'Alternative 1'!$B$28),(($H80*'Alternative 1'!$B$39)+(2*(($N$32/3)*COS($K$33)))),IF(($A80&lt;'Alternative 1'!$B$29),(($H$3*'Alternative 1'!$B$39+(($N$32/3)*COS($K$33)))),($H80*'Alternative 1'!$B$39))))</f>
        <v>#VALUE!</v>
      </c>
      <c r="AL80" s="105" t="e">
        <f>AJ80*'Alternative 1'!$K81/'Alternative 1'!$L81</f>
        <v>#VALUE!</v>
      </c>
      <c r="AM80" s="105" t="e">
        <f>AK80/'Alternative 1'!$M81</f>
        <v>#VALUE!</v>
      </c>
      <c r="AN80" s="105" t="e">
        <f t="shared" si="23"/>
        <v>#VALUE!</v>
      </c>
      <c r="AP80" s="105" t="e">
        <f>'Alternative 1'!$B$39*$B80*$C80*COS($K$43)-($N$42/3)*$E80*SIN($K$43)-($N$42/3)*$F80*SIN($K$43)-($N$42/3)*$G80*SIN($K$43)</f>
        <v>#VALUE!</v>
      </c>
      <c r="AQ80" s="106" t="e">
        <f>IF(($A80&lt;'Alternative 1'!$B$27),(($H80*'Alternative 1'!$B$39)+(3*($N$42/3)*COS($K$43))),IF(($A80&lt;'Alternative 1'!$B$28),(($H80*'Alternative 1'!$B$39)+(2*(($N$42/3)*COS($K$43)))),IF(($A80&lt;'Alternative 1'!$B$29),(($H$3*'Alternative 1'!$B$39+(($N$42/3)*COS($K$43)))),($H80*'Alternative 1'!$B$39))))</f>
        <v>#VALUE!</v>
      </c>
      <c r="AR80" s="105" t="e">
        <f>AP80*'Alternative 1'!$K81/'Alternative 1'!$L81</f>
        <v>#VALUE!</v>
      </c>
      <c r="AS80" s="105" t="e">
        <f>AQ80/'Alternative 1'!$M81</f>
        <v>#VALUE!</v>
      </c>
      <c r="AT80" s="105" t="e">
        <f t="shared" si="24"/>
        <v>#VALUE!</v>
      </c>
      <c r="AV80" s="105" t="e">
        <f>'Alternative 1'!$B$39*$B80*$C80*COS($K$53)-($N$52/3)*$E80*SIN($K$53)-($N$52/3)*$F80*SIN($K$53)-($N$52/3)*$G80*SIN($K$53)</f>
        <v>#VALUE!</v>
      </c>
      <c r="AW80" s="106" t="e">
        <f>IF(($A80&lt;'Alternative 1'!$B$27),(($H80*'Alternative 1'!$B$39)+(3*($N$52/3)*COS($K$53))),IF(($A80&lt;'Alternative 1'!$B$28),(($H80*'Alternative 1'!$B$39)+(2*(($N$52/3)*COS($K$53)))),IF(($A80&lt;'Alternative 1'!$B$29),(($H$3*'Alternative 1'!$B$39+(($N$52/3)*COS($K$53)))),($H80*'Alternative 1'!$B$39))))</f>
        <v>#VALUE!</v>
      </c>
      <c r="AX80" s="105" t="e">
        <f>AV80*'Alternative 1'!$K81/'Alternative 1'!$L81</f>
        <v>#VALUE!</v>
      </c>
      <c r="AY80" s="105" t="e">
        <f>AW80/'Alternative 1'!$M81</f>
        <v>#VALUE!</v>
      </c>
      <c r="AZ80" s="105" t="e">
        <f t="shared" si="25"/>
        <v>#VALUE!</v>
      </c>
      <c r="BB80" s="105" t="e">
        <f>'Alternative 1'!$B$39*$B80*$C80*COS($K$63)-($N$62/3)*$E80*SIN($K$63)-($N$62/3)*$F80*SIN($K$63)-($N$62/3)*$G80*SIN($K$63)</f>
        <v>#VALUE!</v>
      </c>
      <c r="BC80" s="106" t="e">
        <f>IF(($A80&lt;'Alternative 1'!$B$27),(($H80*'Alternative 1'!$B$39)+(3*($N$62/3)*COS($K$63))),IF(($A80&lt;'Alternative 1'!$B$28),(($H80*'Alternative 1'!$B$39)+(2*(($N$62/3)*COS($K$63)))),IF(($A80&lt;'Alternative 1'!$B$29),(($H$3*'Alternative 1'!$B$39+(($N$62/3)*COS($K$63)))),($H80*'Alternative 1'!$B$39))))</f>
        <v>#VALUE!</v>
      </c>
      <c r="BD80" s="105" t="e">
        <f>BB80*'Alternative 1'!$K81/'Alternative 1'!$L81</f>
        <v>#VALUE!</v>
      </c>
      <c r="BE80" s="105" t="e">
        <f>BC80/'Alternative 1'!$M81</f>
        <v>#VALUE!</v>
      </c>
      <c r="BF80" s="105" t="e">
        <f t="shared" si="26"/>
        <v>#VALUE!</v>
      </c>
      <c r="BH80" s="105" t="e">
        <f>'Alternative 1'!$B$39*$B80*$C80*COS($K$73)-($N$72/3)*$E80*SIN($K$73)-($N$72/3)*$F80*SIN($K$73)-($N$72/3)*$G80*SIN($K$73)</f>
        <v>#VALUE!</v>
      </c>
      <c r="BI80" s="106" t="e">
        <f>IF(($A80&lt;'Alternative 1'!$B$27),(($H80*'Alternative 1'!$B$39)+(3*($N$72/3)*COS($K$73))),IF(($A80&lt;'Alternative 1'!$B$28),(($H80*'Alternative 1'!$B$39)+(2*(($N$72/3)*COS($K$73)))),IF(($A80&lt;'Alternative 1'!$B$29),(($H$3*'Alternative 1'!$B$39+(($N$72/3)*COS($K$73)))),($H80*'Alternative 1'!$B$39))))</f>
        <v>#VALUE!</v>
      </c>
      <c r="BJ80" s="105" t="e">
        <f>BH80*'Alternative 1'!$K81/'Alternative 1'!$L81</f>
        <v>#VALUE!</v>
      </c>
      <c r="BK80" s="105" t="e">
        <f>BI80/'Alternative 1'!$M81</f>
        <v>#VALUE!</v>
      </c>
      <c r="BL80" s="105" t="e">
        <f t="shared" si="27"/>
        <v>#VALUE!</v>
      </c>
      <c r="BN80" s="105" t="e">
        <f>'Alternative 1'!$B$39*$B80*$C80*COS($K$83)-($N$82/3)*$E80*SIN($K$83)-($N$82/3)*$F80*SIN($K$83)-($N$82/3)*$G80*SIN($K$83)</f>
        <v>#VALUE!</v>
      </c>
      <c r="BO80" s="106" t="e">
        <f>IF(($A80&lt;'Alternative 1'!$B$27),(($H80*'Alternative 1'!$B$39)+(3*($N$82/3)*COS($K$83))),IF(($A80&lt;'Alternative 1'!$B$28),(($H80*'Alternative 1'!$B$39)+(2*(($N$82/3)*COS($K$83)))),IF(($A80&lt;'Alternative 1'!$B$29),(($H$3*'Alternative 1'!$B$39+(($N$82/3)*COS($K$83)))),($H80*'Alternative 1'!$B$39))))</f>
        <v>#VALUE!</v>
      </c>
      <c r="BP80" s="105" t="e">
        <f>BN80*'Alternative 1'!$K81/'Alternative 1'!$L81</f>
        <v>#VALUE!</v>
      </c>
      <c r="BQ80" s="105" t="e">
        <f>BO80/'Alternative 1'!$M81</f>
        <v>#VALUE!</v>
      </c>
      <c r="BR80" s="105" t="e">
        <f t="shared" si="28"/>
        <v>#VALUE!</v>
      </c>
      <c r="BT80" s="105" t="e">
        <f>'Alternative 1'!$B$39*$B80*$C80*COS($K$93)-($K$92/3)*$E80*SIN($K$93)-($K$92/3)*$F80*SIN($K$93)-($K$92/3)*$G80*SIN($K$93)</f>
        <v>#VALUE!</v>
      </c>
      <c r="BU80" s="106" t="e">
        <f>IF(($A80&lt;'Alternative 1'!$B$27),(($H80*'Alternative 1'!$B$39)+(3*($N$92/3)*COS($K$93))),IF(($A80&lt;'Alternative 1'!$B$28),(($H80*'Alternative 1'!$B$39)+(2*(($N$92/3)*COS($K$93)))),IF(($A80&lt;'Alternative 1'!$B$29),(($H$3*'Alternative 1'!$B$39+(($N$92/3)*COS($K$93)))),($H80*'Alternative 1'!$B$39))))</f>
        <v>#VALUE!</v>
      </c>
      <c r="BV80" s="105" t="e">
        <f>BT80*'Alternative 1'!$K81/'Alternative 1'!$L81</f>
        <v>#VALUE!</v>
      </c>
      <c r="BW80" s="105" t="e">
        <f>BU80/'Alternative 1'!$M81</f>
        <v>#VALUE!</v>
      </c>
      <c r="BX80" s="105" t="e">
        <f t="shared" si="29"/>
        <v>#VALUE!</v>
      </c>
    </row>
    <row r="81" spans="1:76" ht="15" customHeight="1" x14ac:dyDescent="0.25">
      <c r="A81" s="18" t="str">
        <f>IF('Alternative 1'!F82&gt;0,'Alternative 1'!F82,"x")</f>
        <v>x</v>
      </c>
      <c r="B81" s="18" t="e">
        <f t="shared" si="35"/>
        <v>#VALUE!</v>
      </c>
      <c r="C81" s="18">
        <f t="shared" si="30"/>
        <v>0</v>
      </c>
      <c r="D81" s="18" t="str">
        <f t="shared" si="31"/>
        <v>x</v>
      </c>
      <c r="E81" s="101">
        <f>IF($A81&lt;='Alternative 1'!$B$27, IF($A81='Alternative 1'!$B$27,0,E82+1),0)</f>
        <v>0</v>
      </c>
      <c r="F81" s="101">
        <f>IF($A81&lt;=('Alternative 1'!$B$28), IF($A81=ROUNDDOWN('Alternative 1'!$B$28,0),0,F82+1),0)</f>
        <v>0</v>
      </c>
      <c r="G81" s="101">
        <f>IF($A81&lt;=('Alternative 1'!$B$29), IF($A81=ROUNDDOWN('Alternative 1'!$B$29,0),0,G82+1),0)</f>
        <v>0</v>
      </c>
      <c r="H81" s="18" t="e">
        <f t="shared" si="32"/>
        <v>#VALUE!</v>
      </c>
      <c r="J81" s="104">
        <f t="shared" si="33"/>
        <v>78</v>
      </c>
      <c r="K81" s="104">
        <f t="shared" si="34"/>
        <v>1.3613568165555769</v>
      </c>
      <c r="L81" s="105">
        <f>'Alternative 1'!$B$27*SIN(K81)+'Alternative 1'!$B$28*SIN(K81)+'Alternative 1'!$B$29*SIN(K81)</f>
        <v>66.514036849898787</v>
      </c>
      <c r="M81" s="104">
        <f>(('Alternative 1'!$B$27)*(((('Alternative 1'!$B$28-'Alternative 1'!$B$27)/2)+'Alternative 1'!$B$27)*'Alternative 1'!$B$39)*COS('Alternative 1-Tilt Up (3pt)'!K81))+(('Alternative 1'!$B$28)*((('Alternative 1'!$B$28-'Alternative 1'!$B$27)/2)+(('Alternative 1'!$B$29-'Alternative 1'!$B$28)/2))*('Alternative 1'!$B$39)*COS('Alternative 1-Tilt Up (3pt)'!K81))+(('Alternative 1'!$B$29)*((('Alternative 1'!$B$12-'Alternative 1'!$B$29+(('Alternative 1'!$B$29-'Alternative 1'!$B$28)/2)*('Alternative 1'!$B$39)*COS('Alternative 1-Tilt Up (3pt)'!K81)))))</f>
        <v>986927.21584632911</v>
      </c>
      <c r="N81" s="104">
        <f t="shared" si="18"/>
        <v>44513.636335448085</v>
      </c>
      <c r="O81" s="104">
        <f>(((('Alternative 1'!$B$28-'Alternative 1'!$B$27)/2)+'Alternative 1'!$B$27)*('Alternative 1'!$B$39)*COS('Alternative 1-Tilt Up (3pt)'!K81))+(((('Alternative 1'!$B$28-'Alternative 1'!$B$27)/2)+(('Alternative 1'!$B$29-'Alternative 1'!$B$28)/2))*('Alternative 1'!$B$39)*COS('Alternative 1-Tilt Up (3pt)'!K81))+(((('Alternative 1'!$B$12-'Alternative 1'!$B$29)+(('Alternative 1'!$B$29-'Alternative 1'!$B$28)/2))*('Alternative 1'!$B$39)*COS('Alternative 1-Tilt Up (3pt)'!K81)))</f>
        <v>63645.907379380806</v>
      </c>
      <c r="P81" s="104">
        <f t="shared" si="19"/>
        <v>9254.9053949498648</v>
      </c>
      <c r="R81" s="105" t="e">
        <f>'Alternative 1'!$B$39*$B81*$C81*COS($K$5)-($N$5/3)*$E81*SIN($K$5)-($N$5/3)*$F81*SIN($K$5)-($N$5/3)*$G81*SIN($K$5)</f>
        <v>#VALUE!</v>
      </c>
      <c r="S81" s="106" t="e">
        <f>IF(($A81&lt;'Alternative 1'!$B$27),(($H81*'Alternative 1'!$B$39)+(3*($N$5/3)*COS($K$5))),IF(($A81&lt;'Alternative 1'!$B$28),(($H81*'Alternative 1'!$B$39)+(2*(($N$5/3)*COS($K$5)))),IF(($A81&lt;'Alternative 1'!$B$29),(($H$3*'Alternative 1'!$B$39+(($N$5/3)*COS($K$5)))),($H81*'Alternative 1'!$B$39))))</f>
        <v>#VALUE!</v>
      </c>
      <c r="T81" s="105" t="e">
        <f>R81*'Alternative 1'!$K82/'Alternative 1'!$L82</f>
        <v>#VALUE!</v>
      </c>
      <c r="U81" s="105" t="e">
        <f>S81/'Alternative 1'!$M82</f>
        <v>#VALUE!</v>
      </c>
      <c r="V81" s="105" t="e">
        <f t="shared" si="20"/>
        <v>#VALUE!</v>
      </c>
      <c r="X81" s="105" t="e">
        <f>'Alternative 1'!$B$39*$B81*$C81*COS($K$13)-($N$12/3)*$E81*SIN($K$13)-($N$12/3)*$F81*SIN($K$13)-($N$12/3)*$G81*SIN($K$13)</f>
        <v>#VALUE!</v>
      </c>
      <c r="Y81" s="106" t="e">
        <f>IF(($A81&lt;'Alternative 1'!$B$27),(($H81*'Alternative 1'!$B$39)+(3*($N$12/3)*COS($K$13))),IF(($A81&lt;'Alternative 1'!$B$28),(($H81*'Alternative 1'!$B$39)+(2*(($N$12/3)*COS($K$13)))),IF(($A81&lt;'Alternative 1'!$B$29),(($H$3*'Alternative 1'!$B$39+(($N$12/3)*COS($K$13)))),($H81*'Alternative 1'!$B$39))))</f>
        <v>#VALUE!</v>
      </c>
      <c r="Z81" s="105" t="e">
        <f>X81*'Alternative 1'!$K82/'Alternative 1'!$L82</f>
        <v>#VALUE!</v>
      </c>
      <c r="AA81" s="105" t="e">
        <f>Y81/'Alternative 1'!$M82</f>
        <v>#VALUE!</v>
      </c>
      <c r="AB81" s="105" t="e">
        <f t="shared" si="21"/>
        <v>#VALUE!</v>
      </c>
      <c r="AD81" s="105" t="e">
        <f>'Alternative 1'!$B$39*$B81*$C81*COS($K$23)-($N$22/3)*$E81*SIN($K$23)-($N$22/3)*$F81*SIN($K$23)-($N$22/3)*$G81*SIN($K$23)</f>
        <v>#VALUE!</v>
      </c>
      <c r="AE81" s="106" t="e">
        <f>IF(($A81&lt;'Alternative 1'!$B$27),(($H81*'Alternative 1'!$B$39)+(3*($N$22/3)*COS($K$23))),IF(($A81&lt;'Alternative 1'!$B$28),(($H81*'Alternative 1'!$B$39)+(2*(($N$22/3)*COS($K$23)))),IF(($A81&lt;'Alternative 1'!$B$29),(($H$3*'Alternative 1'!$B$39+(($N$22/3)*COS($K$23)))),($H81*'Alternative 1'!$B$39))))</f>
        <v>#VALUE!</v>
      </c>
      <c r="AF81" s="105" t="e">
        <f>AD81*'Alternative 1'!$K82/'Alternative 1'!$L82</f>
        <v>#VALUE!</v>
      </c>
      <c r="AG81" s="105" t="e">
        <f>AE81/'Alternative 1'!$M82</f>
        <v>#VALUE!</v>
      </c>
      <c r="AH81" s="105" t="e">
        <f t="shared" si="22"/>
        <v>#VALUE!</v>
      </c>
      <c r="AJ81" s="105" t="e">
        <f>'Alternative 1'!$B$39*$B81*$C81*COS($K$33)-($N$32/3)*$E81*SIN($K$33)-($N$32/3)*$F81*SIN($K$33)-($N$32/3)*$G81*SIN($K$33)</f>
        <v>#VALUE!</v>
      </c>
      <c r="AK81" s="106" t="e">
        <f>IF(($A81&lt;'Alternative 1'!$B$27),(($H81*'Alternative 1'!$B$39)+(3*($N$32/3)*COS($K$33))),IF(($A81&lt;'Alternative 1'!$B$28),(($H81*'Alternative 1'!$B$39)+(2*(($N$32/3)*COS($K$33)))),IF(($A81&lt;'Alternative 1'!$B$29),(($H$3*'Alternative 1'!$B$39+(($N$32/3)*COS($K$33)))),($H81*'Alternative 1'!$B$39))))</f>
        <v>#VALUE!</v>
      </c>
      <c r="AL81" s="105" t="e">
        <f>AJ81*'Alternative 1'!$K82/'Alternative 1'!$L82</f>
        <v>#VALUE!</v>
      </c>
      <c r="AM81" s="105" t="e">
        <f>AK81/'Alternative 1'!$M82</f>
        <v>#VALUE!</v>
      </c>
      <c r="AN81" s="105" t="e">
        <f t="shared" si="23"/>
        <v>#VALUE!</v>
      </c>
      <c r="AP81" s="105" t="e">
        <f>'Alternative 1'!$B$39*$B81*$C81*COS($K$43)-($N$42/3)*$E81*SIN($K$43)-($N$42/3)*$F81*SIN($K$43)-($N$42/3)*$G81*SIN($K$43)</f>
        <v>#VALUE!</v>
      </c>
      <c r="AQ81" s="106" t="e">
        <f>IF(($A81&lt;'Alternative 1'!$B$27),(($H81*'Alternative 1'!$B$39)+(3*($N$42/3)*COS($K$43))),IF(($A81&lt;'Alternative 1'!$B$28),(($H81*'Alternative 1'!$B$39)+(2*(($N$42/3)*COS($K$43)))),IF(($A81&lt;'Alternative 1'!$B$29),(($H$3*'Alternative 1'!$B$39+(($N$42/3)*COS($K$43)))),($H81*'Alternative 1'!$B$39))))</f>
        <v>#VALUE!</v>
      </c>
      <c r="AR81" s="105" t="e">
        <f>AP81*'Alternative 1'!$K82/'Alternative 1'!$L82</f>
        <v>#VALUE!</v>
      </c>
      <c r="AS81" s="105" t="e">
        <f>AQ81/'Alternative 1'!$M82</f>
        <v>#VALUE!</v>
      </c>
      <c r="AT81" s="105" t="e">
        <f t="shared" si="24"/>
        <v>#VALUE!</v>
      </c>
      <c r="AV81" s="105" t="e">
        <f>'Alternative 1'!$B$39*$B81*$C81*COS($K$53)-($N$52/3)*$E81*SIN($K$53)-($N$52/3)*$F81*SIN($K$53)-($N$52/3)*$G81*SIN($K$53)</f>
        <v>#VALUE!</v>
      </c>
      <c r="AW81" s="106" t="e">
        <f>IF(($A81&lt;'Alternative 1'!$B$27),(($H81*'Alternative 1'!$B$39)+(3*($N$52/3)*COS($K$53))),IF(($A81&lt;'Alternative 1'!$B$28),(($H81*'Alternative 1'!$B$39)+(2*(($N$52/3)*COS($K$53)))),IF(($A81&lt;'Alternative 1'!$B$29),(($H$3*'Alternative 1'!$B$39+(($N$52/3)*COS($K$53)))),($H81*'Alternative 1'!$B$39))))</f>
        <v>#VALUE!</v>
      </c>
      <c r="AX81" s="105" t="e">
        <f>AV81*'Alternative 1'!$K82/'Alternative 1'!$L82</f>
        <v>#VALUE!</v>
      </c>
      <c r="AY81" s="105" t="e">
        <f>AW81/'Alternative 1'!$M82</f>
        <v>#VALUE!</v>
      </c>
      <c r="AZ81" s="105" t="e">
        <f t="shared" si="25"/>
        <v>#VALUE!</v>
      </c>
      <c r="BB81" s="105" t="e">
        <f>'Alternative 1'!$B$39*$B81*$C81*COS($K$63)-($N$62/3)*$E81*SIN($K$63)-($N$62/3)*$F81*SIN($K$63)-($N$62/3)*$G81*SIN($K$63)</f>
        <v>#VALUE!</v>
      </c>
      <c r="BC81" s="106" t="e">
        <f>IF(($A81&lt;'Alternative 1'!$B$27),(($H81*'Alternative 1'!$B$39)+(3*($N$62/3)*COS($K$63))),IF(($A81&lt;'Alternative 1'!$B$28),(($H81*'Alternative 1'!$B$39)+(2*(($N$62/3)*COS($K$63)))),IF(($A81&lt;'Alternative 1'!$B$29),(($H$3*'Alternative 1'!$B$39+(($N$62/3)*COS($K$63)))),($H81*'Alternative 1'!$B$39))))</f>
        <v>#VALUE!</v>
      </c>
      <c r="BD81" s="105" t="e">
        <f>BB81*'Alternative 1'!$K82/'Alternative 1'!$L82</f>
        <v>#VALUE!</v>
      </c>
      <c r="BE81" s="105" t="e">
        <f>BC81/'Alternative 1'!$M82</f>
        <v>#VALUE!</v>
      </c>
      <c r="BF81" s="105" t="e">
        <f t="shared" si="26"/>
        <v>#VALUE!</v>
      </c>
      <c r="BH81" s="105" t="e">
        <f>'Alternative 1'!$B$39*$B81*$C81*COS($K$73)-($N$72/3)*$E81*SIN($K$73)-($N$72/3)*$F81*SIN($K$73)-($N$72/3)*$G81*SIN($K$73)</f>
        <v>#VALUE!</v>
      </c>
      <c r="BI81" s="106" t="e">
        <f>IF(($A81&lt;'Alternative 1'!$B$27),(($H81*'Alternative 1'!$B$39)+(3*($N$72/3)*COS($K$73))),IF(($A81&lt;'Alternative 1'!$B$28),(($H81*'Alternative 1'!$B$39)+(2*(($N$72/3)*COS($K$73)))),IF(($A81&lt;'Alternative 1'!$B$29),(($H$3*'Alternative 1'!$B$39+(($N$72/3)*COS($K$73)))),($H81*'Alternative 1'!$B$39))))</f>
        <v>#VALUE!</v>
      </c>
      <c r="BJ81" s="105" t="e">
        <f>BH81*'Alternative 1'!$K82/'Alternative 1'!$L82</f>
        <v>#VALUE!</v>
      </c>
      <c r="BK81" s="105" t="e">
        <f>BI81/'Alternative 1'!$M82</f>
        <v>#VALUE!</v>
      </c>
      <c r="BL81" s="105" t="e">
        <f t="shared" si="27"/>
        <v>#VALUE!</v>
      </c>
      <c r="BN81" s="105" t="e">
        <f>'Alternative 1'!$B$39*$B81*$C81*COS($K$83)-($N$82/3)*$E81*SIN($K$83)-($N$82/3)*$F81*SIN($K$83)-($N$82/3)*$G81*SIN($K$83)</f>
        <v>#VALUE!</v>
      </c>
      <c r="BO81" s="106" t="e">
        <f>IF(($A81&lt;'Alternative 1'!$B$27),(($H81*'Alternative 1'!$B$39)+(3*($N$82/3)*COS($K$83))),IF(($A81&lt;'Alternative 1'!$B$28),(($H81*'Alternative 1'!$B$39)+(2*(($N$82/3)*COS($K$83)))),IF(($A81&lt;'Alternative 1'!$B$29),(($H$3*'Alternative 1'!$B$39+(($N$82/3)*COS($K$83)))),($H81*'Alternative 1'!$B$39))))</f>
        <v>#VALUE!</v>
      </c>
      <c r="BP81" s="105" t="e">
        <f>BN81*'Alternative 1'!$K82/'Alternative 1'!$L82</f>
        <v>#VALUE!</v>
      </c>
      <c r="BQ81" s="105" t="e">
        <f>BO81/'Alternative 1'!$M82</f>
        <v>#VALUE!</v>
      </c>
      <c r="BR81" s="105" t="e">
        <f t="shared" si="28"/>
        <v>#VALUE!</v>
      </c>
      <c r="BT81" s="105" t="e">
        <f>'Alternative 1'!$B$39*$B81*$C81*COS($K$93)-($K$92/3)*$E81*SIN($K$93)-($K$92/3)*$F81*SIN($K$93)-($K$92/3)*$G81*SIN($K$93)</f>
        <v>#VALUE!</v>
      </c>
      <c r="BU81" s="106" t="e">
        <f>IF(($A81&lt;'Alternative 1'!$B$27),(($H81*'Alternative 1'!$B$39)+(3*($N$92/3)*COS($K$93))),IF(($A81&lt;'Alternative 1'!$B$28),(($H81*'Alternative 1'!$B$39)+(2*(($N$92/3)*COS($K$93)))),IF(($A81&lt;'Alternative 1'!$B$29),(($H$3*'Alternative 1'!$B$39+(($N$92/3)*COS($K$93)))),($H81*'Alternative 1'!$B$39))))</f>
        <v>#VALUE!</v>
      </c>
      <c r="BV81" s="105" t="e">
        <f>BT81*'Alternative 1'!$K82/'Alternative 1'!$L82</f>
        <v>#VALUE!</v>
      </c>
      <c r="BW81" s="105" t="e">
        <f>BU81/'Alternative 1'!$M82</f>
        <v>#VALUE!</v>
      </c>
      <c r="BX81" s="105" t="e">
        <f t="shared" si="29"/>
        <v>#VALUE!</v>
      </c>
    </row>
    <row r="82" spans="1:76" ht="15" customHeight="1" x14ac:dyDescent="0.25">
      <c r="A82" s="18" t="str">
        <f>IF('Alternative 1'!F83&gt;0,'Alternative 1'!F83,"x")</f>
        <v>x</v>
      </c>
      <c r="B82" s="18" t="e">
        <f t="shared" si="35"/>
        <v>#VALUE!</v>
      </c>
      <c r="C82" s="18">
        <f t="shared" si="30"/>
        <v>0</v>
      </c>
      <c r="D82" s="18" t="str">
        <f t="shared" si="31"/>
        <v>x</v>
      </c>
      <c r="E82" s="101">
        <f>IF($A82&lt;='Alternative 1'!$B$27, IF($A82='Alternative 1'!$B$27,0,E83+1),0)</f>
        <v>0</v>
      </c>
      <c r="F82" s="101">
        <f>IF($A82&lt;=('Alternative 1'!$B$28), IF($A82=ROUNDDOWN('Alternative 1'!$B$28,0),0,F83+1),0)</f>
        <v>0</v>
      </c>
      <c r="G82" s="101">
        <f>IF($A82&lt;=('Alternative 1'!$B$29), IF($A82=ROUNDDOWN('Alternative 1'!$B$29,0),0,G83+1),0)</f>
        <v>0</v>
      </c>
      <c r="H82" s="18" t="e">
        <f t="shared" si="32"/>
        <v>#VALUE!</v>
      </c>
      <c r="J82" s="104">
        <f t="shared" si="33"/>
        <v>79</v>
      </c>
      <c r="K82" s="104">
        <f t="shared" si="34"/>
        <v>1.3788101090755203</v>
      </c>
      <c r="L82" s="105">
        <f>'Alternative 1'!$B$27*SIN(K82)+'Alternative 1'!$B$28*SIN(K82)+'Alternative 1'!$B$29*SIN(K82)</f>
        <v>66.750648474441149</v>
      </c>
      <c r="M82" s="104">
        <f>(('Alternative 1'!$B$27)*(((('Alternative 1'!$B$28-'Alternative 1'!$B$27)/2)+'Alternative 1'!$B$27)*'Alternative 1'!$B$39)*COS('Alternative 1-Tilt Up (3pt)'!K82))+(('Alternative 1'!$B$28)*((('Alternative 1'!$B$28-'Alternative 1'!$B$27)/2)+(('Alternative 1'!$B$29-'Alternative 1'!$B$28)/2))*('Alternative 1'!$B$39)*COS('Alternative 1-Tilt Up (3pt)'!K82))+(('Alternative 1'!$B$29)*((('Alternative 1'!$B$12-'Alternative 1'!$B$29+(('Alternative 1'!$B$29-'Alternative 1'!$B$28)/2)*('Alternative 1'!$B$39)*COS('Alternative 1-Tilt Up (3pt)'!K82)))))</f>
        <v>905759.24636001699</v>
      </c>
      <c r="N82" s="109">
        <f t="shared" si="18"/>
        <v>40707.885259279508</v>
      </c>
      <c r="O82" s="104">
        <f>(((('Alternative 1'!$B$28-'Alternative 1'!$B$27)/2)+'Alternative 1'!$B$27)*('Alternative 1'!$B$39)*COS('Alternative 1-Tilt Up (3pt)'!K82))+(((('Alternative 1'!$B$28-'Alternative 1'!$B$27)/2)+(('Alternative 1'!$B$29-'Alternative 1'!$B$28)/2))*('Alternative 1'!$B$39)*COS('Alternative 1-Tilt Up (3pt)'!K82))+(((('Alternative 1'!$B$12-'Alternative 1'!$B$29)+(('Alternative 1'!$B$29-'Alternative 1'!$B$28)/2))*('Alternative 1'!$B$39)*COS('Alternative 1-Tilt Up (3pt)'!K82)))</f>
        <v>58410.431847880187</v>
      </c>
      <c r="P82" s="107">
        <f t="shared" si="19"/>
        <v>7767.4306902267845</v>
      </c>
      <c r="R82" s="105" t="e">
        <f>'Alternative 1'!$B$39*$B82*$C82*COS($K$5)-($N$5/3)*$E82*SIN($K$5)-($N$5/3)*$F82*SIN($K$5)-($N$5/3)*$G82*SIN($K$5)</f>
        <v>#VALUE!</v>
      </c>
      <c r="S82" s="106" t="e">
        <f>IF(($A82&lt;'Alternative 1'!$B$27),(($H82*'Alternative 1'!$B$39)+(3*($N$5/3)*COS($K$5))),IF(($A82&lt;'Alternative 1'!$B$28),(($H82*'Alternative 1'!$B$39)+(2*(($N$5/3)*COS($K$5)))),IF(($A82&lt;'Alternative 1'!$B$29),(($H$3*'Alternative 1'!$B$39+(($N$5/3)*COS($K$5)))),($H82*'Alternative 1'!$B$39))))</f>
        <v>#VALUE!</v>
      </c>
      <c r="T82" s="105" t="e">
        <f>R82*'Alternative 1'!$K83/'Alternative 1'!$L83</f>
        <v>#VALUE!</v>
      </c>
      <c r="U82" s="105" t="e">
        <f>S82/'Alternative 1'!$M83</f>
        <v>#VALUE!</v>
      </c>
      <c r="V82" s="105" t="e">
        <f t="shared" si="20"/>
        <v>#VALUE!</v>
      </c>
      <c r="X82" s="105" t="e">
        <f>'Alternative 1'!$B$39*$B82*$C82*COS($K$13)-($N$12/3)*$E82*SIN($K$13)-($N$12/3)*$F82*SIN($K$13)-($N$12/3)*$G82*SIN($K$13)</f>
        <v>#VALUE!</v>
      </c>
      <c r="Y82" s="106" t="e">
        <f>IF(($A82&lt;'Alternative 1'!$B$27),(($H82*'Alternative 1'!$B$39)+(3*($N$12/3)*COS($K$13))),IF(($A82&lt;'Alternative 1'!$B$28),(($H82*'Alternative 1'!$B$39)+(2*(($N$12/3)*COS($K$13)))),IF(($A82&lt;'Alternative 1'!$B$29),(($H$3*'Alternative 1'!$B$39+(($N$12/3)*COS($K$13)))),($H82*'Alternative 1'!$B$39))))</f>
        <v>#VALUE!</v>
      </c>
      <c r="Z82" s="105" t="e">
        <f>X82*'Alternative 1'!$K83/'Alternative 1'!$L83</f>
        <v>#VALUE!</v>
      </c>
      <c r="AA82" s="105" t="e">
        <f>Y82/'Alternative 1'!$M83</f>
        <v>#VALUE!</v>
      </c>
      <c r="AB82" s="105" t="e">
        <f t="shared" si="21"/>
        <v>#VALUE!</v>
      </c>
      <c r="AD82" s="105" t="e">
        <f>'Alternative 1'!$B$39*$B82*$C82*COS($K$23)-($N$22/3)*$E82*SIN($K$23)-($N$22/3)*$F82*SIN($K$23)-($N$22/3)*$G82*SIN($K$23)</f>
        <v>#VALUE!</v>
      </c>
      <c r="AE82" s="106" t="e">
        <f>IF(($A82&lt;'Alternative 1'!$B$27),(($H82*'Alternative 1'!$B$39)+(3*($N$22/3)*COS($K$23))),IF(($A82&lt;'Alternative 1'!$B$28),(($H82*'Alternative 1'!$B$39)+(2*(($N$22/3)*COS($K$23)))),IF(($A82&lt;'Alternative 1'!$B$29),(($H$3*'Alternative 1'!$B$39+(($N$22/3)*COS($K$23)))),($H82*'Alternative 1'!$B$39))))</f>
        <v>#VALUE!</v>
      </c>
      <c r="AF82" s="105" t="e">
        <f>AD82*'Alternative 1'!$K83/'Alternative 1'!$L83</f>
        <v>#VALUE!</v>
      </c>
      <c r="AG82" s="105" t="e">
        <f>AE82/'Alternative 1'!$M83</f>
        <v>#VALUE!</v>
      </c>
      <c r="AH82" s="105" t="e">
        <f t="shared" si="22"/>
        <v>#VALUE!</v>
      </c>
      <c r="AJ82" s="105" t="e">
        <f>'Alternative 1'!$B$39*$B82*$C82*COS($K$33)-($N$32/3)*$E82*SIN($K$33)-($N$32/3)*$F82*SIN($K$33)-($N$32/3)*$G82*SIN($K$33)</f>
        <v>#VALUE!</v>
      </c>
      <c r="AK82" s="106" t="e">
        <f>IF(($A82&lt;'Alternative 1'!$B$27),(($H82*'Alternative 1'!$B$39)+(3*($N$32/3)*COS($K$33))),IF(($A82&lt;'Alternative 1'!$B$28),(($H82*'Alternative 1'!$B$39)+(2*(($N$32/3)*COS($K$33)))),IF(($A82&lt;'Alternative 1'!$B$29),(($H$3*'Alternative 1'!$B$39+(($N$32/3)*COS($K$33)))),($H82*'Alternative 1'!$B$39))))</f>
        <v>#VALUE!</v>
      </c>
      <c r="AL82" s="105" t="e">
        <f>AJ82*'Alternative 1'!$K83/'Alternative 1'!$L83</f>
        <v>#VALUE!</v>
      </c>
      <c r="AM82" s="105" t="e">
        <f>AK82/'Alternative 1'!$M83</f>
        <v>#VALUE!</v>
      </c>
      <c r="AN82" s="105" t="e">
        <f t="shared" si="23"/>
        <v>#VALUE!</v>
      </c>
      <c r="AP82" s="105" t="e">
        <f>'Alternative 1'!$B$39*$B82*$C82*COS($K$43)-($N$42/3)*$E82*SIN($K$43)-($N$42/3)*$F82*SIN($K$43)-($N$42/3)*$G82*SIN($K$43)</f>
        <v>#VALUE!</v>
      </c>
      <c r="AQ82" s="106" t="e">
        <f>IF(($A82&lt;'Alternative 1'!$B$27),(($H82*'Alternative 1'!$B$39)+(3*($N$42/3)*COS($K$43))),IF(($A82&lt;'Alternative 1'!$B$28),(($H82*'Alternative 1'!$B$39)+(2*(($N$42/3)*COS($K$43)))),IF(($A82&lt;'Alternative 1'!$B$29),(($H$3*'Alternative 1'!$B$39+(($N$42/3)*COS($K$43)))),($H82*'Alternative 1'!$B$39))))</f>
        <v>#VALUE!</v>
      </c>
      <c r="AR82" s="105" t="e">
        <f>AP82*'Alternative 1'!$K83/'Alternative 1'!$L83</f>
        <v>#VALUE!</v>
      </c>
      <c r="AS82" s="105" t="e">
        <f>AQ82/'Alternative 1'!$M83</f>
        <v>#VALUE!</v>
      </c>
      <c r="AT82" s="105" t="e">
        <f t="shared" si="24"/>
        <v>#VALUE!</v>
      </c>
      <c r="AV82" s="105" t="e">
        <f>'Alternative 1'!$B$39*$B82*$C82*COS($K$53)-($N$52/3)*$E82*SIN($K$53)-($N$52/3)*$F82*SIN($K$53)-($N$52/3)*$G82*SIN($K$53)</f>
        <v>#VALUE!</v>
      </c>
      <c r="AW82" s="106" t="e">
        <f>IF(($A82&lt;'Alternative 1'!$B$27),(($H82*'Alternative 1'!$B$39)+(3*($N$52/3)*COS($K$53))),IF(($A82&lt;'Alternative 1'!$B$28),(($H82*'Alternative 1'!$B$39)+(2*(($N$52/3)*COS($K$53)))),IF(($A82&lt;'Alternative 1'!$B$29),(($H$3*'Alternative 1'!$B$39+(($N$52/3)*COS($K$53)))),($H82*'Alternative 1'!$B$39))))</f>
        <v>#VALUE!</v>
      </c>
      <c r="AX82" s="105" t="e">
        <f>AV82*'Alternative 1'!$K83/'Alternative 1'!$L83</f>
        <v>#VALUE!</v>
      </c>
      <c r="AY82" s="105" t="e">
        <f>AW82/'Alternative 1'!$M83</f>
        <v>#VALUE!</v>
      </c>
      <c r="AZ82" s="105" t="e">
        <f t="shared" si="25"/>
        <v>#VALUE!</v>
      </c>
      <c r="BB82" s="105" t="e">
        <f>'Alternative 1'!$B$39*$B82*$C82*COS($K$63)-($N$62/3)*$E82*SIN($K$63)-($N$62/3)*$F82*SIN($K$63)-($N$62/3)*$G82*SIN($K$63)</f>
        <v>#VALUE!</v>
      </c>
      <c r="BC82" s="106" t="e">
        <f>IF(($A82&lt;'Alternative 1'!$B$27),(($H82*'Alternative 1'!$B$39)+(3*($N$62/3)*COS($K$63))),IF(($A82&lt;'Alternative 1'!$B$28),(($H82*'Alternative 1'!$B$39)+(2*(($N$62/3)*COS($K$63)))),IF(($A82&lt;'Alternative 1'!$B$29),(($H$3*'Alternative 1'!$B$39+(($N$62/3)*COS($K$63)))),($H82*'Alternative 1'!$B$39))))</f>
        <v>#VALUE!</v>
      </c>
      <c r="BD82" s="105" t="e">
        <f>BB82*'Alternative 1'!$K83/'Alternative 1'!$L83</f>
        <v>#VALUE!</v>
      </c>
      <c r="BE82" s="105" t="e">
        <f>BC82/'Alternative 1'!$M83</f>
        <v>#VALUE!</v>
      </c>
      <c r="BF82" s="105" t="e">
        <f t="shared" si="26"/>
        <v>#VALUE!</v>
      </c>
      <c r="BH82" s="105" t="e">
        <f>'Alternative 1'!$B$39*$B82*$C82*COS($K$73)-($N$72/3)*$E82*SIN($K$73)-($N$72/3)*$F82*SIN($K$73)-($N$72/3)*$G82*SIN($K$73)</f>
        <v>#VALUE!</v>
      </c>
      <c r="BI82" s="106" t="e">
        <f>IF(($A82&lt;'Alternative 1'!$B$27),(($H82*'Alternative 1'!$B$39)+(3*($N$72/3)*COS($K$73))),IF(($A82&lt;'Alternative 1'!$B$28),(($H82*'Alternative 1'!$B$39)+(2*(($N$72/3)*COS($K$73)))),IF(($A82&lt;'Alternative 1'!$B$29),(($H$3*'Alternative 1'!$B$39+(($N$72/3)*COS($K$73)))),($H82*'Alternative 1'!$B$39))))</f>
        <v>#VALUE!</v>
      </c>
      <c r="BJ82" s="105" t="e">
        <f>BH82*'Alternative 1'!$K83/'Alternative 1'!$L83</f>
        <v>#VALUE!</v>
      </c>
      <c r="BK82" s="105" t="e">
        <f>BI82/'Alternative 1'!$M83</f>
        <v>#VALUE!</v>
      </c>
      <c r="BL82" s="105" t="e">
        <f t="shared" si="27"/>
        <v>#VALUE!</v>
      </c>
      <c r="BN82" s="105" t="e">
        <f>'Alternative 1'!$B$39*$B82*$C82*COS($K$83)-($N$82/3)*$E82*SIN($K$83)-($N$82/3)*$F82*SIN($K$83)-($N$82/3)*$G82*SIN($K$83)</f>
        <v>#VALUE!</v>
      </c>
      <c r="BO82" s="106" t="e">
        <f>IF(($A82&lt;'Alternative 1'!$B$27),(($H82*'Alternative 1'!$B$39)+(3*($N$82/3)*COS($K$83))),IF(($A82&lt;'Alternative 1'!$B$28),(($H82*'Alternative 1'!$B$39)+(2*(($N$82/3)*COS($K$83)))),IF(($A82&lt;'Alternative 1'!$B$29),(($H$3*'Alternative 1'!$B$39+(($N$82/3)*COS($K$83)))),($H82*'Alternative 1'!$B$39))))</f>
        <v>#VALUE!</v>
      </c>
      <c r="BP82" s="105" t="e">
        <f>BN82*'Alternative 1'!$K83/'Alternative 1'!$L83</f>
        <v>#VALUE!</v>
      </c>
      <c r="BQ82" s="105" t="e">
        <f>BO82/'Alternative 1'!$M83</f>
        <v>#VALUE!</v>
      </c>
      <c r="BR82" s="105" t="e">
        <f t="shared" si="28"/>
        <v>#VALUE!</v>
      </c>
      <c r="BT82" s="105" t="e">
        <f>'Alternative 1'!$B$39*$B82*$C82*COS($K$93)-($K$92/3)*$E82*SIN($K$93)-($K$92/3)*$F82*SIN($K$93)-($K$92/3)*$G82*SIN($K$93)</f>
        <v>#VALUE!</v>
      </c>
      <c r="BU82" s="106" t="e">
        <f>IF(($A82&lt;'Alternative 1'!$B$27),(($H82*'Alternative 1'!$B$39)+(3*($N$92/3)*COS($K$93))),IF(($A82&lt;'Alternative 1'!$B$28),(($H82*'Alternative 1'!$B$39)+(2*(($N$92/3)*COS($K$93)))),IF(($A82&lt;'Alternative 1'!$B$29),(($H$3*'Alternative 1'!$B$39+(($N$92/3)*COS($K$93)))),($H82*'Alternative 1'!$B$39))))</f>
        <v>#VALUE!</v>
      </c>
      <c r="BV82" s="105" t="e">
        <f>BT82*'Alternative 1'!$K83/'Alternative 1'!$L83</f>
        <v>#VALUE!</v>
      </c>
      <c r="BW82" s="105" t="e">
        <f>BU82/'Alternative 1'!$M83</f>
        <v>#VALUE!</v>
      </c>
      <c r="BX82" s="105" t="e">
        <f t="shared" si="29"/>
        <v>#VALUE!</v>
      </c>
    </row>
    <row r="83" spans="1:76" ht="15" customHeight="1" x14ac:dyDescent="0.25">
      <c r="A83" s="18" t="str">
        <f>IF('Alternative 1'!F84&gt;0,'Alternative 1'!F84,"x")</f>
        <v>x</v>
      </c>
      <c r="B83" s="18" t="e">
        <f t="shared" si="35"/>
        <v>#VALUE!</v>
      </c>
      <c r="C83" s="18">
        <f t="shared" si="30"/>
        <v>0</v>
      </c>
      <c r="D83" s="18" t="str">
        <f t="shared" si="31"/>
        <v>x</v>
      </c>
      <c r="E83" s="101">
        <f>IF($A83&lt;='Alternative 1'!$B$27, IF($A83='Alternative 1'!$B$27,0,E84+1),0)</f>
        <v>0</v>
      </c>
      <c r="F83" s="101">
        <f>IF($A83&lt;=('Alternative 1'!$B$28), IF($A83=ROUNDDOWN('Alternative 1'!$B$28,0),0,F84+1),0)</f>
        <v>0</v>
      </c>
      <c r="G83" s="101">
        <f>IF($A83&lt;=('Alternative 1'!$B$29), IF($A83=ROUNDDOWN('Alternative 1'!$B$29,0),0,G84+1),0)</f>
        <v>0</v>
      </c>
      <c r="H83" s="18" t="e">
        <f t="shared" si="32"/>
        <v>#VALUE!</v>
      </c>
      <c r="J83" s="104">
        <f t="shared" si="33"/>
        <v>80</v>
      </c>
      <c r="K83" s="109">
        <f t="shared" si="34"/>
        <v>1.3962634015954636</v>
      </c>
      <c r="L83" s="105">
        <f>'Alternative 1'!$B$27*SIN(K83)+'Alternative 1'!$B$28*SIN(K83)+'Alternative 1'!$B$29*SIN(K83)</f>
        <v>66.966927204830142</v>
      </c>
      <c r="M83" s="104">
        <f>(('Alternative 1'!$B$27)*(((('Alternative 1'!$B$28-'Alternative 1'!$B$27)/2)+'Alternative 1'!$B$27)*'Alternative 1'!$B$39)*COS('Alternative 1-Tilt Up (3pt)'!K83))+(('Alternative 1'!$B$28)*((('Alternative 1'!$B$28-'Alternative 1'!$B$27)/2)+(('Alternative 1'!$B$29-'Alternative 1'!$B$28)/2))*('Alternative 1'!$B$39)*COS('Alternative 1-Tilt Up (3pt)'!K83))+(('Alternative 1'!$B$29)*((('Alternative 1'!$B$12-'Alternative 1'!$B$29+(('Alternative 1'!$B$29-'Alternative 1'!$B$28)/2)*('Alternative 1'!$B$39)*COS('Alternative 1-Tilt Up (3pt)'!K83)))))</f>
        <v>824315.43342410494</v>
      </c>
      <c r="N83" s="104">
        <f t="shared" si="18"/>
        <v>36927.874750895659</v>
      </c>
      <c r="O83" s="104">
        <f>(((('Alternative 1'!$B$28-'Alternative 1'!$B$27)/2)+'Alternative 1'!$B$27)*('Alternative 1'!$B$39)*COS('Alternative 1-Tilt Up (3pt)'!K83))+(((('Alternative 1'!$B$28-'Alternative 1'!$B$27)/2)+(('Alternative 1'!$B$29-'Alternative 1'!$B$28)/2))*('Alternative 1'!$B$39)*COS('Alternative 1-Tilt Up (3pt)'!K83))+(((('Alternative 1'!$B$12-'Alternative 1'!$B$29)+(('Alternative 1'!$B$29-'Alternative 1'!$B$28)/2))*('Alternative 1'!$B$39)*COS('Alternative 1-Tilt Up (3pt)'!K83)))</f>
        <v>53157.163933004151</v>
      </c>
      <c r="P83" s="109">
        <f t="shared" si="19"/>
        <v>6412.4581556056828</v>
      </c>
      <c r="R83" s="105" t="e">
        <f>'Alternative 1'!$B$39*$B83*$C83*COS($K$5)-($N$5/3)*$E83*SIN($K$5)-($N$5/3)*$F83*SIN($K$5)-($N$5/3)*$G83*SIN($K$5)</f>
        <v>#VALUE!</v>
      </c>
      <c r="S83" s="106" t="e">
        <f>IF(($A83&lt;'Alternative 1'!$B$27),(($H83*'Alternative 1'!$B$39)+(3*($N$5/3)*COS($K$5))),IF(($A83&lt;'Alternative 1'!$B$28),(($H83*'Alternative 1'!$B$39)+(2*(($N$5/3)*COS($K$5)))),IF(($A83&lt;'Alternative 1'!$B$29),(($H$3*'Alternative 1'!$B$39+(($N$5/3)*COS($K$5)))),($H83*'Alternative 1'!$B$39))))</f>
        <v>#VALUE!</v>
      </c>
      <c r="T83" s="105" t="e">
        <f>R83*'Alternative 1'!$K84/'Alternative 1'!$L84</f>
        <v>#VALUE!</v>
      </c>
      <c r="U83" s="105" t="e">
        <f>S83/'Alternative 1'!$M84</f>
        <v>#VALUE!</v>
      </c>
      <c r="V83" s="105" t="e">
        <f t="shared" si="20"/>
        <v>#VALUE!</v>
      </c>
      <c r="X83" s="105" t="e">
        <f>'Alternative 1'!$B$39*$B83*$C83*COS($K$13)-($N$12/3)*$E83*SIN($K$13)-($N$12/3)*$F83*SIN($K$13)-($N$12/3)*$G83*SIN($K$13)</f>
        <v>#VALUE!</v>
      </c>
      <c r="Y83" s="106" t="e">
        <f>IF(($A83&lt;'Alternative 1'!$B$27),(($H83*'Alternative 1'!$B$39)+(3*($N$12/3)*COS($K$13))),IF(($A83&lt;'Alternative 1'!$B$28),(($H83*'Alternative 1'!$B$39)+(2*(($N$12/3)*COS($K$13)))),IF(($A83&lt;'Alternative 1'!$B$29),(($H$3*'Alternative 1'!$B$39+(($N$12/3)*COS($K$13)))),($H83*'Alternative 1'!$B$39))))</f>
        <v>#VALUE!</v>
      </c>
      <c r="Z83" s="105" t="e">
        <f>X83*'Alternative 1'!$K84/'Alternative 1'!$L84</f>
        <v>#VALUE!</v>
      </c>
      <c r="AA83" s="105" t="e">
        <f>Y83/'Alternative 1'!$M84</f>
        <v>#VALUE!</v>
      </c>
      <c r="AB83" s="105" t="e">
        <f t="shared" si="21"/>
        <v>#VALUE!</v>
      </c>
      <c r="AD83" s="105" t="e">
        <f>'Alternative 1'!$B$39*$B83*$C83*COS($K$23)-($N$22/3)*$E83*SIN($K$23)-($N$22/3)*$F83*SIN($K$23)-($N$22/3)*$G83*SIN($K$23)</f>
        <v>#VALUE!</v>
      </c>
      <c r="AE83" s="106" t="e">
        <f>IF(($A83&lt;'Alternative 1'!$B$27),(($H83*'Alternative 1'!$B$39)+(3*($N$22/3)*COS($K$23))),IF(($A83&lt;'Alternative 1'!$B$28),(($H83*'Alternative 1'!$B$39)+(2*(($N$22/3)*COS($K$23)))),IF(($A83&lt;'Alternative 1'!$B$29),(($H$3*'Alternative 1'!$B$39+(($N$22/3)*COS($K$23)))),($H83*'Alternative 1'!$B$39))))</f>
        <v>#VALUE!</v>
      </c>
      <c r="AF83" s="105" t="e">
        <f>AD83*'Alternative 1'!$K84/'Alternative 1'!$L84</f>
        <v>#VALUE!</v>
      </c>
      <c r="AG83" s="105" t="e">
        <f>AE83/'Alternative 1'!$M84</f>
        <v>#VALUE!</v>
      </c>
      <c r="AH83" s="105" t="e">
        <f t="shared" si="22"/>
        <v>#VALUE!</v>
      </c>
      <c r="AJ83" s="105" t="e">
        <f>'Alternative 1'!$B$39*$B83*$C83*COS($K$33)-($N$32/3)*$E83*SIN($K$33)-($N$32/3)*$F83*SIN($K$33)-($N$32/3)*$G83*SIN($K$33)</f>
        <v>#VALUE!</v>
      </c>
      <c r="AK83" s="106" t="e">
        <f>IF(($A83&lt;'Alternative 1'!$B$27),(($H83*'Alternative 1'!$B$39)+(3*($N$32/3)*COS($K$33))),IF(($A83&lt;'Alternative 1'!$B$28),(($H83*'Alternative 1'!$B$39)+(2*(($N$32/3)*COS($K$33)))),IF(($A83&lt;'Alternative 1'!$B$29),(($H$3*'Alternative 1'!$B$39+(($N$32/3)*COS($K$33)))),($H83*'Alternative 1'!$B$39))))</f>
        <v>#VALUE!</v>
      </c>
      <c r="AL83" s="105" t="e">
        <f>AJ83*'Alternative 1'!$K84/'Alternative 1'!$L84</f>
        <v>#VALUE!</v>
      </c>
      <c r="AM83" s="105" t="e">
        <f>AK83/'Alternative 1'!$M84</f>
        <v>#VALUE!</v>
      </c>
      <c r="AN83" s="105" t="e">
        <f t="shared" si="23"/>
        <v>#VALUE!</v>
      </c>
      <c r="AP83" s="105" t="e">
        <f>'Alternative 1'!$B$39*$B83*$C83*COS($K$43)-($N$42/3)*$E83*SIN($K$43)-($N$42/3)*$F83*SIN($K$43)-($N$42/3)*$G83*SIN($K$43)</f>
        <v>#VALUE!</v>
      </c>
      <c r="AQ83" s="106" t="e">
        <f>IF(($A83&lt;'Alternative 1'!$B$27),(($H83*'Alternative 1'!$B$39)+(3*($N$42/3)*COS($K$43))),IF(($A83&lt;'Alternative 1'!$B$28),(($H83*'Alternative 1'!$B$39)+(2*(($N$42/3)*COS($K$43)))),IF(($A83&lt;'Alternative 1'!$B$29),(($H$3*'Alternative 1'!$B$39+(($N$42/3)*COS($K$43)))),($H83*'Alternative 1'!$B$39))))</f>
        <v>#VALUE!</v>
      </c>
      <c r="AR83" s="105" t="e">
        <f>AP83*'Alternative 1'!$K84/'Alternative 1'!$L84</f>
        <v>#VALUE!</v>
      </c>
      <c r="AS83" s="105" t="e">
        <f>AQ83/'Alternative 1'!$M84</f>
        <v>#VALUE!</v>
      </c>
      <c r="AT83" s="105" t="e">
        <f t="shared" si="24"/>
        <v>#VALUE!</v>
      </c>
      <c r="AV83" s="105" t="e">
        <f>'Alternative 1'!$B$39*$B83*$C83*COS($K$53)-($N$52/3)*$E83*SIN($K$53)-($N$52/3)*$F83*SIN($K$53)-($N$52/3)*$G83*SIN($K$53)</f>
        <v>#VALUE!</v>
      </c>
      <c r="AW83" s="106" t="e">
        <f>IF(($A83&lt;'Alternative 1'!$B$27),(($H83*'Alternative 1'!$B$39)+(3*($N$52/3)*COS($K$53))),IF(($A83&lt;'Alternative 1'!$B$28),(($H83*'Alternative 1'!$B$39)+(2*(($N$52/3)*COS($K$53)))),IF(($A83&lt;'Alternative 1'!$B$29),(($H$3*'Alternative 1'!$B$39+(($N$52/3)*COS($K$53)))),($H83*'Alternative 1'!$B$39))))</f>
        <v>#VALUE!</v>
      </c>
      <c r="AX83" s="105" t="e">
        <f>AV83*'Alternative 1'!$K84/'Alternative 1'!$L84</f>
        <v>#VALUE!</v>
      </c>
      <c r="AY83" s="105" t="e">
        <f>AW83/'Alternative 1'!$M84</f>
        <v>#VALUE!</v>
      </c>
      <c r="AZ83" s="105" t="e">
        <f t="shared" si="25"/>
        <v>#VALUE!</v>
      </c>
      <c r="BB83" s="105" t="e">
        <f>'Alternative 1'!$B$39*$B83*$C83*COS($K$63)-($N$62/3)*$E83*SIN($K$63)-($N$62/3)*$F83*SIN($K$63)-($N$62/3)*$G83*SIN($K$63)</f>
        <v>#VALUE!</v>
      </c>
      <c r="BC83" s="106" t="e">
        <f>IF(($A83&lt;'Alternative 1'!$B$27),(($H83*'Alternative 1'!$B$39)+(3*($N$62/3)*COS($K$63))),IF(($A83&lt;'Alternative 1'!$B$28),(($H83*'Alternative 1'!$B$39)+(2*(($N$62/3)*COS($K$63)))),IF(($A83&lt;'Alternative 1'!$B$29),(($H$3*'Alternative 1'!$B$39+(($N$62/3)*COS($K$63)))),($H83*'Alternative 1'!$B$39))))</f>
        <v>#VALUE!</v>
      </c>
      <c r="BD83" s="105" t="e">
        <f>BB83*'Alternative 1'!$K84/'Alternative 1'!$L84</f>
        <v>#VALUE!</v>
      </c>
      <c r="BE83" s="105" t="e">
        <f>BC83/'Alternative 1'!$M84</f>
        <v>#VALUE!</v>
      </c>
      <c r="BF83" s="105" t="e">
        <f t="shared" si="26"/>
        <v>#VALUE!</v>
      </c>
      <c r="BH83" s="105" t="e">
        <f>'Alternative 1'!$B$39*$B83*$C83*COS($K$73)-($N$72/3)*$E83*SIN($K$73)-($N$72/3)*$F83*SIN($K$73)-($N$72/3)*$G83*SIN($K$73)</f>
        <v>#VALUE!</v>
      </c>
      <c r="BI83" s="106" t="e">
        <f>IF(($A83&lt;'Alternative 1'!$B$27),(($H83*'Alternative 1'!$B$39)+(3*($N$72/3)*COS($K$73))),IF(($A83&lt;'Alternative 1'!$B$28),(($H83*'Alternative 1'!$B$39)+(2*(($N$72/3)*COS($K$73)))),IF(($A83&lt;'Alternative 1'!$B$29),(($H$3*'Alternative 1'!$B$39+(($N$72/3)*COS($K$73)))),($H83*'Alternative 1'!$B$39))))</f>
        <v>#VALUE!</v>
      </c>
      <c r="BJ83" s="105" t="e">
        <f>BH83*'Alternative 1'!$K84/'Alternative 1'!$L84</f>
        <v>#VALUE!</v>
      </c>
      <c r="BK83" s="105" t="e">
        <f>BI83/'Alternative 1'!$M84</f>
        <v>#VALUE!</v>
      </c>
      <c r="BL83" s="105" t="e">
        <f t="shared" si="27"/>
        <v>#VALUE!</v>
      </c>
      <c r="BN83" s="105" t="e">
        <f>'Alternative 1'!$B$39*$B83*$C83*COS($K$83)-($N$82/3)*$E83*SIN($K$83)-($N$82/3)*$F83*SIN($K$83)-($N$82/3)*$G83*SIN($K$83)</f>
        <v>#VALUE!</v>
      </c>
      <c r="BO83" s="106" t="e">
        <f>IF(($A83&lt;'Alternative 1'!$B$27),(($H83*'Alternative 1'!$B$39)+(3*($N$82/3)*COS($K$83))),IF(($A83&lt;'Alternative 1'!$B$28),(($H83*'Alternative 1'!$B$39)+(2*(($N$82/3)*COS($K$83)))),IF(($A83&lt;'Alternative 1'!$B$29),(($H$3*'Alternative 1'!$B$39+(($N$82/3)*COS($K$83)))),($H83*'Alternative 1'!$B$39))))</f>
        <v>#VALUE!</v>
      </c>
      <c r="BP83" s="105" t="e">
        <f>BN83*'Alternative 1'!$K84/'Alternative 1'!$L84</f>
        <v>#VALUE!</v>
      </c>
      <c r="BQ83" s="105" t="e">
        <f>BO83/'Alternative 1'!$M84</f>
        <v>#VALUE!</v>
      </c>
      <c r="BR83" s="105" t="e">
        <f t="shared" si="28"/>
        <v>#VALUE!</v>
      </c>
      <c r="BT83" s="105" t="e">
        <f>'Alternative 1'!$B$39*$B83*$C83*COS($K$93)-($K$92/3)*$E83*SIN($K$93)-($K$92/3)*$F83*SIN($K$93)-($K$92/3)*$G83*SIN($K$93)</f>
        <v>#VALUE!</v>
      </c>
      <c r="BU83" s="106" t="e">
        <f>IF(($A83&lt;'Alternative 1'!$B$27),(($H83*'Alternative 1'!$B$39)+(3*($N$92/3)*COS($K$93))),IF(($A83&lt;'Alternative 1'!$B$28),(($H83*'Alternative 1'!$B$39)+(2*(($N$92/3)*COS($K$93)))),IF(($A83&lt;'Alternative 1'!$B$29),(($H$3*'Alternative 1'!$B$39+(($N$92/3)*COS($K$93)))),($H83*'Alternative 1'!$B$39))))</f>
        <v>#VALUE!</v>
      </c>
      <c r="BV83" s="105" t="e">
        <f>BT83*'Alternative 1'!$K84/'Alternative 1'!$L84</f>
        <v>#VALUE!</v>
      </c>
      <c r="BW83" s="105" t="e">
        <f>BU83/'Alternative 1'!$M84</f>
        <v>#VALUE!</v>
      </c>
      <c r="BX83" s="105" t="e">
        <f t="shared" si="29"/>
        <v>#VALUE!</v>
      </c>
    </row>
    <row r="84" spans="1:76" ht="15" customHeight="1" x14ac:dyDescent="0.25">
      <c r="A84" s="18" t="str">
        <f>IF('Alternative 1'!F85&gt;0,'Alternative 1'!F85,"x")</f>
        <v>x</v>
      </c>
      <c r="B84" s="18" t="e">
        <f t="shared" si="35"/>
        <v>#VALUE!</v>
      </c>
      <c r="C84" s="18">
        <f t="shared" si="30"/>
        <v>0</v>
      </c>
      <c r="D84" s="18" t="str">
        <f t="shared" si="31"/>
        <v>x</v>
      </c>
      <c r="E84" s="101">
        <f>IF($A84&lt;='Alternative 1'!$B$27, IF($A84='Alternative 1'!$B$27,0,E85+1),0)</f>
        <v>0</v>
      </c>
      <c r="F84" s="101">
        <f>IF($A84&lt;=('Alternative 1'!$B$28), IF($A84=ROUNDDOWN('Alternative 1'!$B$28,0),0,F85+1),0)</f>
        <v>0</v>
      </c>
      <c r="G84" s="101">
        <f>IF($A84&lt;=('Alternative 1'!$B$29), IF($A84=ROUNDDOWN('Alternative 1'!$B$29,0),0,G85+1),0)</f>
        <v>0</v>
      </c>
      <c r="H84" s="18" t="e">
        <f t="shared" si="32"/>
        <v>#VALUE!</v>
      </c>
      <c r="J84" s="104">
        <f t="shared" si="33"/>
        <v>81</v>
      </c>
      <c r="K84" s="104">
        <f t="shared" si="34"/>
        <v>1.4137166941154069</v>
      </c>
      <c r="L84" s="105">
        <f>'Alternative 1'!$B$27*SIN(K84)+'Alternative 1'!$B$28*SIN(K84)+'Alternative 1'!$B$29*SIN(K84)</f>
        <v>67.16280716046937</v>
      </c>
      <c r="M84" s="104">
        <f>(('Alternative 1'!$B$27)*(((('Alternative 1'!$B$28-'Alternative 1'!$B$27)/2)+'Alternative 1'!$B$27)*'Alternative 1'!$B$39)*COS('Alternative 1-Tilt Up (3pt)'!K84))+(('Alternative 1'!$B$28)*((('Alternative 1'!$B$28-'Alternative 1'!$B$27)/2)+(('Alternative 1'!$B$29-'Alternative 1'!$B$28)/2))*('Alternative 1'!$B$39)*COS('Alternative 1-Tilt Up (3pt)'!K84))+(('Alternative 1'!$B$29)*((('Alternative 1'!$B$12-'Alternative 1'!$B$29+(('Alternative 1'!$B$29-'Alternative 1'!$B$28)/2)*('Alternative 1'!$B$39)*COS('Alternative 1-Tilt Up (3pt)'!K84)))))</f>
        <v>742620.58561297739</v>
      </c>
      <c r="N84" s="104">
        <f t="shared" si="18"/>
        <v>33171.063733473682</v>
      </c>
      <c r="O84" s="104">
        <f>(((('Alternative 1'!$B$28-'Alternative 1'!$B$27)/2)+'Alternative 1'!$B$27)*('Alternative 1'!$B$39)*COS('Alternative 1-Tilt Up (3pt)'!K84))+(((('Alternative 1'!$B$28-'Alternative 1'!$B$27)/2)+(('Alternative 1'!$B$29-'Alternative 1'!$B$28)/2))*('Alternative 1'!$B$39)*COS('Alternative 1-Tilt Up (3pt)'!K84))+(((('Alternative 1'!$B$12-'Alternative 1'!$B$29)+(('Alternative 1'!$B$29-'Alternative 1'!$B$28)/2))*('Alternative 1'!$B$39)*COS('Alternative 1-Tilt Up (3pt)'!K84)))</f>
        <v>47887.703831049119</v>
      </c>
      <c r="P84" s="104">
        <f t="shared" si="19"/>
        <v>5189.0976099613608</v>
      </c>
      <c r="R84" s="105" t="e">
        <f>'Alternative 1'!$B$39*$B84*$C84*COS($K$5)-($N$5/3)*$E84*SIN($K$5)-($N$5/3)*$F84*SIN($K$5)-($N$5/3)*$G84*SIN($K$5)</f>
        <v>#VALUE!</v>
      </c>
      <c r="S84" s="106" t="e">
        <f>IF(($A84&lt;'Alternative 1'!$B$27),(($H84*'Alternative 1'!$B$39)+(3*($N$5/3)*COS($K$5))),IF(($A84&lt;'Alternative 1'!$B$28),(($H84*'Alternative 1'!$B$39)+(2*(($N$5/3)*COS($K$5)))),IF(($A84&lt;'Alternative 1'!$B$29),(($H$3*'Alternative 1'!$B$39+(($N$5/3)*COS($K$5)))),($H84*'Alternative 1'!$B$39))))</f>
        <v>#VALUE!</v>
      </c>
      <c r="T84" s="105" t="e">
        <f>R84*'Alternative 1'!$K85/'Alternative 1'!$L85</f>
        <v>#VALUE!</v>
      </c>
      <c r="U84" s="105" t="e">
        <f>S84/'Alternative 1'!$M85</f>
        <v>#VALUE!</v>
      </c>
      <c r="V84" s="105" t="e">
        <f t="shared" si="20"/>
        <v>#VALUE!</v>
      </c>
      <c r="X84" s="105" t="e">
        <f>'Alternative 1'!$B$39*$B84*$C84*COS($K$13)-($N$12/3)*$E84*SIN($K$13)-($N$12/3)*$F84*SIN($K$13)-($N$12/3)*$G84*SIN($K$13)</f>
        <v>#VALUE!</v>
      </c>
      <c r="Y84" s="106" t="e">
        <f>IF(($A84&lt;'Alternative 1'!$B$27),(($H84*'Alternative 1'!$B$39)+(3*($N$12/3)*COS($K$13))),IF(($A84&lt;'Alternative 1'!$B$28),(($H84*'Alternative 1'!$B$39)+(2*(($N$12/3)*COS($K$13)))),IF(($A84&lt;'Alternative 1'!$B$29),(($H$3*'Alternative 1'!$B$39+(($N$12/3)*COS($K$13)))),($H84*'Alternative 1'!$B$39))))</f>
        <v>#VALUE!</v>
      </c>
      <c r="Z84" s="105" t="e">
        <f>X84*'Alternative 1'!$K85/'Alternative 1'!$L85</f>
        <v>#VALUE!</v>
      </c>
      <c r="AA84" s="105" t="e">
        <f>Y84/'Alternative 1'!$M85</f>
        <v>#VALUE!</v>
      </c>
      <c r="AB84" s="105" t="e">
        <f t="shared" si="21"/>
        <v>#VALUE!</v>
      </c>
      <c r="AD84" s="105" t="e">
        <f>'Alternative 1'!$B$39*$B84*$C84*COS($K$23)-($N$22/3)*$E84*SIN($K$23)-($N$22/3)*$F84*SIN($K$23)-($N$22/3)*$G84*SIN($K$23)</f>
        <v>#VALUE!</v>
      </c>
      <c r="AE84" s="106" t="e">
        <f>IF(($A84&lt;'Alternative 1'!$B$27),(($H84*'Alternative 1'!$B$39)+(3*($N$22/3)*COS($K$23))),IF(($A84&lt;'Alternative 1'!$B$28),(($H84*'Alternative 1'!$B$39)+(2*(($N$22/3)*COS($K$23)))),IF(($A84&lt;'Alternative 1'!$B$29),(($H$3*'Alternative 1'!$B$39+(($N$22/3)*COS($K$23)))),($H84*'Alternative 1'!$B$39))))</f>
        <v>#VALUE!</v>
      </c>
      <c r="AF84" s="105" t="e">
        <f>AD84*'Alternative 1'!$K85/'Alternative 1'!$L85</f>
        <v>#VALUE!</v>
      </c>
      <c r="AG84" s="105" t="e">
        <f>AE84/'Alternative 1'!$M85</f>
        <v>#VALUE!</v>
      </c>
      <c r="AH84" s="105" t="e">
        <f t="shared" si="22"/>
        <v>#VALUE!</v>
      </c>
      <c r="AJ84" s="105" t="e">
        <f>'Alternative 1'!$B$39*$B84*$C84*COS($K$33)-($N$32/3)*$E84*SIN($K$33)-($N$32/3)*$F84*SIN($K$33)-($N$32/3)*$G84*SIN($K$33)</f>
        <v>#VALUE!</v>
      </c>
      <c r="AK84" s="106" t="e">
        <f>IF(($A84&lt;'Alternative 1'!$B$27),(($H84*'Alternative 1'!$B$39)+(3*($N$32/3)*COS($K$33))),IF(($A84&lt;'Alternative 1'!$B$28),(($H84*'Alternative 1'!$B$39)+(2*(($N$32/3)*COS($K$33)))),IF(($A84&lt;'Alternative 1'!$B$29),(($H$3*'Alternative 1'!$B$39+(($N$32/3)*COS($K$33)))),($H84*'Alternative 1'!$B$39))))</f>
        <v>#VALUE!</v>
      </c>
      <c r="AL84" s="105" t="e">
        <f>AJ84*'Alternative 1'!$K85/'Alternative 1'!$L85</f>
        <v>#VALUE!</v>
      </c>
      <c r="AM84" s="105" t="e">
        <f>AK84/'Alternative 1'!$M85</f>
        <v>#VALUE!</v>
      </c>
      <c r="AN84" s="105" t="e">
        <f t="shared" si="23"/>
        <v>#VALUE!</v>
      </c>
      <c r="AP84" s="105" t="e">
        <f>'Alternative 1'!$B$39*$B84*$C84*COS($K$43)-($N$42/3)*$E84*SIN($K$43)-($N$42/3)*$F84*SIN($K$43)-($N$42/3)*$G84*SIN($K$43)</f>
        <v>#VALUE!</v>
      </c>
      <c r="AQ84" s="106" t="e">
        <f>IF(($A84&lt;'Alternative 1'!$B$27),(($H84*'Alternative 1'!$B$39)+(3*($N$42/3)*COS($K$43))),IF(($A84&lt;'Alternative 1'!$B$28),(($H84*'Alternative 1'!$B$39)+(2*(($N$42/3)*COS($K$43)))),IF(($A84&lt;'Alternative 1'!$B$29),(($H$3*'Alternative 1'!$B$39+(($N$42/3)*COS($K$43)))),($H84*'Alternative 1'!$B$39))))</f>
        <v>#VALUE!</v>
      </c>
      <c r="AR84" s="105" t="e">
        <f>AP84*'Alternative 1'!$K85/'Alternative 1'!$L85</f>
        <v>#VALUE!</v>
      </c>
      <c r="AS84" s="105" t="e">
        <f>AQ84/'Alternative 1'!$M85</f>
        <v>#VALUE!</v>
      </c>
      <c r="AT84" s="105" t="e">
        <f t="shared" si="24"/>
        <v>#VALUE!</v>
      </c>
      <c r="AV84" s="105" t="e">
        <f>'Alternative 1'!$B$39*$B84*$C84*COS($K$53)-($N$52/3)*$E84*SIN($K$53)-($N$52/3)*$F84*SIN($K$53)-($N$52/3)*$G84*SIN($K$53)</f>
        <v>#VALUE!</v>
      </c>
      <c r="AW84" s="106" t="e">
        <f>IF(($A84&lt;'Alternative 1'!$B$27),(($H84*'Alternative 1'!$B$39)+(3*($N$52/3)*COS($K$53))),IF(($A84&lt;'Alternative 1'!$B$28),(($H84*'Alternative 1'!$B$39)+(2*(($N$52/3)*COS($K$53)))),IF(($A84&lt;'Alternative 1'!$B$29),(($H$3*'Alternative 1'!$B$39+(($N$52/3)*COS($K$53)))),($H84*'Alternative 1'!$B$39))))</f>
        <v>#VALUE!</v>
      </c>
      <c r="AX84" s="105" t="e">
        <f>AV84*'Alternative 1'!$K85/'Alternative 1'!$L85</f>
        <v>#VALUE!</v>
      </c>
      <c r="AY84" s="105" t="e">
        <f>AW84/'Alternative 1'!$M85</f>
        <v>#VALUE!</v>
      </c>
      <c r="AZ84" s="105" t="e">
        <f t="shared" si="25"/>
        <v>#VALUE!</v>
      </c>
      <c r="BB84" s="105" t="e">
        <f>'Alternative 1'!$B$39*$B84*$C84*COS($K$63)-($N$62/3)*$E84*SIN($K$63)-($N$62/3)*$F84*SIN($K$63)-($N$62/3)*$G84*SIN($K$63)</f>
        <v>#VALUE!</v>
      </c>
      <c r="BC84" s="106" t="e">
        <f>IF(($A84&lt;'Alternative 1'!$B$27),(($H84*'Alternative 1'!$B$39)+(3*($N$62/3)*COS($K$63))),IF(($A84&lt;'Alternative 1'!$B$28),(($H84*'Alternative 1'!$B$39)+(2*(($N$62/3)*COS($K$63)))),IF(($A84&lt;'Alternative 1'!$B$29),(($H$3*'Alternative 1'!$B$39+(($N$62/3)*COS($K$63)))),($H84*'Alternative 1'!$B$39))))</f>
        <v>#VALUE!</v>
      </c>
      <c r="BD84" s="105" t="e">
        <f>BB84*'Alternative 1'!$K85/'Alternative 1'!$L85</f>
        <v>#VALUE!</v>
      </c>
      <c r="BE84" s="105" t="e">
        <f>BC84/'Alternative 1'!$M85</f>
        <v>#VALUE!</v>
      </c>
      <c r="BF84" s="105" t="e">
        <f t="shared" si="26"/>
        <v>#VALUE!</v>
      </c>
      <c r="BH84" s="105" t="e">
        <f>'Alternative 1'!$B$39*$B84*$C84*COS($K$73)-($N$72/3)*$E84*SIN($K$73)-($N$72/3)*$F84*SIN($K$73)-($N$72/3)*$G84*SIN($K$73)</f>
        <v>#VALUE!</v>
      </c>
      <c r="BI84" s="106" t="e">
        <f>IF(($A84&lt;'Alternative 1'!$B$27),(($H84*'Alternative 1'!$B$39)+(3*($N$72/3)*COS($K$73))),IF(($A84&lt;'Alternative 1'!$B$28),(($H84*'Alternative 1'!$B$39)+(2*(($N$72/3)*COS($K$73)))),IF(($A84&lt;'Alternative 1'!$B$29),(($H$3*'Alternative 1'!$B$39+(($N$72/3)*COS($K$73)))),($H84*'Alternative 1'!$B$39))))</f>
        <v>#VALUE!</v>
      </c>
      <c r="BJ84" s="105" t="e">
        <f>BH84*'Alternative 1'!$K85/'Alternative 1'!$L85</f>
        <v>#VALUE!</v>
      </c>
      <c r="BK84" s="105" t="e">
        <f>BI84/'Alternative 1'!$M85</f>
        <v>#VALUE!</v>
      </c>
      <c r="BL84" s="105" t="e">
        <f t="shared" si="27"/>
        <v>#VALUE!</v>
      </c>
      <c r="BN84" s="105" t="e">
        <f>'Alternative 1'!$B$39*$B84*$C84*COS($K$83)-($N$82/3)*$E84*SIN($K$83)-($N$82/3)*$F84*SIN($K$83)-($N$82/3)*$G84*SIN($K$83)</f>
        <v>#VALUE!</v>
      </c>
      <c r="BO84" s="106" t="e">
        <f>IF(($A84&lt;'Alternative 1'!$B$27),(($H84*'Alternative 1'!$B$39)+(3*($N$82/3)*COS($K$83))),IF(($A84&lt;'Alternative 1'!$B$28),(($H84*'Alternative 1'!$B$39)+(2*(($N$82/3)*COS($K$83)))),IF(($A84&lt;'Alternative 1'!$B$29),(($H$3*'Alternative 1'!$B$39+(($N$82/3)*COS($K$83)))),($H84*'Alternative 1'!$B$39))))</f>
        <v>#VALUE!</v>
      </c>
      <c r="BP84" s="105" t="e">
        <f>BN84*'Alternative 1'!$K85/'Alternative 1'!$L85</f>
        <v>#VALUE!</v>
      </c>
      <c r="BQ84" s="105" t="e">
        <f>BO84/'Alternative 1'!$M85</f>
        <v>#VALUE!</v>
      </c>
      <c r="BR84" s="105" t="e">
        <f t="shared" si="28"/>
        <v>#VALUE!</v>
      </c>
      <c r="BT84" s="105" t="e">
        <f>'Alternative 1'!$B$39*$B84*$C84*COS($K$93)-($K$92/3)*$E84*SIN($K$93)-($K$92/3)*$F84*SIN($K$93)-($K$92/3)*$G84*SIN($K$93)</f>
        <v>#VALUE!</v>
      </c>
      <c r="BU84" s="106" t="e">
        <f>IF(($A84&lt;'Alternative 1'!$B$27),(($H84*'Alternative 1'!$B$39)+(3*($N$92/3)*COS($K$93))),IF(($A84&lt;'Alternative 1'!$B$28),(($H84*'Alternative 1'!$B$39)+(2*(($N$92/3)*COS($K$93)))),IF(($A84&lt;'Alternative 1'!$B$29),(($H$3*'Alternative 1'!$B$39+(($N$92/3)*COS($K$93)))),($H84*'Alternative 1'!$B$39))))</f>
        <v>#VALUE!</v>
      </c>
      <c r="BV84" s="105" t="e">
        <f>BT84*'Alternative 1'!$K85/'Alternative 1'!$L85</f>
        <v>#VALUE!</v>
      </c>
      <c r="BW84" s="105" t="e">
        <f>BU84/'Alternative 1'!$M85</f>
        <v>#VALUE!</v>
      </c>
      <c r="BX84" s="105" t="e">
        <f t="shared" si="29"/>
        <v>#VALUE!</v>
      </c>
    </row>
    <row r="85" spans="1:76" ht="15" customHeight="1" x14ac:dyDescent="0.25">
      <c r="A85" s="18" t="str">
        <f>IF('Alternative 1'!F86&gt;0,'Alternative 1'!F86,"x")</f>
        <v>x</v>
      </c>
      <c r="B85" s="18" t="e">
        <f t="shared" si="35"/>
        <v>#VALUE!</v>
      </c>
      <c r="C85" s="18">
        <f t="shared" si="30"/>
        <v>0</v>
      </c>
      <c r="D85" s="18" t="str">
        <f t="shared" si="31"/>
        <v>x</v>
      </c>
      <c r="E85" s="101">
        <f>IF($A85&lt;='Alternative 1'!$B$27, IF($A85='Alternative 1'!$B$27,0,E86+1),0)</f>
        <v>0</v>
      </c>
      <c r="F85" s="101">
        <f>IF($A85&lt;=('Alternative 1'!$B$28), IF($A85=ROUNDDOWN('Alternative 1'!$B$28,0),0,F86+1),0)</f>
        <v>0</v>
      </c>
      <c r="G85" s="101">
        <f>IF($A85&lt;=('Alternative 1'!$B$29), IF($A85=ROUNDDOWN('Alternative 1'!$B$29,0),0,G86+1),0)</f>
        <v>0</v>
      </c>
      <c r="H85" s="18" t="e">
        <f t="shared" si="32"/>
        <v>#VALUE!</v>
      </c>
      <c r="J85" s="104">
        <f t="shared" si="33"/>
        <v>82</v>
      </c>
      <c r="K85" s="104">
        <f t="shared" si="34"/>
        <v>1.43116998663535</v>
      </c>
      <c r="L85" s="105">
        <f>'Alternative 1'!$B$27*SIN(K85)+'Alternative 1'!$B$28*SIN(K85)+'Alternative 1'!$B$29*SIN(K85)</f>
        <v>67.338228674426773</v>
      </c>
      <c r="M85" s="104">
        <f>(('Alternative 1'!$B$27)*(((('Alternative 1'!$B$28-'Alternative 1'!$B$27)/2)+'Alternative 1'!$B$27)*'Alternative 1'!$B$39)*COS('Alternative 1-Tilt Up (3pt)'!K85))+(('Alternative 1'!$B$28)*((('Alternative 1'!$B$28-'Alternative 1'!$B$27)/2)+(('Alternative 1'!$B$29-'Alternative 1'!$B$28)/2))*('Alternative 1'!$B$39)*COS('Alternative 1-Tilt Up (3pt)'!K85))+(('Alternative 1'!$B$29)*((('Alternative 1'!$B$12-'Alternative 1'!$B$29+(('Alternative 1'!$B$29-'Alternative 1'!$B$28)/2)*('Alternative 1'!$B$39)*COS('Alternative 1-Tilt Up (3pt)'!K85)))))</f>
        <v>660699.58796867402</v>
      </c>
      <c r="N85" s="104">
        <f t="shared" si="18"/>
        <v>29434.970341873119</v>
      </c>
      <c r="O85" s="104">
        <f>(((('Alternative 1'!$B$28-'Alternative 1'!$B$27)/2)+'Alternative 1'!$B$27)*('Alternative 1'!$B$39)*COS('Alternative 1-Tilt Up (3pt)'!K85))+(((('Alternative 1'!$B$28-'Alternative 1'!$B$27)/2)+(('Alternative 1'!$B$29-'Alternative 1'!$B$28)/2))*('Alternative 1'!$B$39)*COS('Alternative 1-Tilt Up (3pt)'!K85))+(((('Alternative 1'!$B$12-'Alternative 1'!$B$29)+(('Alternative 1'!$B$29-'Alternative 1'!$B$28)/2))*('Alternative 1'!$B$39)*COS('Alternative 1-Tilt Up (3pt)'!K85)))</f>
        <v>42603.656670608616</v>
      </c>
      <c r="P85" s="104">
        <f t="shared" si="19"/>
        <v>4096.556099146047</v>
      </c>
      <c r="R85" s="105" t="e">
        <f>'Alternative 1'!$B$39*$B85*$C85*COS($K$5)-($N$5/3)*$E85*SIN($K$5)-($N$5/3)*$F85*SIN($K$5)-($N$5/3)*$G85*SIN($K$5)</f>
        <v>#VALUE!</v>
      </c>
      <c r="S85" s="106" t="e">
        <f>IF(($A85&lt;'Alternative 1'!$B$27),(($H85*'Alternative 1'!$B$39)+(3*($N$5/3)*COS($K$5))),IF(($A85&lt;'Alternative 1'!$B$28),(($H85*'Alternative 1'!$B$39)+(2*(($N$5/3)*COS($K$5)))),IF(($A85&lt;'Alternative 1'!$B$29),(($H$3*'Alternative 1'!$B$39+(($N$5/3)*COS($K$5)))),($H85*'Alternative 1'!$B$39))))</f>
        <v>#VALUE!</v>
      </c>
      <c r="T85" s="105" t="e">
        <f>R85*'Alternative 1'!$K86/'Alternative 1'!$L86</f>
        <v>#VALUE!</v>
      </c>
      <c r="U85" s="105" t="e">
        <f>S85/'Alternative 1'!$M86</f>
        <v>#VALUE!</v>
      </c>
      <c r="V85" s="105" t="e">
        <f t="shared" si="20"/>
        <v>#VALUE!</v>
      </c>
      <c r="X85" s="105" t="e">
        <f>'Alternative 1'!$B$39*$B85*$C85*COS($K$13)-($N$12/3)*$E85*SIN($K$13)-($N$12/3)*$F85*SIN($K$13)-($N$12/3)*$G85*SIN($K$13)</f>
        <v>#VALUE!</v>
      </c>
      <c r="Y85" s="106" t="e">
        <f>IF(($A85&lt;'Alternative 1'!$B$27),(($H85*'Alternative 1'!$B$39)+(3*($N$12/3)*COS($K$13))),IF(($A85&lt;'Alternative 1'!$B$28),(($H85*'Alternative 1'!$B$39)+(2*(($N$12/3)*COS($K$13)))),IF(($A85&lt;'Alternative 1'!$B$29),(($H$3*'Alternative 1'!$B$39+(($N$12/3)*COS($K$13)))),($H85*'Alternative 1'!$B$39))))</f>
        <v>#VALUE!</v>
      </c>
      <c r="Z85" s="105" t="e">
        <f>X85*'Alternative 1'!$K86/'Alternative 1'!$L86</f>
        <v>#VALUE!</v>
      </c>
      <c r="AA85" s="105" t="e">
        <f>Y85/'Alternative 1'!$M86</f>
        <v>#VALUE!</v>
      </c>
      <c r="AB85" s="105" t="e">
        <f t="shared" si="21"/>
        <v>#VALUE!</v>
      </c>
      <c r="AD85" s="105" t="e">
        <f>'Alternative 1'!$B$39*$B85*$C85*COS($K$23)-($N$22/3)*$E85*SIN($K$23)-($N$22/3)*$F85*SIN($K$23)-($N$22/3)*$G85*SIN($K$23)</f>
        <v>#VALUE!</v>
      </c>
      <c r="AE85" s="106" t="e">
        <f>IF(($A85&lt;'Alternative 1'!$B$27),(($H85*'Alternative 1'!$B$39)+(3*($N$22/3)*COS($K$23))),IF(($A85&lt;'Alternative 1'!$B$28),(($H85*'Alternative 1'!$B$39)+(2*(($N$22/3)*COS($K$23)))),IF(($A85&lt;'Alternative 1'!$B$29),(($H$3*'Alternative 1'!$B$39+(($N$22/3)*COS($K$23)))),($H85*'Alternative 1'!$B$39))))</f>
        <v>#VALUE!</v>
      </c>
      <c r="AF85" s="105" t="e">
        <f>AD85*'Alternative 1'!$K86/'Alternative 1'!$L86</f>
        <v>#VALUE!</v>
      </c>
      <c r="AG85" s="105" t="e">
        <f>AE85/'Alternative 1'!$M86</f>
        <v>#VALUE!</v>
      </c>
      <c r="AH85" s="105" t="e">
        <f t="shared" si="22"/>
        <v>#VALUE!</v>
      </c>
      <c r="AJ85" s="105" t="e">
        <f>'Alternative 1'!$B$39*$B85*$C85*COS($K$33)-($N$32/3)*$E85*SIN($K$33)-($N$32/3)*$F85*SIN($K$33)-($N$32/3)*$G85*SIN($K$33)</f>
        <v>#VALUE!</v>
      </c>
      <c r="AK85" s="106" t="e">
        <f>IF(($A85&lt;'Alternative 1'!$B$27),(($H85*'Alternative 1'!$B$39)+(3*($N$32/3)*COS($K$33))),IF(($A85&lt;'Alternative 1'!$B$28),(($H85*'Alternative 1'!$B$39)+(2*(($N$32/3)*COS($K$33)))),IF(($A85&lt;'Alternative 1'!$B$29),(($H$3*'Alternative 1'!$B$39+(($N$32/3)*COS($K$33)))),($H85*'Alternative 1'!$B$39))))</f>
        <v>#VALUE!</v>
      </c>
      <c r="AL85" s="105" t="e">
        <f>AJ85*'Alternative 1'!$K86/'Alternative 1'!$L86</f>
        <v>#VALUE!</v>
      </c>
      <c r="AM85" s="105" t="e">
        <f>AK85/'Alternative 1'!$M86</f>
        <v>#VALUE!</v>
      </c>
      <c r="AN85" s="105" t="e">
        <f t="shared" si="23"/>
        <v>#VALUE!</v>
      </c>
      <c r="AP85" s="105" t="e">
        <f>'Alternative 1'!$B$39*$B85*$C85*COS($K$43)-($N$42/3)*$E85*SIN($K$43)-($N$42/3)*$F85*SIN($K$43)-($N$42/3)*$G85*SIN($K$43)</f>
        <v>#VALUE!</v>
      </c>
      <c r="AQ85" s="106" t="e">
        <f>IF(($A85&lt;'Alternative 1'!$B$27),(($H85*'Alternative 1'!$B$39)+(3*($N$42/3)*COS($K$43))),IF(($A85&lt;'Alternative 1'!$B$28),(($H85*'Alternative 1'!$B$39)+(2*(($N$42/3)*COS($K$43)))),IF(($A85&lt;'Alternative 1'!$B$29),(($H$3*'Alternative 1'!$B$39+(($N$42/3)*COS($K$43)))),($H85*'Alternative 1'!$B$39))))</f>
        <v>#VALUE!</v>
      </c>
      <c r="AR85" s="105" t="e">
        <f>AP85*'Alternative 1'!$K86/'Alternative 1'!$L86</f>
        <v>#VALUE!</v>
      </c>
      <c r="AS85" s="105" t="e">
        <f>AQ85/'Alternative 1'!$M86</f>
        <v>#VALUE!</v>
      </c>
      <c r="AT85" s="105" t="e">
        <f t="shared" si="24"/>
        <v>#VALUE!</v>
      </c>
      <c r="AV85" s="105" t="e">
        <f>'Alternative 1'!$B$39*$B85*$C85*COS($K$53)-($N$52/3)*$E85*SIN($K$53)-($N$52/3)*$F85*SIN($K$53)-($N$52/3)*$G85*SIN($K$53)</f>
        <v>#VALUE!</v>
      </c>
      <c r="AW85" s="106" t="e">
        <f>IF(($A85&lt;'Alternative 1'!$B$27),(($H85*'Alternative 1'!$B$39)+(3*($N$52/3)*COS($K$53))),IF(($A85&lt;'Alternative 1'!$B$28),(($H85*'Alternative 1'!$B$39)+(2*(($N$52/3)*COS($K$53)))),IF(($A85&lt;'Alternative 1'!$B$29),(($H$3*'Alternative 1'!$B$39+(($N$52/3)*COS($K$53)))),($H85*'Alternative 1'!$B$39))))</f>
        <v>#VALUE!</v>
      </c>
      <c r="AX85" s="105" t="e">
        <f>AV85*'Alternative 1'!$K86/'Alternative 1'!$L86</f>
        <v>#VALUE!</v>
      </c>
      <c r="AY85" s="105" t="e">
        <f>AW85/'Alternative 1'!$M86</f>
        <v>#VALUE!</v>
      </c>
      <c r="AZ85" s="105" t="e">
        <f t="shared" si="25"/>
        <v>#VALUE!</v>
      </c>
      <c r="BB85" s="105" t="e">
        <f>'Alternative 1'!$B$39*$B85*$C85*COS($K$63)-($N$62/3)*$E85*SIN($K$63)-($N$62/3)*$F85*SIN($K$63)-($N$62/3)*$G85*SIN($K$63)</f>
        <v>#VALUE!</v>
      </c>
      <c r="BC85" s="106" t="e">
        <f>IF(($A85&lt;'Alternative 1'!$B$27),(($H85*'Alternative 1'!$B$39)+(3*($N$62/3)*COS($K$63))),IF(($A85&lt;'Alternative 1'!$B$28),(($H85*'Alternative 1'!$B$39)+(2*(($N$62/3)*COS($K$63)))),IF(($A85&lt;'Alternative 1'!$B$29),(($H$3*'Alternative 1'!$B$39+(($N$62/3)*COS($K$63)))),($H85*'Alternative 1'!$B$39))))</f>
        <v>#VALUE!</v>
      </c>
      <c r="BD85" s="105" t="e">
        <f>BB85*'Alternative 1'!$K86/'Alternative 1'!$L86</f>
        <v>#VALUE!</v>
      </c>
      <c r="BE85" s="105" t="e">
        <f>BC85/'Alternative 1'!$M86</f>
        <v>#VALUE!</v>
      </c>
      <c r="BF85" s="105" t="e">
        <f t="shared" si="26"/>
        <v>#VALUE!</v>
      </c>
      <c r="BH85" s="105" t="e">
        <f>'Alternative 1'!$B$39*$B85*$C85*COS($K$73)-($N$72/3)*$E85*SIN($K$73)-($N$72/3)*$F85*SIN($K$73)-($N$72/3)*$G85*SIN($K$73)</f>
        <v>#VALUE!</v>
      </c>
      <c r="BI85" s="106" t="e">
        <f>IF(($A85&lt;'Alternative 1'!$B$27),(($H85*'Alternative 1'!$B$39)+(3*($N$72/3)*COS($K$73))),IF(($A85&lt;'Alternative 1'!$B$28),(($H85*'Alternative 1'!$B$39)+(2*(($N$72/3)*COS($K$73)))),IF(($A85&lt;'Alternative 1'!$B$29),(($H$3*'Alternative 1'!$B$39+(($N$72/3)*COS($K$73)))),($H85*'Alternative 1'!$B$39))))</f>
        <v>#VALUE!</v>
      </c>
      <c r="BJ85" s="105" t="e">
        <f>BH85*'Alternative 1'!$K86/'Alternative 1'!$L86</f>
        <v>#VALUE!</v>
      </c>
      <c r="BK85" s="105" t="e">
        <f>BI85/'Alternative 1'!$M86</f>
        <v>#VALUE!</v>
      </c>
      <c r="BL85" s="105" t="e">
        <f t="shared" si="27"/>
        <v>#VALUE!</v>
      </c>
      <c r="BN85" s="105" t="e">
        <f>'Alternative 1'!$B$39*$B85*$C85*COS($K$83)-($N$82/3)*$E85*SIN($K$83)-($N$82/3)*$F85*SIN($K$83)-($N$82/3)*$G85*SIN($K$83)</f>
        <v>#VALUE!</v>
      </c>
      <c r="BO85" s="106" t="e">
        <f>IF(($A85&lt;'Alternative 1'!$B$27),(($H85*'Alternative 1'!$B$39)+(3*($N$82/3)*COS($K$83))),IF(($A85&lt;'Alternative 1'!$B$28),(($H85*'Alternative 1'!$B$39)+(2*(($N$82/3)*COS($K$83)))),IF(($A85&lt;'Alternative 1'!$B$29),(($H$3*'Alternative 1'!$B$39+(($N$82/3)*COS($K$83)))),($H85*'Alternative 1'!$B$39))))</f>
        <v>#VALUE!</v>
      </c>
      <c r="BP85" s="105" t="e">
        <f>BN85*'Alternative 1'!$K86/'Alternative 1'!$L86</f>
        <v>#VALUE!</v>
      </c>
      <c r="BQ85" s="105" t="e">
        <f>BO85/'Alternative 1'!$M86</f>
        <v>#VALUE!</v>
      </c>
      <c r="BR85" s="105" t="e">
        <f t="shared" si="28"/>
        <v>#VALUE!</v>
      </c>
      <c r="BT85" s="105" t="e">
        <f>'Alternative 1'!$B$39*$B85*$C85*COS($K$93)-($K$92/3)*$E85*SIN($K$93)-($K$92/3)*$F85*SIN($K$93)-($K$92/3)*$G85*SIN($K$93)</f>
        <v>#VALUE!</v>
      </c>
      <c r="BU85" s="106" t="e">
        <f>IF(($A85&lt;'Alternative 1'!$B$27),(($H85*'Alternative 1'!$B$39)+(3*($N$92/3)*COS($K$93))),IF(($A85&lt;'Alternative 1'!$B$28),(($H85*'Alternative 1'!$B$39)+(2*(($N$92/3)*COS($K$93)))),IF(($A85&lt;'Alternative 1'!$B$29),(($H$3*'Alternative 1'!$B$39+(($N$92/3)*COS($K$93)))),($H85*'Alternative 1'!$B$39))))</f>
        <v>#VALUE!</v>
      </c>
      <c r="BV85" s="105" t="e">
        <f>BT85*'Alternative 1'!$K86/'Alternative 1'!$L86</f>
        <v>#VALUE!</v>
      </c>
      <c r="BW85" s="105" t="e">
        <f>BU85/'Alternative 1'!$M86</f>
        <v>#VALUE!</v>
      </c>
      <c r="BX85" s="105" t="e">
        <f t="shared" si="29"/>
        <v>#VALUE!</v>
      </c>
    </row>
    <row r="86" spans="1:76" ht="15" customHeight="1" x14ac:dyDescent="0.25">
      <c r="A86" s="18" t="str">
        <f>IF('Alternative 1'!F87&gt;0,'Alternative 1'!F87,"x")</f>
        <v>x</v>
      </c>
      <c r="B86" s="18" t="e">
        <f t="shared" si="35"/>
        <v>#VALUE!</v>
      </c>
      <c r="C86" s="18">
        <f t="shared" si="30"/>
        <v>0</v>
      </c>
      <c r="D86" s="18" t="str">
        <f t="shared" si="31"/>
        <v>x</v>
      </c>
      <c r="E86" s="101">
        <f>IF($A86&lt;='Alternative 1'!$B$27, IF($A86='Alternative 1'!$B$27,0,E87+1),0)</f>
        <v>0</v>
      </c>
      <c r="F86" s="101">
        <f>IF($A86&lt;=('Alternative 1'!$B$28), IF($A86=ROUNDDOWN('Alternative 1'!$B$28,0),0,F87+1),0)</f>
        <v>0</v>
      </c>
      <c r="G86" s="101">
        <f>IF($A86&lt;=('Alternative 1'!$B$29), IF($A86=ROUNDDOWN('Alternative 1'!$B$29,0),0,G87+1),0)</f>
        <v>0</v>
      </c>
      <c r="H86" s="18" t="e">
        <f t="shared" si="32"/>
        <v>#VALUE!</v>
      </c>
      <c r="J86" s="104">
        <f t="shared" si="33"/>
        <v>83</v>
      </c>
      <c r="K86" s="104">
        <f t="shared" si="34"/>
        <v>1.4486232791552935</v>
      </c>
      <c r="L86" s="105">
        <f>'Alternative 1'!$B$27*SIN(K86)+'Alternative 1'!$B$28*SIN(K86)+'Alternative 1'!$B$29*SIN(K86)</f>
        <v>67.493138311609897</v>
      </c>
      <c r="M86" s="104">
        <f>(('Alternative 1'!$B$27)*(((('Alternative 1'!$B$28-'Alternative 1'!$B$27)/2)+'Alternative 1'!$B$27)*'Alternative 1'!$B$39)*COS('Alternative 1-Tilt Up (3pt)'!K86))+(('Alternative 1'!$B$28)*((('Alternative 1'!$B$28-'Alternative 1'!$B$27)/2)+(('Alternative 1'!$B$29-'Alternative 1'!$B$28)/2))*('Alternative 1'!$B$39)*COS('Alternative 1-Tilt Up (3pt)'!K86))+(('Alternative 1'!$B$29)*((('Alternative 1'!$B$12-'Alternative 1'!$B$29+(('Alternative 1'!$B$29-'Alternative 1'!$B$28)/2)*('Alternative 1'!$B$39)*COS('Alternative 1-Tilt Up (3pt)'!K86)))))</f>
        <v>578577.3944206608</v>
      </c>
      <c r="N86" s="104">
        <f t="shared" si="18"/>
        <v>25717.16513237626</v>
      </c>
      <c r="O86" s="104">
        <f>(((('Alternative 1'!$B$28-'Alternative 1'!$B$27)/2)+'Alternative 1'!$B$27)*('Alternative 1'!$B$39)*COS('Alternative 1-Tilt Up (3pt)'!K86))+(((('Alternative 1'!$B$28-'Alternative 1'!$B$27)/2)+(('Alternative 1'!$B$29-'Alternative 1'!$B$28)/2))*('Alternative 1'!$B$39)*COS('Alternative 1-Tilt Up (3pt)'!K86))+(((('Alternative 1'!$B$12-'Alternative 1'!$B$29)+(('Alternative 1'!$B$29-'Alternative 1'!$B$28)/2))*('Alternative 1'!$B$39)*COS('Alternative 1-Tilt Up (3pt)'!K86)))</f>
        <v>37306.632023635219</v>
      </c>
      <c r="P86" s="104">
        <f t="shared" si="19"/>
        <v>3134.1340289244476</v>
      </c>
      <c r="R86" s="105" t="e">
        <f>'Alternative 1'!$B$39*$B86*$C86*COS($K$5)-($N$5/3)*$E86*SIN($K$5)-($N$5/3)*$F86*SIN($K$5)-($N$5/3)*$G86*SIN($K$5)</f>
        <v>#VALUE!</v>
      </c>
      <c r="S86" s="106" t="e">
        <f>IF(($A86&lt;'Alternative 1'!$B$27),(($H86*'Alternative 1'!$B$39)+(3*($N$5/3)*COS($K$5))),IF(($A86&lt;'Alternative 1'!$B$28),(($H86*'Alternative 1'!$B$39)+(2*(($N$5/3)*COS($K$5)))),IF(($A86&lt;'Alternative 1'!$B$29),(($H$3*'Alternative 1'!$B$39+(($N$5/3)*COS($K$5)))),($H86*'Alternative 1'!$B$39))))</f>
        <v>#VALUE!</v>
      </c>
      <c r="T86" s="105" t="e">
        <f>R86*'Alternative 1'!$K87/'Alternative 1'!$L87</f>
        <v>#VALUE!</v>
      </c>
      <c r="U86" s="105" t="e">
        <f>S86/'Alternative 1'!$M87</f>
        <v>#VALUE!</v>
      </c>
      <c r="V86" s="105" t="e">
        <f t="shared" si="20"/>
        <v>#VALUE!</v>
      </c>
      <c r="X86" s="105" t="e">
        <f>'Alternative 1'!$B$39*$B86*$C86*COS($K$13)-($N$12/3)*$E86*SIN($K$13)-($N$12/3)*$F86*SIN($K$13)-($N$12/3)*$G86*SIN($K$13)</f>
        <v>#VALUE!</v>
      </c>
      <c r="Y86" s="106" t="e">
        <f>IF(($A86&lt;'Alternative 1'!$B$27),(($H86*'Alternative 1'!$B$39)+(3*($N$12/3)*COS($K$13))),IF(($A86&lt;'Alternative 1'!$B$28),(($H86*'Alternative 1'!$B$39)+(2*(($N$12/3)*COS($K$13)))),IF(($A86&lt;'Alternative 1'!$B$29),(($H$3*'Alternative 1'!$B$39+(($N$12/3)*COS($K$13)))),($H86*'Alternative 1'!$B$39))))</f>
        <v>#VALUE!</v>
      </c>
      <c r="Z86" s="105" t="e">
        <f>X86*'Alternative 1'!$K87/'Alternative 1'!$L87</f>
        <v>#VALUE!</v>
      </c>
      <c r="AA86" s="105" t="e">
        <f>Y86/'Alternative 1'!$M87</f>
        <v>#VALUE!</v>
      </c>
      <c r="AB86" s="105" t="e">
        <f t="shared" si="21"/>
        <v>#VALUE!</v>
      </c>
      <c r="AD86" s="105" t="e">
        <f>'Alternative 1'!$B$39*$B86*$C86*COS($K$23)-($N$22/3)*$E86*SIN($K$23)-($N$22/3)*$F86*SIN($K$23)-($N$22/3)*$G86*SIN($K$23)</f>
        <v>#VALUE!</v>
      </c>
      <c r="AE86" s="106" t="e">
        <f>IF(($A86&lt;'Alternative 1'!$B$27),(($H86*'Alternative 1'!$B$39)+(3*($N$22/3)*COS($K$23))),IF(($A86&lt;'Alternative 1'!$B$28),(($H86*'Alternative 1'!$B$39)+(2*(($N$22/3)*COS($K$23)))),IF(($A86&lt;'Alternative 1'!$B$29),(($H$3*'Alternative 1'!$B$39+(($N$22/3)*COS($K$23)))),($H86*'Alternative 1'!$B$39))))</f>
        <v>#VALUE!</v>
      </c>
      <c r="AF86" s="105" t="e">
        <f>AD86*'Alternative 1'!$K87/'Alternative 1'!$L87</f>
        <v>#VALUE!</v>
      </c>
      <c r="AG86" s="105" t="e">
        <f>AE86/'Alternative 1'!$M87</f>
        <v>#VALUE!</v>
      </c>
      <c r="AH86" s="105" t="e">
        <f t="shared" si="22"/>
        <v>#VALUE!</v>
      </c>
      <c r="AJ86" s="105" t="e">
        <f>'Alternative 1'!$B$39*$B86*$C86*COS($K$33)-($N$32/3)*$E86*SIN($K$33)-($N$32/3)*$F86*SIN($K$33)-($N$32/3)*$G86*SIN($K$33)</f>
        <v>#VALUE!</v>
      </c>
      <c r="AK86" s="106" t="e">
        <f>IF(($A86&lt;'Alternative 1'!$B$27),(($H86*'Alternative 1'!$B$39)+(3*($N$32/3)*COS($K$33))),IF(($A86&lt;'Alternative 1'!$B$28),(($H86*'Alternative 1'!$B$39)+(2*(($N$32/3)*COS($K$33)))),IF(($A86&lt;'Alternative 1'!$B$29),(($H$3*'Alternative 1'!$B$39+(($N$32/3)*COS($K$33)))),($H86*'Alternative 1'!$B$39))))</f>
        <v>#VALUE!</v>
      </c>
      <c r="AL86" s="105" t="e">
        <f>AJ86*'Alternative 1'!$K87/'Alternative 1'!$L87</f>
        <v>#VALUE!</v>
      </c>
      <c r="AM86" s="105" t="e">
        <f>AK86/'Alternative 1'!$M87</f>
        <v>#VALUE!</v>
      </c>
      <c r="AN86" s="105" t="e">
        <f t="shared" si="23"/>
        <v>#VALUE!</v>
      </c>
      <c r="AP86" s="105" t="e">
        <f>'Alternative 1'!$B$39*$B86*$C86*COS($K$43)-($N$42/3)*$E86*SIN($K$43)-($N$42/3)*$F86*SIN($K$43)-($N$42/3)*$G86*SIN($K$43)</f>
        <v>#VALUE!</v>
      </c>
      <c r="AQ86" s="106" t="e">
        <f>IF(($A86&lt;'Alternative 1'!$B$27),(($H86*'Alternative 1'!$B$39)+(3*($N$42/3)*COS($K$43))),IF(($A86&lt;'Alternative 1'!$B$28),(($H86*'Alternative 1'!$B$39)+(2*(($N$42/3)*COS($K$43)))),IF(($A86&lt;'Alternative 1'!$B$29),(($H$3*'Alternative 1'!$B$39+(($N$42/3)*COS($K$43)))),($H86*'Alternative 1'!$B$39))))</f>
        <v>#VALUE!</v>
      </c>
      <c r="AR86" s="105" t="e">
        <f>AP86*'Alternative 1'!$K87/'Alternative 1'!$L87</f>
        <v>#VALUE!</v>
      </c>
      <c r="AS86" s="105" t="e">
        <f>AQ86/'Alternative 1'!$M87</f>
        <v>#VALUE!</v>
      </c>
      <c r="AT86" s="105" t="e">
        <f t="shared" si="24"/>
        <v>#VALUE!</v>
      </c>
      <c r="AV86" s="105" t="e">
        <f>'Alternative 1'!$B$39*$B86*$C86*COS($K$53)-($N$52/3)*$E86*SIN($K$53)-($N$52/3)*$F86*SIN($K$53)-($N$52/3)*$G86*SIN($K$53)</f>
        <v>#VALUE!</v>
      </c>
      <c r="AW86" s="106" t="e">
        <f>IF(($A86&lt;'Alternative 1'!$B$27),(($H86*'Alternative 1'!$B$39)+(3*($N$52/3)*COS($K$53))),IF(($A86&lt;'Alternative 1'!$B$28),(($H86*'Alternative 1'!$B$39)+(2*(($N$52/3)*COS($K$53)))),IF(($A86&lt;'Alternative 1'!$B$29),(($H$3*'Alternative 1'!$B$39+(($N$52/3)*COS($K$53)))),($H86*'Alternative 1'!$B$39))))</f>
        <v>#VALUE!</v>
      </c>
      <c r="AX86" s="105" t="e">
        <f>AV86*'Alternative 1'!$K87/'Alternative 1'!$L87</f>
        <v>#VALUE!</v>
      </c>
      <c r="AY86" s="105" t="e">
        <f>AW86/'Alternative 1'!$M87</f>
        <v>#VALUE!</v>
      </c>
      <c r="AZ86" s="105" t="e">
        <f t="shared" si="25"/>
        <v>#VALUE!</v>
      </c>
      <c r="BB86" s="105" t="e">
        <f>'Alternative 1'!$B$39*$B86*$C86*COS($K$63)-($N$62/3)*$E86*SIN($K$63)-($N$62/3)*$F86*SIN($K$63)-($N$62/3)*$G86*SIN($K$63)</f>
        <v>#VALUE!</v>
      </c>
      <c r="BC86" s="106" t="e">
        <f>IF(($A86&lt;'Alternative 1'!$B$27),(($H86*'Alternative 1'!$B$39)+(3*($N$62/3)*COS($K$63))),IF(($A86&lt;'Alternative 1'!$B$28),(($H86*'Alternative 1'!$B$39)+(2*(($N$62/3)*COS($K$63)))),IF(($A86&lt;'Alternative 1'!$B$29),(($H$3*'Alternative 1'!$B$39+(($N$62/3)*COS($K$63)))),($H86*'Alternative 1'!$B$39))))</f>
        <v>#VALUE!</v>
      </c>
      <c r="BD86" s="105" t="e">
        <f>BB86*'Alternative 1'!$K87/'Alternative 1'!$L87</f>
        <v>#VALUE!</v>
      </c>
      <c r="BE86" s="105" t="e">
        <f>BC86/'Alternative 1'!$M87</f>
        <v>#VALUE!</v>
      </c>
      <c r="BF86" s="105" t="e">
        <f t="shared" si="26"/>
        <v>#VALUE!</v>
      </c>
      <c r="BH86" s="105" t="e">
        <f>'Alternative 1'!$B$39*$B86*$C86*COS($K$73)-($N$72/3)*$E86*SIN($K$73)-($N$72/3)*$F86*SIN($K$73)-($N$72/3)*$G86*SIN($K$73)</f>
        <v>#VALUE!</v>
      </c>
      <c r="BI86" s="106" t="e">
        <f>IF(($A86&lt;'Alternative 1'!$B$27),(($H86*'Alternative 1'!$B$39)+(3*($N$72/3)*COS($K$73))),IF(($A86&lt;'Alternative 1'!$B$28),(($H86*'Alternative 1'!$B$39)+(2*(($N$72/3)*COS($K$73)))),IF(($A86&lt;'Alternative 1'!$B$29),(($H$3*'Alternative 1'!$B$39+(($N$72/3)*COS($K$73)))),($H86*'Alternative 1'!$B$39))))</f>
        <v>#VALUE!</v>
      </c>
      <c r="BJ86" s="105" t="e">
        <f>BH86*'Alternative 1'!$K87/'Alternative 1'!$L87</f>
        <v>#VALUE!</v>
      </c>
      <c r="BK86" s="105" t="e">
        <f>BI86/'Alternative 1'!$M87</f>
        <v>#VALUE!</v>
      </c>
      <c r="BL86" s="105" t="e">
        <f t="shared" si="27"/>
        <v>#VALUE!</v>
      </c>
      <c r="BN86" s="105" t="e">
        <f>'Alternative 1'!$B$39*$B86*$C86*COS($K$83)-($N$82/3)*$E86*SIN($K$83)-($N$82/3)*$F86*SIN($K$83)-($N$82/3)*$G86*SIN($K$83)</f>
        <v>#VALUE!</v>
      </c>
      <c r="BO86" s="106" t="e">
        <f>IF(($A86&lt;'Alternative 1'!$B$27),(($H86*'Alternative 1'!$B$39)+(3*($N$82/3)*COS($K$83))),IF(($A86&lt;'Alternative 1'!$B$28),(($H86*'Alternative 1'!$B$39)+(2*(($N$82/3)*COS($K$83)))),IF(($A86&lt;'Alternative 1'!$B$29),(($H$3*'Alternative 1'!$B$39+(($N$82/3)*COS($K$83)))),($H86*'Alternative 1'!$B$39))))</f>
        <v>#VALUE!</v>
      </c>
      <c r="BP86" s="105" t="e">
        <f>BN86*'Alternative 1'!$K87/'Alternative 1'!$L87</f>
        <v>#VALUE!</v>
      </c>
      <c r="BQ86" s="105" t="e">
        <f>BO86/'Alternative 1'!$M87</f>
        <v>#VALUE!</v>
      </c>
      <c r="BR86" s="105" t="e">
        <f t="shared" si="28"/>
        <v>#VALUE!</v>
      </c>
      <c r="BT86" s="105" t="e">
        <f>'Alternative 1'!$B$39*$B86*$C86*COS($K$93)-($K$92/3)*$E86*SIN($K$93)-($K$92/3)*$F86*SIN($K$93)-($K$92/3)*$G86*SIN($K$93)</f>
        <v>#VALUE!</v>
      </c>
      <c r="BU86" s="106" t="e">
        <f>IF(($A86&lt;'Alternative 1'!$B$27),(($H86*'Alternative 1'!$B$39)+(3*($N$92/3)*COS($K$93))),IF(($A86&lt;'Alternative 1'!$B$28),(($H86*'Alternative 1'!$B$39)+(2*(($N$92/3)*COS($K$93)))),IF(($A86&lt;'Alternative 1'!$B$29),(($H$3*'Alternative 1'!$B$39+(($N$92/3)*COS($K$93)))),($H86*'Alternative 1'!$B$39))))</f>
        <v>#VALUE!</v>
      </c>
      <c r="BV86" s="105" t="e">
        <f>BT86*'Alternative 1'!$K87/'Alternative 1'!$L87</f>
        <v>#VALUE!</v>
      </c>
      <c r="BW86" s="105" t="e">
        <f>BU86/'Alternative 1'!$M87</f>
        <v>#VALUE!</v>
      </c>
      <c r="BX86" s="105" t="e">
        <f t="shared" si="29"/>
        <v>#VALUE!</v>
      </c>
    </row>
    <row r="87" spans="1:76" ht="15" customHeight="1" x14ac:dyDescent="0.25">
      <c r="A87" s="18" t="str">
        <f>IF('Alternative 1'!F88&gt;0,'Alternative 1'!F88,"x")</f>
        <v>x</v>
      </c>
      <c r="B87" s="18" t="e">
        <f t="shared" si="35"/>
        <v>#VALUE!</v>
      </c>
      <c r="C87" s="18">
        <f t="shared" si="30"/>
        <v>0</v>
      </c>
      <c r="D87" s="18" t="str">
        <f t="shared" si="31"/>
        <v>x</v>
      </c>
      <c r="E87" s="101">
        <f>IF($A87&lt;='Alternative 1'!$B$27, IF($A87='Alternative 1'!$B$27,0,E88+1),0)</f>
        <v>0</v>
      </c>
      <c r="F87" s="101">
        <f>IF($A87&lt;=('Alternative 1'!$B$28), IF($A87=ROUNDDOWN('Alternative 1'!$B$28,0),0,F88+1),0)</f>
        <v>0</v>
      </c>
      <c r="G87" s="101">
        <f>IF($A87&lt;=('Alternative 1'!$B$29), IF($A87=ROUNDDOWN('Alternative 1'!$B$29,0),0,G88+1),0)</f>
        <v>0</v>
      </c>
      <c r="H87" s="18" t="e">
        <f t="shared" si="32"/>
        <v>#VALUE!</v>
      </c>
      <c r="J87" s="104">
        <f t="shared" si="33"/>
        <v>84</v>
      </c>
      <c r="K87" s="104">
        <f t="shared" si="34"/>
        <v>1.4660765716752369</v>
      </c>
      <c r="L87" s="105">
        <f>'Alternative 1'!$B$27*SIN(K87)+'Alternative 1'!$B$28*SIN(K87)+'Alternative 1'!$B$29*SIN(K87)</f>
        <v>67.627488885042581</v>
      </c>
      <c r="M87" s="104">
        <f>(('Alternative 1'!$B$27)*(((('Alternative 1'!$B$28-'Alternative 1'!$B$27)/2)+'Alternative 1'!$B$27)*'Alternative 1'!$B$39)*COS('Alternative 1-Tilt Up (3pt)'!K87))+(('Alternative 1'!$B$28)*((('Alternative 1'!$B$28-'Alternative 1'!$B$27)/2)+(('Alternative 1'!$B$29-'Alternative 1'!$B$28)/2))*('Alternative 1'!$B$39)*COS('Alternative 1-Tilt Up (3pt)'!K87))+(('Alternative 1'!$B$29)*((('Alternative 1'!$B$12-'Alternative 1'!$B$29+(('Alternative 1'!$B$29-'Alternative 1'!$B$28)/2)*('Alternative 1'!$B$39)*COS('Alternative 1-Tilt Up (3pt)'!K87)))))</f>
        <v>496279.02018463134</v>
      </c>
      <c r="N87" s="104">
        <f t="shared" si="18"/>
        <v>22015.264578058071</v>
      </c>
      <c r="O87" s="104">
        <f>(((('Alternative 1'!$B$28-'Alternative 1'!$B$27)/2)+'Alternative 1'!$B$27)*('Alternative 1'!$B$39)*COS('Alternative 1-Tilt Up (3pt)'!K87))+(((('Alternative 1'!$B$28-'Alternative 1'!$B$27)/2)+(('Alternative 1'!$B$29-'Alternative 1'!$B$28)/2))*('Alternative 1'!$B$39)*COS('Alternative 1-Tilt Up (3pt)'!K87))+(((('Alternative 1'!$B$12-'Alternative 1'!$B$29)+(('Alternative 1'!$B$29-'Alternative 1'!$B$28)/2))*('Alternative 1'!$B$39)*COS('Alternative 1-Tilt Up (3pt)'!K87)))</f>
        <v>31998.243415150027</v>
      </c>
      <c r="P87" s="104">
        <f t="shared" si="19"/>
        <v>2301.2217747752156</v>
      </c>
      <c r="R87" s="105" t="e">
        <f>'Alternative 1'!$B$39*$B87*$C87*COS($K$5)-($N$5/3)*$E87*SIN($K$5)-($N$5/3)*$F87*SIN($K$5)-($N$5/3)*$G87*SIN($K$5)</f>
        <v>#VALUE!</v>
      </c>
      <c r="S87" s="106" t="e">
        <f>IF(($A87&lt;'Alternative 1'!$B$27),(($H87*'Alternative 1'!$B$39)+(3*($N$5/3)*COS($K$5))),IF(($A87&lt;'Alternative 1'!$B$28),(($H87*'Alternative 1'!$B$39)+(2*(($N$5/3)*COS($K$5)))),IF(($A87&lt;'Alternative 1'!$B$29),(($H$3*'Alternative 1'!$B$39+(($N$5/3)*COS($K$5)))),($H87*'Alternative 1'!$B$39))))</f>
        <v>#VALUE!</v>
      </c>
      <c r="T87" s="105" t="e">
        <f>R87*'Alternative 1'!$K88/'Alternative 1'!$L88</f>
        <v>#VALUE!</v>
      </c>
      <c r="U87" s="105" t="e">
        <f>S87/'Alternative 1'!$M88</f>
        <v>#VALUE!</v>
      </c>
      <c r="V87" s="105" t="e">
        <f t="shared" si="20"/>
        <v>#VALUE!</v>
      </c>
      <c r="X87" s="105" t="e">
        <f>'Alternative 1'!$B$39*$B87*$C87*COS($K$13)-($N$12/3)*$E87*SIN($K$13)-($N$12/3)*$F87*SIN($K$13)-($N$12/3)*$G87*SIN($K$13)</f>
        <v>#VALUE!</v>
      </c>
      <c r="Y87" s="106" t="e">
        <f>IF(($A87&lt;'Alternative 1'!$B$27),(($H87*'Alternative 1'!$B$39)+(3*($N$12/3)*COS($K$13))),IF(($A87&lt;'Alternative 1'!$B$28),(($H87*'Alternative 1'!$B$39)+(2*(($N$12/3)*COS($K$13)))),IF(($A87&lt;'Alternative 1'!$B$29),(($H$3*'Alternative 1'!$B$39+(($N$12/3)*COS($K$13)))),($H87*'Alternative 1'!$B$39))))</f>
        <v>#VALUE!</v>
      </c>
      <c r="Z87" s="105" t="e">
        <f>X87*'Alternative 1'!$K88/'Alternative 1'!$L88</f>
        <v>#VALUE!</v>
      </c>
      <c r="AA87" s="105" t="e">
        <f>Y87/'Alternative 1'!$M88</f>
        <v>#VALUE!</v>
      </c>
      <c r="AB87" s="105" t="e">
        <f t="shared" si="21"/>
        <v>#VALUE!</v>
      </c>
      <c r="AD87" s="105" t="e">
        <f>'Alternative 1'!$B$39*$B87*$C87*COS($K$23)-($N$22/3)*$E87*SIN($K$23)-($N$22/3)*$F87*SIN($K$23)-($N$22/3)*$G87*SIN($K$23)</f>
        <v>#VALUE!</v>
      </c>
      <c r="AE87" s="106" t="e">
        <f>IF(($A87&lt;'Alternative 1'!$B$27),(($H87*'Alternative 1'!$B$39)+(3*($N$22/3)*COS($K$23))),IF(($A87&lt;'Alternative 1'!$B$28),(($H87*'Alternative 1'!$B$39)+(2*(($N$22/3)*COS($K$23)))),IF(($A87&lt;'Alternative 1'!$B$29),(($H$3*'Alternative 1'!$B$39+(($N$22/3)*COS($K$23)))),($H87*'Alternative 1'!$B$39))))</f>
        <v>#VALUE!</v>
      </c>
      <c r="AF87" s="105" t="e">
        <f>AD87*'Alternative 1'!$K88/'Alternative 1'!$L88</f>
        <v>#VALUE!</v>
      </c>
      <c r="AG87" s="105" t="e">
        <f>AE87/'Alternative 1'!$M88</f>
        <v>#VALUE!</v>
      </c>
      <c r="AH87" s="105" t="e">
        <f t="shared" si="22"/>
        <v>#VALUE!</v>
      </c>
      <c r="AJ87" s="105" t="e">
        <f>'Alternative 1'!$B$39*$B87*$C87*COS($K$33)-($N$32/3)*$E87*SIN($K$33)-($N$32/3)*$F87*SIN($K$33)-($N$32/3)*$G87*SIN($K$33)</f>
        <v>#VALUE!</v>
      </c>
      <c r="AK87" s="106" t="e">
        <f>IF(($A87&lt;'Alternative 1'!$B$27),(($H87*'Alternative 1'!$B$39)+(3*($N$32/3)*COS($K$33))),IF(($A87&lt;'Alternative 1'!$B$28),(($H87*'Alternative 1'!$B$39)+(2*(($N$32/3)*COS($K$33)))),IF(($A87&lt;'Alternative 1'!$B$29),(($H$3*'Alternative 1'!$B$39+(($N$32/3)*COS($K$33)))),($H87*'Alternative 1'!$B$39))))</f>
        <v>#VALUE!</v>
      </c>
      <c r="AL87" s="105" t="e">
        <f>AJ87*'Alternative 1'!$K88/'Alternative 1'!$L88</f>
        <v>#VALUE!</v>
      </c>
      <c r="AM87" s="105" t="e">
        <f>AK87/'Alternative 1'!$M88</f>
        <v>#VALUE!</v>
      </c>
      <c r="AN87" s="105" t="e">
        <f t="shared" si="23"/>
        <v>#VALUE!</v>
      </c>
      <c r="AP87" s="105" t="e">
        <f>'Alternative 1'!$B$39*$B87*$C87*COS($K$43)-($N$42/3)*$E87*SIN($K$43)-($N$42/3)*$F87*SIN($K$43)-($N$42/3)*$G87*SIN($K$43)</f>
        <v>#VALUE!</v>
      </c>
      <c r="AQ87" s="106" t="e">
        <f>IF(($A87&lt;'Alternative 1'!$B$27),(($H87*'Alternative 1'!$B$39)+(3*($N$42/3)*COS($K$43))),IF(($A87&lt;'Alternative 1'!$B$28),(($H87*'Alternative 1'!$B$39)+(2*(($N$42/3)*COS($K$43)))),IF(($A87&lt;'Alternative 1'!$B$29),(($H$3*'Alternative 1'!$B$39+(($N$42/3)*COS($K$43)))),($H87*'Alternative 1'!$B$39))))</f>
        <v>#VALUE!</v>
      </c>
      <c r="AR87" s="105" t="e">
        <f>AP87*'Alternative 1'!$K88/'Alternative 1'!$L88</f>
        <v>#VALUE!</v>
      </c>
      <c r="AS87" s="105" t="e">
        <f>AQ87/'Alternative 1'!$M88</f>
        <v>#VALUE!</v>
      </c>
      <c r="AT87" s="105" t="e">
        <f t="shared" si="24"/>
        <v>#VALUE!</v>
      </c>
      <c r="AV87" s="105" t="e">
        <f>'Alternative 1'!$B$39*$B87*$C87*COS($K$53)-($N$52/3)*$E87*SIN($K$53)-($N$52/3)*$F87*SIN($K$53)-($N$52/3)*$G87*SIN($K$53)</f>
        <v>#VALUE!</v>
      </c>
      <c r="AW87" s="106" t="e">
        <f>IF(($A87&lt;'Alternative 1'!$B$27),(($H87*'Alternative 1'!$B$39)+(3*($N$52/3)*COS($K$53))),IF(($A87&lt;'Alternative 1'!$B$28),(($H87*'Alternative 1'!$B$39)+(2*(($N$52/3)*COS($K$53)))),IF(($A87&lt;'Alternative 1'!$B$29),(($H$3*'Alternative 1'!$B$39+(($N$52/3)*COS($K$53)))),($H87*'Alternative 1'!$B$39))))</f>
        <v>#VALUE!</v>
      </c>
      <c r="AX87" s="105" t="e">
        <f>AV87*'Alternative 1'!$K88/'Alternative 1'!$L88</f>
        <v>#VALUE!</v>
      </c>
      <c r="AY87" s="105" t="e">
        <f>AW87/'Alternative 1'!$M88</f>
        <v>#VALUE!</v>
      </c>
      <c r="AZ87" s="105" t="e">
        <f t="shared" si="25"/>
        <v>#VALUE!</v>
      </c>
      <c r="BB87" s="105" t="e">
        <f>'Alternative 1'!$B$39*$B87*$C87*COS($K$63)-($N$62/3)*$E87*SIN($K$63)-($N$62/3)*$F87*SIN($K$63)-($N$62/3)*$G87*SIN($K$63)</f>
        <v>#VALUE!</v>
      </c>
      <c r="BC87" s="106" t="e">
        <f>IF(($A87&lt;'Alternative 1'!$B$27),(($H87*'Alternative 1'!$B$39)+(3*($N$62/3)*COS($K$63))),IF(($A87&lt;'Alternative 1'!$B$28),(($H87*'Alternative 1'!$B$39)+(2*(($N$62/3)*COS($K$63)))),IF(($A87&lt;'Alternative 1'!$B$29),(($H$3*'Alternative 1'!$B$39+(($N$62/3)*COS($K$63)))),($H87*'Alternative 1'!$B$39))))</f>
        <v>#VALUE!</v>
      </c>
      <c r="BD87" s="105" t="e">
        <f>BB87*'Alternative 1'!$K88/'Alternative 1'!$L88</f>
        <v>#VALUE!</v>
      </c>
      <c r="BE87" s="105" t="e">
        <f>BC87/'Alternative 1'!$M88</f>
        <v>#VALUE!</v>
      </c>
      <c r="BF87" s="105" t="e">
        <f t="shared" si="26"/>
        <v>#VALUE!</v>
      </c>
      <c r="BH87" s="105" t="e">
        <f>'Alternative 1'!$B$39*$B87*$C87*COS($K$73)-($N$72/3)*$E87*SIN($K$73)-($N$72/3)*$F87*SIN($K$73)-($N$72/3)*$G87*SIN($K$73)</f>
        <v>#VALUE!</v>
      </c>
      <c r="BI87" s="106" t="e">
        <f>IF(($A87&lt;'Alternative 1'!$B$27),(($H87*'Alternative 1'!$B$39)+(3*($N$72/3)*COS($K$73))),IF(($A87&lt;'Alternative 1'!$B$28),(($H87*'Alternative 1'!$B$39)+(2*(($N$72/3)*COS($K$73)))),IF(($A87&lt;'Alternative 1'!$B$29),(($H$3*'Alternative 1'!$B$39+(($N$72/3)*COS($K$73)))),($H87*'Alternative 1'!$B$39))))</f>
        <v>#VALUE!</v>
      </c>
      <c r="BJ87" s="105" t="e">
        <f>BH87*'Alternative 1'!$K88/'Alternative 1'!$L88</f>
        <v>#VALUE!</v>
      </c>
      <c r="BK87" s="105" t="e">
        <f>BI87/'Alternative 1'!$M88</f>
        <v>#VALUE!</v>
      </c>
      <c r="BL87" s="105" t="e">
        <f t="shared" si="27"/>
        <v>#VALUE!</v>
      </c>
      <c r="BN87" s="105" t="e">
        <f>'Alternative 1'!$B$39*$B87*$C87*COS($K$83)-($N$82/3)*$E87*SIN($K$83)-($N$82/3)*$F87*SIN($K$83)-($N$82/3)*$G87*SIN($K$83)</f>
        <v>#VALUE!</v>
      </c>
      <c r="BO87" s="106" t="e">
        <f>IF(($A87&lt;'Alternative 1'!$B$27),(($H87*'Alternative 1'!$B$39)+(3*($N$82/3)*COS($K$83))),IF(($A87&lt;'Alternative 1'!$B$28),(($H87*'Alternative 1'!$B$39)+(2*(($N$82/3)*COS($K$83)))),IF(($A87&lt;'Alternative 1'!$B$29),(($H$3*'Alternative 1'!$B$39+(($N$82/3)*COS($K$83)))),($H87*'Alternative 1'!$B$39))))</f>
        <v>#VALUE!</v>
      </c>
      <c r="BP87" s="105" t="e">
        <f>BN87*'Alternative 1'!$K88/'Alternative 1'!$L88</f>
        <v>#VALUE!</v>
      </c>
      <c r="BQ87" s="105" t="e">
        <f>BO87/'Alternative 1'!$M88</f>
        <v>#VALUE!</v>
      </c>
      <c r="BR87" s="105" t="e">
        <f t="shared" si="28"/>
        <v>#VALUE!</v>
      </c>
      <c r="BT87" s="105" t="e">
        <f>'Alternative 1'!$B$39*$B87*$C87*COS($K$93)-($K$92/3)*$E87*SIN($K$93)-($K$92/3)*$F87*SIN($K$93)-($K$92/3)*$G87*SIN($K$93)</f>
        <v>#VALUE!</v>
      </c>
      <c r="BU87" s="106" t="e">
        <f>IF(($A87&lt;'Alternative 1'!$B$27),(($H87*'Alternative 1'!$B$39)+(3*($N$92/3)*COS($K$93))),IF(($A87&lt;'Alternative 1'!$B$28),(($H87*'Alternative 1'!$B$39)+(2*(($N$92/3)*COS($K$93)))),IF(($A87&lt;'Alternative 1'!$B$29),(($H$3*'Alternative 1'!$B$39+(($N$92/3)*COS($K$93)))),($H87*'Alternative 1'!$B$39))))</f>
        <v>#VALUE!</v>
      </c>
      <c r="BV87" s="105" t="e">
        <f>BT87*'Alternative 1'!$K88/'Alternative 1'!$L88</f>
        <v>#VALUE!</v>
      </c>
      <c r="BW87" s="105" t="e">
        <f>BU87/'Alternative 1'!$M88</f>
        <v>#VALUE!</v>
      </c>
      <c r="BX87" s="105" t="e">
        <f t="shared" si="29"/>
        <v>#VALUE!</v>
      </c>
    </row>
    <row r="88" spans="1:76" ht="15" customHeight="1" x14ac:dyDescent="0.25">
      <c r="A88" s="18" t="str">
        <f>IF('Alternative 1'!F89&gt;0,'Alternative 1'!F89,"x")</f>
        <v>x</v>
      </c>
      <c r="B88" s="18" t="e">
        <f t="shared" si="35"/>
        <v>#VALUE!</v>
      </c>
      <c r="C88" s="18">
        <f t="shared" si="30"/>
        <v>0</v>
      </c>
      <c r="D88" s="18" t="str">
        <f t="shared" si="31"/>
        <v>x</v>
      </c>
      <c r="E88" s="101">
        <f>IF($A88&lt;='Alternative 1'!$B$27, IF($A88='Alternative 1'!$B$27,0,E89+1),0)</f>
        <v>0</v>
      </c>
      <c r="F88" s="101">
        <f>IF($A88&lt;=('Alternative 1'!$B$28), IF($A88=ROUNDDOWN('Alternative 1'!$B$28,0),0,F89+1),0)</f>
        <v>0</v>
      </c>
      <c r="G88" s="101">
        <f>IF($A88&lt;=('Alternative 1'!$B$29), IF($A88=ROUNDDOWN('Alternative 1'!$B$29,0),0,G89+1),0)</f>
        <v>0</v>
      </c>
      <c r="H88" s="18" t="e">
        <f t="shared" si="32"/>
        <v>#VALUE!</v>
      </c>
      <c r="J88" s="104">
        <f t="shared" si="33"/>
        <v>85</v>
      </c>
      <c r="K88" s="104">
        <f t="shared" si="34"/>
        <v>1.4835298641951802</v>
      </c>
      <c r="L88" s="105">
        <f>'Alternative 1'!$B$27*SIN(K88)+'Alternative 1'!$B$28*SIN(K88)+'Alternative 1'!$B$29*SIN(K88)</f>
        <v>67.741239470238696</v>
      </c>
      <c r="M88" s="104">
        <f>(('Alternative 1'!$B$27)*(((('Alternative 1'!$B$28-'Alternative 1'!$B$27)/2)+'Alternative 1'!$B$27)*'Alternative 1'!$B$39)*COS('Alternative 1-Tilt Up (3pt)'!K88))+(('Alternative 1'!$B$28)*((('Alternative 1'!$B$28-'Alternative 1'!$B$27)/2)+(('Alternative 1'!$B$29-'Alternative 1'!$B$28)/2))*('Alternative 1'!$B$39)*COS('Alternative 1-Tilt Up (3pt)'!K88))+(('Alternative 1'!$B$29)*((('Alternative 1'!$B$12-'Alternative 1'!$B$29+(('Alternative 1'!$B$29-'Alternative 1'!$B$28)/2)*('Alternative 1'!$B$39)*COS('Alternative 1-Tilt Up (3pt)'!K88)))))</f>
        <v>413829.534142619</v>
      </c>
      <c r="N88" s="104">
        <f t="shared" si="18"/>
        <v>18326.924811780129</v>
      </c>
      <c r="O88" s="104">
        <f>(((('Alternative 1'!$B$28-'Alternative 1'!$B$27)/2)+'Alternative 1'!$B$27)*('Alternative 1'!$B$39)*COS('Alternative 1-Tilt Up (3pt)'!K88))+(((('Alternative 1'!$B$28-'Alternative 1'!$B$27)/2)+(('Alternative 1'!$B$29-'Alternative 1'!$B$28)/2))*('Alternative 1'!$B$39)*COS('Alternative 1-Tilt Up (3pt)'!K88))+(((('Alternative 1'!$B$12-'Alternative 1'!$B$29)+(('Alternative 1'!$B$29-'Alternative 1'!$B$28)/2))*('Alternative 1'!$B$39)*COS('Alternative 1-Tilt Up (3pt)'!K88)))</f>
        <v>26680.107831746638</v>
      </c>
      <c r="P88" s="104">
        <f t="shared" si="19"/>
        <v>1597.296744251182</v>
      </c>
      <c r="R88" s="105" t="e">
        <f>'Alternative 1'!$B$39*$B88*$C88*COS($K$5)-($N$5/3)*$E88*SIN($K$5)-($N$5/3)*$F88*SIN($K$5)-($N$5/3)*$G88*SIN($K$5)</f>
        <v>#VALUE!</v>
      </c>
      <c r="S88" s="106" t="e">
        <f>IF(($A88&lt;'Alternative 1'!$B$27),(($H88*'Alternative 1'!$B$39)+(3*($N$5/3)*COS($K$5))),IF(($A88&lt;'Alternative 1'!$B$28),(($H88*'Alternative 1'!$B$39)+(2*(($N$5/3)*COS($K$5)))),IF(($A88&lt;'Alternative 1'!$B$29),(($H$3*'Alternative 1'!$B$39+(($N$5/3)*COS($K$5)))),($H88*'Alternative 1'!$B$39))))</f>
        <v>#VALUE!</v>
      </c>
      <c r="T88" s="105" t="e">
        <f>R88*'Alternative 1'!$K89/'Alternative 1'!$L89</f>
        <v>#VALUE!</v>
      </c>
      <c r="U88" s="105" t="e">
        <f>S88/'Alternative 1'!$M89</f>
        <v>#VALUE!</v>
      </c>
      <c r="V88" s="105" t="e">
        <f t="shared" si="20"/>
        <v>#VALUE!</v>
      </c>
      <c r="X88" s="105" t="e">
        <f>'Alternative 1'!$B$39*$B88*$C88*COS($K$13)-($N$12/3)*$E88*SIN($K$13)-($N$12/3)*$F88*SIN($K$13)-($N$12/3)*$G88*SIN($K$13)</f>
        <v>#VALUE!</v>
      </c>
      <c r="Y88" s="106" t="e">
        <f>IF(($A88&lt;'Alternative 1'!$B$27),(($H88*'Alternative 1'!$B$39)+(3*($N$12/3)*COS($K$13))),IF(($A88&lt;'Alternative 1'!$B$28),(($H88*'Alternative 1'!$B$39)+(2*(($N$12/3)*COS($K$13)))),IF(($A88&lt;'Alternative 1'!$B$29),(($H$3*'Alternative 1'!$B$39+(($N$12/3)*COS($K$13)))),($H88*'Alternative 1'!$B$39))))</f>
        <v>#VALUE!</v>
      </c>
      <c r="Z88" s="105" t="e">
        <f>X88*'Alternative 1'!$K89/'Alternative 1'!$L89</f>
        <v>#VALUE!</v>
      </c>
      <c r="AA88" s="105" t="e">
        <f>Y88/'Alternative 1'!$M89</f>
        <v>#VALUE!</v>
      </c>
      <c r="AB88" s="105" t="e">
        <f t="shared" si="21"/>
        <v>#VALUE!</v>
      </c>
      <c r="AD88" s="105" t="e">
        <f>'Alternative 1'!$B$39*$B88*$C88*COS($K$23)-($N$22/3)*$E88*SIN($K$23)-($N$22/3)*$F88*SIN($K$23)-($N$22/3)*$G88*SIN($K$23)</f>
        <v>#VALUE!</v>
      </c>
      <c r="AE88" s="106" t="e">
        <f>IF(($A88&lt;'Alternative 1'!$B$27),(($H88*'Alternative 1'!$B$39)+(3*($N$22/3)*COS($K$23))),IF(($A88&lt;'Alternative 1'!$B$28),(($H88*'Alternative 1'!$B$39)+(2*(($N$22/3)*COS($K$23)))),IF(($A88&lt;'Alternative 1'!$B$29),(($H$3*'Alternative 1'!$B$39+(($N$22/3)*COS($K$23)))),($H88*'Alternative 1'!$B$39))))</f>
        <v>#VALUE!</v>
      </c>
      <c r="AF88" s="105" t="e">
        <f>AD88*'Alternative 1'!$K89/'Alternative 1'!$L89</f>
        <v>#VALUE!</v>
      </c>
      <c r="AG88" s="105" t="e">
        <f>AE88/'Alternative 1'!$M89</f>
        <v>#VALUE!</v>
      </c>
      <c r="AH88" s="105" t="e">
        <f t="shared" si="22"/>
        <v>#VALUE!</v>
      </c>
      <c r="AJ88" s="105" t="e">
        <f>'Alternative 1'!$B$39*$B88*$C88*COS($K$33)-($N$32/3)*$E88*SIN($K$33)-($N$32/3)*$F88*SIN($K$33)-($N$32/3)*$G88*SIN($K$33)</f>
        <v>#VALUE!</v>
      </c>
      <c r="AK88" s="106" t="e">
        <f>IF(($A88&lt;'Alternative 1'!$B$27),(($H88*'Alternative 1'!$B$39)+(3*($N$32/3)*COS($K$33))),IF(($A88&lt;'Alternative 1'!$B$28),(($H88*'Alternative 1'!$B$39)+(2*(($N$32/3)*COS($K$33)))),IF(($A88&lt;'Alternative 1'!$B$29),(($H$3*'Alternative 1'!$B$39+(($N$32/3)*COS($K$33)))),($H88*'Alternative 1'!$B$39))))</f>
        <v>#VALUE!</v>
      </c>
      <c r="AL88" s="105" t="e">
        <f>AJ88*'Alternative 1'!$K89/'Alternative 1'!$L89</f>
        <v>#VALUE!</v>
      </c>
      <c r="AM88" s="105" t="e">
        <f>AK88/'Alternative 1'!$M89</f>
        <v>#VALUE!</v>
      </c>
      <c r="AN88" s="105" t="e">
        <f t="shared" si="23"/>
        <v>#VALUE!</v>
      </c>
      <c r="AP88" s="105" t="e">
        <f>'Alternative 1'!$B$39*$B88*$C88*COS($K$43)-($N$42/3)*$E88*SIN($K$43)-($N$42/3)*$F88*SIN($K$43)-($N$42/3)*$G88*SIN($K$43)</f>
        <v>#VALUE!</v>
      </c>
      <c r="AQ88" s="106" t="e">
        <f>IF(($A88&lt;'Alternative 1'!$B$27),(($H88*'Alternative 1'!$B$39)+(3*($N$42/3)*COS($K$43))),IF(($A88&lt;'Alternative 1'!$B$28),(($H88*'Alternative 1'!$B$39)+(2*(($N$42/3)*COS($K$43)))),IF(($A88&lt;'Alternative 1'!$B$29),(($H$3*'Alternative 1'!$B$39+(($N$42/3)*COS($K$43)))),($H88*'Alternative 1'!$B$39))))</f>
        <v>#VALUE!</v>
      </c>
      <c r="AR88" s="105" t="e">
        <f>AP88*'Alternative 1'!$K89/'Alternative 1'!$L89</f>
        <v>#VALUE!</v>
      </c>
      <c r="AS88" s="105" t="e">
        <f>AQ88/'Alternative 1'!$M89</f>
        <v>#VALUE!</v>
      </c>
      <c r="AT88" s="105" t="e">
        <f t="shared" si="24"/>
        <v>#VALUE!</v>
      </c>
      <c r="AV88" s="105" t="e">
        <f>'Alternative 1'!$B$39*$B88*$C88*COS($K$53)-($N$52/3)*$E88*SIN($K$53)-($N$52/3)*$F88*SIN($K$53)-($N$52/3)*$G88*SIN($K$53)</f>
        <v>#VALUE!</v>
      </c>
      <c r="AW88" s="106" t="e">
        <f>IF(($A88&lt;'Alternative 1'!$B$27),(($H88*'Alternative 1'!$B$39)+(3*($N$52/3)*COS($K$53))),IF(($A88&lt;'Alternative 1'!$B$28),(($H88*'Alternative 1'!$B$39)+(2*(($N$52/3)*COS($K$53)))),IF(($A88&lt;'Alternative 1'!$B$29),(($H$3*'Alternative 1'!$B$39+(($N$52/3)*COS($K$53)))),($H88*'Alternative 1'!$B$39))))</f>
        <v>#VALUE!</v>
      </c>
      <c r="AX88" s="105" t="e">
        <f>AV88*'Alternative 1'!$K89/'Alternative 1'!$L89</f>
        <v>#VALUE!</v>
      </c>
      <c r="AY88" s="105" t="e">
        <f>AW88/'Alternative 1'!$M89</f>
        <v>#VALUE!</v>
      </c>
      <c r="AZ88" s="105" t="e">
        <f t="shared" si="25"/>
        <v>#VALUE!</v>
      </c>
      <c r="BB88" s="105" t="e">
        <f>'Alternative 1'!$B$39*$B88*$C88*COS($K$63)-($N$62/3)*$E88*SIN($K$63)-($N$62/3)*$F88*SIN($K$63)-($N$62/3)*$G88*SIN($K$63)</f>
        <v>#VALUE!</v>
      </c>
      <c r="BC88" s="106" t="e">
        <f>IF(($A88&lt;'Alternative 1'!$B$27),(($H88*'Alternative 1'!$B$39)+(3*($N$62/3)*COS($K$63))),IF(($A88&lt;'Alternative 1'!$B$28),(($H88*'Alternative 1'!$B$39)+(2*(($N$62/3)*COS($K$63)))),IF(($A88&lt;'Alternative 1'!$B$29),(($H$3*'Alternative 1'!$B$39+(($N$62/3)*COS($K$63)))),($H88*'Alternative 1'!$B$39))))</f>
        <v>#VALUE!</v>
      </c>
      <c r="BD88" s="105" t="e">
        <f>BB88*'Alternative 1'!$K89/'Alternative 1'!$L89</f>
        <v>#VALUE!</v>
      </c>
      <c r="BE88" s="105" t="e">
        <f>BC88/'Alternative 1'!$M89</f>
        <v>#VALUE!</v>
      </c>
      <c r="BF88" s="105" t="e">
        <f t="shared" si="26"/>
        <v>#VALUE!</v>
      </c>
      <c r="BH88" s="105" t="e">
        <f>'Alternative 1'!$B$39*$B88*$C88*COS($K$73)-($N$72/3)*$E88*SIN($K$73)-($N$72/3)*$F88*SIN($K$73)-($N$72/3)*$G88*SIN($K$73)</f>
        <v>#VALUE!</v>
      </c>
      <c r="BI88" s="106" t="e">
        <f>IF(($A88&lt;'Alternative 1'!$B$27),(($H88*'Alternative 1'!$B$39)+(3*($N$72/3)*COS($K$73))),IF(($A88&lt;'Alternative 1'!$B$28),(($H88*'Alternative 1'!$B$39)+(2*(($N$72/3)*COS($K$73)))),IF(($A88&lt;'Alternative 1'!$B$29),(($H$3*'Alternative 1'!$B$39+(($N$72/3)*COS($K$73)))),($H88*'Alternative 1'!$B$39))))</f>
        <v>#VALUE!</v>
      </c>
      <c r="BJ88" s="105" t="e">
        <f>BH88*'Alternative 1'!$K89/'Alternative 1'!$L89</f>
        <v>#VALUE!</v>
      </c>
      <c r="BK88" s="105" t="e">
        <f>BI88/'Alternative 1'!$M89</f>
        <v>#VALUE!</v>
      </c>
      <c r="BL88" s="105" t="e">
        <f t="shared" si="27"/>
        <v>#VALUE!</v>
      </c>
      <c r="BN88" s="105" t="e">
        <f>'Alternative 1'!$B$39*$B88*$C88*COS($K$83)-($N$82/3)*$E88*SIN($K$83)-($N$82/3)*$F88*SIN($K$83)-($N$82/3)*$G88*SIN($K$83)</f>
        <v>#VALUE!</v>
      </c>
      <c r="BO88" s="106" t="e">
        <f>IF(($A88&lt;'Alternative 1'!$B$27),(($H88*'Alternative 1'!$B$39)+(3*($N$82/3)*COS($K$83))),IF(($A88&lt;'Alternative 1'!$B$28),(($H88*'Alternative 1'!$B$39)+(2*(($N$82/3)*COS($K$83)))),IF(($A88&lt;'Alternative 1'!$B$29),(($H$3*'Alternative 1'!$B$39+(($N$82/3)*COS($K$83)))),($H88*'Alternative 1'!$B$39))))</f>
        <v>#VALUE!</v>
      </c>
      <c r="BP88" s="105" t="e">
        <f>BN88*'Alternative 1'!$K89/'Alternative 1'!$L89</f>
        <v>#VALUE!</v>
      </c>
      <c r="BQ88" s="105" t="e">
        <f>BO88/'Alternative 1'!$M89</f>
        <v>#VALUE!</v>
      </c>
      <c r="BR88" s="105" t="e">
        <f t="shared" si="28"/>
        <v>#VALUE!</v>
      </c>
      <c r="BT88" s="105" t="e">
        <f>'Alternative 1'!$B$39*$B88*$C88*COS($K$93)-($K$92/3)*$E88*SIN($K$93)-($K$92/3)*$F88*SIN($K$93)-($K$92/3)*$G88*SIN($K$93)</f>
        <v>#VALUE!</v>
      </c>
      <c r="BU88" s="106" t="e">
        <f>IF(($A88&lt;'Alternative 1'!$B$27),(($H88*'Alternative 1'!$B$39)+(3*($N$92/3)*COS($K$93))),IF(($A88&lt;'Alternative 1'!$B$28),(($H88*'Alternative 1'!$B$39)+(2*(($N$92/3)*COS($K$93)))),IF(($A88&lt;'Alternative 1'!$B$29),(($H$3*'Alternative 1'!$B$39+(($N$92/3)*COS($K$93)))),($H88*'Alternative 1'!$B$39))))</f>
        <v>#VALUE!</v>
      </c>
      <c r="BV88" s="105" t="e">
        <f>BT88*'Alternative 1'!$K89/'Alternative 1'!$L89</f>
        <v>#VALUE!</v>
      </c>
      <c r="BW88" s="105" t="e">
        <f>BU88/'Alternative 1'!$M89</f>
        <v>#VALUE!</v>
      </c>
      <c r="BX88" s="105" t="e">
        <f t="shared" si="29"/>
        <v>#VALUE!</v>
      </c>
    </row>
    <row r="89" spans="1:76" ht="15" customHeight="1" x14ac:dyDescent="0.25">
      <c r="A89" s="18" t="str">
        <f>IF('Alternative 1'!F90&gt;0,'Alternative 1'!F90,"x")</f>
        <v>x</v>
      </c>
      <c r="B89" s="18" t="e">
        <f t="shared" si="35"/>
        <v>#VALUE!</v>
      </c>
      <c r="C89" s="18">
        <f t="shared" si="30"/>
        <v>0</v>
      </c>
      <c r="D89" s="18" t="str">
        <f t="shared" si="31"/>
        <v>x</v>
      </c>
      <c r="E89" s="101">
        <f>IF($A89&lt;='Alternative 1'!$B$27, IF($A89='Alternative 1'!$B$27,0,E90+1),0)</f>
        <v>0</v>
      </c>
      <c r="F89" s="101">
        <f>IF($A89&lt;=('Alternative 1'!$B$28), IF($A89=ROUNDDOWN('Alternative 1'!$B$28,0),0,F90+1),0)</f>
        <v>0</v>
      </c>
      <c r="G89" s="101">
        <f>IF($A89&lt;=('Alternative 1'!$B$29), IF($A89=ROUNDDOWN('Alternative 1'!$B$29,0),0,G90+1),0)</f>
        <v>0</v>
      </c>
      <c r="H89" s="18" t="e">
        <f t="shared" si="32"/>
        <v>#VALUE!</v>
      </c>
      <c r="J89" s="104">
        <f t="shared" si="33"/>
        <v>86</v>
      </c>
      <c r="K89" s="104">
        <f t="shared" si="34"/>
        <v>1.5009831567151233</v>
      </c>
      <c r="L89" s="105">
        <f>'Alternative 1'!$B$27*SIN(K89)+'Alternative 1'!$B$28*SIN(K89)+'Alternative 1'!$B$29*SIN(K89)</f>
        <v>67.83435541766805</v>
      </c>
      <c r="M89" s="104">
        <f>(('Alternative 1'!$B$27)*(((('Alternative 1'!$B$28-'Alternative 1'!$B$27)/2)+'Alternative 1'!$B$27)*'Alternative 1'!$B$39)*COS('Alternative 1-Tilt Up (3pt)'!K89))+(('Alternative 1'!$B$28)*((('Alternative 1'!$B$28-'Alternative 1'!$B$27)/2)+(('Alternative 1'!$B$29-'Alternative 1'!$B$28)/2))*('Alternative 1'!$B$39)*COS('Alternative 1-Tilt Up (3pt)'!K89))+(('Alternative 1'!$B$29)*((('Alternative 1'!$B$12-'Alternative 1'!$B$29+(('Alternative 1'!$B$29-'Alternative 1'!$B$28)/2)*('Alternative 1'!$B$39)*COS('Alternative 1-Tilt Up (3pt)'!K89)))))</f>
        <v>331254.05120677926</v>
      </c>
      <c r="N89" s="104">
        <f t="shared" si="18"/>
        <v>14649.8355811236</v>
      </c>
      <c r="O89" s="104">
        <f>(((('Alternative 1'!$B$28-'Alternative 1'!$B$27)/2)+'Alternative 1'!$B$27)*('Alternative 1'!$B$39)*COS('Alternative 1-Tilt Up (3pt)'!K89))+(((('Alternative 1'!$B$28-'Alternative 1'!$B$27)/2)+(('Alternative 1'!$B$29-'Alternative 1'!$B$28)/2))*('Alternative 1'!$B$39)*COS('Alternative 1-Tilt Up (3pt)'!K89))+(((('Alternative 1'!$B$12-'Alternative 1'!$B$29)+(('Alternative 1'!$B$29-'Alternative 1'!$B$28)/2))*('Alternative 1'!$B$39)*COS('Alternative 1-Tilt Up (3pt)'!K89)))</f>
        <v>21353.845229041755</v>
      </c>
      <c r="P89" s="104">
        <f t="shared" si="19"/>
        <v>1021.9208710704032</v>
      </c>
      <c r="R89" s="105" t="e">
        <f>'Alternative 1'!$B$39*$B89*$C89*COS($K$5)-($N$5/3)*$E89*SIN($K$5)-($N$5/3)*$F89*SIN($K$5)-($N$5/3)*$G89*SIN($K$5)</f>
        <v>#VALUE!</v>
      </c>
      <c r="S89" s="106" t="e">
        <f>IF(($A89&lt;'Alternative 1'!$B$27),(($H89*'Alternative 1'!$B$39)+(3*($N$5/3)*COS($K$5))),IF(($A89&lt;'Alternative 1'!$B$28),(($H89*'Alternative 1'!$B$39)+(2*(($N$5/3)*COS($K$5)))),IF(($A89&lt;'Alternative 1'!$B$29),(($H$3*'Alternative 1'!$B$39+(($N$5/3)*COS($K$5)))),($H89*'Alternative 1'!$B$39))))</f>
        <v>#VALUE!</v>
      </c>
      <c r="T89" s="105" t="e">
        <f>R89*'Alternative 1'!$K90/'Alternative 1'!$L90</f>
        <v>#VALUE!</v>
      </c>
      <c r="U89" s="105" t="e">
        <f>S89/'Alternative 1'!$M90</f>
        <v>#VALUE!</v>
      </c>
      <c r="V89" s="105" t="e">
        <f t="shared" si="20"/>
        <v>#VALUE!</v>
      </c>
      <c r="X89" s="105" t="e">
        <f>'Alternative 1'!$B$39*$B89*$C89*COS($K$13)-($N$12/3)*$E89*SIN($K$13)-($N$12/3)*$F89*SIN($K$13)-($N$12/3)*$G89*SIN($K$13)</f>
        <v>#VALUE!</v>
      </c>
      <c r="Y89" s="106" t="e">
        <f>IF(($A89&lt;'Alternative 1'!$B$27),(($H89*'Alternative 1'!$B$39)+(3*($N$12/3)*COS($K$13))),IF(($A89&lt;'Alternative 1'!$B$28),(($H89*'Alternative 1'!$B$39)+(2*(($N$12/3)*COS($K$13)))),IF(($A89&lt;'Alternative 1'!$B$29),(($H$3*'Alternative 1'!$B$39+(($N$12/3)*COS($K$13)))),($H89*'Alternative 1'!$B$39))))</f>
        <v>#VALUE!</v>
      </c>
      <c r="Z89" s="105" t="e">
        <f>X89*'Alternative 1'!$K90/'Alternative 1'!$L90</f>
        <v>#VALUE!</v>
      </c>
      <c r="AA89" s="105" t="e">
        <f>Y89/'Alternative 1'!$M90</f>
        <v>#VALUE!</v>
      </c>
      <c r="AB89" s="105" t="e">
        <f t="shared" si="21"/>
        <v>#VALUE!</v>
      </c>
      <c r="AD89" s="105" t="e">
        <f>'Alternative 1'!$B$39*$B89*$C89*COS($K$23)-($N$22/3)*$E89*SIN($K$23)-($N$22/3)*$F89*SIN($K$23)-($N$22/3)*$G89*SIN($K$23)</f>
        <v>#VALUE!</v>
      </c>
      <c r="AE89" s="106" t="e">
        <f>IF(($A89&lt;'Alternative 1'!$B$27),(($H89*'Alternative 1'!$B$39)+(3*($N$22/3)*COS($K$23))),IF(($A89&lt;'Alternative 1'!$B$28),(($H89*'Alternative 1'!$B$39)+(2*(($N$22/3)*COS($K$23)))),IF(($A89&lt;'Alternative 1'!$B$29),(($H$3*'Alternative 1'!$B$39+(($N$22/3)*COS($K$23)))),($H89*'Alternative 1'!$B$39))))</f>
        <v>#VALUE!</v>
      </c>
      <c r="AF89" s="105" t="e">
        <f>AD89*'Alternative 1'!$K90/'Alternative 1'!$L90</f>
        <v>#VALUE!</v>
      </c>
      <c r="AG89" s="105" t="e">
        <f>AE89/'Alternative 1'!$M90</f>
        <v>#VALUE!</v>
      </c>
      <c r="AH89" s="105" t="e">
        <f t="shared" si="22"/>
        <v>#VALUE!</v>
      </c>
      <c r="AJ89" s="105" t="e">
        <f>'Alternative 1'!$B$39*$B89*$C89*COS($K$33)-($N$32/3)*$E89*SIN($K$33)-($N$32/3)*$F89*SIN($K$33)-($N$32/3)*$G89*SIN($K$33)</f>
        <v>#VALUE!</v>
      </c>
      <c r="AK89" s="106" t="e">
        <f>IF(($A89&lt;'Alternative 1'!$B$27),(($H89*'Alternative 1'!$B$39)+(3*($N$32/3)*COS($K$33))),IF(($A89&lt;'Alternative 1'!$B$28),(($H89*'Alternative 1'!$B$39)+(2*(($N$32/3)*COS($K$33)))),IF(($A89&lt;'Alternative 1'!$B$29),(($H$3*'Alternative 1'!$B$39+(($N$32/3)*COS($K$33)))),($H89*'Alternative 1'!$B$39))))</f>
        <v>#VALUE!</v>
      </c>
      <c r="AL89" s="105" t="e">
        <f>AJ89*'Alternative 1'!$K90/'Alternative 1'!$L90</f>
        <v>#VALUE!</v>
      </c>
      <c r="AM89" s="105" t="e">
        <f>AK89/'Alternative 1'!$M90</f>
        <v>#VALUE!</v>
      </c>
      <c r="AN89" s="105" t="e">
        <f t="shared" si="23"/>
        <v>#VALUE!</v>
      </c>
      <c r="AP89" s="105" t="e">
        <f>'Alternative 1'!$B$39*$B89*$C89*COS($K$43)-($N$42/3)*$E89*SIN($K$43)-($N$42/3)*$F89*SIN($K$43)-($N$42/3)*$G89*SIN($K$43)</f>
        <v>#VALUE!</v>
      </c>
      <c r="AQ89" s="106" t="e">
        <f>IF(($A89&lt;'Alternative 1'!$B$27),(($H89*'Alternative 1'!$B$39)+(3*($N$42/3)*COS($K$43))),IF(($A89&lt;'Alternative 1'!$B$28),(($H89*'Alternative 1'!$B$39)+(2*(($N$42/3)*COS($K$43)))),IF(($A89&lt;'Alternative 1'!$B$29),(($H$3*'Alternative 1'!$B$39+(($N$42/3)*COS($K$43)))),($H89*'Alternative 1'!$B$39))))</f>
        <v>#VALUE!</v>
      </c>
      <c r="AR89" s="105" t="e">
        <f>AP89*'Alternative 1'!$K90/'Alternative 1'!$L90</f>
        <v>#VALUE!</v>
      </c>
      <c r="AS89" s="105" t="e">
        <f>AQ89/'Alternative 1'!$M90</f>
        <v>#VALUE!</v>
      </c>
      <c r="AT89" s="105" t="e">
        <f t="shared" si="24"/>
        <v>#VALUE!</v>
      </c>
      <c r="AV89" s="105" t="e">
        <f>'Alternative 1'!$B$39*$B89*$C89*COS($K$53)-($N$52/3)*$E89*SIN($K$53)-($N$52/3)*$F89*SIN($K$53)-($N$52/3)*$G89*SIN($K$53)</f>
        <v>#VALUE!</v>
      </c>
      <c r="AW89" s="106" t="e">
        <f>IF(($A89&lt;'Alternative 1'!$B$27),(($H89*'Alternative 1'!$B$39)+(3*($N$52/3)*COS($K$53))),IF(($A89&lt;'Alternative 1'!$B$28),(($H89*'Alternative 1'!$B$39)+(2*(($N$52/3)*COS($K$53)))),IF(($A89&lt;'Alternative 1'!$B$29),(($H$3*'Alternative 1'!$B$39+(($N$52/3)*COS($K$53)))),($H89*'Alternative 1'!$B$39))))</f>
        <v>#VALUE!</v>
      </c>
      <c r="AX89" s="105" t="e">
        <f>AV89*'Alternative 1'!$K90/'Alternative 1'!$L90</f>
        <v>#VALUE!</v>
      </c>
      <c r="AY89" s="105" t="e">
        <f>AW89/'Alternative 1'!$M90</f>
        <v>#VALUE!</v>
      </c>
      <c r="AZ89" s="105" t="e">
        <f t="shared" si="25"/>
        <v>#VALUE!</v>
      </c>
      <c r="BB89" s="105" t="e">
        <f>'Alternative 1'!$B$39*$B89*$C89*COS($K$63)-($N$62/3)*$E89*SIN($K$63)-($N$62/3)*$F89*SIN($K$63)-($N$62/3)*$G89*SIN($K$63)</f>
        <v>#VALUE!</v>
      </c>
      <c r="BC89" s="106" t="e">
        <f>IF(($A89&lt;'Alternative 1'!$B$27),(($H89*'Alternative 1'!$B$39)+(3*($N$62/3)*COS($K$63))),IF(($A89&lt;'Alternative 1'!$B$28),(($H89*'Alternative 1'!$B$39)+(2*(($N$62/3)*COS($K$63)))),IF(($A89&lt;'Alternative 1'!$B$29),(($H$3*'Alternative 1'!$B$39+(($N$62/3)*COS($K$63)))),($H89*'Alternative 1'!$B$39))))</f>
        <v>#VALUE!</v>
      </c>
      <c r="BD89" s="105" t="e">
        <f>BB89*'Alternative 1'!$K90/'Alternative 1'!$L90</f>
        <v>#VALUE!</v>
      </c>
      <c r="BE89" s="105" t="e">
        <f>BC89/'Alternative 1'!$M90</f>
        <v>#VALUE!</v>
      </c>
      <c r="BF89" s="105" t="e">
        <f t="shared" si="26"/>
        <v>#VALUE!</v>
      </c>
      <c r="BH89" s="105" t="e">
        <f>'Alternative 1'!$B$39*$B89*$C89*COS($K$73)-($N$72/3)*$E89*SIN($K$73)-($N$72/3)*$F89*SIN($K$73)-($N$72/3)*$G89*SIN($K$73)</f>
        <v>#VALUE!</v>
      </c>
      <c r="BI89" s="106" t="e">
        <f>IF(($A89&lt;'Alternative 1'!$B$27),(($H89*'Alternative 1'!$B$39)+(3*($N$72/3)*COS($K$73))),IF(($A89&lt;'Alternative 1'!$B$28),(($H89*'Alternative 1'!$B$39)+(2*(($N$72/3)*COS($K$73)))),IF(($A89&lt;'Alternative 1'!$B$29),(($H$3*'Alternative 1'!$B$39+(($N$72/3)*COS($K$73)))),($H89*'Alternative 1'!$B$39))))</f>
        <v>#VALUE!</v>
      </c>
      <c r="BJ89" s="105" t="e">
        <f>BH89*'Alternative 1'!$K90/'Alternative 1'!$L90</f>
        <v>#VALUE!</v>
      </c>
      <c r="BK89" s="105" t="e">
        <f>BI89/'Alternative 1'!$M90</f>
        <v>#VALUE!</v>
      </c>
      <c r="BL89" s="105" t="e">
        <f t="shared" si="27"/>
        <v>#VALUE!</v>
      </c>
      <c r="BN89" s="105" t="e">
        <f>'Alternative 1'!$B$39*$B89*$C89*COS($K$83)-($N$82/3)*$E89*SIN($K$83)-($N$82/3)*$F89*SIN($K$83)-($N$82/3)*$G89*SIN($K$83)</f>
        <v>#VALUE!</v>
      </c>
      <c r="BO89" s="106" t="e">
        <f>IF(($A89&lt;'Alternative 1'!$B$27),(($H89*'Alternative 1'!$B$39)+(3*($N$82/3)*COS($K$83))),IF(($A89&lt;'Alternative 1'!$B$28),(($H89*'Alternative 1'!$B$39)+(2*(($N$82/3)*COS($K$83)))),IF(($A89&lt;'Alternative 1'!$B$29),(($H$3*'Alternative 1'!$B$39+(($N$82/3)*COS($K$83)))),($H89*'Alternative 1'!$B$39))))</f>
        <v>#VALUE!</v>
      </c>
      <c r="BP89" s="105" t="e">
        <f>BN89*'Alternative 1'!$K90/'Alternative 1'!$L90</f>
        <v>#VALUE!</v>
      </c>
      <c r="BQ89" s="105" t="e">
        <f>BO89/'Alternative 1'!$M90</f>
        <v>#VALUE!</v>
      </c>
      <c r="BR89" s="105" t="e">
        <f t="shared" si="28"/>
        <v>#VALUE!</v>
      </c>
      <c r="BT89" s="105" t="e">
        <f>'Alternative 1'!$B$39*$B89*$C89*COS($K$93)-($K$92/3)*$E89*SIN($K$93)-($K$92/3)*$F89*SIN($K$93)-($K$92/3)*$G89*SIN($K$93)</f>
        <v>#VALUE!</v>
      </c>
      <c r="BU89" s="106" t="e">
        <f>IF(($A89&lt;'Alternative 1'!$B$27),(($H89*'Alternative 1'!$B$39)+(3*($N$92/3)*COS($K$93))),IF(($A89&lt;'Alternative 1'!$B$28),(($H89*'Alternative 1'!$B$39)+(2*(($N$92/3)*COS($K$93)))),IF(($A89&lt;'Alternative 1'!$B$29),(($H$3*'Alternative 1'!$B$39+(($N$92/3)*COS($K$93)))),($H89*'Alternative 1'!$B$39))))</f>
        <v>#VALUE!</v>
      </c>
      <c r="BV89" s="105" t="e">
        <f>BT89*'Alternative 1'!$K90/'Alternative 1'!$L90</f>
        <v>#VALUE!</v>
      </c>
      <c r="BW89" s="105" t="e">
        <f>BU89/'Alternative 1'!$M90</f>
        <v>#VALUE!</v>
      </c>
      <c r="BX89" s="105" t="e">
        <f t="shared" si="29"/>
        <v>#VALUE!</v>
      </c>
    </row>
    <row r="90" spans="1:76" ht="15" customHeight="1" x14ac:dyDescent="0.25">
      <c r="A90" s="18" t="str">
        <f>IF('Alternative 1'!F91&gt;0,'Alternative 1'!F91,"x")</f>
        <v>x</v>
      </c>
      <c r="B90" s="18" t="e">
        <f t="shared" si="35"/>
        <v>#VALUE!</v>
      </c>
      <c r="C90" s="18">
        <f t="shared" si="30"/>
        <v>0</v>
      </c>
      <c r="D90" s="18" t="str">
        <f t="shared" si="31"/>
        <v>x</v>
      </c>
      <c r="E90" s="101">
        <f>IF($A90&lt;='Alternative 1'!$B$27, IF($A90='Alternative 1'!$B$27,0,E91+1),0)</f>
        <v>0</v>
      </c>
      <c r="F90" s="101">
        <f>IF($A90&lt;=('Alternative 1'!$B$28), IF($A90=ROUNDDOWN('Alternative 1'!$B$28,0),0,F91+1),0)</f>
        <v>0</v>
      </c>
      <c r="G90" s="101">
        <f>IF($A90&lt;=('Alternative 1'!$B$29), IF($A90=ROUNDDOWN('Alternative 1'!$B$29,0),0,G91+1),0)</f>
        <v>0</v>
      </c>
      <c r="H90" s="18" t="e">
        <f t="shared" si="32"/>
        <v>#VALUE!</v>
      </c>
      <c r="J90" s="104">
        <f t="shared" si="33"/>
        <v>87</v>
      </c>
      <c r="K90" s="104">
        <f t="shared" si="34"/>
        <v>1.5184364492350666</v>
      </c>
      <c r="L90" s="105">
        <f>'Alternative 1'!$B$27*SIN(K90)+'Alternative 1'!$B$28*SIN(K90)+'Alternative 1'!$B$29*SIN(K90)</f>
        <v>67.906808363311015</v>
      </c>
      <c r="M90" s="104">
        <f>(('Alternative 1'!$B$27)*(((('Alternative 1'!$B$28-'Alternative 1'!$B$27)/2)+'Alternative 1'!$B$27)*'Alternative 1'!$B$39)*COS('Alternative 1-Tilt Up (3pt)'!K90))+(('Alternative 1'!$B$28)*((('Alternative 1'!$B$28-'Alternative 1'!$B$27)/2)+(('Alternative 1'!$B$29-'Alternative 1'!$B$28)/2))*('Alternative 1'!$B$39)*COS('Alternative 1-Tilt Up (3pt)'!K90))+(('Alternative 1'!$B$29)*((('Alternative 1'!$B$12-'Alternative 1'!$B$29+(('Alternative 1'!$B$29-'Alternative 1'!$B$28)/2)*('Alternative 1'!$B$39)*COS('Alternative 1-Tilt Up (3pt)'!K90)))))</f>
        <v>248577.72466913908</v>
      </c>
      <c r="N90" s="104">
        <f t="shared" si="18"/>
        <v>10981.714381533577</v>
      </c>
      <c r="O90" s="104">
        <f>(((('Alternative 1'!$B$28-'Alternative 1'!$B$27)/2)+'Alternative 1'!$B$27)*('Alternative 1'!$B$39)*COS('Alternative 1-Tilt Up (3pt)'!K90))+(((('Alternative 1'!$B$28-'Alternative 1'!$B$27)/2)+(('Alternative 1'!$B$29-'Alternative 1'!$B$28)/2))*('Alternative 1'!$B$39)*COS('Alternative 1-Tilt Up (3pt)'!K90))+(((('Alternative 1'!$B$12-'Alternative 1'!$B$29)+(('Alternative 1'!$B$29-'Alternative 1'!$B$28)/2))*('Alternative 1'!$B$39)*COS('Alternative 1-Tilt Up (3pt)'!K90)))</f>
        <v>16021.078038220698</v>
      </c>
      <c r="P90" s="104">
        <f t="shared" si="19"/>
        <v>574.73852334444973</v>
      </c>
      <c r="R90" s="105" t="e">
        <f>'Alternative 1'!$B$39*$B90*$C90*COS($K$5)-($N$5/3)*$E90*SIN($K$5)-($N$5/3)*$F90*SIN($K$5)-($N$5/3)*$G90*SIN($K$5)</f>
        <v>#VALUE!</v>
      </c>
      <c r="S90" s="106" t="e">
        <f>IF(($A90&lt;'Alternative 1'!$B$27),(($H90*'Alternative 1'!$B$39)+(3*($N$5/3)*COS($K$5))),IF(($A90&lt;'Alternative 1'!$B$28),(($H90*'Alternative 1'!$B$39)+(2*(($N$5/3)*COS($K$5)))),IF(($A90&lt;'Alternative 1'!$B$29),(($H$3*'Alternative 1'!$B$39+(($N$5/3)*COS($K$5)))),($H90*'Alternative 1'!$B$39))))</f>
        <v>#VALUE!</v>
      </c>
      <c r="T90" s="105" t="e">
        <f>R90*'Alternative 1'!$K91/'Alternative 1'!$L91</f>
        <v>#VALUE!</v>
      </c>
      <c r="U90" s="105" t="e">
        <f>S90/'Alternative 1'!$M91</f>
        <v>#VALUE!</v>
      </c>
      <c r="V90" s="105" t="e">
        <f t="shared" si="20"/>
        <v>#VALUE!</v>
      </c>
      <c r="X90" s="105" t="e">
        <f>'Alternative 1'!$B$39*$B90*$C90*COS($K$13)-($N$12/3)*$E90*SIN($K$13)-($N$12/3)*$F90*SIN($K$13)-($N$12/3)*$G90*SIN($K$13)</f>
        <v>#VALUE!</v>
      </c>
      <c r="Y90" s="106" t="e">
        <f>IF(($A90&lt;'Alternative 1'!$B$27),(($H90*'Alternative 1'!$B$39)+(3*($N$12/3)*COS($K$13))),IF(($A90&lt;'Alternative 1'!$B$28),(($H90*'Alternative 1'!$B$39)+(2*(($N$12/3)*COS($K$13)))),IF(($A90&lt;'Alternative 1'!$B$29),(($H$3*'Alternative 1'!$B$39+(($N$12/3)*COS($K$13)))),($H90*'Alternative 1'!$B$39))))</f>
        <v>#VALUE!</v>
      </c>
      <c r="Z90" s="105" t="e">
        <f>X90*'Alternative 1'!$K91/'Alternative 1'!$L91</f>
        <v>#VALUE!</v>
      </c>
      <c r="AA90" s="105" t="e">
        <f>Y90/'Alternative 1'!$M91</f>
        <v>#VALUE!</v>
      </c>
      <c r="AB90" s="105" t="e">
        <f t="shared" si="21"/>
        <v>#VALUE!</v>
      </c>
      <c r="AD90" s="105" t="e">
        <f>'Alternative 1'!$B$39*$B90*$C90*COS($K$23)-($N$22/3)*$E90*SIN($K$23)-($N$22/3)*$F90*SIN($K$23)-($N$22/3)*$G90*SIN($K$23)</f>
        <v>#VALUE!</v>
      </c>
      <c r="AE90" s="106" t="e">
        <f>IF(($A90&lt;'Alternative 1'!$B$27),(($H90*'Alternative 1'!$B$39)+(3*($N$22/3)*COS($K$23))),IF(($A90&lt;'Alternative 1'!$B$28),(($H90*'Alternative 1'!$B$39)+(2*(($N$22/3)*COS($K$23)))),IF(($A90&lt;'Alternative 1'!$B$29),(($H$3*'Alternative 1'!$B$39+(($N$22/3)*COS($K$23)))),($H90*'Alternative 1'!$B$39))))</f>
        <v>#VALUE!</v>
      </c>
      <c r="AF90" s="105" t="e">
        <f>AD90*'Alternative 1'!$K91/'Alternative 1'!$L91</f>
        <v>#VALUE!</v>
      </c>
      <c r="AG90" s="105" t="e">
        <f>AE90/'Alternative 1'!$M91</f>
        <v>#VALUE!</v>
      </c>
      <c r="AH90" s="105" t="e">
        <f t="shared" si="22"/>
        <v>#VALUE!</v>
      </c>
      <c r="AJ90" s="105" t="e">
        <f>'Alternative 1'!$B$39*$B90*$C90*COS($K$33)-($N$32/3)*$E90*SIN($K$33)-($N$32/3)*$F90*SIN($K$33)-($N$32/3)*$G90*SIN($K$33)</f>
        <v>#VALUE!</v>
      </c>
      <c r="AK90" s="106" t="e">
        <f>IF(($A90&lt;'Alternative 1'!$B$27),(($H90*'Alternative 1'!$B$39)+(3*($N$32/3)*COS($K$33))),IF(($A90&lt;'Alternative 1'!$B$28),(($H90*'Alternative 1'!$B$39)+(2*(($N$32/3)*COS($K$33)))),IF(($A90&lt;'Alternative 1'!$B$29),(($H$3*'Alternative 1'!$B$39+(($N$32/3)*COS($K$33)))),($H90*'Alternative 1'!$B$39))))</f>
        <v>#VALUE!</v>
      </c>
      <c r="AL90" s="105" t="e">
        <f>AJ90*'Alternative 1'!$K91/'Alternative 1'!$L91</f>
        <v>#VALUE!</v>
      </c>
      <c r="AM90" s="105" t="e">
        <f>AK90/'Alternative 1'!$M91</f>
        <v>#VALUE!</v>
      </c>
      <c r="AN90" s="105" t="e">
        <f t="shared" si="23"/>
        <v>#VALUE!</v>
      </c>
      <c r="AP90" s="105" t="e">
        <f>'Alternative 1'!$B$39*$B90*$C90*COS($K$43)-($N$42/3)*$E90*SIN($K$43)-($N$42/3)*$F90*SIN($K$43)-($N$42/3)*$G90*SIN($K$43)</f>
        <v>#VALUE!</v>
      </c>
      <c r="AQ90" s="106" t="e">
        <f>IF(($A90&lt;'Alternative 1'!$B$27),(($H90*'Alternative 1'!$B$39)+(3*($N$42/3)*COS($K$43))),IF(($A90&lt;'Alternative 1'!$B$28),(($H90*'Alternative 1'!$B$39)+(2*(($N$42/3)*COS($K$43)))),IF(($A90&lt;'Alternative 1'!$B$29),(($H$3*'Alternative 1'!$B$39+(($N$42/3)*COS($K$43)))),($H90*'Alternative 1'!$B$39))))</f>
        <v>#VALUE!</v>
      </c>
      <c r="AR90" s="105" t="e">
        <f>AP90*'Alternative 1'!$K91/'Alternative 1'!$L91</f>
        <v>#VALUE!</v>
      </c>
      <c r="AS90" s="105" t="e">
        <f>AQ90/'Alternative 1'!$M91</f>
        <v>#VALUE!</v>
      </c>
      <c r="AT90" s="105" t="e">
        <f t="shared" si="24"/>
        <v>#VALUE!</v>
      </c>
      <c r="AV90" s="105" t="e">
        <f>'Alternative 1'!$B$39*$B90*$C90*COS($K$53)-($N$52/3)*$E90*SIN($K$53)-($N$52/3)*$F90*SIN($K$53)-($N$52/3)*$G90*SIN($K$53)</f>
        <v>#VALUE!</v>
      </c>
      <c r="AW90" s="106" t="e">
        <f>IF(($A90&lt;'Alternative 1'!$B$27),(($H90*'Alternative 1'!$B$39)+(3*($N$52/3)*COS($K$53))),IF(($A90&lt;'Alternative 1'!$B$28),(($H90*'Alternative 1'!$B$39)+(2*(($N$52/3)*COS($K$53)))),IF(($A90&lt;'Alternative 1'!$B$29),(($H$3*'Alternative 1'!$B$39+(($N$52/3)*COS($K$53)))),($H90*'Alternative 1'!$B$39))))</f>
        <v>#VALUE!</v>
      </c>
      <c r="AX90" s="105" t="e">
        <f>AV90*'Alternative 1'!$K91/'Alternative 1'!$L91</f>
        <v>#VALUE!</v>
      </c>
      <c r="AY90" s="105" t="e">
        <f>AW90/'Alternative 1'!$M91</f>
        <v>#VALUE!</v>
      </c>
      <c r="AZ90" s="105" t="e">
        <f t="shared" si="25"/>
        <v>#VALUE!</v>
      </c>
      <c r="BB90" s="105" t="e">
        <f>'Alternative 1'!$B$39*$B90*$C90*COS($K$63)-($N$62/3)*$E90*SIN($K$63)-($N$62/3)*$F90*SIN($K$63)-($N$62/3)*$G90*SIN($K$63)</f>
        <v>#VALUE!</v>
      </c>
      <c r="BC90" s="106" t="e">
        <f>IF(($A90&lt;'Alternative 1'!$B$27),(($H90*'Alternative 1'!$B$39)+(3*($N$62/3)*COS($K$63))),IF(($A90&lt;'Alternative 1'!$B$28),(($H90*'Alternative 1'!$B$39)+(2*(($N$62/3)*COS($K$63)))),IF(($A90&lt;'Alternative 1'!$B$29),(($H$3*'Alternative 1'!$B$39+(($N$62/3)*COS($K$63)))),($H90*'Alternative 1'!$B$39))))</f>
        <v>#VALUE!</v>
      </c>
      <c r="BD90" s="105" t="e">
        <f>BB90*'Alternative 1'!$K91/'Alternative 1'!$L91</f>
        <v>#VALUE!</v>
      </c>
      <c r="BE90" s="105" t="e">
        <f>BC90/'Alternative 1'!$M91</f>
        <v>#VALUE!</v>
      </c>
      <c r="BF90" s="105" t="e">
        <f t="shared" si="26"/>
        <v>#VALUE!</v>
      </c>
      <c r="BH90" s="105" t="e">
        <f>'Alternative 1'!$B$39*$B90*$C90*COS($K$73)-($N$72/3)*$E90*SIN($K$73)-($N$72/3)*$F90*SIN($K$73)-($N$72/3)*$G90*SIN($K$73)</f>
        <v>#VALUE!</v>
      </c>
      <c r="BI90" s="106" t="e">
        <f>IF(($A90&lt;'Alternative 1'!$B$27),(($H90*'Alternative 1'!$B$39)+(3*($N$72/3)*COS($K$73))),IF(($A90&lt;'Alternative 1'!$B$28),(($H90*'Alternative 1'!$B$39)+(2*(($N$72/3)*COS($K$73)))),IF(($A90&lt;'Alternative 1'!$B$29),(($H$3*'Alternative 1'!$B$39+(($N$72/3)*COS($K$73)))),($H90*'Alternative 1'!$B$39))))</f>
        <v>#VALUE!</v>
      </c>
      <c r="BJ90" s="105" t="e">
        <f>BH90*'Alternative 1'!$K91/'Alternative 1'!$L91</f>
        <v>#VALUE!</v>
      </c>
      <c r="BK90" s="105" t="e">
        <f>BI90/'Alternative 1'!$M91</f>
        <v>#VALUE!</v>
      </c>
      <c r="BL90" s="105" t="e">
        <f t="shared" si="27"/>
        <v>#VALUE!</v>
      </c>
      <c r="BN90" s="105" t="e">
        <f>'Alternative 1'!$B$39*$B90*$C90*COS($K$83)-($N$82/3)*$E90*SIN($K$83)-($N$82/3)*$F90*SIN($K$83)-($N$82/3)*$G90*SIN($K$83)</f>
        <v>#VALUE!</v>
      </c>
      <c r="BO90" s="106" t="e">
        <f>IF(($A90&lt;'Alternative 1'!$B$27),(($H90*'Alternative 1'!$B$39)+(3*($N$82/3)*COS($K$83))),IF(($A90&lt;'Alternative 1'!$B$28),(($H90*'Alternative 1'!$B$39)+(2*(($N$82/3)*COS($K$83)))),IF(($A90&lt;'Alternative 1'!$B$29),(($H$3*'Alternative 1'!$B$39+(($N$82/3)*COS($K$83)))),($H90*'Alternative 1'!$B$39))))</f>
        <v>#VALUE!</v>
      </c>
      <c r="BP90" s="105" t="e">
        <f>BN90*'Alternative 1'!$K91/'Alternative 1'!$L91</f>
        <v>#VALUE!</v>
      </c>
      <c r="BQ90" s="105" t="e">
        <f>BO90/'Alternative 1'!$M91</f>
        <v>#VALUE!</v>
      </c>
      <c r="BR90" s="105" t="e">
        <f t="shared" si="28"/>
        <v>#VALUE!</v>
      </c>
      <c r="BT90" s="105" t="e">
        <f>'Alternative 1'!$B$39*$B90*$C90*COS($K$93)-($K$92/3)*$E90*SIN($K$93)-($K$92/3)*$F90*SIN($K$93)-($K$92/3)*$G90*SIN($K$93)</f>
        <v>#VALUE!</v>
      </c>
      <c r="BU90" s="106" t="e">
        <f>IF(($A90&lt;'Alternative 1'!$B$27),(($H90*'Alternative 1'!$B$39)+(3*($N$92/3)*COS($K$93))),IF(($A90&lt;'Alternative 1'!$B$28),(($H90*'Alternative 1'!$B$39)+(2*(($N$92/3)*COS($K$93)))),IF(($A90&lt;'Alternative 1'!$B$29),(($H$3*'Alternative 1'!$B$39+(($N$92/3)*COS($K$93)))),($H90*'Alternative 1'!$B$39))))</f>
        <v>#VALUE!</v>
      </c>
      <c r="BV90" s="105" t="e">
        <f>BT90*'Alternative 1'!$K91/'Alternative 1'!$L91</f>
        <v>#VALUE!</v>
      </c>
      <c r="BW90" s="105" t="e">
        <f>BU90/'Alternative 1'!$M91</f>
        <v>#VALUE!</v>
      </c>
      <c r="BX90" s="105" t="e">
        <f t="shared" si="29"/>
        <v>#VALUE!</v>
      </c>
    </row>
    <row r="91" spans="1:76" ht="15" customHeight="1" x14ac:dyDescent="0.25">
      <c r="A91" s="18" t="str">
        <f>IF('Alternative 1'!F92&gt;0,'Alternative 1'!F92,"x")</f>
        <v>x</v>
      </c>
      <c r="B91" s="18" t="e">
        <f t="shared" si="35"/>
        <v>#VALUE!</v>
      </c>
      <c r="C91" s="18">
        <f t="shared" si="30"/>
        <v>0</v>
      </c>
      <c r="D91" s="18" t="str">
        <f t="shared" si="31"/>
        <v>x</v>
      </c>
      <c r="E91" s="101">
        <f>IF($A91&lt;='Alternative 1'!$B$27, IF($A91='Alternative 1'!$B$27,0,E92+1),0)</f>
        <v>0</v>
      </c>
      <c r="F91" s="101">
        <f>IF($A91&lt;=('Alternative 1'!$B$28), IF($A91=ROUNDDOWN('Alternative 1'!$B$28,0),0,F92+1),0)</f>
        <v>0</v>
      </c>
      <c r="G91" s="101">
        <f>IF($A91&lt;=('Alternative 1'!$B$29), IF($A91=ROUNDDOWN('Alternative 1'!$B$29,0),0,G92+1),0)</f>
        <v>0</v>
      </c>
      <c r="H91" s="18" t="e">
        <f t="shared" si="32"/>
        <v>#VALUE!</v>
      </c>
      <c r="J91" s="104">
        <f t="shared" si="33"/>
        <v>88</v>
      </c>
      <c r="K91" s="104">
        <f t="shared" si="34"/>
        <v>1.5358897417550099</v>
      </c>
      <c r="L91" s="105">
        <f>'Alternative 1'!$B$27*SIN(K91)+'Alternative 1'!$B$28*SIN(K91)+'Alternative 1'!$B$29*SIN(K91)</f>
        <v>67.958576237298516</v>
      </c>
      <c r="M91" s="104">
        <f>(('Alternative 1'!$B$27)*(((('Alternative 1'!$B$28-'Alternative 1'!$B$27)/2)+'Alternative 1'!$B$27)*'Alternative 1'!$B$39)*COS('Alternative 1-Tilt Up (3pt)'!K91))+(('Alternative 1'!$B$28)*((('Alternative 1'!$B$28-'Alternative 1'!$B$27)/2)+(('Alternative 1'!$B$29-'Alternative 1'!$B$28)/2))*('Alternative 1'!$B$39)*COS('Alternative 1-Tilt Up (3pt)'!K91))+(('Alternative 1'!$B$29)*((('Alternative 1'!$B$12-'Alternative 1'!$B$29+(('Alternative 1'!$B$29-'Alternative 1'!$B$28)/2)*('Alternative 1'!$B$39)*COS('Alternative 1-Tilt Up (3pt)'!K91)))))</f>
        <v>165825.73853966629</v>
      </c>
      <c r="N91" s="104">
        <f t="shared" si="18"/>
        <v>7320.3007355819573</v>
      </c>
      <c r="O91" s="104">
        <f>(((('Alternative 1'!$B$28-'Alternative 1'!$B$27)/2)+'Alternative 1'!$B$27)*('Alternative 1'!$B$39)*COS('Alternative 1-Tilt Up (3pt)'!K91))+(((('Alternative 1'!$B$28-'Alternative 1'!$B$27)/2)+(('Alternative 1'!$B$29-'Alternative 1'!$B$28)/2))*('Alternative 1'!$B$39)*COS('Alternative 1-Tilt Up (3pt)'!K91))+(((('Alternative 1'!$B$12-'Alternative 1'!$B$29)+(('Alternative 1'!$B$29-'Alternative 1'!$B$28)/2))*('Alternative 1'!$B$39)*COS('Alternative 1-Tilt Up (3pt)'!K91)))</f>
        <v>10683.43067182953</v>
      </c>
      <c r="P91" s="104">
        <f t="shared" si="19"/>
        <v>255.47481138275876</v>
      </c>
      <c r="R91" s="105" t="e">
        <f>'Alternative 1'!$B$39*$B91*$C91*COS($K$5)-($N$5/3)*$E91*SIN($K$5)-($N$5/3)*$F91*SIN($K$5)-($N$5/3)*$G91*SIN($K$5)</f>
        <v>#VALUE!</v>
      </c>
      <c r="S91" s="106" t="e">
        <f>IF(($A91&lt;'Alternative 1'!$B$27),(($H91*'Alternative 1'!$B$39)+(3*($N$5/3)*COS($K$5))),IF(($A91&lt;'Alternative 1'!$B$28),(($H91*'Alternative 1'!$B$39)+(2*(($N$5/3)*COS($K$5)))),IF(($A91&lt;'Alternative 1'!$B$29),(($H$3*'Alternative 1'!$B$39+(($N$5/3)*COS($K$5)))),($H91*'Alternative 1'!$B$39))))</f>
        <v>#VALUE!</v>
      </c>
      <c r="T91" s="105" t="e">
        <f>R91*'Alternative 1'!$K92/'Alternative 1'!$L92</f>
        <v>#VALUE!</v>
      </c>
      <c r="U91" s="105" t="e">
        <f>S91/'Alternative 1'!$M92</f>
        <v>#VALUE!</v>
      </c>
      <c r="V91" s="105" t="e">
        <f t="shared" si="20"/>
        <v>#VALUE!</v>
      </c>
      <c r="X91" s="105" t="e">
        <f>'Alternative 1'!$B$39*$B91*$C91*COS($K$13)-($N$12/3)*$E91*SIN($K$13)-($N$12/3)*$F91*SIN($K$13)-($N$12/3)*$G91*SIN($K$13)</f>
        <v>#VALUE!</v>
      </c>
      <c r="Y91" s="106" t="e">
        <f>IF(($A91&lt;'Alternative 1'!$B$27),(($H91*'Alternative 1'!$B$39)+(3*($N$12/3)*COS($K$13))),IF(($A91&lt;'Alternative 1'!$B$28),(($H91*'Alternative 1'!$B$39)+(2*(($N$12/3)*COS($K$13)))),IF(($A91&lt;'Alternative 1'!$B$29),(($H$3*'Alternative 1'!$B$39+(($N$12/3)*COS($K$13)))),($H91*'Alternative 1'!$B$39))))</f>
        <v>#VALUE!</v>
      </c>
      <c r="Z91" s="105" t="e">
        <f>X91*'Alternative 1'!$K92/'Alternative 1'!$L92</f>
        <v>#VALUE!</v>
      </c>
      <c r="AA91" s="105" t="e">
        <f>Y91/'Alternative 1'!$M92</f>
        <v>#VALUE!</v>
      </c>
      <c r="AB91" s="105" t="e">
        <f t="shared" si="21"/>
        <v>#VALUE!</v>
      </c>
      <c r="AD91" s="105" t="e">
        <f>'Alternative 1'!$B$39*$B91*$C91*COS($K$23)-($N$22/3)*$E91*SIN($K$23)-($N$22/3)*$F91*SIN($K$23)-($N$22/3)*$G91*SIN($K$23)</f>
        <v>#VALUE!</v>
      </c>
      <c r="AE91" s="106" t="e">
        <f>IF(($A91&lt;'Alternative 1'!$B$27),(($H91*'Alternative 1'!$B$39)+(3*($N$22/3)*COS($K$23))),IF(($A91&lt;'Alternative 1'!$B$28),(($H91*'Alternative 1'!$B$39)+(2*(($N$22/3)*COS($K$23)))),IF(($A91&lt;'Alternative 1'!$B$29),(($H$3*'Alternative 1'!$B$39+(($N$22/3)*COS($K$23)))),($H91*'Alternative 1'!$B$39))))</f>
        <v>#VALUE!</v>
      </c>
      <c r="AF91" s="105" t="e">
        <f>AD91*'Alternative 1'!$K92/'Alternative 1'!$L92</f>
        <v>#VALUE!</v>
      </c>
      <c r="AG91" s="105" t="e">
        <f>AE91/'Alternative 1'!$M92</f>
        <v>#VALUE!</v>
      </c>
      <c r="AH91" s="105" t="e">
        <f t="shared" si="22"/>
        <v>#VALUE!</v>
      </c>
      <c r="AJ91" s="105" t="e">
        <f>'Alternative 1'!$B$39*$B91*$C91*COS($K$33)-($N$32/3)*$E91*SIN($K$33)-($N$32/3)*$F91*SIN($K$33)-($N$32/3)*$G91*SIN($K$33)</f>
        <v>#VALUE!</v>
      </c>
      <c r="AK91" s="106" t="e">
        <f>IF(($A91&lt;'Alternative 1'!$B$27),(($H91*'Alternative 1'!$B$39)+(3*($N$32/3)*COS($K$33))),IF(($A91&lt;'Alternative 1'!$B$28),(($H91*'Alternative 1'!$B$39)+(2*(($N$32/3)*COS($K$33)))),IF(($A91&lt;'Alternative 1'!$B$29),(($H$3*'Alternative 1'!$B$39+(($N$32/3)*COS($K$33)))),($H91*'Alternative 1'!$B$39))))</f>
        <v>#VALUE!</v>
      </c>
      <c r="AL91" s="105" t="e">
        <f>AJ91*'Alternative 1'!$K92/'Alternative 1'!$L92</f>
        <v>#VALUE!</v>
      </c>
      <c r="AM91" s="105" t="e">
        <f>AK91/'Alternative 1'!$M92</f>
        <v>#VALUE!</v>
      </c>
      <c r="AN91" s="105" t="e">
        <f t="shared" si="23"/>
        <v>#VALUE!</v>
      </c>
      <c r="AP91" s="105" t="e">
        <f>'Alternative 1'!$B$39*$B91*$C91*COS($K$43)-($N$42/3)*$E91*SIN($K$43)-($N$42/3)*$F91*SIN($K$43)-($N$42/3)*$G91*SIN($K$43)</f>
        <v>#VALUE!</v>
      </c>
      <c r="AQ91" s="106" t="e">
        <f>IF(($A91&lt;'Alternative 1'!$B$27),(($H91*'Alternative 1'!$B$39)+(3*($N$42/3)*COS($K$43))),IF(($A91&lt;'Alternative 1'!$B$28),(($H91*'Alternative 1'!$B$39)+(2*(($N$42/3)*COS($K$43)))),IF(($A91&lt;'Alternative 1'!$B$29),(($H$3*'Alternative 1'!$B$39+(($N$42/3)*COS($K$43)))),($H91*'Alternative 1'!$B$39))))</f>
        <v>#VALUE!</v>
      </c>
      <c r="AR91" s="105" t="e">
        <f>AP91*'Alternative 1'!$K92/'Alternative 1'!$L92</f>
        <v>#VALUE!</v>
      </c>
      <c r="AS91" s="105" t="e">
        <f>AQ91/'Alternative 1'!$M92</f>
        <v>#VALUE!</v>
      </c>
      <c r="AT91" s="105" t="e">
        <f t="shared" si="24"/>
        <v>#VALUE!</v>
      </c>
      <c r="AV91" s="105" t="e">
        <f>'Alternative 1'!$B$39*$B91*$C91*COS($K$53)-($N$52/3)*$E91*SIN($K$53)-($N$52/3)*$F91*SIN($K$53)-($N$52/3)*$G91*SIN($K$53)</f>
        <v>#VALUE!</v>
      </c>
      <c r="AW91" s="106" t="e">
        <f>IF(($A91&lt;'Alternative 1'!$B$27),(($H91*'Alternative 1'!$B$39)+(3*($N$52/3)*COS($K$53))),IF(($A91&lt;'Alternative 1'!$B$28),(($H91*'Alternative 1'!$B$39)+(2*(($N$52/3)*COS($K$53)))),IF(($A91&lt;'Alternative 1'!$B$29),(($H$3*'Alternative 1'!$B$39+(($N$52/3)*COS($K$53)))),($H91*'Alternative 1'!$B$39))))</f>
        <v>#VALUE!</v>
      </c>
      <c r="AX91" s="105" t="e">
        <f>AV91*'Alternative 1'!$K92/'Alternative 1'!$L92</f>
        <v>#VALUE!</v>
      </c>
      <c r="AY91" s="105" t="e">
        <f>AW91/'Alternative 1'!$M92</f>
        <v>#VALUE!</v>
      </c>
      <c r="AZ91" s="105" t="e">
        <f t="shared" si="25"/>
        <v>#VALUE!</v>
      </c>
      <c r="BB91" s="105" t="e">
        <f>'Alternative 1'!$B$39*$B91*$C91*COS($K$63)-($N$62/3)*$E91*SIN($K$63)-($N$62/3)*$F91*SIN($K$63)-($N$62/3)*$G91*SIN($K$63)</f>
        <v>#VALUE!</v>
      </c>
      <c r="BC91" s="106" t="e">
        <f>IF(($A91&lt;'Alternative 1'!$B$27),(($H91*'Alternative 1'!$B$39)+(3*($N$62/3)*COS($K$63))),IF(($A91&lt;'Alternative 1'!$B$28),(($H91*'Alternative 1'!$B$39)+(2*(($N$62/3)*COS($K$63)))),IF(($A91&lt;'Alternative 1'!$B$29),(($H$3*'Alternative 1'!$B$39+(($N$62/3)*COS($K$63)))),($H91*'Alternative 1'!$B$39))))</f>
        <v>#VALUE!</v>
      </c>
      <c r="BD91" s="105" t="e">
        <f>BB91*'Alternative 1'!$K92/'Alternative 1'!$L92</f>
        <v>#VALUE!</v>
      </c>
      <c r="BE91" s="105" t="e">
        <f>BC91/'Alternative 1'!$M92</f>
        <v>#VALUE!</v>
      </c>
      <c r="BF91" s="105" t="e">
        <f t="shared" si="26"/>
        <v>#VALUE!</v>
      </c>
      <c r="BH91" s="105" t="e">
        <f>'Alternative 1'!$B$39*$B91*$C91*COS($K$73)-($N$72/3)*$E91*SIN($K$73)-($N$72/3)*$F91*SIN($K$73)-($N$72/3)*$G91*SIN($K$73)</f>
        <v>#VALUE!</v>
      </c>
      <c r="BI91" s="106" t="e">
        <f>IF(($A91&lt;'Alternative 1'!$B$27),(($H91*'Alternative 1'!$B$39)+(3*($N$72/3)*COS($K$73))),IF(($A91&lt;'Alternative 1'!$B$28),(($H91*'Alternative 1'!$B$39)+(2*(($N$72/3)*COS($K$73)))),IF(($A91&lt;'Alternative 1'!$B$29),(($H$3*'Alternative 1'!$B$39+(($N$72/3)*COS($K$73)))),($H91*'Alternative 1'!$B$39))))</f>
        <v>#VALUE!</v>
      </c>
      <c r="BJ91" s="105" t="e">
        <f>BH91*'Alternative 1'!$K92/'Alternative 1'!$L92</f>
        <v>#VALUE!</v>
      </c>
      <c r="BK91" s="105" t="e">
        <f>BI91/'Alternative 1'!$M92</f>
        <v>#VALUE!</v>
      </c>
      <c r="BL91" s="105" t="e">
        <f t="shared" si="27"/>
        <v>#VALUE!</v>
      </c>
      <c r="BN91" s="105" t="e">
        <f>'Alternative 1'!$B$39*$B91*$C91*COS($K$83)-($N$82/3)*$E91*SIN($K$83)-($N$82/3)*$F91*SIN($K$83)-($N$82/3)*$G91*SIN($K$83)</f>
        <v>#VALUE!</v>
      </c>
      <c r="BO91" s="106" t="e">
        <f>IF(($A91&lt;'Alternative 1'!$B$27),(($H91*'Alternative 1'!$B$39)+(3*($N$82/3)*COS($K$83))),IF(($A91&lt;'Alternative 1'!$B$28),(($H91*'Alternative 1'!$B$39)+(2*(($N$82/3)*COS($K$83)))),IF(($A91&lt;'Alternative 1'!$B$29),(($H$3*'Alternative 1'!$B$39+(($N$82/3)*COS($K$83)))),($H91*'Alternative 1'!$B$39))))</f>
        <v>#VALUE!</v>
      </c>
      <c r="BP91" s="105" t="e">
        <f>BN91*'Alternative 1'!$K92/'Alternative 1'!$L92</f>
        <v>#VALUE!</v>
      </c>
      <c r="BQ91" s="105" t="e">
        <f>BO91/'Alternative 1'!$M92</f>
        <v>#VALUE!</v>
      </c>
      <c r="BR91" s="105" t="e">
        <f t="shared" si="28"/>
        <v>#VALUE!</v>
      </c>
      <c r="BT91" s="105" t="e">
        <f>'Alternative 1'!$B$39*$B91*$C91*COS($K$93)-($K$92/3)*$E91*SIN($K$93)-($K$92/3)*$F91*SIN($K$93)-($K$92/3)*$G91*SIN($K$93)</f>
        <v>#VALUE!</v>
      </c>
      <c r="BU91" s="106" t="e">
        <f>IF(($A91&lt;'Alternative 1'!$B$27),(($H91*'Alternative 1'!$B$39)+(3*($N$92/3)*COS($K$93))),IF(($A91&lt;'Alternative 1'!$B$28),(($H91*'Alternative 1'!$B$39)+(2*(($N$92/3)*COS($K$93)))),IF(($A91&lt;'Alternative 1'!$B$29),(($H$3*'Alternative 1'!$B$39+(($N$92/3)*COS($K$93)))),($H91*'Alternative 1'!$B$39))))</f>
        <v>#VALUE!</v>
      </c>
      <c r="BV91" s="105" t="e">
        <f>BT91*'Alternative 1'!$K92/'Alternative 1'!$L92</f>
        <v>#VALUE!</v>
      </c>
      <c r="BW91" s="105" t="e">
        <f>BU91/'Alternative 1'!$M92</f>
        <v>#VALUE!</v>
      </c>
      <c r="BX91" s="105" t="e">
        <f t="shared" si="29"/>
        <v>#VALUE!</v>
      </c>
    </row>
    <row r="92" spans="1:76" ht="15" customHeight="1" x14ac:dyDescent="0.25">
      <c r="A92" s="18" t="str">
        <f>IF('Alternative 1'!F93&gt;0,'Alternative 1'!F93,"x")</f>
        <v>x</v>
      </c>
      <c r="B92" s="18" t="e">
        <f t="shared" si="35"/>
        <v>#VALUE!</v>
      </c>
      <c r="C92" s="18">
        <f t="shared" si="30"/>
        <v>0</v>
      </c>
      <c r="D92" s="18" t="str">
        <f t="shared" si="31"/>
        <v>x</v>
      </c>
      <c r="E92" s="101">
        <f>IF($A92&lt;='Alternative 1'!$B$27, IF($A92='Alternative 1'!$B$27,0,E93+1),0)</f>
        <v>0</v>
      </c>
      <c r="F92" s="101">
        <f>IF($A92&lt;=('Alternative 1'!$B$28), IF($A92=ROUNDDOWN('Alternative 1'!$B$28,0),0,F93+1),0)</f>
        <v>0</v>
      </c>
      <c r="G92" s="101">
        <f>IF($A92&lt;=('Alternative 1'!$B$29), IF($A92=ROUNDDOWN('Alternative 1'!$B$29,0),0,G93+1),0)</f>
        <v>0</v>
      </c>
      <c r="H92" s="18" t="e">
        <f t="shared" si="32"/>
        <v>#VALUE!</v>
      </c>
      <c r="J92" s="104">
        <f t="shared" si="33"/>
        <v>89</v>
      </c>
      <c r="K92" s="104">
        <f t="shared" si="34"/>
        <v>1.5533430342749535</v>
      </c>
      <c r="L92" s="105">
        <f>'Alternative 1'!$B$27*SIN(K92)+'Alternative 1'!$B$28*SIN(K92)+'Alternative 1'!$B$29*SIN(K92)</f>
        <v>67.989643270634616</v>
      </c>
      <c r="M92" s="104">
        <f>(('Alternative 1'!$B$27)*(((('Alternative 1'!$B$28-'Alternative 1'!$B$27)/2)+'Alternative 1'!$B$27)*'Alternative 1'!$B$39)*COS('Alternative 1-Tilt Up (3pt)'!K92))+(('Alternative 1'!$B$28)*((('Alternative 1'!$B$28-'Alternative 1'!$B$27)/2)+(('Alternative 1'!$B$29-'Alternative 1'!$B$28)/2))*('Alternative 1'!$B$39)*COS('Alternative 1-Tilt Up (3pt)'!K92))+(('Alternative 1'!$B$29)*((('Alternative 1'!$B$12-'Alternative 1'!$B$29+(('Alternative 1'!$B$29-'Alternative 1'!$B$28)/2)*('Alternative 1'!$B$39)*COS('Alternative 1-Tilt Up (3pt)'!K92)))))</f>
        <v>83023.29987497149</v>
      </c>
      <c r="N92" s="109">
        <f t="shared" si="18"/>
        <v>3663.3505875811848</v>
      </c>
      <c r="O92" s="104">
        <f>(((('Alternative 1'!$B$28-'Alternative 1'!$B$27)/2)+'Alternative 1'!$B$27)*('Alternative 1'!$B$39)*COS('Alternative 1-Tilt Up (3pt)'!K92))+(((('Alternative 1'!$B$28-'Alternative 1'!$B$27)/2)+(('Alternative 1'!$B$29-'Alternative 1'!$B$28)/2))*('Alternative 1'!$B$39)*COS('Alternative 1-Tilt Up (3pt)'!K92))+(((('Alternative 1'!$B$12-'Alternative 1'!$B$29)+(('Alternative 1'!$B$29-'Alternative 1'!$B$28)/2))*('Alternative 1'!$B$39)*COS('Alternative 1-Tilt Up (3pt)'!K92)))</f>
        <v>5342.5290289629374</v>
      </c>
      <c r="P92" s="104">
        <f t="shared" si="19"/>
        <v>63.934283376727706</v>
      </c>
      <c r="R92" s="105" t="e">
        <f>'Alternative 1'!$B$39*$B92*$C92*COS($K$5)-($N$5/3)*$E92*SIN($K$5)-($N$5/3)*$F92*SIN($K$5)-($N$5/3)*$G92*SIN($K$5)</f>
        <v>#VALUE!</v>
      </c>
      <c r="S92" s="106" t="e">
        <f>IF(($A92&lt;'Alternative 1'!$B$27),(($H92*'Alternative 1'!$B$39)+(3*($N$5/3)*COS($K$5))),IF(($A92&lt;'Alternative 1'!$B$28),(($H92*'Alternative 1'!$B$39)+(2*(($N$5/3)*COS($K$5)))),IF(($A92&lt;'Alternative 1'!$B$29),(($H$3*'Alternative 1'!$B$39+(($N$5/3)*COS($K$5)))),($H92*'Alternative 1'!$B$39))))</f>
        <v>#VALUE!</v>
      </c>
      <c r="T92" s="105" t="e">
        <f>R92*'Alternative 1'!$K93/'Alternative 1'!$L93</f>
        <v>#VALUE!</v>
      </c>
      <c r="U92" s="105" t="e">
        <f>S92/'Alternative 1'!$M93</f>
        <v>#VALUE!</v>
      </c>
      <c r="V92" s="105" t="e">
        <f t="shared" si="20"/>
        <v>#VALUE!</v>
      </c>
      <c r="X92" s="105" t="e">
        <f>'Alternative 1'!$B$39*$B92*$C92*COS($K$13)-($N$12/3)*$E92*SIN($K$13)-($N$12/3)*$F92*SIN($K$13)-($N$12/3)*$G92*SIN($K$13)</f>
        <v>#VALUE!</v>
      </c>
      <c r="Y92" s="106" t="e">
        <f>IF(($A92&lt;'Alternative 1'!$B$27),(($H92*'Alternative 1'!$B$39)+(3*($N$12/3)*COS($K$13))),IF(($A92&lt;'Alternative 1'!$B$28),(($H92*'Alternative 1'!$B$39)+(2*(($N$12/3)*COS($K$13)))),IF(($A92&lt;'Alternative 1'!$B$29),(($H$3*'Alternative 1'!$B$39+(($N$12/3)*COS($K$13)))),($H92*'Alternative 1'!$B$39))))</f>
        <v>#VALUE!</v>
      </c>
      <c r="Z92" s="105" t="e">
        <f>X92*'Alternative 1'!$K93/'Alternative 1'!$L93</f>
        <v>#VALUE!</v>
      </c>
      <c r="AA92" s="105" t="e">
        <f>Y92/'Alternative 1'!$M93</f>
        <v>#VALUE!</v>
      </c>
      <c r="AB92" s="105" t="e">
        <f t="shared" si="21"/>
        <v>#VALUE!</v>
      </c>
      <c r="AD92" s="105" t="e">
        <f>'Alternative 1'!$B$39*$B92*$C92*COS($K$23)-($N$22/3)*$E92*SIN($K$23)-($N$22/3)*$F92*SIN($K$23)-($N$22/3)*$G92*SIN($K$23)</f>
        <v>#VALUE!</v>
      </c>
      <c r="AE92" s="106" t="e">
        <f>IF(($A92&lt;'Alternative 1'!$B$27),(($H92*'Alternative 1'!$B$39)+(3*($N$22/3)*COS($K$23))),IF(($A92&lt;'Alternative 1'!$B$28),(($H92*'Alternative 1'!$B$39)+(2*(($N$22/3)*COS($K$23)))),IF(($A92&lt;'Alternative 1'!$B$29),(($H$3*'Alternative 1'!$B$39+(($N$22/3)*COS($K$23)))),($H92*'Alternative 1'!$B$39))))</f>
        <v>#VALUE!</v>
      </c>
      <c r="AF92" s="105" t="e">
        <f>AD92*'Alternative 1'!$K93/'Alternative 1'!$L93</f>
        <v>#VALUE!</v>
      </c>
      <c r="AG92" s="105" t="e">
        <f>AE92/'Alternative 1'!$M93</f>
        <v>#VALUE!</v>
      </c>
      <c r="AH92" s="105" t="e">
        <f t="shared" si="22"/>
        <v>#VALUE!</v>
      </c>
      <c r="AJ92" s="105" t="e">
        <f>'Alternative 1'!$B$39*$B92*$C92*COS($K$33)-($N$32/3)*$E92*SIN($K$33)-($N$32/3)*$F92*SIN($K$33)-($N$32/3)*$G92*SIN($K$33)</f>
        <v>#VALUE!</v>
      </c>
      <c r="AK92" s="106" t="e">
        <f>IF(($A92&lt;'Alternative 1'!$B$27),(($H92*'Alternative 1'!$B$39)+(3*($N$32/3)*COS($K$33))),IF(($A92&lt;'Alternative 1'!$B$28),(($H92*'Alternative 1'!$B$39)+(2*(($N$32/3)*COS($K$33)))),IF(($A92&lt;'Alternative 1'!$B$29),(($H$3*'Alternative 1'!$B$39+(($N$32/3)*COS($K$33)))),($H92*'Alternative 1'!$B$39))))</f>
        <v>#VALUE!</v>
      </c>
      <c r="AL92" s="105" t="e">
        <f>AJ92*'Alternative 1'!$K93/'Alternative 1'!$L93</f>
        <v>#VALUE!</v>
      </c>
      <c r="AM92" s="105" t="e">
        <f>AK92/'Alternative 1'!$M93</f>
        <v>#VALUE!</v>
      </c>
      <c r="AN92" s="105" t="e">
        <f t="shared" si="23"/>
        <v>#VALUE!</v>
      </c>
      <c r="AP92" s="105" t="e">
        <f>'Alternative 1'!$B$39*$B92*$C92*COS($K$43)-($N$42/3)*$E92*SIN($K$43)-($N$42/3)*$F92*SIN($K$43)-($N$42/3)*$G92*SIN($K$43)</f>
        <v>#VALUE!</v>
      </c>
      <c r="AQ92" s="106" t="e">
        <f>IF(($A92&lt;'Alternative 1'!$B$27),(($H92*'Alternative 1'!$B$39)+(3*($N$42/3)*COS($K$43))),IF(($A92&lt;'Alternative 1'!$B$28),(($H92*'Alternative 1'!$B$39)+(2*(($N$42/3)*COS($K$43)))),IF(($A92&lt;'Alternative 1'!$B$29),(($H$3*'Alternative 1'!$B$39+(($N$42/3)*COS($K$43)))),($H92*'Alternative 1'!$B$39))))</f>
        <v>#VALUE!</v>
      </c>
      <c r="AR92" s="105" t="e">
        <f>AP92*'Alternative 1'!$K93/'Alternative 1'!$L93</f>
        <v>#VALUE!</v>
      </c>
      <c r="AS92" s="105" t="e">
        <f>AQ92/'Alternative 1'!$M93</f>
        <v>#VALUE!</v>
      </c>
      <c r="AT92" s="105" t="e">
        <f t="shared" si="24"/>
        <v>#VALUE!</v>
      </c>
      <c r="AV92" s="105" t="e">
        <f>'Alternative 1'!$B$39*$B92*$C92*COS($K$53)-($N$52/3)*$E92*SIN($K$53)-($N$52/3)*$F92*SIN($K$53)-($N$52/3)*$G92*SIN($K$53)</f>
        <v>#VALUE!</v>
      </c>
      <c r="AW92" s="106" t="e">
        <f>IF(($A92&lt;'Alternative 1'!$B$27),(($H92*'Alternative 1'!$B$39)+(3*($N$52/3)*COS($K$53))),IF(($A92&lt;'Alternative 1'!$B$28),(($H92*'Alternative 1'!$B$39)+(2*(($N$52/3)*COS($K$53)))),IF(($A92&lt;'Alternative 1'!$B$29),(($H$3*'Alternative 1'!$B$39+(($N$52/3)*COS($K$53)))),($H92*'Alternative 1'!$B$39))))</f>
        <v>#VALUE!</v>
      </c>
      <c r="AX92" s="105" t="e">
        <f>AV92*'Alternative 1'!$K93/'Alternative 1'!$L93</f>
        <v>#VALUE!</v>
      </c>
      <c r="AY92" s="105" t="e">
        <f>AW92/'Alternative 1'!$M93</f>
        <v>#VALUE!</v>
      </c>
      <c r="AZ92" s="105" t="e">
        <f t="shared" si="25"/>
        <v>#VALUE!</v>
      </c>
      <c r="BB92" s="105" t="e">
        <f>'Alternative 1'!$B$39*$B92*$C92*COS($K$63)-($N$62/3)*$E92*SIN($K$63)-($N$62/3)*$F92*SIN($K$63)-($N$62/3)*$G92*SIN($K$63)</f>
        <v>#VALUE!</v>
      </c>
      <c r="BC92" s="106" t="e">
        <f>IF(($A92&lt;'Alternative 1'!$B$27),(($H92*'Alternative 1'!$B$39)+(3*($N$62/3)*COS($K$63))),IF(($A92&lt;'Alternative 1'!$B$28),(($H92*'Alternative 1'!$B$39)+(2*(($N$62/3)*COS($K$63)))),IF(($A92&lt;'Alternative 1'!$B$29),(($H$3*'Alternative 1'!$B$39+(($N$62/3)*COS($K$63)))),($H92*'Alternative 1'!$B$39))))</f>
        <v>#VALUE!</v>
      </c>
      <c r="BD92" s="105" t="e">
        <f>BB92*'Alternative 1'!$K93/'Alternative 1'!$L93</f>
        <v>#VALUE!</v>
      </c>
      <c r="BE92" s="105" t="e">
        <f>BC92/'Alternative 1'!$M93</f>
        <v>#VALUE!</v>
      </c>
      <c r="BF92" s="105" t="e">
        <f t="shared" si="26"/>
        <v>#VALUE!</v>
      </c>
      <c r="BH92" s="105" t="e">
        <f>'Alternative 1'!$B$39*$B92*$C92*COS($K$73)-($N$72/3)*$E92*SIN($K$73)-($N$72/3)*$F92*SIN($K$73)-($N$72/3)*$G92*SIN($K$73)</f>
        <v>#VALUE!</v>
      </c>
      <c r="BI92" s="106" t="e">
        <f>IF(($A92&lt;'Alternative 1'!$B$27),(($H92*'Alternative 1'!$B$39)+(3*($N$72/3)*COS($K$73))),IF(($A92&lt;'Alternative 1'!$B$28),(($H92*'Alternative 1'!$B$39)+(2*(($N$72/3)*COS($K$73)))),IF(($A92&lt;'Alternative 1'!$B$29),(($H$3*'Alternative 1'!$B$39+(($N$72/3)*COS($K$73)))),($H92*'Alternative 1'!$B$39))))</f>
        <v>#VALUE!</v>
      </c>
      <c r="BJ92" s="105" t="e">
        <f>BH92*'Alternative 1'!$K93/'Alternative 1'!$L93</f>
        <v>#VALUE!</v>
      </c>
      <c r="BK92" s="105" t="e">
        <f>BI92/'Alternative 1'!$M93</f>
        <v>#VALUE!</v>
      </c>
      <c r="BL92" s="105" t="e">
        <f t="shared" si="27"/>
        <v>#VALUE!</v>
      </c>
      <c r="BN92" s="105" t="e">
        <f>'Alternative 1'!$B$39*$B92*$C92*COS($K$83)-($N$82/3)*$E92*SIN($K$83)-($N$82/3)*$F92*SIN($K$83)-($N$82/3)*$G92*SIN($K$83)</f>
        <v>#VALUE!</v>
      </c>
      <c r="BO92" s="106" t="e">
        <f>IF(($A92&lt;'Alternative 1'!$B$27),(($H92*'Alternative 1'!$B$39)+(3*($N$82/3)*COS($K$83))),IF(($A92&lt;'Alternative 1'!$B$28),(($H92*'Alternative 1'!$B$39)+(2*(($N$82/3)*COS($K$83)))),IF(($A92&lt;'Alternative 1'!$B$29),(($H$3*'Alternative 1'!$B$39+(($N$82/3)*COS($K$83)))),($H92*'Alternative 1'!$B$39))))</f>
        <v>#VALUE!</v>
      </c>
      <c r="BP92" s="105" t="e">
        <f>BN92*'Alternative 1'!$K93/'Alternative 1'!$L93</f>
        <v>#VALUE!</v>
      </c>
      <c r="BQ92" s="105" t="e">
        <f>BO92/'Alternative 1'!$M93</f>
        <v>#VALUE!</v>
      </c>
      <c r="BR92" s="105" t="e">
        <f t="shared" si="28"/>
        <v>#VALUE!</v>
      </c>
      <c r="BT92" s="105" t="e">
        <f>'Alternative 1'!$B$39*$B92*$C92*COS($K$93)-($K$92/3)*$E92*SIN($K$93)-($K$92/3)*$F92*SIN($K$93)-($K$92/3)*$G92*SIN($K$93)</f>
        <v>#VALUE!</v>
      </c>
      <c r="BU92" s="106" t="e">
        <f>IF(($A92&lt;'Alternative 1'!$B$27),(($H92*'Alternative 1'!$B$39)+(3*($N$92/3)*COS($K$93))),IF(($A92&lt;'Alternative 1'!$B$28),(($H92*'Alternative 1'!$B$39)+(2*(($N$92/3)*COS($K$93)))),IF(($A92&lt;'Alternative 1'!$B$29),(($H$3*'Alternative 1'!$B$39+(($N$92/3)*COS($K$93)))),($H92*'Alternative 1'!$B$39))))</f>
        <v>#VALUE!</v>
      </c>
      <c r="BV92" s="105" t="e">
        <f>BT92*'Alternative 1'!$K93/'Alternative 1'!$L93</f>
        <v>#VALUE!</v>
      </c>
      <c r="BW92" s="105" t="e">
        <f>BU92/'Alternative 1'!$M93</f>
        <v>#VALUE!</v>
      </c>
      <c r="BX92" s="105" t="e">
        <f t="shared" si="29"/>
        <v>#VALUE!</v>
      </c>
    </row>
    <row r="93" spans="1:76" ht="15" customHeight="1" x14ac:dyDescent="0.25">
      <c r="J93" s="104">
        <f t="shared" si="33"/>
        <v>90</v>
      </c>
      <c r="K93" s="109">
        <f t="shared" si="34"/>
        <v>1.5707963267948966</v>
      </c>
      <c r="L93" s="105">
        <f>'Alternative 1'!$B$27*SIN(K93)+'Alternative 1'!$B$28*SIN(K93)+'Alternative 1'!$B$29*SIN(K93)</f>
        <v>68</v>
      </c>
      <c r="M93" s="104">
        <f>(('Alternative 1'!$B$27)*(((('Alternative 1'!$B$28-'Alternative 1'!$B$27)/2)+'Alternative 1'!$B$27)*'Alternative 1'!$B$39)*COS('Alternative 1-Tilt Up (3pt)'!K93))+(('Alternative 1'!$B$28)*((('Alternative 1'!$B$28-'Alternative 1'!$B$27)/2)+(('Alternative 1'!$B$29-'Alternative 1'!$B$28)/2))*('Alternative 1'!$B$39)*COS('Alternative 1-Tilt Up (3pt)'!K93))+(('Alternative 1'!$B$29)*((('Alternative 1'!$B$12-'Alternative 1'!$B$29+(('Alternative 1'!$B$29-'Alternative 1'!$B$28)/2)*('Alternative 1'!$B$39)*COS('Alternative 1-Tilt Up (3pt)'!K93)))))</f>
        <v>195.63110000029076</v>
      </c>
      <c r="N93" s="104">
        <f t="shared" si="18"/>
        <v>8.6307838235422398</v>
      </c>
      <c r="O93" s="104">
        <f>(((('Alternative 1'!$B$28-'Alternative 1'!$B$27)/2)+'Alternative 1'!$B$27)*('Alternative 1'!$B$39)*COS('Alternative 1-Tilt Up (3pt)'!K93))+(((('Alternative 1'!$B$28-'Alternative 1'!$B$27)/2)+(('Alternative 1'!$B$29-'Alternative 1'!$B$28)/2))*('Alternative 1'!$B$39)*COS('Alternative 1-Tilt Up (3pt)'!K93))+(((('Alternative 1'!$B$12-'Alternative 1'!$B$29)+(('Alternative 1'!$B$29-'Alternative 1'!$B$28)/2))*('Alternative 1'!$B$39)*COS('Alternative 1-Tilt Up (3pt)'!K93)))</f>
        <v>1.8752116530920196E-11</v>
      </c>
      <c r="P93" s="109">
        <f t="shared" si="19"/>
        <v>5.2869957330315435E-16</v>
      </c>
      <c r="R93" s="105">
        <f>'Alternative 1'!$B$39*$B93*$C93*COS($K$5)-($N$5/3)*$E93*SIN($K$5)-($N$5/3)*$F93*SIN($K$5)-($N$5/3)*$G93*SIN($K$5)</f>
        <v>0</v>
      </c>
      <c r="S93" s="106">
        <f>IF(($A93&lt;'Alternative 1'!$B$27),(($H93*'Alternative 1'!$B$39)+(3*($N$5/3)*COS($K$5))),IF(($A93&lt;'Alternative 1'!$B$28),(($H93*'Alternative 1'!$B$39)+(2*(($N$5/3)*COS($K$5)))),IF(($A93&lt;'Alternative 1'!$B$29),(($H$3*'Alternative 1'!$B$39+(($N$5/3)*COS($K$5)))),($H93*'Alternative 1'!$B$39))))</f>
        <v>5992415.6312237764</v>
      </c>
      <c r="T93" s="105" t="e">
        <f>R93*'Alternative 1'!$K94/'Alternative 1'!$L94</f>
        <v>#DIV/0!</v>
      </c>
      <c r="U93" s="105" t="e">
        <f>S93/'Alternative 1'!$M94</f>
        <v>#DIV/0!</v>
      </c>
      <c r="V93" s="105" t="e">
        <f t="shared" si="20"/>
        <v>#DIV/0!</v>
      </c>
      <c r="X93" s="105">
        <f>'Alternative 1'!$B$39*$B93*$C93*COS($K$13)-($N$12/3)*$E93*SIN($K$13)-($N$12/3)*$F93*SIN($K$13)-($N$12/3)*$G93*SIN($K$13)</f>
        <v>0</v>
      </c>
      <c r="Y93" s="106">
        <f>IF(($A93&lt;'Alternative 1'!$B$27),(($H93*'Alternative 1'!$B$39)+(3*($N$12/3)*COS($K$13))),IF(($A93&lt;'Alternative 1'!$B$28),(($H93*'Alternative 1'!$B$39)+(2*(($N$12/3)*COS($K$13)))),IF(($A93&lt;'Alternative 1'!$B$29),(($H$3*'Alternative 1'!$B$39+(($N$12/3)*COS($K$13)))),($H93*'Alternative 1'!$B$39))))</f>
        <v>1301935.6860266996</v>
      </c>
      <c r="Z93" s="105" t="e">
        <f>X93*'Alternative 1'!$K94/'Alternative 1'!$L94</f>
        <v>#DIV/0!</v>
      </c>
      <c r="AA93" s="105" t="e">
        <f>Y93/'Alternative 1'!$M94</f>
        <v>#DIV/0!</v>
      </c>
      <c r="AB93" s="105" t="e">
        <f t="shared" si="21"/>
        <v>#DIV/0!</v>
      </c>
      <c r="AD93" s="105">
        <f>'Alternative 1'!$B$39*$B93*$C93*COS($K$23)-($N$22/3)*$E93*SIN($K$23)-($N$22/3)*$F93*SIN($K$23)-($N$22/3)*$G93*SIN($K$23)</f>
        <v>0</v>
      </c>
      <c r="AE93" s="106">
        <f>IF(($A93&lt;'Alternative 1'!$B$27),(($H93*'Alternative 1'!$B$39)+(3*($N$22/3)*COS($K$23))),IF(($A93&lt;'Alternative 1'!$B$28),(($H93*'Alternative 1'!$B$39)+(2*(($N$22/3)*COS($K$23)))),IF(($A93&lt;'Alternative 1'!$B$29),(($H$3*'Alternative 1'!$B$39+(($N$22/3)*COS($K$23)))),($H93*'Alternative 1'!$B$39))))</f>
        <v>571433.05515821197</v>
      </c>
      <c r="AF93" s="105" t="e">
        <f>AD93*'Alternative 1'!$K94/'Alternative 1'!$L94</f>
        <v>#DIV/0!</v>
      </c>
      <c r="AG93" s="105" t="e">
        <f>AE93/'Alternative 1'!$M94</f>
        <v>#DIV/0!</v>
      </c>
      <c r="AH93" s="105" t="e">
        <f t="shared" si="22"/>
        <v>#DIV/0!</v>
      </c>
      <c r="AJ93" s="105">
        <f>'Alternative 1'!$B$39*$B93*$C93*COS($K$33)-($N$32/3)*$E93*SIN($K$33)-($N$32/3)*$F93*SIN($K$33)-($N$32/3)*$G93*SIN($K$33)</f>
        <v>0</v>
      </c>
      <c r="AK93" s="106">
        <f>IF(($A93&lt;'Alternative 1'!$B$27),(($H93*'Alternative 1'!$B$39)+(3*($N$32/3)*COS($K$33))),IF(($A93&lt;'Alternative 1'!$B$28),(($H93*'Alternative 1'!$B$39)+(2*(($N$32/3)*COS($K$33)))),IF(($A93&lt;'Alternative 1'!$B$29),(($H$3*'Alternative 1'!$B$39+(($N$32/3)*COS($K$33)))),($H93*'Alternative 1'!$B$39))))</f>
        <v>327138.44944458187</v>
      </c>
      <c r="AL93" s="105" t="e">
        <f>AJ93*'Alternative 1'!$K94/'Alternative 1'!$L94</f>
        <v>#DIV/0!</v>
      </c>
      <c r="AM93" s="105" t="e">
        <f>AK93/'Alternative 1'!$M94</f>
        <v>#DIV/0!</v>
      </c>
      <c r="AN93" s="105" t="e">
        <f t="shared" si="23"/>
        <v>#DIV/0!</v>
      </c>
      <c r="AP93" s="105">
        <f>'Alternative 1'!$B$39*$B93*$C93*COS($K$43)-($N$42/3)*$E93*SIN($K$43)-($N$42/3)*$F93*SIN($K$43)-($N$42/3)*$G93*SIN($K$43)</f>
        <v>0</v>
      </c>
      <c r="AQ93" s="106">
        <f>IF(($A93&lt;'Alternative 1'!$B$27),(($H93*'Alternative 1'!$B$39)+(3*($N$42/3)*COS($K$43))),IF(($A93&lt;'Alternative 1'!$B$28),(($H93*'Alternative 1'!$B$39)+(2*(($N$42/3)*COS($K$43)))),IF(($A93&lt;'Alternative 1'!$B$29),(($H$3*'Alternative 1'!$B$39+(($N$42/3)*COS($K$43)))),($H93*'Alternative 1'!$B$39))))</f>
        <v>198079.82965620476</v>
      </c>
      <c r="AR93" s="105" t="e">
        <f>AP93*'Alternative 1'!$K94/'Alternative 1'!$L94</f>
        <v>#DIV/0!</v>
      </c>
      <c r="AS93" s="105" t="e">
        <f>AQ93/'Alternative 1'!$M94</f>
        <v>#DIV/0!</v>
      </c>
      <c r="AT93" s="105" t="e">
        <f t="shared" si="24"/>
        <v>#DIV/0!</v>
      </c>
      <c r="AV93" s="105">
        <f>'Alternative 1'!$B$39*$B93*$C93*COS($K$53)-($N$52/3)*$E93*SIN($K$53)-($N$52/3)*$F93*SIN($K$53)-($N$52/3)*$G93*SIN($K$53)</f>
        <v>0</v>
      </c>
      <c r="AW93" s="106">
        <f>IF(($A93&lt;'Alternative 1'!$B$27),(($H93*'Alternative 1'!$B$39)+(3*($N$52/3)*COS($K$53))),IF(($A93&lt;'Alternative 1'!$B$28),(($H93*'Alternative 1'!$B$39)+(2*(($N$52/3)*COS($K$53)))),IF(($A93&lt;'Alternative 1'!$B$29),(($H$3*'Alternative 1'!$B$39+(($N$52/3)*COS($K$53)))),($H93*'Alternative 1'!$B$39))))</f>
        <v>117001.19533406357</v>
      </c>
      <c r="AX93" s="105" t="e">
        <f>AV93*'Alternative 1'!$K94/'Alternative 1'!$L94</f>
        <v>#DIV/0!</v>
      </c>
      <c r="AY93" s="105" t="e">
        <f>AW93/'Alternative 1'!$M94</f>
        <v>#DIV/0!</v>
      </c>
      <c r="AZ93" s="105" t="e">
        <f t="shared" si="25"/>
        <v>#DIV/0!</v>
      </c>
      <c r="BB93" s="105">
        <f>'Alternative 1'!$B$39*$B93*$C93*COS($K$63)-($N$62/3)*$E93*SIN($K$63)-($N$62/3)*$F93*SIN($K$63)-($N$62/3)*$G93*SIN($K$63)</f>
        <v>0</v>
      </c>
      <c r="BC93" s="106">
        <f>IF(($A93&lt;'Alternative 1'!$B$27),(($H93*'Alternative 1'!$B$39)+(3*($N$62/3)*COS($K$63))),IF(($A93&lt;'Alternative 1'!$B$28),(($H93*'Alternative 1'!$B$39)+(2*(($N$62/3)*COS($K$63)))),IF(($A93&lt;'Alternative 1'!$B$29),(($H$3*'Alternative 1'!$B$39+(($N$62/3)*COS($K$63)))),($H93*'Alternative 1'!$B$39))))</f>
        <v>62908.736721801004</v>
      </c>
      <c r="BD93" s="105" t="e">
        <f>BB93*'Alternative 1'!$K94/'Alternative 1'!$L94</f>
        <v>#DIV/0!</v>
      </c>
      <c r="BE93" s="105" t="e">
        <f>BC93/'Alternative 1'!$M94</f>
        <v>#DIV/0!</v>
      </c>
      <c r="BF93" s="105" t="e">
        <f t="shared" si="26"/>
        <v>#DIV/0!</v>
      </c>
      <c r="BH93" s="105">
        <f>'Alternative 1'!$B$39*$B93*$C93*COS($K$73)-($N$72/3)*$E93*SIN($K$73)-($N$72/3)*$F93*SIN($K$73)-($N$72/3)*$G93*SIN($K$73)</f>
        <v>0</v>
      </c>
      <c r="BI93" s="106">
        <f>IF(($A93&lt;'Alternative 1'!$B$27),(($H93*'Alternative 1'!$B$39)+(3*($N$72/3)*COS($K$73))),IF(($A93&lt;'Alternative 1'!$B$28),(($H93*'Alternative 1'!$B$39)+(2*(($N$72/3)*COS($K$73)))),IF(($A93&lt;'Alternative 1'!$B$29),(($H$3*'Alternative 1'!$B$39+(($N$72/3)*COS($K$73)))),($H93*'Alternative 1'!$B$39))))</f>
        <v>27492.328331770146</v>
      </c>
      <c r="BJ93" s="105" t="e">
        <f>BH93*'Alternative 1'!$K94/'Alternative 1'!$L94</f>
        <v>#DIV/0!</v>
      </c>
      <c r="BK93" s="105" t="e">
        <f>BI93/'Alternative 1'!$M94</f>
        <v>#DIV/0!</v>
      </c>
      <c r="BL93" s="105" t="e">
        <f t="shared" si="27"/>
        <v>#DIV/0!</v>
      </c>
      <c r="BN93" s="105">
        <f>'Alternative 1'!$B$39*$B93*$C93*COS($K$83)-($N$82/3)*$E93*SIN($K$83)-($N$82/3)*$F93*SIN($K$83)-($N$82/3)*$G93*SIN($K$83)</f>
        <v>0</v>
      </c>
      <c r="BO93" s="106">
        <f>IF(($A93&lt;'Alternative 1'!$B$27),(($H93*'Alternative 1'!$B$39)+(3*($N$82/3)*COS($K$83))),IF(($A93&lt;'Alternative 1'!$B$28),(($H93*'Alternative 1'!$B$39)+(2*(($N$82/3)*COS($K$83)))),IF(($A93&lt;'Alternative 1'!$B$29),(($H$3*'Alternative 1'!$B$39+(($N$82/3)*COS($K$83)))),($H93*'Alternative 1'!$B$39))))</f>
        <v>7068.8500919483859</v>
      </c>
      <c r="BP93" s="105" t="e">
        <f>BN93*'Alternative 1'!$K94/'Alternative 1'!$L94</f>
        <v>#DIV/0!</v>
      </c>
      <c r="BQ93" s="105" t="e">
        <f>BO93/'Alternative 1'!$M94</f>
        <v>#DIV/0!</v>
      </c>
      <c r="BR93" s="105" t="e">
        <f t="shared" si="28"/>
        <v>#DIV/0!</v>
      </c>
      <c r="BT93" s="105">
        <f>'Alternative 1'!$B$39*$B93*$C93*COS($K$93)-($K$92/3)*$E93*SIN($K$93)-($K$92/3)*$F93*SIN($K$93)-($K$92/3)*$G93*SIN($K$93)</f>
        <v>0</v>
      </c>
      <c r="BU93" s="106">
        <f>IF(($A93&lt;'Alternative 1'!$B$27),(($H93*'Alternative 1'!$B$39)+(3*($N$92/3)*COS($K$93))),IF(($A93&lt;'Alternative 1'!$B$28),(($H93*'Alternative 1'!$B$39)+(2*(($N$92/3)*COS($K$93)))),IF(($A93&lt;'Alternative 1'!$B$29),(($H$3*'Alternative 1'!$B$39+(($N$92/3)*COS($K$93)))),($H93*'Alternative 1'!$B$39))))</f>
        <v>2.2440741560818368E-13</v>
      </c>
      <c r="BV93" s="105" t="e">
        <f>BT93*'Alternative 1'!$K94/'Alternative 1'!$L94</f>
        <v>#DIV/0!</v>
      </c>
      <c r="BW93" s="105" t="e">
        <f>BU93/'Alternative 1'!$M94</f>
        <v>#DIV/0!</v>
      </c>
      <c r="BX93" s="105" t="e">
        <f t="shared" si="29"/>
        <v>#DIV/0!</v>
      </c>
    </row>
    <row r="94" spans="1:76" ht="15" customHeight="1" x14ac:dyDescent="0.25">
      <c r="BT94" s="105"/>
      <c r="BU94" s="106"/>
      <c r="BV94" s="105"/>
      <c r="BW94" s="105"/>
      <c r="BX94" s="105"/>
    </row>
    <row r="95" spans="1:76" ht="15" customHeight="1" x14ac:dyDescent="0.25"/>
    <row r="96" spans="1:76" ht="15" customHeight="1" x14ac:dyDescent="0.25">
      <c r="V96" s="105">
        <f>MAX(V3:V38)</f>
        <v>10.121945882682787</v>
      </c>
      <c r="AB96" s="105">
        <f>MAX(AB3:AB38)</f>
        <v>4.6758896290333505</v>
      </c>
      <c r="AH96" s="105">
        <f>MAX(AH3:AH38)</f>
        <v>6.1498054910115121</v>
      </c>
      <c r="AN96" s="105">
        <f>MAX(AN3:AN38)</f>
        <v>6.0932284232059493</v>
      </c>
      <c r="AT96" s="105">
        <f>MAX(AT3:AT38)</f>
        <v>5.5195075486080478</v>
      </c>
      <c r="AZ96" s="105">
        <f>MAX(AZ3:AZ38)</f>
        <v>4.6363662233308514</v>
      </c>
      <c r="BF96" s="105">
        <f>MAX(BF3:BF38)</f>
        <v>3.5333509318210425</v>
      </c>
      <c r="BL96" s="105">
        <f>MAX(BL3:BL38)</f>
        <v>2.2705872232142976</v>
      </c>
      <c r="BR96" s="105">
        <f>MAX(BR3:BR38)</f>
        <v>0.89916722806159854</v>
      </c>
      <c r="BX96" s="105">
        <f>MAX(BX3:BX38)</f>
        <v>0.16451253456070544</v>
      </c>
    </row>
  </sheetData>
  <mergeCells count="25">
    <mergeCell ref="BZ1:CA1"/>
    <mergeCell ref="BT1:BX1"/>
    <mergeCell ref="BN1:BR1"/>
    <mergeCell ref="AJ1:AN1"/>
    <mergeCell ref="AP1:AT1"/>
    <mergeCell ref="AV1:AZ1"/>
    <mergeCell ref="BB1:BF1"/>
    <mergeCell ref="BH1:BL1"/>
    <mergeCell ref="AO1:AO1048576"/>
    <mergeCell ref="BY1:BY1048576"/>
    <mergeCell ref="AU1:AU1048576"/>
    <mergeCell ref="BA1:BA1048576"/>
    <mergeCell ref="BG1:BG1048576"/>
    <mergeCell ref="BM1:BM1048576"/>
    <mergeCell ref="BS1:BS1048576"/>
    <mergeCell ref="AI1:AI1048576"/>
    <mergeCell ref="A1:H1"/>
    <mergeCell ref="R1:V1"/>
    <mergeCell ref="X1:AB1"/>
    <mergeCell ref="AD1:AH1"/>
    <mergeCell ref="I1:I1048576"/>
    <mergeCell ref="K1:P1"/>
    <mergeCell ref="Q1:Q1048576"/>
    <mergeCell ref="W1:W1048576"/>
    <mergeCell ref="AC1:AC1048576"/>
  </mergeCell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A96"/>
  <sheetViews>
    <sheetView topLeftCell="BK1" zoomScale="70" zoomScaleNormal="70" workbookViewId="0">
      <selection activeCell="BZ1" sqref="BZ1:CA1"/>
    </sheetView>
  </sheetViews>
  <sheetFormatPr defaultColWidth="9.140625" defaultRowHeight="15" x14ac:dyDescent="0.25"/>
  <cols>
    <col min="1" max="1" width="9.140625" style="18"/>
    <col min="2" max="2" width="12.28515625" style="18" customWidth="1"/>
    <col min="3" max="4" width="9.140625" style="18"/>
    <col min="5" max="5" width="13.42578125" style="101" customWidth="1"/>
    <col min="6" max="7" width="13.85546875" style="101" customWidth="1"/>
    <col min="8" max="8" width="14" style="18" customWidth="1"/>
    <col min="9" max="9" width="1.28515625" style="198" customWidth="1"/>
    <col min="10" max="10" width="0" style="18" hidden="1" customWidth="1"/>
    <col min="11" max="11" width="11.42578125" style="18" customWidth="1"/>
    <col min="12" max="12" width="9.140625" style="18"/>
    <col min="13" max="13" width="16.42578125" style="18" customWidth="1"/>
    <col min="14" max="14" width="17.28515625" style="18" customWidth="1"/>
    <col min="15" max="15" width="14.7109375" style="18" customWidth="1"/>
    <col min="16" max="16" width="17.28515625" style="18" customWidth="1"/>
    <col min="17" max="17" width="1.28515625" style="198" customWidth="1"/>
    <col min="18" max="19" width="18.28515625" style="18" customWidth="1"/>
    <col min="20" max="22" width="18.85546875" style="18" customWidth="1"/>
    <col min="23" max="23" width="1.28515625" style="198" customWidth="1"/>
    <col min="24" max="28" width="18.7109375" style="18" customWidth="1"/>
    <col min="29" max="29" width="1.28515625" style="198" customWidth="1"/>
    <col min="30" max="34" width="18.28515625" style="18" customWidth="1"/>
    <col min="35" max="35" width="1.28515625" style="198" customWidth="1"/>
    <col min="36" max="40" width="19.7109375" style="18" customWidth="1"/>
    <col min="41" max="41" width="1.28515625" style="198" customWidth="1"/>
    <col min="42" max="46" width="20.85546875" style="18" customWidth="1"/>
    <col min="47" max="47" width="1.28515625" style="198" customWidth="1"/>
    <col min="48" max="52" width="20.5703125" style="18" customWidth="1"/>
    <col min="53" max="53" width="1.28515625" style="198" customWidth="1"/>
    <col min="54" max="58" width="19.42578125" style="18" customWidth="1"/>
    <col min="59" max="59" width="1.28515625" style="198" customWidth="1"/>
    <col min="60" max="64" width="18.42578125" style="18" customWidth="1"/>
    <col min="65" max="65" width="1.28515625" style="198" customWidth="1"/>
    <col min="66" max="70" width="17.7109375" style="18" customWidth="1"/>
    <col min="71" max="71" width="1.28515625" style="198" customWidth="1"/>
    <col min="72" max="73" width="18.5703125" style="18" customWidth="1"/>
    <col min="74" max="74" width="17.28515625" style="18" bestFit="1" customWidth="1"/>
    <col min="75" max="76" width="17.28515625" style="18" customWidth="1"/>
    <col min="77" max="77" width="5.140625" style="198" customWidth="1"/>
    <col min="78" max="78" width="19.28515625" style="18" customWidth="1"/>
    <col min="79" max="79" width="18.5703125" style="18" customWidth="1"/>
    <col min="80" max="16384" width="9.140625" style="18"/>
  </cols>
  <sheetData>
    <row r="1" spans="1:79" ht="45" customHeight="1" x14ac:dyDescent="0.25">
      <c r="A1" s="190" t="s">
        <v>132</v>
      </c>
      <c r="B1" s="190"/>
      <c r="C1" s="190"/>
      <c r="D1" s="190"/>
      <c r="E1" s="190"/>
      <c r="F1" s="190"/>
      <c r="G1" s="190"/>
      <c r="H1" s="190"/>
      <c r="K1" s="190" t="s">
        <v>133</v>
      </c>
      <c r="L1" s="190"/>
      <c r="M1" s="190"/>
      <c r="N1" s="190"/>
      <c r="O1" s="190"/>
      <c r="P1" s="190"/>
      <c r="R1" s="190" t="s">
        <v>134</v>
      </c>
      <c r="S1" s="190"/>
      <c r="T1" s="190"/>
      <c r="U1" s="190"/>
      <c r="V1" s="190"/>
      <c r="X1" s="190" t="s">
        <v>135</v>
      </c>
      <c r="Y1" s="190"/>
      <c r="Z1" s="190"/>
      <c r="AA1" s="190"/>
      <c r="AB1" s="190"/>
      <c r="AD1" s="190" t="s">
        <v>136</v>
      </c>
      <c r="AE1" s="190"/>
      <c r="AF1" s="190"/>
      <c r="AG1" s="190"/>
      <c r="AH1" s="190"/>
      <c r="AJ1" s="190" t="s">
        <v>137</v>
      </c>
      <c r="AK1" s="190"/>
      <c r="AL1" s="190"/>
      <c r="AM1" s="190"/>
      <c r="AN1" s="190"/>
      <c r="AP1" s="190" t="s">
        <v>138</v>
      </c>
      <c r="AQ1" s="190"/>
      <c r="AR1" s="190"/>
      <c r="AS1" s="190"/>
      <c r="AT1" s="190"/>
      <c r="AV1" s="190" t="s">
        <v>139</v>
      </c>
      <c r="AW1" s="190"/>
      <c r="AX1" s="190"/>
      <c r="AY1" s="190"/>
      <c r="AZ1" s="190"/>
      <c r="BB1" s="190" t="s">
        <v>140</v>
      </c>
      <c r="BC1" s="190"/>
      <c r="BD1" s="190"/>
      <c r="BE1" s="190"/>
      <c r="BF1" s="190"/>
      <c r="BH1" s="190" t="s">
        <v>141</v>
      </c>
      <c r="BI1" s="190"/>
      <c r="BJ1" s="190"/>
      <c r="BK1" s="190"/>
      <c r="BL1" s="190"/>
      <c r="BN1" s="190" t="s">
        <v>142</v>
      </c>
      <c r="BO1" s="190"/>
      <c r="BP1" s="190"/>
      <c r="BQ1" s="190"/>
      <c r="BR1" s="190"/>
      <c r="BT1" s="190" t="s">
        <v>143</v>
      </c>
      <c r="BU1" s="190"/>
      <c r="BV1" s="190"/>
      <c r="BW1" s="190"/>
      <c r="BX1" s="190"/>
      <c r="BZ1" s="246" t="s">
        <v>225</v>
      </c>
      <c r="CA1" s="247"/>
    </row>
    <row r="2" spans="1:79" ht="60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110" t="s">
        <v>182</v>
      </c>
      <c r="F2" s="110" t="s">
        <v>181</v>
      </c>
      <c r="G2" s="110" t="s">
        <v>183</v>
      </c>
      <c r="H2" s="99" t="s">
        <v>158</v>
      </c>
      <c r="J2" s="18" t="s">
        <v>122</v>
      </c>
      <c r="K2" s="100" t="s">
        <v>123</v>
      </c>
      <c r="L2" s="99" t="s">
        <v>129</v>
      </c>
      <c r="M2" s="99" t="s">
        <v>125</v>
      </c>
      <c r="N2" s="99" t="s">
        <v>126</v>
      </c>
      <c r="O2" s="100" t="s">
        <v>127</v>
      </c>
      <c r="P2" s="100" t="s">
        <v>128</v>
      </c>
      <c r="R2" s="99" t="s">
        <v>113</v>
      </c>
      <c r="S2" s="99" t="s">
        <v>157</v>
      </c>
      <c r="T2" s="100" t="s">
        <v>153</v>
      </c>
      <c r="U2" s="100" t="s">
        <v>155</v>
      </c>
      <c r="V2" s="100" t="s">
        <v>156</v>
      </c>
      <c r="X2" s="99" t="s">
        <v>113</v>
      </c>
      <c r="Y2" s="99" t="s">
        <v>157</v>
      </c>
      <c r="Z2" s="100" t="s">
        <v>153</v>
      </c>
      <c r="AA2" s="100" t="s">
        <v>155</v>
      </c>
      <c r="AB2" s="100" t="s">
        <v>156</v>
      </c>
      <c r="AD2" s="99" t="s">
        <v>113</v>
      </c>
      <c r="AE2" s="99" t="s">
        <v>157</v>
      </c>
      <c r="AF2" s="100" t="s">
        <v>153</v>
      </c>
      <c r="AG2" s="100" t="s">
        <v>155</v>
      </c>
      <c r="AH2" s="100" t="s">
        <v>156</v>
      </c>
      <c r="AJ2" s="99" t="s">
        <v>113</v>
      </c>
      <c r="AK2" s="99" t="s">
        <v>157</v>
      </c>
      <c r="AL2" s="100" t="s">
        <v>153</v>
      </c>
      <c r="AM2" s="100" t="s">
        <v>155</v>
      </c>
      <c r="AN2" s="100" t="s">
        <v>156</v>
      </c>
      <c r="AP2" s="99" t="s">
        <v>113</v>
      </c>
      <c r="AQ2" s="99" t="s">
        <v>157</v>
      </c>
      <c r="AR2" s="100" t="s">
        <v>153</v>
      </c>
      <c r="AS2" s="100" t="s">
        <v>155</v>
      </c>
      <c r="AT2" s="100" t="s">
        <v>156</v>
      </c>
      <c r="AV2" s="99" t="s">
        <v>113</v>
      </c>
      <c r="AW2" s="99" t="s">
        <v>157</v>
      </c>
      <c r="AX2" s="100" t="s">
        <v>153</v>
      </c>
      <c r="AY2" s="100" t="s">
        <v>155</v>
      </c>
      <c r="AZ2" s="100" t="s">
        <v>156</v>
      </c>
      <c r="BB2" s="99" t="s">
        <v>113</v>
      </c>
      <c r="BC2" s="99" t="s">
        <v>157</v>
      </c>
      <c r="BD2" s="100" t="s">
        <v>153</v>
      </c>
      <c r="BE2" s="100" t="s">
        <v>155</v>
      </c>
      <c r="BF2" s="100" t="s">
        <v>156</v>
      </c>
      <c r="BH2" s="99" t="s">
        <v>113</v>
      </c>
      <c r="BI2" s="99" t="s">
        <v>157</v>
      </c>
      <c r="BJ2" s="100" t="s">
        <v>153</v>
      </c>
      <c r="BK2" s="100" t="s">
        <v>155</v>
      </c>
      <c r="BL2" s="100" t="s">
        <v>156</v>
      </c>
      <c r="BN2" s="99" t="s">
        <v>113</v>
      </c>
      <c r="BO2" s="99" t="s">
        <v>157</v>
      </c>
      <c r="BP2" s="100" t="s">
        <v>153</v>
      </c>
      <c r="BQ2" s="100" t="s">
        <v>155</v>
      </c>
      <c r="BR2" s="100" t="s">
        <v>156</v>
      </c>
      <c r="BT2" s="99" t="s">
        <v>113</v>
      </c>
      <c r="BU2" s="99" t="s">
        <v>157</v>
      </c>
      <c r="BV2" s="100" t="s">
        <v>153</v>
      </c>
      <c r="BW2" s="100" t="s">
        <v>155</v>
      </c>
      <c r="BX2" s="100" t="s">
        <v>156</v>
      </c>
      <c r="BZ2" s="99" t="s">
        <v>191</v>
      </c>
      <c r="CA2" s="99" t="s">
        <v>190</v>
      </c>
    </row>
    <row r="3" spans="1:79" ht="15" customHeight="1" x14ac:dyDescent="0.25">
      <c r="A3" s="18">
        <f>IF('Alternative 2'!F4&gt;0,'Alternative 2'!F4,"x")</f>
        <v>1</v>
      </c>
      <c r="B3" s="18">
        <f>IF('Alternative 2'!B12&gt;0,'Alternative 2'!B12,"x")</f>
        <v>23</v>
      </c>
      <c r="C3" s="18">
        <f>IF((A3="x"),0,C4+0.5)</f>
        <v>11.5</v>
      </c>
      <c r="D3" s="18">
        <f>A3</f>
        <v>1</v>
      </c>
      <c r="E3" s="101">
        <f>IF($A3&lt;='Alternative 2'!$B$27, IF($A3='Alternative 2'!$B$27,0,E4+1),0)</f>
        <v>9</v>
      </c>
      <c r="F3" s="101">
        <f>IF($A3&lt;=('Alternative 2'!$B$28), IF($A3=ROUNDDOWN('Alternative 2'!$B$28,0),0,F4+1),0)</f>
        <v>13</v>
      </c>
      <c r="G3" s="101">
        <f>IF($A3&lt;=('Alternative 2'!$B$29), IF($A3=ROUNDDOWN('Alternative 2'!$B$29,0),0,G4+1),0)</f>
        <v>17</v>
      </c>
      <c r="H3" s="18">
        <f>B3</f>
        <v>23</v>
      </c>
      <c r="J3" s="103">
        <v>0</v>
      </c>
      <c r="K3" s="103"/>
      <c r="L3" s="18">
        <f>'Alternative 2'!$B$27*SIN(K3)+'Alternative 2'!$B$28*SIN(K3)+'Alternative 2'!$B$29*SIN(K3)</f>
        <v>0</v>
      </c>
      <c r="M3" s="104">
        <f>(('Alternative 2'!$B$27)*(((('Alternative 2'!$B$28-'Alternative 2'!$B$27)/2)+'Alternative 2'!$B$27)*'Alternative 2'!$B$39)*COS('Alternative 2-Tilt Up (3pt)'!K3))+(('Alternative 2'!$B$28)*((('Alternative 2'!$B$28-'Alternative 2'!$B$27)/2)+(('Alternative 2'!$B$29-'Alternative 2'!$B$28)/2))*('Alternative 2'!$B$39)*COS('Alternative 2-Tilt Up (3pt)'!K3))+(('Alternative 2'!$B$29)*((('Alternative 2'!$B$12-'Alternative 2'!$B$29+(('Alternative 2'!$B$29-'Alternative 2'!$B$28)/2)*('Alternative 2'!$B$39)*COS('Alternative 2-Tilt Up (3pt)'!K3)))))</f>
        <v>609800.81527022237</v>
      </c>
      <c r="N3" s="104" t="e">
        <f t="shared" ref="N3:N66" si="0">M3*3/L3</f>
        <v>#DIV/0!</v>
      </c>
      <c r="O3" s="104">
        <f>(((('Alternative 2'!$B$28-'Alternative 2'!$B$27)/2)+'Alternative 2'!$B$27)*('Alternative 2'!$B$39)*COS('Alternative 2-Tilt Up (3pt)'!K3))+(((('Alternative 2'!$B$28-'Alternative 2'!$B$27)/2)+(('Alternative 2'!$B$29-'Alternative 2'!$B$28)/2))*('Alternative 2'!$B$39)*COS('Alternative 2-Tilt Up (3pt)'!K3))+(((('Alternative 2'!$B$12-'Alternative 2'!$B$29)+(('Alternative 2'!$B$29-'Alternative 2'!$B$28)/2))*('Alternative 2'!$B$39)*COS('Alternative 2-Tilt Up (3pt)'!K3)))</f>
        <v>62577.839273813101</v>
      </c>
      <c r="P3" s="104" t="e">
        <f t="shared" ref="P3:P66" si="1">N3*COS(K3)</f>
        <v>#DIV/0!</v>
      </c>
      <c r="R3" s="105">
        <f>('Alternative 2'!$B$39*$B3*$C3*COS($K$5))-(($N$5/3)*$E3*SIN($K$5))-(($N$5/3)*$F3*SIN($K$5))-(($N$5/3)*$G3*SIN($K$5))</f>
        <v>166339.90524127166</v>
      </c>
      <c r="S3" s="106">
        <f>IF(($A3&lt;'Alternative 2'!$B$27),(($H3*'Alternative 2'!$B$39)+(3*($N$5/3)*COS($K$5))),IF(($A3&lt;'Alternative 2'!$B$28),(($H3*'Alternative 2'!$B$39)+(2*(($N$5/3)*COS($K$5)))),IF(($A3&lt;'Alternative 2'!$B$29),(($H$3*'Alternative 2'!$B$39+(($N$5/3)*COS($K$5)))),($H3*'Alternative 2'!$B$39))))</f>
        <v>1280426.7145156465</v>
      </c>
      <c r="T3" s="105">
        <f>R3*'Alternative 2'!$K4/'Alternative 2'!$L4</f>
        <v>2647384.0514082308</v>
      </c>
      <c r="U3" s="105">
        <f>S3/'Alternative 2'!$M4</f>
        <v>921038.14378783421</v>
      </c>
      <c r="V3" s="105">
        <f t="shared" ref="V3:V66" si="2">(T3+U3)/1000000</f>
        <v>3.5684221951960651</v>
      </c>
      <c r="X3" s="105">
        <f>'Alternative 2'!$B$39*$B3*$C3*COS($K$13)-($N$12/3)*$E3*SIN($K$13)-($N$12/3)*$F3*SIN($K$13)-($N$12/3)*$G3*SIN($K$13)</f>
        <v>102194.2602049706</v>
      </c>
      <c r="Y3" s="106">
        <f>IF(($A3&lt;'Alternative 2'!$B$27),(($H3*'Alternative 2'!$B$39)+(3*($N$12/3)*COS($K$13))),IF(($A3&lt;'Alternative 2'!$B$28),(($H3*'Alternative 2'!$B$39)+(2*(($N$12/3)*COS($K$13)))),IF(($A3&lt;'Alternative 2'!$B$29),(($H$3*'Alternative 2'!$B$39+(($N$12/3)*COS($K$13)))),($H3*'Alternative 2'!$B$39))))</f>
        <v>327172.74223784608</v>
      </c>
      <c r="Z3" s="105">
        <f>X3*'Alternative 2'!$K4/'Alternative 2'!$L4</f>
        <v>1626473.5405474713</v>
      </c>
      <c r="AA3" s="105">
        <f>Y3/'Alternative 2'!$M4</f>
        <v>235342.30564902746</v>
      </c>
      <c r="AB3" s="105">
        <f t="shared" ref="AB3:AB66" si="3">(Z3+AA3)/1000000</f>
        <v>1.8618158461964986</v>
      </c>
      <c r="AD3" s="105">
        <f>'Alternative 2'!$B$39*$B3*$C3*COS($K$23)-($N$22/3)*$E3*SIN($K$23)-($N$22/3)*$F3*SIN($K$23)-($N$22/3)*$G3*SIN($K$23)</f>
        <v>126744.45219363639</v>
      </c>
      <c r="AE3" s="106">
        <f>IF(($A3&lt;'Alternative 2'!$B$27),(($H3*'Alternative 2'!$B$39)+(3*($N$22/3)*COS($K$23))),IF(($A3&lt;'Alternative 2'!$B$28),(($H3*'Alternative 2'!$B$39)+(2*(($N$22/3)*COS($K$23)))),IF(($A3&lt;'Alternative 2'!$B$29),(($H$3*'Alternative 2'!$B$39+(($N$22/3)*COS($K$23)))),($H3*'Alternative 2'!$B$39))))</f>
        <v>178711.76255021445</v>
      </c>
      <c r="AF3" s="105">
        <f>AD3*'Alternative 2'!$K4/'Alternative 2'!$L4</f>
        <v>2017202.3114670659</v>
      </c>
      <c r="AG3" s="105">
        <f>AE3/'Alternative 2'!$M4</f>
        <v>128551.16828343114</v>
      </c>
      <c r="AH3" s="105">
        <f t="shared" ref="AH3:AH66" si="4">(AF3+AG3)/1000000</f>
        <v>2.1457534797504971</v>
      </c>
      <c r="AJ3" s="105">
        <f>'Alternative 2'!$B$39*$B3*$C3*COS($K$33)-($N$32/3)*$E3*SIN($K$33)-($N$32/3)*$F3*SIN($K$33)-($N$32/3)*$G3*SIN($K$33)</f>
        <v>124218.43707761102</v>
      </c>
      <c r="AK3" s="106">
        <f>IF(($A3&lt;'Alternative 2'!$B$27),(($H3*'Alternative 2'!$B$39)+(3*($N$32/3)*COS($K$33))),IF(($A3&lt;'Alternative 2'!$B$28),(($H3*'Alternative 2'!$B$39)+(2*(($N$32/3)*COS($K$33)))),IF(($A3&lt;'Alternative 2'!$B$29),(($H$3*'Alternative 2'!$B$39+(($N$32/3)*COS($K$33)))),($H3*'Alternative 2'!$B$39))))</f>
        <v>129063.61490597128</v>
      </c>
      <c r="AL3" s="105">
        <f>AJ3*'Alternative 2'!$K4/'Alternative 2'!$L4</f>
        <v>1976999.4983051736</v>
      </c>
      <c r="AM3" s="105">
        <f>AK3/'Alternative 2'!$M4</f>
        <v>92838.200699764493</v>
      </c>
      <c r="AN3" s="105">
        <f t="shared" ref="AN3:AN66" si="5">(AL3+AM3)/1000000</f>
        <v>2.0698376990049381</v>
      </c>
      <c r="AP3" s="105">
        <f>'Alternative 2'!$B$39*$B3*$C3*COS($K$43)-($N$42/3)*$E3*SIN($K$43)-($N$42/3)*$F3*SIN($K$43)-($N$42/3)*$G3*SIN($K$43)</f>
        <v>112143.21166672625</v>
      </c>
      <c r="AQ3" s="106">
        <f>IF(($A3&lt;'Alternative 2'!$B$27),(($H3*'Alternative 2'!$B$39)+(3*($N$42/3)*COS($K$43))),IF(($A3&lt;'Alternative 2'!$B$28),(($H3*'Alternative 2'!$B$39)+(2*(($N$42/3)*COS($K$43)))),IF(($A3&lt;'Alternative 2'!$B$29),(($H$3*'Alternative 2'!$B$39+(($N$42/3)*COS($K$43)))),($H3*'Alternative 2'!$B$39))))</f>
        <v>102834.99674034741</v>
      </c>
      <c r="AR3" s="105">
        <f>AP3*'Alternative 2'!$K4/'Alternative 2'!$L4</f>
        <v>1784816.1546657307</v>
      </c>
      <c r="AS3" s="105">
        <f>AQ3/'Alternative 2'!$M4</f>
        <v>73971.39831621357</v>
      </c>
      <c r="AT3" s="105">
        <f t="shared" ref="AT3:AT66" si="6">(AR3+AS3)/1000000</f>
        <v>1.8587875529819442</v>
      </c>
      <c r="AV3" s="105">
        <f>'Alternative 2'!$B$39*$B3*$C3*COS($K$53)-($N$52/3)*$E3*SIN($K$53)-($N$52/3)*$F3*SIN($K$53)-($N$52/3)*$G3*SIN($K$53)</f>
        <v>94168.130969493213</v>
      </c>
      <c r="AW3" s="106">
        <f>IF(($A3&lt;'Alternative 2'!$B$27),(($H3*'Alternative 2'!$B$39)+(3*($N$52/3)*COS($K$53))),IF(($A3&lt;'Alternative 2'!$B$28),(($H3*'Alternative 2'!$B$39)+(2*(($N$52/3)*COS($K$53)))),IF(($A3&lt;'Alternative 2'!$B$29),(($H$3*'Alternative 2'!$B$39+(($N$52/3)*COS($K$53)))),($H3*'Alternative 2'!$B$39))))</f>
        <v>86357.332603949326</v>
      </c>
      <c r="AX3" s="105">
        <f>AV3*'Alternative 2'!$K4/'Alternative 2'!$L4</f>
        <v>1498733.6184781147</v>
      </c>
      <c r="AY3" s="105">
        <f>AW3/'Alternative 2'!$M4</f>
        <v>62118.664365806755</v>
      </c>
      <c r="AZ3" s="105">
        <f t="shared" ref="AZ3:AZ66" si="7">(AX3+AY3)/1000000</f>
        <v>1.5608522828439215</v>
      </c>
      <c r="BB3" s="105">
        <f>'Alternative 2'!$B$39*$B3*$C3*COS($K$63)-($N$62/3)*$E3*SIN($K$63)-($N$62/3)*$F3*SIN($K$63)-($N$62/3)*$G3*SIN($K$63)</f>
        <v>71921.133891305974</v>
      </c>
      <c r="BC3" s="106">
        <f>IF(($A3&lt;'Alternative 2'!$B$27),(($H3*'Alternative 2'!$B$39)+(3*($N$62/3)*COS($K$63))),IF(($A3&lt;'Alternative 2'!$B$28),(($H3*'Alternative 2'!$B$39)+(2*(($N$62/3)*COS($K$63)))),IF(($A3&lt;'Alternative 2'!$B$29),(($H$3*'Alternative 2'!$B$39+(($N$62/3)*COS($K$63)))),($H3*'Alternative 2'!$B$39))))</f>
        <v>75363.991196902949</v>
      </c>
      <c r="BD3" s="105">
        <f>BB3*'Alternative 2'!$K4/'Alternative 2'!$L4</f>
        <v>1144661.3640116306</v>
      </c>
      <c r="BE3" s="105">
        <f>BC3/'Alternative 2'!$M4</f>
        <v>54210.920292064839</v>
      </c>
      <c r="BF3" s="105">
        <f t="shared" ref="BF3:BF66" si="8">(BD3+BE3)/1000000</f>
        <v>1.1988722843036954</v>
      </c>
      <c r="BH3" s="105">
        <f>'Alternative 2'!$B$39*$B3*$C3*COS($K$73)-($N$72/3)*$E3*SIN($K$73)-($N$72/3)*$F3*SIN($K$73)-($N$72/3)*$G3*SIN($K$73)</f>
        <v>46537.219424320618</v>
      </c>
      <c r="BI3" s="106">
        <f>IF(($A3&lt;'Alternative 2'!$B$27),(($H3*'Alternative 2'!$B$39)+(3*($N$72/3)*COS($K$73))),IF(($A3&lt;'Alternative 2'!$B$28),(($H3*'Alternative 2'!$B$39)+(2*(($N$72/3)*COS($K$73)))),IF(($A3&lt;'Alternative 2'!$B$29),(($H$3*'Alternative 2'!$B$39+(($N$72/3)*COS($K$73)))),($H3*'Alternative 2'!$B$39))))</f>
        <v>68166.067982275825</v>
      </c>
      <c r="BJ3" s="105">
        <f>BH3*'Alternative 2'!$K4/'Alternative 2'!$L4</f>
        <v>740663.4765249542</v>
      </c>
      <c r="BK3" s="105">
        <f>BI3/'Alternative 2'!$M4</f>
        <v>49033.301173710752</v>
      </c>
      <c r="BL3" s="105">
        <f t="shared" ref="BL3:BL66" si="9">(BJ3+BK3)/1000000</f>
        <v>0.78969677769866498</v>
      </c>
      <c r="BN3" s="105">
        <f>'Alternative 2'!$B$39*$B3*$C3*COS($K$83)-($N$82/3)*$E3*SIN($K$83)-($N$82/3)*$F3*SIN($K$83)-($N$82/3)*$G3*SIN($K$83)</f>
        <v>19007.150823195589</v>
      </c>
      <c r="BO3" s="106">
        <f>IF(($A3&lt;'Alternative 2'!$B$27),(($H3*'Alternative 2'!$B$39)+(3*($N$82/3)*COS($K$83))),IF(($A3&lt;'Alternative 2'!$B$28),(($H3*'Alternative 2'!$B$39)+(2*(($N$82/3)*COS($K$83)))),IF(($A3&lt;'Alternative 2'!$B$29),(($H$3*'Alternative 2'!$B$39+(($N$82/3)*COS($K$83)))),($H3*'Alternative 2'!$B$39))))</f>
        <v>64015.011567723617</v>
      </c>
      <c r="BP3" s="105">
        <f>BN3*'Alternative 2'!$K4/'Alternative 2'!$L4</f>
        <v>302508.45627843845</v>
      </c>
      <c r="BQ3" s="105">
        <f>BO3/'Alternative 2'!$M4</f>
        <v>46047.358088116816</v>
      </c>
      <c r="BR3" s="105">
        <f t="shared" ref="BR3:BR66" si="10">(BP3+BQ3)/1000000</f>
        <v>0.34855581436655525</v>
      </c>
      <c r="BT3" s="105">
        <f>'Alternative 2'!$B$39*$B3*$C3*COS($K$93)-($K$92/3)*$E3*SIN($K$93)-($K$92/3)*$F3*SIN($K$93)-($K$92/3)*$G3*SIN($K$93)</f>
        <v>-20.193459445530308</v>
      </c>
      <c r="BU3" s="106">
        <f>IF(($A3&lt;'Alternative 2'!$B$27),(($H3*'Alternative 2'!$B$39)+(3*($N$92/3)*COS($K$93))),IF(($A3&lt;'Alternative 2'!$B$28),(($H3*'Alternative 2'!$B$39)+(2*(($N$92/3)*COS($K$93)))),IF(($A3&lt;'Alternative 2'!$B$29),(($H$3*'Alternative 2'!$B$39+(($N$92/3)*COS($K$93)))),($H3*'Alternative 2'!$B$39))))</f>
        <v>62577.839273813101</v>
      </c>
      <c r="BV3" s="105">
        <f>BT3*'Alternative 2'!$K4/'Alternative 2'!$L4</f>
        <v>-321.38916035399762</v>
      </c>
      <c r="BW3" s="105">
        <f>BU3/'Alternative 2'!$M4</f>
        <v>45013.569518352895</v>
      </c>
      <c r="BX3" s="105">
        <f t="shared" ref="BX3:BX66" si="11">(BV3+BW3)/1000000</f>
        <v>4.4692180357998899E-2</v>
      </c>
      <c r="BZ3" s="104">
        <v>150</v>
      </c>
      <c r="CA3" s="104">
        <v>-150</v>
      </c>
    </row>
    <row r="4" spans="1:79" ht="15" customHeight="1" x14ac:dyDescent="0.25">
      <c r="A4" s="18">
        <f>IF('Alternative 2'!F5&gt;0,'Alternative 2'!F5,"x")</f>
        <v>2</v>
      </c>
      <c r="B4" s="18">
        <f>IF(B3-1&gt;0,B3-1,"x")</f>
        <v>22</v>
      </c>
      <c r="C4" s="18">
        <f t="shared" ref="C4:C67" si="12">IF((A4="x"),0,C5+0.5)</f>
        <v>11</v>
      </c>
      <c r="D4" s="18">
        <f t="shared" ref="D4:D67" si="13">A4</f>
        <v>2</v>
      </c>
      <c r="E4" s="101">
        <f>IF($A4&lt;='Alternative 2'!$B$27, IF($A4='Alternative 2'!$B$27,0,E5+1),0)</f>
        <v>8</v>
      </c>
      <c r="F4" s="101">
        <f>IF($A4&lt;=('Alternative 2'!$B$28), IF($A4=ROUNDDOWN('Alternative 2'!$B$28,0),0,F5+1),0)</f>
        <v>12</v>
      </c>
      <c r="G4" s="101">
        <f>IF($A4&lt;=('Alternative 2'!$B$29), IF($A4=ROUNDDOWN('Alternative 2'!$B$29,0),0,G5+1),0)</f>
        <v>16</v>
      </c>
      <c r="H4" s="18">
        <f t="shared" ref="H4:H67" si="14">B4</f>
        <v>22</v>
      </c>
      <c r="J4" s="104">
        <f t="shared" ref="J4:J67" si="15">J3+1</f>
        <v>1</v>
      </c>
      <c r="K4" s="117">
        <f t="shared" ref="K4:K67" si="16">J4*PI()/180</f>
        <v>1.7453292519943295E-2</v>
      </c>
      <c r="L4" s="105">
        <f>'Alternative 2'!$B$27*SIN(K4)+'Alternative 2'!$B$28*SIN(K4)+'Alternative 2'!$B$29*SIN(K4)</f>
        <v>0.75027895273881828</v>
      </c>
      <c r="M4" s="104">
        <f>(('Alternative 2'!$B$27)*(((('Alternative 2'!$B$28-'Alternative 2'!$B$27)/2)+'Alternative 2'!$B$27)*'Alternative 2'!$B$39)*COS('Alternative 2-Tilt Up (3pt)'!K4))+(('Alternative 2'!$B$28)*((('Alternative 2'!$B$28-'Alternative 2'!$B$27)/2)+(('Alternative 2'!$B$29-'Alternative 2'!$B$28)/2))*('Alternative 2'!$B$39)*COS('Alternative 2-Tilt Up (3pt)'!K4))+(('Alternative 2'!$B$29)*((('Alternative 2'!$B$12-'Alternative 2'!$B$29+(('Alternative 2'!$B$29-'Alternative 2'!$B$28)/2)*('Alternative 2'!$B$39)*COS('Alternative 2-Tilt Up (3pt)'!K4)))))</f>
        <v>609707.9519867365</v>
      </c>
      <c r="N4" s="104">
        <f t="shared" si="0"/>
        <v>2437925.0534526869</v>
      </c>
      <c r="O4" s="104">
        <f>(((('Alternative 2'!$B$28-'Alternative 2'!$B$27)/2)+'Alternative 2'!$B$27)*('Alternative 2'!$B$39)*COS('Alternative 2-Tilt Up (3pt)'!K4))+(((('Alternative 2'!$B$28-'Alternative 2'!$B$27)/2)+(('Alternative 2'!$B$29-'Alternative 2'!$B$28)/2))*('Alternative 2'!$B$39)*COS('Alternative 2-Tilt Up (3pt)'!K4))+(((('Alternative 2'!$B$12-'Alternative 2'!$B$29)+(('Alternative 2'!$B$29-'Alternative 2'!$B$28)/2))*('Alternative 2'!$B$39)*COS('Alternative 2-Tilt Up (3pt)'!K4)))</f>
        <v>62568.308365789126</v>
      </c>
      <c r="P4" s="104">
        <f t="shared" si="1"/>
        <v>2437553.745658691</v>
      </c>
      <c r="R4" s="105">
        <f>('Alternative 2'!$B$39*$B4*$C4*COS($K$5))-(($N$5/3)*$E4*SIN($K$5))-(($N$5/3)*$F4*SIN($K$5))-(($N$5/3)*$G4*SIN($K$5))</f>
        <v>147687.96564325466</v>
      </c>
      <c r="S4" s="106">
        <f>IF(($A4&lt;'Alternative 2'!$B$27),(($H4*'Alternative 2'!$B$39)+(3*($N$5/3)*COS($K$5))),IF(($A4&lt;'Alternative 2'!$B$28),(($H4*'Alternative 2'!$B$39)+(2*(($N$5/3)*COS($K$5)))),IF(($A4&lt;'Alternative 2'!$B$29),(($H$3*'Alternative 2'!$B$39+(($N$5/3)*COS($K$5)))),($H4*'Alternative 2'!$B$39))))</f>
        <v>1277705.9388950458</v>
      </c>
      <c r="T4" s="105">
        <f>R4*'Alternative 2'!$K5/'Alternative 2'!$L5</f>
        <v>2350528.962137877</v>
      </c>
      <c r="U4" s="105">
        <f>S4/'Alternative 2'!$M5</f>
        <v>946721.02746492287</v>
      </c>
      <c r="V4" s="105">
        <f t="shared" si="2"/>
        <v>3.2972499896028</v>
      </c>
      <c r="X4" s="105">
        <f>'Alternative 2'!$B$39*$B4*$C4*COS($K$13)-($N$12/3)*$E4*SIN($K$13)-($N$12/3)*$F4*SIN($K$13)-($N$12/3)*$G4*SIN($K$13)</f>
        <v>88562.059734552051</v>
      </c>
      <c r="Y4" s="106">
        <f>IF(($A4&lt;'Alternative 2'!$B$27),(($H4*'Alternative 2'!$B$39)+(3*($N$12/3)*COS($K$13))),IF(($A4&lt;'Alternative 2'!$B$28),(($H4*'Alternative 2'!$B$39)+(2*(($N$12/3)*COS($K$13)))),IF(($A4&lt;'Alternative 2'!$B$29),(($H$3*'Alternative 2'!$B$39+(($N$12/3)*COS($K$13)))),($H4*'Alternative 2'!$B$39))))</f>
        <v>324451.96661724546</v>
      </c>
      <c r="Z4" s="105">
        <f>X4*'Alternative 2'!$K5/'Alternative 2'!$L5</f>
        <v>1409510.1482776564</v>
      </c>
      <c r="AA4" s="105">
        <f>Y4/'Alternative 2'!$M5</f>
        <v>240403.90660195943</v>
      </c>
      <c r="AB4" s="105">
        <f t="shared" si="3"/>
        <v>1.6499140548796158</v>
      </c>
      <c r="AD4" s="105">
        <f>'Alternative 2'!$B$39*$B4*$C4*COS($K$23)-($N$22/3)*$E4*SIN($K$23)-($N$22/3)*$F4*SIN($K$23)-($N$22/3)*$G4*SIN($K$23)</f>
        <v>111488.15605121895</v>
      </c>
      <c r="AE4" s="106">
        <f>IF(($A4&lt;'Alternative 2'!$B$27),(($H4*'Alternative 2'!$B$39)+(3*($N$22/3)*COS($K$23))),IF(($A4&lt;'Alternative 2'!$B$28),(($H4*'Alternative 2'!$B$39)+(2*(($N$22/3)*COS($K$23)))),IF(($A4&lt;'Alternative 2'!$B$29),(($H$3*'Alternative 2'!$B$39+(($N$22/3)*COS($K$23)))),($H4*'Alternative 2'!$B$39))))</f>
        <v>175990.98692961389</v>
      </c>
      <c r="AF4" s="105">
        <f>AD4*'Alternative 2'!$K5/'Alternative 2'!$L5</f>
        <v>1774390.6119388421</v>
      </c>
      <c r="AG4" s="105">
        <f>AE4/'Alternative 2'!$M5</f>
        <v>130401.18457511219</v>
      </c>
      <c r="AH4" s="105">
        <f t="shared" si="4"/>
        <v>1.9047917965139542</v>
      </c>
      <c r="AJ4" s="105">
        <f>'Alternative 2'!$B$39*$B4*$C4*COS($K$33)-($N$32/3)*$E4*SIN($K$33)-($N$32/3)*$F4*SIN($K$33)-($N$32/3)*$G4*SIN($K$33)</f>
        <v>109588.14941377577</v>
      </c>
      <c r="AK4" s="106">
        <f>IF(($A4&lt;'Alternative 2'!$B$27),(($H4*'Alternative 2'!$B$39)+(3*($N$32/3)*COS($K$33))),IF(($A4&lt;'Alternative 2'!$B$28),(($H4*'Alternative 2'!$B$39)+(2*(($N$32/3)*COS($K$33)))),IF(($A4&lt;'Alternative 2'!$B$29),(($H$3*'Alternative 2'!$B$39+(($N$32/3)*COS($K$33)))),($H4*'Alternative 2'!$B$39))))</f>
        <v>126342.83928537072</v>
      </c>
      <c r="AL4" s="105">
        <f>AJ4*'Alternative 2'!$K5/'Alternative 2'!$L5</f>
        <v>1744151.0415709207</v>
      </c>
      <c r="AM4" s="105">
        <f>AK4/'Alternative 2'!$M5</f>
        <v>93614.202595411902</v>
      </c>
      <c r="AN4" s="105">
        <f t="shared" si="5"/>
        <v>1.8377652441663326</v>
      </c>
      <c r="AP4" s="105">
        <f>'Alternative 2'!$B$39*$B4*$C4*COS($K$43)-($N$42/3)*$E4*SIN($K$43)-($N$42/3)*$F4*SIN($K$43)-($N$42/3)*$G4*SIN($K$43)</f>
        <v>99027.689133611246</v>
      </c>
      <c r="AQ4" s="106">
        <f>IF(($A4&lt;'Alternative 2'!$B$27),(($H4*'Alternative 2'!$B$39)+(3*($N$42/3)*COS($K$43))),IF(($A4&lt;'Alternative 2'!$B$28),(($H4*'Alternative 2'!$B$39)+(2*(($N$42/3)*COS($K$43)))),IF(($A4&lt;'Alternative 2'!$B$29),(($H$3*'Alternative 2'!$B$39+(($N$42/3)*COS($K$43)))),($H4*'Alternative 2'!$B$39))))</f>
        <v>100114.22111974684</v>
      </c>
      <c r="AR4" s="105">
        <f>AP4*'Alternative 2'!$K5/'Alternative 2'!$L5</f>
        <v>1576075.954112587</v>
      </c>
      <c r="AS4" s="105">
        <f>AQ4/'Alternative 2'!$M5</f>
        <v>74180.009184509807</v>
      </c>
      <c r="AT4" s="105">
        <f t="shared" si="6"/>
        <v>1.6502559632970968</v>
      </c>
      <c r="AV4" s="105">
        <f>'Alternative 2'!$B$39*$B4*$C4*COS($K$53)-($N$52/3)*$E4*SIN($K$53)-($N$52/3)*$F4*SIN($K$53)-($N$52/3)*$G4*SIN($K$53)</f>
        <v>83157.608278420026</v>
      </c>
      <c r="AW4" s="106">
        <f>IF(($A4&lt;'Alternative 2'!$B$27),(($H4*'Alternative 2'!$B$39)+(3*($N$52/3)*COS($K$53))),IF(($A4&lt;'Alternative 2'!$B$28),(($H4*'Alternative 2'!$B$39)+(2*(($N$52/3)*COS($K$53)))),IF(($A4&lt;'Alternative 2'!$B$29),(($H$3*'Alternative 2'!$B$39+(($N$52/3)*COS($K$53)))),($H4*'Alternative 2'!$B$39))))</f>
        <v>83636.556983348753</v>
      </c>
      <c r="AX4" s="105">
        <f>AV4*'Alternative 2'!$K5/'Alternative 2'!$L5</f>
        <v>1323495.5592298808</v>
      </c>
      <c r="AY4" s="105">
        <f>AW4/'Alternative 2'!$M5</f>
        <v>61970.821885182304</v>
      </c>
      <c r="AZ4" s="105">
        <f t="shared" si="7"/>
        <v>1.3854663811150632</v>
      </c>
      <c r="BB4" s="105">
        <f>'Alternative 2'!$B$39*$B4*$C4*COS($K$63)-($N$62/3)*$E4*SIN($K$63)-($N$62/3)*$F4*SIN($K$63)-($N$62/3)*$G4*SIN($K$63)</f>
        <v>63458.672923635677</v>
      </c>
      <c r="BC4" s="106">
        <f>IF(($A4&lt;'Alternative 2'!$B$27),(($H4*'Alternative 2'!$B$39)+(3*($N$62/3)*COS($K$63))),IF(($A4&lt;'Alternative 2'!$B$28),(($H4*'Alternative 2'!$B$39)+(2*(($N$62/3)*COS($K$63)))),IF(($A4&lt;'Alternative 2'!$B$29),(($H$3*'Alternative 2'!$B$39+(($N$62/3)*COS($K$63)))),($H4*'Alternative 2'!$B$39))))</f>
        <v>72643.215576302377</v>
      </c>
      <c r="BD4" s="105">
        <f>BB4*'Alternative 2'!$K5/'Alternative 2'!$L5</f>
        <v>1009977.0008759208</v>
      </c>
      <c r="BE4" s="105">
        <f>BC4/'Alternative 2'!$M5</f>
        <v>53825.264166986133</v>
      </c>
      <c r="BF4" s="105">
        <f t="shared" si="8"/>
        <v>1.0638022650429069</v>
      </c>
      <c r="BH4" s="105">
        <f>'Alternative 2'!$B$39*$B4*$C4*COS($K$73)-($N$72/3)*$E4*SIN($K$73)-($N$72/3)*$F4*SIN($K$73)-($N$72/3)*$G4*SIN($K$73)</f>
        <v>40953.150091987191</v>
      </c>
      <c r="BI4" s="106">
        <f>IF(($A4&lt;'Alternative 2'!$B$27),(($H4*'Alternative 2'!$B$39)+(3*($N$72/3)*COS($K$73))),IF(($A4&lt;'Alternative 2'!$B$28),(($H4*'Alternative 2'!$B$39)+(2*(($N$72/3)*COS($K$73)))),IF(($A4&lt;'Alternative 2'!$B$29),(($H$3*'Alternative 2'!$B$39+(($N$72/3)*COS($K$73)))),($H4*'Alternative 2'!$B$39))))</f>
        <v>65445.292361675252</v>
      </c>
      <c r="BJ4" s="105">
        <f>BH4*'Alternative 2'!$K5/'Alternative 2'!$L5</f>
        <v>651790.17777601769</v>
      </c>
      <c r="BK4" s="105">
        <f>BI4/'Alternative 2'!$M5</f>
        <v>48491.935852602233</v>
      </c>
      <c r="BL4" s="105">
        <f t="shared" si="9"/>
        <v>0.70028211362861992</v>
      </c>
      <c r="BN4" s="105">
        <f>'Alternative 2'!$B$39*$B4*$C4*COS($K$83)-($N$82/3)*$E4*SIN($K$83)-($N$82/3)*$F4*SIN($K$83)-($N$82/3)*$G4*SIN($K$83)</f>
        <v>16527.46103725586</v>
      </c>
      <c r="BO4" s="106">
        <f>IF(($A4&lt;'Alternative 2'!$B$27),(($H4*'Alternative 2'!$B$39)+(3*($N$82/3)*COS($K$83))),IF(($A4&lt;'Alternative 2'!$B$28),(($H4*'Alternative 2'!$B$39)+(2*(($N$82/3)*COS($K$83)))),IF(($A4&lt;'Alternative 2'!$B$29),(($H$3*'Alternative 2'!$B$39+(($N$82/3)*COS($K$83)))),($H4*'Alternative 2'!$B$39))))</f>
        <v>61294.235947123059</v>
      </c>
      <c r="BP4" s="105">
        <f>BN4*'Alternative 2'!$K5/'Alternative 2'!$L5</f>
        <v>263042.93426665891</v>
      </c>
      <c r="BQ4" s="105">
        <f>BO4/'Alternative 2'!$M5</f>
        <v>45416.194968711323</v>
      </c>
      <c r="BR4" s="105">
        <f t="shared" si="10"/>
        <v>0.30845912923537022</v>
      </c>
      <c r="BT4" s="105">
        <f>'Alternative 2'!$B$39*$B4*$C4*COS($K$93)-($K$92/3)*$E4*SIN($K$93)-($K$92/3)*$F4*SIN($K$93)-($K$92/3)*$G4*SIN($K$93)</f>
        <v>-18.640116411259108</v>
      </c>
      <c r="BU4" s="106">
        <f>IF(($A4&lt;'Alternative 2'!$B$27),(($H4*'Alternative 2'!$B$39)+(3*($N$92/3)*COS($K$93))),IF(($A4&lt;'Alternative 2'!$B$28),(($H4*'Alternative 2'!$B$39)+(2*(($N$92/3)*COS($K$93)))),IF(($A4&lt;'Alternative 2'!$B$29),(($H$3*'Alternative 2'!$B$39+(($N$92/3)*COS($K$93)))),($H4*'Alternative 2'!$B$39))))</f>
        <v>59857.063653212535</v>
      </c>
      <c r="BV4" s="105">
        <f>BT4*'Alternative 2'!$K5/'Alternative 2'!$L5</f>
        <v>-296.66691724984975</v>
      </c>
      <c r="BW4" s="105">
        <f>BU4/'Alternative 2'!$M5</f>
        <v>44351.31674492242</v>
      </c>
      <c r="BX4" s="105">
        <f t="shared" si="11"/>
        <v>4.4054649827672571E-2</v>
      </c>
      <c r="BZ4" s="104">
        <v>150</v>
      </c>
      <c r="CA4" s="104">
        <v>-150</v>
      </c>
    </row>
    <row r="5" spans="1:79" ht="15" customHeight="1" x14ac:dyDescent="0.25">
      <c r="A5" s="18">
        <f>IF('Alternative 2'!F6&gt;0,'Alternative 2'!F6,"x")</f>
        <v>3</v>
      </c>
      <c r="B5" s="18">
        <f t="shared" ref="B5:B68" si="17">IF(B4-1&gt;0,B4-1,"x")</f>
        <v>21</v>
      </c>
      <c r="C5" s="18">
        <f t="shared" si="12"/>
        <v>10.5</v>
      </c>
      <c r="D5" s="18">
        <f t="shared" si="13"/>
        <v>3</v>
      </c>
      <c r="E5" s="101">
        <f>IF($A5&lt;='Alternative 2'!$B$27, IF($A5='Alternative 2'!$B$27,0,E6+1),0)</f>
        <v>7</v>
      </c>
      <c r="F5" s="101">
        <f>IF($A5&lt;=('Alternative 2'!$B$28), IF($A5=ROUNDDOWN('Alternative 2'!$B$28,0),0,F6+1),0)</f>
        <v>11</v>
      </c>
      <c r="G5" s="101">
        <f>IF($A5&lt;=('Alternative 2'!$B$29), IF($A5=ROUNDDOWN('Alternative 2'!$B$29,0),0,G6+1),0)</f>
        <v>15</v>
      </c>
      <c r="H5" s="18">
        <f t="shared" si="14"/>
        <v>21</v>
      </c>
      <c r="J5" s="104">
        <f t="shared" si="15"/>
        <v>2</v>
      </c>
      <c r="K5" s="104">
        <f t="shared" si="16"/>
        <v>3.4906585039886591E-2</v>
      </c>
      <c r="L5" s="105">
        <f>'Alternative 2'!$B$27*SIN(K5)+'Alternative 2'!$B$28*SIN(K5)+'Alternative 2'!$B$29*SIN(K5)</f>
        <v>1.5003293632405168</v>
      </c>
      <c r="M5" s="104">
        <f>(('Alternative 2'!$B$27)*(((('Alternative 2'!$B$28-'Alternative 2'!$B$27)/2)+'Alternative 2'!$B$27)*'Alternative 2'!$B$39)*COS('Alternative 2-Tilt Up (3pt)'!K5))+(('Alternative 2'!$B$28)*((('Alternative 2'!$B$28-'Alternative 2'!$B$27)/2)+(('Alternative 2'!$B$29-'Alternative 2'!$B$28)/2))*('Alternative 2'!$B$39)*COS('Alternative 2-Tilt Up (3pt)'!K5))+(('Alternative 2'!$B$29)*((('Alternative 2'!$B$12-'Alternative 2'!$B$29+(('Alternative 2'!$B$29-'Alternative 2'!$B$28)/2)*('Alternative 2'!$B$39)*COS('Alternative 2-Tilt Up (3pt)'!K5)))))</f>
        <v>609429.39042333467</v>
      </c>
      <c r="N5" s="108">
        <f t="shared" si="0"/>
        <v>1218591.2080805635</v>
      </c>
      <c r="O5" s="104">
        <f>(((('Alternative 2'!$B$28-'Alternative 2'!$B$27)/2)+'Alternative 2'!$B$27)*('Alternative 2'!$B$39)*COS('Alternative 2-Tilt Up (3pt)'!K5))+(((('Alternative 2'!$B$28-'Alternative 2'!$B$27)/2)+(('Alternative 2'!$B$29-'Alternative 2'!$B$28)/2))*('Alternative 2'!$B$39)*COS('Alternative 2-Tilt Up (3pt)'!K5))+(((('Alternative 2'!$B$12-'Alternative 2'!$B$29)+(('Alternative 2'!$B$29-'Alternative 2'!$B$28)/2))*('Alternative 2'!$B$39)*COS('Alternative 2-Tilt Up (3pt)'!K5)))</f>
        <v>62539.718544924122</v>
      </c>
      <c r="P5" s="104">
        <f t="shared" si="1"/>
        <v>1217848.8752418333</v>
      </c>
      <c r="R5" s="105">
        <f>('Alternative 2'!$B$39*$B5*$C5*COS($K$5))-(($N$5/3)*$E5*SIN($K$5))-(($N$5/3)*$F5*SIN($K$5))-(($N$5/3)*$G5*SIN($K$5))</f>
        <v>131755.14424284289</v>
      </c>
      <c r="S5" s="106">
        <f>IF(($A5&lt;'Alternative 2'!$B$27),(($H5*'Alternative 2'!$B$39)+(3*($N$5/3)*COS($K$5))),IF(($A5&lt;'Alternative 2'!$B$28),(($H5*'Alternative 2'!$B$39)+(2*(($N$5/3)*COS($K$5)))),IF(($A5&lt;'Alternative 2'!$B$29),(($H$3*'Alternative 2'!$B$39+(($N$5/3)*COS($K$5)))),($H5*'Alternative 2'!$B$39))))</f>
        <v>1274985.1632744453</v>
      </c>
      <c r="T5" s="105">
        <f>R5*'Alternative 2'!$K6/'Alternative 2'!$L6</f>
        <v>2096950.0196213205</v>
      </c>
      <c r="U5" s="105">
        <f>S5/'Alternative 2'!$M6</f>
        <v>973549.35897730303</v>
      </c>
      <c r="V5" s="105">
        <f t="shared" si="2"/>
        <v>3.0704993785986234</v>
      </c>
      <c r="X5" s="105">
        <f>'Alternative 2'!$B$39*$B5*$C5*COS($K$13)-($N$12/3)*$E5*SIN($K$13)-($N$12/3)*$F5*SIN($K$13)-($N$12/3)*$G5*SIN($K$13)</f>
        <v>77609.300189507136</v>
      </c>
      <c r="Y5" s="106">
        <f>IF(($A5&lt;'Alternative 2'!$B$27),(($H5*'Alternative 2'!$B$39)+(3*($N$12/3)*COS($K$13))),IF(($A5&lt;'Alternative 2'!$B$28),(($H5*'Alternative 2'!$B$39)+(2*(($N$12/3)*COS($K$13)))),IF(($A5&lt;'Alternative 2'!$B$29),(($H$3*'Alternative 2'!$B$39+(($N$12/3)*COS($K$13)))),($H5*'Alternative 2'!$B$39))))</f>
        <v>321731.1909966449</v>
      </c>
      <c r="Z5" s="105">
        <f>X5*'Alternative 2'!$K6/'Alternative 2'!$L6</f>
        <v>1235191.4188278408</v>
      </c>
      <c r="AA5" s="105">
        <f>Y5/'Alternative 2'!$M6</f>
        <v>245666.54089790836</v>
      </c>
      <c r="AB5" s="105">
        <f t="shared" si="3"/>
        <v>1.4808579597257492</v>
      </c>
      <c r="AD5" s="105">
        <f>'Alternative 2'!$B$39*$B5*$C5*COS($K$23)-($N$22/3)*$E5*SIN($K$23)-($N$22/3)*$F5*SIN($K$23)-($N$22/3)*$G5*SIN($K$23)</f>
        <v>98788.552682293957</v>
      </c>
      <c r="AE5" s="106">
        <f>IF(($A5&lt;'Alternative 2'!$B$27),(($H5*'Alternative 2'!$B$39)+(3*($N$22/3)*COS($K$23))),IF(($A5&lt;'Alternative 2'!$B$28),(($H5*'Alternative 2'!$B$39)+(2*(($N$22/3)*COS($K$23)))),IF(($A5&lt;'Alternative 2'!$B$29),(($H$3*'Alternative 2'!$B$39+(($N$22/3)*COS($K$23)))),($H5*'Alternative 2'!$B$39))))</f>
        <v>173270.21130901331</v>
      </c>
      <c r="AF5" s="105">
        <f>AD5*'Alternative 2'!$K6/'Alternative 2'!$L6</f>
        <v>1572269.9760677547</v>
      </c>
      <c r="AG5" s="105">
        <f>AE5/'Alternative 2'!$M6</f>
        <v>132305.1499019218</v>
      </c>
      <c r="AH5" s="105">
        <f t="shared" si="4"/>
        <v>1.7045751259696766</v>
      </c>
      <c r="AJ5" s="105">
        <f>'Alternative 2'!$B$39*$B5*$C5*COS($K$33)-($N$32/3)*$E5*SIN($K$33)-($N$32/3)*$F5*SIN($K$33)-($N$32/3)*$G5*SIN($K$33)</f>
        <v>97314.122555377748</v>
      </c>
      <c r="AK5" s="106">
        <f>IF(($A5&lt;'Alternative 2'!$B$27),(($H5*'Alternative 2'!$B$39)+(3*($N$32/3)*COS($K$33))),IF(($A5&lt;'Alternative 2'!$B$28),(($H5*'Alternative 2'!$B$39)+(2*(($N$32/3)*COS($K$33)))),IF(($A5&lt;'Alternative 2'!$B$29),(($H$3*'Alternative 2'!$B$39+(($N$32/3)*COS($K$33)))),($H5*'Alternative 2'!$B$39))))</f>
        <v>123622.06366477015</v>
      </c>
      <c r="AL5" s="105">
        <f>AJ5*'Alternative 2'!$K6/'Alternative 2'!$L6</f>
        <v>1548803.6719523831</v>
      </c>
      <c r="AM5" s="105">
        <f>AK5/'Alternative 2'!$M6</f>
        <v>94394.965763520857</v>
      </c>
      <c r="AN5" s="105">
        <f t="shared" si="5"/>
        <v>1.643198637715904</v>
      </c>
      <c r="AP5" s="105">
        <f>'Alternative 2'!$B$39*$B5*$C5*COS($K$43)-($N$42/3)*$E5*SIN($K$43)-($N$42/3)*$F5*SIN($K$43)-($N$42/3)*$G5*SIN($K$43)</f>
        <v>87996.401645630685</v>
      </c>
      <c r="AQ5" s="106">
        <f>IF(($A5&lt;'Alternative 2'!$B$27),(($H5*'Alternative 2'!$B$39)+(3*($N$42/3)*COS($K$43))),IF(($A5&lt;'Alternative 2'!$B$28),(($H5*'Alternative 2'!$B$39)+(2*(($N$42/3)*COS($K$43)))),IF(($A5&lt;'Alternative 2'!$B$29),(($H$3*'Alternative 2'!$B$39+(($N$42/3)*COS($K$43)))),($H5*'Alternative 2'!$B$39))))</f>
        <v>97393.44549914627</v>
      </c>
      <c r="AR5" s="105">
        <f>AP5*'Alternative 2'!$K6/'Alternative 2'!$L6</f>
        <v>1400507.4125781958</v>
      </c>
      <c r="AS5" s="105">
        <f>AQ5/'Alternative 2'!$M6</f>
        <v>74367.395923865319</v>
      </c>
      <c r="AT5" s="105">
        <f t="shared" si="6"/>
        <v>1.4748748085020611</v>
      </c>
      <c r="AV5" s="105">
        <f>'Alternative 2'!$B$39*$B5*$C5*COS($K$53)-($N$52/3)*$E5*SIN($K$53)-($N$52/3)*$F5*SIN($K$53)-($N$52/3)*$G5*SIN($K$53)</f>
        <v>73895.966445005994</v>
      </c>
      <c r="AW5" s="106">
        <f>IF(($A5&lt;'Alternative 2'!$B$27),(($H5*'Alternative 2'!$B$39)+(3*($N$52/3)*COS($K$53))),IF(($A5&lt;'Alternative 2'!$B$28),(($H5*'Alternative 2'!$B$39)+(2*(($N$52/3)*COS($K$53)))),IF(($A5&lt;'Alternative 2'!$B$29),(($H$3*'Alternative 2'!$B$39+(($N$52/3)*COS($K$53)))),($H5*'Alternative 2'!$B$39))))</f>
        <v>80915.781362748181</v>
      </c>
      <c r="AX5" s="105">
        <f>AV5*'Alternative 2'!$K6/'Alternative 2'!$L6</f>
        <v>1176091.8268298218</v>
      </c>
      <c r="AY5" s="105">
        <f>AW5/'Alternative 2'!$M6</f>
        <v>61785.430408098298</v>
      </c>
      <c r="AZ5" s="105">
        <f t="shared" si="7"/>
        <v>1.23787725723792</v>
      </c>
      <c r="BB5" s="105">
        <f>'Alternative 2'!$B$39*$B5*$C5*COS($K$63)-($N$62/3)*$E5*SIN($K$63)-($N$62/3)*$F5*SIN($K$63)-($N$62/3)*$G5*SIN($K$63)</f>
        <v>56356.599766265674</v>
      </c>
      <c r="BC5" s="106">
        <f>IF(($A5&lt;'Alternative 2'!$B$27),(($H5*'Alternative 2'!$B$39)+(3*($N$62/3)*COS($K$63))),IF(($A5&lt;'Alternative 2'!$B$28),(($H5*'Alternative 2'!$B$39)+(2*(($N$62/3)*COS($K$63)))),IF(($A5&lt;'Alternative 2'!$B$29),(($H$3*'Alternative 2'!$B$39+(($N$62/3)*COS($K$63)))),($H5*'Alternative 2'!$B$39))))</f>
        <v>69922.439955701804</v>
      </c>
      <c r="BD5" s="105">
        <f>BB5*'Alternative 2'!$K6/'Alternative 2'!$L6</f>
        <v>896943.90048137528</v>
      </c>
      <c r="BE5" s="105">
        <f>BC5/'Alternative 2'!$M6</f>
        <v>53391.167644787325</v>
      </c>
      <c r="BF5" s="105">
        <f t="shared" si="8"/>
        <v>0.95033506812616264</v>
      </c>
      <c r="BH5" s="105">
        <f>'Alternative 2'!$B$39*$B5*$C5*COS($K$73)-($N$72/3)*$E5*SIN($K$73)-($N$72/3)*$F5*SIN($K$73)-($N$72/3)*$G5*SIN($K$73)</f>
        <v>36299.640827368537</v>
      </c>
      <c r="BI5" s="106">
        <f>IF(($A5&lt;'Alternative 2'!$B$27),(($H5*'Alternative 2'!$B$39)+(3*($N$72/3)*COS($K$73))),IF(($A5&lt;'Alternative 2'!$B$28),(($H5*'Alternative 2'!$B$39)+(2*(($N$72/3)*COS($K$73)))),IF(($A5&lt;'Alternative 2'!$B$29),(($H$3*'Alternative 2'!$B$39+(($N$72/3)*COS($K$73)))),($H5*'Alternative 2'!$B$39))))</f>
        <v>62724.51674107468</v>
      </c>
      <c r="BJ5" s="105">
        <f>BH5*'Alternative 2'!$K6/'Alternative 2'!$L6</f>
        <v>577727.21499891032</v>
      </c>
      <c r="BK5" s="105">
        <f>BI5/'Alternative 2'!$M6</f>
        <v>47894.998957168107</v>
      </c>
      <c r="BL5" s="105">
        <f t="shared" si="9"/>
        <v>0.62562221395607842</v>
      </c>
      <c r="BN5" s="105">
        <f>'Alternative 2'!$B$39*$B5*$C5*COS($K$83)-($N$82/3)*$E5*SIN($K$83)-($N$82/3)*$F5*SIN($K$83)-($N$82/3)*$G5*SIN($K$83)</f>
        <v>14520.228979673993</v>
      </c>
      <c r="BO5" s="106">
        <f>IF(($A5&lt;'Alternative 2'!$B$27),(($H5*'Alternative 2'!$B$39)+(3*($N$82/3)*COS($K$83))),IF(($A5&lt;'Alternative 2'!$B$28),(($H5*'Alternative 2'!$B$39)+(2*(($N$82/3)*COS($K$83)))),IF(($A5&lt;'Alternative 2'!$B$29),(($H$3*'Alternative 2'!$B$39+(($N$82/3)*COS($K$83)))),($H5*'Alternative 2'!$B$39))))</f>
        <v>58573.460326522487</v>
      </c>
      <c r="BP5" s="105">
        <f>BN5*'Alternative 2'!$K6/'Alternative 2'!$L6</f>
        <v>231096.81689326096</v>
      </c>
      <c r="BQ5" s="105">
        <f>BO5/'Alternative 2'!$M6</f>
        <v>44725.34771111983</v>
      </c>
      <c r="BR5" s="105">
        <f t="shared" si="10"/>
        <v>0.2758221646043808</v>
      </c>
      <c r="BT5" s="105">
        <f>'Alternative 2'!$B$39*$B5*$C5*COS($K$93)-($K$92/3)*$E5*SIN($K$93)-($K$92/3)*$F5*SIN($K$93)-($K$92/3)*$G5*SIN($K$93)</f>
        <v>-17.086773376987736</v>
      </c>
      <c r="BU5" s="106">
        <f>IF(($A5&lt;'Alternative 2'!$B$27),(($H5*'Alternative 2'!$B$39)+(3*($N$92/3)*COS($K$93))),IF(($A5&lt;'Alternative 2'!$B$28),(($H5*'Alternative 2'!$B$39)+(2*(($N$92/3)*COS($K$93)))),IF(($A5&lt;'Alternative 2'!$B$29),(($H$3*'Alternative 2'!$B$39+(($N$92/3)*COS($K$93)))),($H5*'Alternative 2'!$B$39))))</f>
        <v>57136.288032611963</v>
      </c>
      <c r="BV5" s="105">
        <f>BT5*'Alternative 2'!$K6/'Alternative 2'!$L6</f>
        <v>-271.94467414569908</v>
      </c>
      <c r="BW5" s="105">
        <f>BU5/'Alternative 2'!$M6</f>
        <v>43627.95598784426</v>
      </c>
      <c r="BX5" s="105">
        <f t="shared" si="11"/>
        <v>4.335601131369856E-2</v>
      </c>
      <c r="BZ5" s="104">
        <v>150</v>
      </c>
      <c r="CA5" s="104">
        <v>-150</v>
      </c>
    </row>
    <row r="6" spans="1:79" ht="15" customHeight="1" x14ac:dyDescent="0.25">
      <c r="A6" s="18">
        <f>IF('Alternative 2'!F7&gt;0,'Alternative 2'!F7,"x")</f>
        <v>4</v>
      </c>
      <c r="B6" s="18">
        <f t="shared" si="17"/>
        <v>20</v>
      </c>
      <c r="C6" s="18">
        <f t="shared" si="12"/>
        <v>10</v>
      </c>
      <c r="D6" s="18">
        <f t="shared" si="13"/>
        <v>4</v>
      </c>
      <c r="E6" s="101">
        <f>IF($A6&lt;='Alternative 2'!$B$27, IF($A6='Alternative 2'!$B$27,0,E7+1),0)</f>
        <v>6</v>
      </c>
      <c r="F6" s="101">
        <f>IF($A6&lt;=('Alternative 2'!$B$28), IF($A6=ROUNDDOWN('Alternative 2'!$B$28,0),0,F7+1),0)</f>
        <v>10</v>
      </c>
      <c r="G6" s="101">
        <f>IF($A6&lt;=('Alternative 2'!$B$29), IF($A6=ROUNDDOWN('Alternative 2'!$B$29,0),0,G7+1),0)</f>
        <v>14</v>
      </c>
      <c r="H6" s="18">
        <f t="shared" si="14"/>
        <v>20</v>
      </c>
      <c r="J6" s="104">
        <f t="shared" si="15"/>
        <v>3</v>
      </c>
      <c r="K6" s="104">
        <f t="shared" si="16"/>
        <v>5.2359877559829883E-2</v>
      </c>
      <c r="L6" s="105">
        <f>'Alternative 2'!$B$27*SIN(K6)+'Alternative 2'!$B$28*SIN(K6)+'Alternative 2'!$B$29*SIN(K6)</f>
        <v>2.2499227588841553</v>
      </c>
      <c r="M6" s="104">
        <f>(('Alternative 2'!$B$27)*(((('Alternative 2'!$B$28-'Alternative 2'!$B$27)/2)+'Alternative 2'!$B$27)*'Alternative 2'!$B$39)*COS('Alternative 2-Tilt Up (3pt)'!K6))+(('Alternative 2'!$B$28)*((('Alternative 2'!$B$28-'Alternative 2'!$B$27)/2)+(('Alternative 2'!$B$29-'Alternative 2'!$B$28)/2))*('Alternative 2'!$B$39)*COS('Alternative 2-Tilt Up (3pt)'!K6))+(('Alternative 2'!$B$29)*((('Alternative 2'!$B$12-'Alternative 2'!$B$29+(('Alternative 2'!$B$29-'Alternative 2'!$B$28)/2)*('Alternative 2'!$B$39)*COS('Alternative 2-Tilt Up (3pt)'!K6)))))</f>
        <v>608965.21543256764</v>
      </c>
      <c r="N6" s="104">
        <f t="shared" si="0"/>
        <v>811981.49540197919</v>
      </c>
      <c r="O6" s="104">
        <f>(((('Alternative 2'!$B$28-'Alternative 2'!$B$27)/2)+'Alternative 2'!$B$27)*('Alternative 2'!$B$39)*COS('Alternative 2-Tilt Up (3pt)'!K6))+(((('Alternative 2'!$B$28-'Alternative 2'!$B$27)/2)+(('Alternative 2'!$B$29-'Alternative 2'!$B$28)/2))*('Alternative 2'!$B$39)*COS('Alternative 2-Tilt Up (3pt)'!K6))+(((('Alternative 2'!$B$12-'Alternative 2'!$B$29)+(('Alternative 2'!$B$29-'Alternative 2'!$B$28)/2))*('Alternative 2'!$B$39)*COS('Alternative 2-Tilt Up (3pt)'!K6)))</f>
        <v>62492.078519954477</v>
      </c>
      <c r="P6" s="104">
        <f t="shared" si="1"/>
        <v>810868.70298260159</v>
      </c>
      <c r="R6" s="105">
        <f>('Alternative 2'!$B$39*$B6*$C6*COS($K$5))-(($N$5/3)*$E6*SIN($K$5))-(($N$5/3)*$F6*SIN($K$5))-(($N$5/3)*$G6*SIN($K$5))</f>
        <v>118541.44104003647</v>
      </c>
      <c r="S6" s="106">
        <f>IF(($A6&lt;'Alternative 2'!$B$27),(($H6*'Alternative 2'!$B$39)+(3*($N$5/3)*COS($K$5))),IF(($A6&lt;'Alternative 2'!$B$28),(($H6*'Alternative 2'!$B$39)+(2*(($N$5/3)*COS($K$5)))),IF(($A6&lt;'Alternative 2'!$B$29),(($H$3*'Alternative 2'!$B$39+(($N$5/3)*COS($K$5)))),($H6*'Alternative 2'!$B$39))))</f>
        <v>1272264.3876538447</v>
      </c>
      <c r="T6" s="105">
        <f>R6*'Alternative 2'!$K7/'Alternative 2'!$L7</f>
        <v>1886647.2238585632</v>
      </c>
      <c r="U6" s="105">
        <f>S6/'Alternative 2'!$M7</f>
        <v>1001593.2125728341</v>
      </c>
      <c r="V6" s="105">
        <f t="shared" si="2"/>
        <v>2.8882404364313974</v>
      </c>
      <c r="X6" s="105">
        <f>'Alternative 2'!$B$39*$B6*$C6*COS($K$13)-($N$12/3)*$E6*SIN($K$13)-($N$12/3)*$F6*SIN($K$13)-($N$12/3)*$G6*SIN($K$13)</f>
        <v>69335.981569836527</v>
      </c>
      <c r="Y6" s="106">
        <f>IF(($A6&lt;'Alternative 2'!$B$27),(($H6*'Alternative 2'!$B$39)+(3*($N$12/3)*COS($K$13))),IF(($A6&lt;'Alternative 2'!$B$28),(($H6*'Alternative 2'!$B$39)+(2*(($N$12/3)*COS($K$13)))),IF(($A6&lt;'Alternative 2'!$B$29),(($H$3*'Alternative 2'!$B$39+(($N$12/3)*COS($K$13)))),($H6*'Alternative 2'!$B$39))))</f>
        <v>319010.41537604434</v>
      </c>
      <c r="Z6" s="105">
        <f>X6*'Alternative 2'!$K7/'Alternative 2'!$L7</f>
        <v>1103517.3521980355</v>
      </c>
      <c r="AA6" s="105">
        <f>Y6/'Alternative 2'!$M7</f>
        <v>251141.72013405483</v>
      </c>
      <c r="AB6" s="105">
        <f t="shared" si="3"/>
        <v>1.3546590723320902</v>
      </c>
      <c r="AD6" s="105">
        <f>'Alternative 2'!$B$39*$B6*$C6*COS($K$23)-($N$22/3)*$E6*SIN($K$23)-($N$22/3)*$F6*SIN($K$23)-($N$22/3)*$G6*SIN($K$23)</f>
        <v>88645.64208686151</v>
      </c>
      <c r="AE6" s="106">
        <f>IF(($A6&lt;'Alternative 2'!$B$27),(($H6*'Alternative 2'!$B$39)+(3*($N$22/3)*COS($K$23))),IF(($A6&lt;'Alternative 2'!$B$28),(($H6*'Alternative 2'!$B$39)+(2*(($N$22/3)*COS($K$23)))),IF(($A6&lt;'Alternative 2'!$B$29),(($H$3*'Alternative 2'!$B$39+(($N$22/3)*COS($K$23)))),($H6*'Alternative 2'!$B$39))))</f>
        <v>170549.43568841275</v>
      </c>
      <c r="AF6" s="105">
        <f>AD6*'Alternative 2'!$K7/'Alternative 2'!$L7</f>
        <v>1410840.403853805</v>
      </c>
      <c r="AG6" s="105">
        <f>AE6/'Alternative 2'!$M7</f>
        <v>134265.45523973118</v>
      </c>
      <c r="AH6" s="105">
        <f t="shared" si="4"/>
        <v>1.5451058590935363</v>
      </c>
      <c r="AJ6" s="105">
        <f>'Alternative 2'!$B$39*$B6*$C6*COS($K$33)-($N$32/3)*$E6*SIN($K$33)-($N$32/3)*$F6*SIN($K$33)-($N$32/3)*$G6*SIN($K$33)</f>
        <v>87396.356502417271</v>
      </c>
      <c r="AK6" s="106">
        <f>IF(($A6&lt;'Alternative 2'!$B$27),(($H6*'Alternative 2'!$B$39)+(3*($N$32/3)*COS($K$33))),IF(($A6&lt;'Alternative 2'!$B$28),(($H6*'Alternative 2'!$B$39)+(2*(($N$32/3)*COS($K$33)))),IF(($A6&lt;'Alternative 2'!$B$29),(($H$3*'Alternative 2'!$B$39+(($N$32/3)*COS($K$33)))),($H6*'Alternative 2'!$B$39))))</f>
        <v>120901.28804416957</v>
      </c>
      <c r="AL6" s="105">
        <f>AJ6*'Alternative 2'!$K7/'Alternative 2'!$L7</f>
        <v>1390957.3894495664</v>
      </c>
      <c r="AM6" s="105">
        <f>AK6/'Alternative 2'!$M7</f>
        <v>95179.831072423593</v>
      </c>
      <c r="AN6" s="105">
        <f t="shared" si="5"/>
        <v>1.48613722052199</v>
      </c>
      <c r="AP6" s="105">
        <f>'Alternative 2'!$B$39*$B6*$C6*COS($K$43)-($N$42/3)*$E6*SIN($K$43)-($N$42/3)*$F6*SIN($K$43)-($N$42/3)*$G6*SIN($K$43)</f>
        <v>79049.349202784826</v>
      </c>
      <c r="AQ6" s="106">
        <f>IF(($A6&lt;'Alternative 2'!$B$27),(($H6*'Alternative 2'!$B$39)+(3*($N$42/3)*COS($K$43))),IF(($A6&lt;'Alternative 2'!$B$28),(($H6*'Alternative 2'!$B$39)+(2*(($N$42/3)*COS($K$43)))),IF(($A6&lt;'Alternative 2'!$B$29),(($H$3*'Alternative 2'!$B$39+(($N$42/3)*COS($K$43)))),($H6*'Alternative 2'!$B$39))))</f>
        <v>94672.669878545697</v>
      </c>
      <c r="AR6" s="105">
        <f>AP6*'Alternative 2'!$K7/'Alternative 2'!$L7</f>
        <v>1258110.5300625612</v>
      </c>
      <c r="AS6" s="105">
        <f>AQ6/'Alternative 2'!$M7</f>
        <v>74531.288061408326</v>
      </c>
      <c r="AT6" s="105">
        <f t="shared" si="6"/>
        <v>1.3326418181239694</v>
      </c>
      <c r="AV6" s="105">
        <f>'Alternative 2'!$B$39*$B6*$C6*COS($K$53)-($N$52/3)*$E6*SIN($K$53)-($N$52/3)*$F6*SIN($K$53)-($N$52/3)*$G6*SIN($K$53)</f>
        <v>66383.205469251261</v>
      </c>
      <c r="AW6" s="106">
        <f>IF(($A6&lt;'Alternative 2'!$B$27),(($H6*'Alternative 2'!$B$39)+(3*($N$52/3)*COS($K$53))),IF(($A6&lt;'Alternative 2'!$B$28),(($H6*'Alternative 2'!$B$39)+(2*(($N$52/3)*COS($K$53)))),IF(($A6&lt;'Alternative 2'!$B$29),(($H$3*'Alternative 2'!$B$39+(($N$52/3)*COS($K$53)))),($H6*'Alternative 2'!$B$39))))</f>
        <v>78195.005742147609</v>
      </c>
      <c r="AX6" s="105">
        <f>AV6*'Alternative 2'!$K7/'Alternative 2'!$L7</f>
        <v>1056522.42127794</v>
      </c>
      <c r="AY6" s="105">
        <f>AW6/'Alternative 2'!$M7</f>
        <v>61559.207165152438</v>
      </c>
      <c r="AZ6" s="105">
        <f t="shared" si="7"/>
        <v>1.1180816284430926</v>
      </c>
      <c r="BB6" s="105">
        <f>'Alternative 2'!$B$39*$B6*$C6*COS($K$63)-($N$62/3)*$E6*SIN($K$63)-($N$62/3)*$F6*SIN($K$63)-($N$62/3)*$G6*SIN($K$63)</f>
        <v>50614.91441919592</v>
      </c>
      <c r="BC6" s="106">
        <f>IF(($A6&lt;'Alternative 2'!$B$27),(($H6*'Alternative 2'!$B$39)+(3*($N$62/3)*COS($K$63))),IF(($A6&lt;'Alternative 2'!$B$28),(($H6*'Alternative 2'!$B$39)+(2*(($N$62/3)*COS($K$63)))),IF(($A6&lt;'Alternative 2'!$B$29),(($H$3*'Alternative 2'!$B$39+(($N$62/3)*COS($K$63)))),($H6*'Alternative 2'!$B$39))))</f>
        <v>67201.664335101232</v>
      </c>
      <c r="BD6" s="105">
        <f>BB6*'Alternative 2'!$K7/'Alternative 2'!$L7</f>
        <v>805562.06282799342</v>
      </c>
      <c r="BE6" s="105">
        <f>BC6/'Alternative 2'!$M7</f>
        <v>52904.672585984954</v>
      </c>
      <c r="BF6" s="105">
        <f t="shared" si="8"/>
        <v>0.85846673541397833</v>
      </c>
      <c r="BH6" s="105">
        <f>'Alternative 2'!$B$39*$B6*$C6*COS($K$73)-($N$72/3)*$E6*SIN($K$73)-($N$72/3)*$F6*SIN($K$73)-($N$72/3)*$G6*SIN($K$73)</f>
        <v>32576.691630464673</v>
      </c>
      <c r="BI6" s="106">
        <f>IF(($A6&lt;'Alternative 2'!$B$27),(($H6*'Alternative 2'!$B$39)+(3*($N$72/3)*COS($K$73))),IF(($A6&lt;'Alternative 2'!$B$28),(($H6*'Alternative 2'!$B$39)+(2*(($N$72/3)*COS($K$73)))),IF(($A6&lt;'Alternative 2'!$B$29),(($H$3*'Alternative 2'!$B$39+(($N$72/3)*COS($K$73)))),($H6*'Alternative 2'!$B$39))))</f>
        <v>60003.741120474107</v>
      </c>
      <c r="BJ6" s="105">
        <f>BH6*'Alternative 2'!$K7/'Alternative 2'!$L7</f>
        <v>518474.58819363243</v>
      </c>
      <c r="BK6" s="105">
        <f>BI6/'Alternative 2'!$M7</f>
        <v>47238.090147341332</v>
      </c>
      <c r="BL6" s="105">
        <f t="shared" si="9"/>
        <v>0.56571267834097383</v>
      </c>
      <c r="BN6" s="105">
        <f>'Alternative 2'!$B$39*$B6*$C6*COS($K$83)-($N$82/3)*$E6*SIN($K$83)-($N$82/3)*$F6*SIN($K$83)-($N$82/3)*$G6*SIN($K$83)</f>
        <v>12985.454650450018</v>
      </c>
      <c r="BO6" s="106">
        <f>IF(($A6&lt;'Alternative 2'!$B$27),(($H6*'Alternative 2'!$B$39)+(3*($N$82/3)*COS($K$83))),IF(($A6&lt;'Alternative 2'!$B$28),(($H6*'Alternative 2'!$B$39)+(2*(($N$82/3)*COS($K$83)))),IF(($A6&lt;'Alternative 2'!$B$29),(($H$3*'Alternative 2'!$B$39+(($N$82/3)*COS($K$83)))),($H6*'Alternative 2'!$B$39))))</f>
        <v>55852.684705921914</v>
      </c>
      <c r="BP6" s="105">
        <f>BN6*'Alternative 2'!$K7/'Alternative 2'!$L7</f>
        <v>206670.10415824497</v>
      </c>
      <c r="BQ6" s="105">
        <f>BO6/'Alternative 2'!$M7</f>
        <v>43970.160957332744</v>
      </c>
      <c r="BR6" s="105">
        <f t="shared" si="10"/>
        <v>0.25064026511557774</v>
      </c>
      <c r="BT6" s="105">
        <f>'Alternative 2'!$B$39*$B6*$C6*COS($K$93)-($K$92/3)*$E6*SIN($K$93)-($K$92/3)*$F6*SIN($K$93)-($K$92/3)*$G6*SIN($K$93)</f>
        <v>-15.533430342716201</v>
      </c>
      <c r="BU6" s="106">
        <f>IF(($A6&lt;'Alternative 2'!$B$27),(($H6*'Alternative 2'!$B$39)+(3*($N$92/3)*COS($K$93))),IF(($A6&lt;'Alternative 2'!$B$28),(($H6*'Alternative 2'!$B$39)+(2*(($N$92/3)*COS($K$93)))),IF(($A6&lt;'Alternative 2'!$B$29),(($H$3*'Alternative 2'!$B$39+(($N$92/3)*COS($K$93)))),($H6*'Alternative 2'!$B$39))))</f>
        <v>54415.512412011391</v>
      </c>
      <c r="BV6" s="105">
        <f>BT6*'Alternative 2'!$K7/'Alternative 2'!$L7</f>
        <v>-247.22243104154586</v>
      </c>
      <c r="BW6" s="105">
        <f>BU6/'Alternative 2'!$M7</f>
        <v>42838.743597193476</v>
      </c>
      <c r="BX6" s="105">
        <f t="shared" si="11"/>
        <v>4.2591521166151926E-2</v>
      </c>
      <c r="BZ6" s="104">
        <v>150</v>
      </c>
      <c r="CA6" s="104">
        <v>-150</v>
      </c>
    </row>
    <row r="7" spans="1:79" ht="15" customHeight="1" x14ac:dyDescent="0.25">
      <c r="A7" s="18">
        <f>IF('Alternative 2'!F8&gt;0,'Alternative 2'!F8,"x")</f>
        <v>5</v>
      </c>
      <c r="B7" s="18">
        <f t="shared" si="17"/>
        <v>19</v>
      </c>
      <c r="C7" s="18">
        <f t="shared" si="12"/>
        <v>9.5</v>
      </c>
      <c r="D7" s="18">
        <f t="shared" si="13"/>
        <v>5</v>
      </c>
      <c r="E7" s="101">
        <f>IF($A7&lt;='Alternative 2'!$B$27, IF($A7='Alternative 2'!$B$27,0,E8+1),0)</f>
        <v>5</v>
      </c>
      <c r="F7" s="101">
        <f>IF($A7&lt;=('Alternative 2'!$B$28), IF($A7=ROUNDDOWN('Alternative 2'!$B$28,0),0,F8+1),0)</f>
        <v>9</v>
      </c>
      <c r="G7" s="101">
        <f>IF($A7&lt;=('Alternative 2'!$B$29), IF($A7=ROUNDDOWN('Alternative 2'!$B$29,0),0,G8+1),0)</f>
        <v>13</v>
      </c>
      <c r="H7" s="18">
        <f t="shared" si="14"/>
        <v>19</v>
      </c>
      <c r="J7" s="104">
        <f t="shared" si="15"/>
        <v>4</v>
      </c>
      <c r="K7" s="104">
        <f t="shared" si="16"/>
        <v>6.9813170079773182E-2</v>
      </c>
      <c r="L7" s="105">
        <f>'Alternative 2'!$B$27*SIN(K7)+'Alternative 2'!$B$28*SIN(K7)+'Alternative 2'!$B$29*SIN(K7)</f>
        <v>2.9988308062599467</v>
      </c>
      <c r="M7" s="104">
        <f>(('Alternative 2'!$B$27)*(((('Alternative 2'!$B$28-'Alternative 2'!$B$27)/2)+'Alternative 2'!$B$27)*'Alternative 2'!$B$39)*COS('Alternative 2-Tilt Up (3pt)'!K7))+(('Alternative 2'!$B$28)*((('Alternative 2'!$B$28-'Alternative 2'!$B$27)/2)+(('Alternative 2'!$B$29-'Alternative 2'!$B$28)/2))*('Alternative 2'!$B$39)*COS('Alternative 2-Tilt Up (3pt)'!K7))+(('Alternative 2'!$B$29)*((('Alternative 2'!$B$12-'Alternative 2'!$B$29+(('Alternative 2'!$B$29-'Alternative 2'!$B$28)/2)*('Alternative 2'!$B$39)*COS('Alternative 2-Tilt Up (3pt)'!K7)))))</f>
        <v>608315.56840663392</v>
      </c>
      <c r="N7" s="104">
        <f t="shared" si="0"/>
        <v>608552.74042483291</v>
      </c>
      <c r="O7" s="104">
        <f>(((('Alternative 2'!$B$28-'Alternative 2'!$B$27)/2)+'Alternative 2'!$B$27)*('Alternative 2'!$B$39)*COS('Alternative 2-Tilt Up (3pt)'!K7))+(((('Alternative 2'!$B$28-'Alternative 2'!$B$27)/2)+(('Alternative 2'!$B$29-'Alternative 2'!$B$28)/2))*('Alternative 2'!$B$39)*COS('Alternative 2-Tilt Up (3pt)'!K7))+(((('Alternative 2'!$B$12-'Alternative 2'!$B$29)+(('Alternative 2'!$B$29-'Alternative 2'!$B$28)/2))*('Alternative 2'!$B$39)*COS('Alternative 2-Tilt Up (3pt)'!K7)))</f>
        <v>62425.402802493292</v>
      </c>
      <c r="P7" s="104">
        <f t="shared" si="1"/>
        <v>607070.33653491177</v>
      </c>
      <c r="R7" s="105">
        <f>('Alternative 2'!$B$39*$B7*$C7*COS($K$5))-(($N$5/3)*$E7*SIN($K$5))-(($N$5/3)*$F7*SIN($K$5))-(($N$5/3)*$G7*SIN($K$5))</f>
        <v>108046.85603483554</v>
      </c>
      <c r="S7" s="106">
        <f>IF(($A7&lt;'Alternative 2'!$B$27),(($H7*'Alternative 2'!$B$39)+(3*($N$5/3)*COS($K$5))),IF(($A7&lt;'Alternative 2'!$B$28),(($H7*'Alternative 2'!$B$39)+(2*(($N$5/3)*COS($K$5)))),IF(($A7&lt;'Alternative 2'!$B$29),(($H$3*'Alternative 2'!$B$39+(($N$5/3)*COS($K$5)))),($H7*'Alternative 2'!$B$39))))</f>
        <v>1269543.612033244</v>
      </c>
      <c r="T7" s="105">
        <f>R7*'Alternative 2'!$K8/'Alternative 2'!$L8</f>
        <v>1719620.574849607</v>
      </c>
      <c r="U7" s="105">
        <f>S7/'Alternative 2'!$M8</f>
        <v>1030928.1344080364</v>
      </c>
      <c r="V7" s="105">
        <f t="shared" si="2"/>
        <v>2.7505487092576431</v>
      </c>
      <c r="X7" s="105">
        <f>'Alternative 2'!$B$39*$B7*$C7*COS($K$13)-($N$12/3)*$E7*SIN($K$13)-($N$12/3)*$F7*SIN($K$13)-($N$12/3)*$G7*SIN($K$13)</f>
        <v>63742.103875539993</v>
      </c>
      <c r="Y7" s="106">
        <f>IF(($A7&lt;'Alternative 2'!$B$27),(($H7*'Alternative 2'!$B$39)+(3*($N$12/3)*COS($K$13))),IF(($A7&lt;'Alternative 2'!$B$28),(($H7*'Alternative 2'!$B$39)+(2*(($N$12/3)*COS($K$13)))),IF(($A7&lt;'Alternative 2'!$B$29),(($H$3*'Alternative 2'!$B$39+(($N$12/3)*COS($K$13)))),($H7*'Alternative 2'!$B$39))))</f>
        <v>316289.63975544379</v>
      </c>
      <c r="Z7" s="105">
        <f>X7*'Alternative 2'!$K8/'Alternative 2'!$L8</f>
        <v>1014487.9483882363</v>
      </c>
      <c r="AA7" s="105">
        <f>Y7/'Alternative 2'!$M8</f>
        <v>256841.81713414905</v>
      </c>
      <c r="AB7" s="105">
        <f t="shared" si="3"/>
        <v>1.2713297655223854</v>
      </c>
      <c r="AD7" s="105">
        <f>'Alternative 2'!$B$39*$B7*$C7*COS($K$23)-($N$22/3)*$E7*SIN($K$23)-($N$22/3)*$F7*SIN($K$23)-($N$22/3)*$G7*SIN($K$23)</f>
        <v>81059.424264921632</v>
      </c>
      <c r="AE7" s="106">
        <f>IF(($A7&lt;'Alternative 2'!$B$27),(($H7*'Alternative 2'!$B$39)+(3*($N$22/3)*COS($K$23))),IF(($A7&lt;'Alternative 2'!$B$28),(($H7*'Alternative 2'!$B$39)+(2*(($N$22/3)*COS($K$23)))),IF(($A7&lt;'Alternative 2'!$B$29),(($H$3*'Alternative 2'!$B$39+(($N$22/3)*COS($K$23)))),($H7*'Alternative 2'!$B$39))))</f>
        <v>167828.66006781219</v>
      </c>
      <c r="AF7" s="105">
        <f>AD7*'Alternative 2'!$K8/'Alternative 2'!$L8</f>
        <v>1290101.8952969934</v>
      </c>
      <c r="AG7" s="105">
        <f>AE7/'Alternative 2'!$M8</f>
        <v>136284.63471751884</v>
      </c>
      <c r="AH7" s="105">
        <f t="shared" si="4"/>
        <v>1.4263865300145124</v>
      </c>
      <c r="AJ7" s="105">
        <f>'Alternative 2'!$B$39*$B7*$C7*COS($K$33)-($N$32/3)*$E7*SIN($K$33)-($N$32/3)*$F7*SIN($K$33)-($N$32/3)*$G7*SIN($K$33)</f>
        <v>79834.851254894282</v>
      </c>
      <c r="AK7" s="106">
        <f>IF(($A7&lt;'Alternative 2'!$B$27),(($H7*'Alternative 2'!$B$39)+(3*($N$32/3)*COS($K$33))),IF(($A7&lt;'Alternative 2'!$B$28),(($H7*'Alternative 2'!$B$39)+(2*(($N$32/3)*COS($K$33)))),IF(($A7&lt;'Alternative 2'!$B$29),(($H$3*'Alternative 2'!$B$39+(($N$32/3)*COS($K$33)))),($H7*'Alternative 2'!$B$39))))</f>
        <v>118180.51242356902</v>
      </c>
      <c r="AL7" s="105">
        <f>AJ7*'Alternative 2'!$K8/'Alternative 2'!$L8</f>
        <v>1270612.1940624698</v>
      </c>
      <c r="AM7" s="105">
        <f>AK7/'Alternative 2'!$M8</f>
        <v>95968.042406270164</v>
      </c>
      <c r="AN7" s="105">
        <f t="shared" si="5"/>
        <v>1.3665802364687398</v>
      </c>
      <c r="AP7" s="105">
        <f>'Alternative 2'!$B$39*$B7*$C7*COS($K$43)-($N$42/3)*$E7*SIN($K$43)-($N$42/3)*$F7*SIN($K$43)-($N$42/3)*$G7*SIN($K$43)</f>
        <v>72186.531805073726</v>
      </c>
      <c r="AQ7" s="106">
        <f>IF(($A7&lt;'Alternative 2'!$B$27),(($H7*'Alternative 2'!$B$39)+(3*($N$42/3)*COS($K$43))),IF(($A7&lt;'Alternative 2'!$B$28),(($H7*'Alternative 2'!$B$39)+(2*(($N$42/3)*COS($K$43)))),IF(($A7&lt;'Alternative 2'!$B$29),(($H$3*'Alternative 2'!$B$39+(($N$42/3)*COS($K$43)))),($H7*'Alternative 2'!$B$39))))</f>
        <v>91951.894257945125</v>
      </c>
      <c r="AR7" s="105">
        <f>AP7*'Alternative 2'!$K8/'Alternative 2'!$L8</f>
        <v>1148885.3065656836</v>
      </c>
      <c r="AS7" s="105">
        <f>AQ7/'Alternative 2'!$M8</f>
        <v>74669.191277964608</v>
      </c>
      <c r="AT7" s="105">
        <f t="shared" si="6"/>
        <v>1.2235544978436481</v>
      </c>
      <c r="AV7" s="105">
        <f>'Alternative 2'!$B$39*$B7*$C7*COS($K$53)-($N$52/3)*$E7*SIN($K$53)-($N$52/3)*$F7*SIN($K$53)-($N$52/3)*$G7*SIN($K$53)</f>
        <v>60619.325351155785</v>
      </c>
      <c r="AW7" s="106">
        <f>IF(($A7&lt;'Alternative 2'!$B$27),(($H7*'Alternative 2'!$B$39)+(3*($N$52/3)*COS($K$53))),IF(($A7&lt;'Alternative 2'!$B$28),(($H7*'Alternative 2'!$B$39)+(2*(($N$52/3)*COS($K$53)))),IF(($A7&lt;'Alternative 2'!$B$29),(($H$3*'Alternative 2'!$B$39+(($N$52/3)*COS($K$53)))),($H7*'Alternative 2'!$B$39))))</f>
        <v>75474.230121547051</v>
      </c>
      <c r="AX7" s="105">
        <f>AV7*'Alternative 2'!$K8/'Alternative 2'!$L8</f>
        <v>964787.34257423459</v>
      </c>
      <c r="AY7" s="105">
        <f>AW7/'Alternative 2'!$M8</f>
        <v>61288.565841763178</v>
      </c>
      <c r="AZ7" s="105">
        <f t="shared" si="7"/>
        <v>1.0260759084159978</v>
      </c>
      <c r="BB7" s="105">
        <f>'Alternative 2'!$B$39*$B7*$C7*COS($K$63)-($N$62/3)*$E7*SIN($K$63)-($N$62/3)*$F7*SIN($K$63)-($N$62/3)*$G7*SIN($K$63)</f>
        <v>46233.616882426504</v>
      </c>
      <c r="BC7" s="106">
        <f>IF(($A7&lt;'Alternative 2'!$B$27),(($H7*'Alternative 2'!$B$39)+(3*($N$62/3)*COS($K$63))),IF(($A7&lt;'Alternative 2'!$B$28),(($H7*'Alternative 2'!$B$39)+(2*(($N$62/3)*COS($K$63)))),IF(($A7&lt;'Alternative 2'!$B$29),(($H$3*'Alternative 2'!$B$39+(($N$62/3)*COS($K$63)))),($H7*'Alternative 2'!$B$39))))</f>
        <v>64480.888714500674</v>
      </c>
      <c r="BD7" s="105">
        <f>BB7*'Alternative 2'!$K8/'Alternative 2'!$L8</f>
        <v>735831.48791577679</v>
      </c>
      <c r="BE7" s="105">
        <f>BC7/'Alternative 2'!$M8</f>
        <v>52361.464133515467</v>
      </c>
      <c r="BF7" s="105">
        <f t="shared" si="8"/>
        <v>0.78819295204929229</v>
      </c>
      <c r="BH7" s="105">
        <f>'Alternative 2'!$B$39*$B7*$C7*COS($K$73)-($N$72/3)*$E7*SIN($K$73)-($N$72/3)*$F7*SIN($K$73)-($N$72/3)*$G7*SIN($K$73)</f>
        <v>29784.302501275626</v>
      </c>
      <c r="BI7" s="106">
        <f>IF(($A7&lt;'Alternative 2'!$B$27),(($H7*'Alternative 2'!$B$39)+(3*($N$72/3)*COS($K$73))),IF(($A7&lt;'Alternative 2'!$B$28),(($H7*'Alternative 2'!$B$39)+(2*(($N$72/3)*COS($K$73)))),IF(($A7&lt;'Alternative 2'!$B$29),(($H$3*'Alternative 2'!$B$39+(($N$72/3)*COS($K$73)))),($H7*'Alternative 2'!$B$39))))</f>
        <v>57282.965499873542</v>
      </c>
      <c r="BJ7" s="105">
        <f>BH7*'Alternative 2'!$K8/'Alternative 2'!$L8</f>
        <v>474032.29736018425</v>
      </c>
      <c r="BK7" s="105">
        <f>BI7/'Alternative 2'!$M8</f>
        <v>46516.417550686041</v>
      </c>
      <c r="BL7" s="105">
        <f t="shared" si="9"/>
        <v>0.52054871491087029</v>
      </c>
      <c r="BN7" s="105">
        <f>'Alternative 2'!$B$39*$B7*$C7*COS($K$83)-($N$82/3)*$E7*SIN($K$83)-($N$82/3)*$F7*SIN($K$83)-($N$82/3)*$G7*SIN($K$83)</f>
        <v>11923.138049583984</v>
      </c>
      <c r="BO7" s="106">
        <f>IF(($A7&lt;'Alternative 2'!$B$27),(($H7*'Alternative 2'!$B$39)+(3*($N$82/3)*COS($K$83))),IF(($A7&lt;'Alternative 2'!$B$28),(($H7*'Alternative 2'!$B$39)+(2*(($N$82/3)*COS($K$83)))),IF(($A7&lt;'Alternative 2'!$B$29),(($H$3*'Alternative 2'!$B$39+(($N$82/3)*COS($K$83)))),($H7*'Alternative 2'!$B$39))))</f>
        <v>53131.909085321342</v>
      </c>
      <c r="BP7" s="105">
        <f>BN7*'Alternative 2'!$K8/'Alternative 2'!$L8</f>
        <v>189762.79606161188</v>
      </c>
      <c r="BQ7" s="105">
        <f>BO7/'Alternative 2'!$M8</f>
        <v>43145.56773921477</v>
      </c>
      <c r="BR7" s="105">
        <f t="shared" si="10"/>
        <v>0.23290836380082666</v>
      </c>
      <c r="BT7" s="105">
        <f>'Alternative 2'!$B$39*$B7*$C7*COS($K$93)-($K$92/3)*$E7*SIN($K$93)-($K$92/3)*$F7*SIN($K$93)-($K$92/3)*$G7*SIN($K$93)</f>
        <v>-13.980087308444496</v>
      </c>
      <c r="BU7" s="106">
        <f>IF(($A7&lt;'Alternative 2'!$B$27),(($H7*'Alternative 2'!$B$39)+(3*($N$92/3)*COS($K$93))),IF(($A7&lt;'Alternative 2'!$B$28),(($H7*'Alternative 2'!$B$39)+(2*(($N$92/3)*COS($K$93)))),IF(($A7&lt;'Alternative 2'!$B$29),(($H$3*'Alternative 2'!$B$39+(($N$92/3)*COS($K$93)))),($H7*'Alternative 2'!$B$39))))</f>
        <v>51694.736791410825</v>
      </c>
      <c r="BV7" s="105">
        <f>BT7*'Alternative 2'!$K8/'Alternative 2'!$L8</f>
        <v>-222.50018793738994</v>
      </c>
      <c r="BW7" s="105">
        <f>BU7/'Alternative 2'!$M8</f>
        <v>41978.517361629718</v>
      </c>
      <c r="BX7" s="105">
        <f t="shared" si="11"/>
        <v>4.1756017173692331E-2</v>
      </c>
      <c r="BZ7" s="104">
        <v>150</v>
      </c>
      <c r="CA7" s="104">
        <v>-150</v>
      </c>
    </row>
    <row r="8" spans="1:79" ht="15" customHeight="1" x14ac:dyDescent="0.25">
      <c r="A8" s="18">
        <f>IF('Alternative 2'!F9&gt;0,'Alternative 2'!F9,"x")</f>
        <v>6</v>
      </c>
      <c r="B8" s="18">
        <f t="shared" si="17"/>
        <v>18</v>
      </c>
      <c r="C8" s="18">
        <f t="shared" si="12"/>
        <v>9</v>
      </c>
      <c r="D8" s="18">
        <f t="shared" si="13"/>
        <v>6</v>
      </c>
      <c r="E8" s="101">
        <f>IF($A8&lt;='Alternative 2'!$B$27, IF($A8='Alternative 2'!$B$27,0,E9+1),0)</f>
        <v>4</v>
      </c>
      <c r="F8" s="101">
        <f>IF($A8&lt;=('Alternative 2'!$B$28), IF($A8=ROUNDDOWN('Alternative 2'!$B$28,0),0,F9+1),0)</f>
        <v>8</v>
      </c>
      <c r="G8" s="101">
        <f>IF($A8&lt;=('Alternative 2'!$B$29), IF($A8=ROUNDDOWN('Alternative 2'!$B$29,0),0,G9+1),0)</f>
        <v>12</v>
      </c>
      <c r="H8" s="18">
        <f t="shared" si="14"/>
        <v>18</v>
      </c>
      <c r="J8" s="104">
        <f t="shared" si="15"/>
        <v>5</v>
      </c>
      <c r="K8" s="104">
        <f t="shared" si="16"/>
        <v>8.7266462599716474E-2</v>
      </c>
      <c r="L8" s="105">
        <f>'Alternative 2'!$B$27*SIN(K8)+'Alternative 2'!$B$28*SIN(K8)+'Alternative 2'!$B$29*SIN(K8)</f>
        <v>3.746825380721825</v>
      </c>
      <c r="M8" s="104">
        <f>(('Alternative 2'!$B$27)*(((('Alternative 2'!$B$28-'Alternative 2'!$B$27)/2)+'Alternative 2'!$B$27)*'Alternative 2'!$B$39)*COS('Alternative 2-Tilt Up (3pt)'!K8))+(('Alternative 2'!$B$28)*((('Alternative 2'!$B$28-'Alternative 2'!$B$27)/2)+(('Alternative 2'!$B$29-'Alternative 2'!$B$28)/2))*('Alternative 2'!$B$39)*COS('Alternative 2-Tilt Up (3pt)'!K8))+(('Alternative 2'!$B$29)*((('Alternative 2'!$B$12-'Alternative 2'!$B$29+(('Alternative 2'!$B$29-'Alternative 2'!$B$28)/2)*('Alternative 2'!$B$39)*COS('Alternative 2-Tilt Up (3pt)'!K8)))))</f>
        <v>607480.64723431121</v>
      </c>
      <c r="N8" s="104">
        <f t="shared" si="0"/>
        <v>486396.28392605809</v>
      </c>
      <c r="O8" s="104">
        <f>(((('Alternative 2'!$B$28-'Alternative 2'!$B$27)/2)+'Alternative 2'!$B$27)*('Alternative 2'!$B$39)*COS('Alternative 2-Tilt Up (3pt)'!K8))+(((('Alternative 2'!$B$28-'Alternative 2'!$B$27)/2)+(('Alternative 2'!$B$29-'Alternative 2'!$B$28)/2))*('Alternative 2'!$B$39)*COS('Alternative 2-Tilt Up (3pt)'!K8))+(((('Alternative 2'!$B$12-'Alternative 2'!$B$29)+(('Alternative 2'!$B$29-'Alternative 2'!$B$28)/2))*('Alternative 2'!$B$39)*COS('Alternative 2-Tilt Up (3pt)'!K8)))</f>
        <v>62339.711702610017</v>
      </c>
      <c r="P8" s="104">
        <f t="shared" si="1"/>
        <v>484545.39921866637</v>
      </c>
      <c r="R8" s="105">
        <f>('Alternative 2'!$B$39*$B8*$C8*COS($K$5))-(($N$5/3)*$E8*SIN($K$5))-(($N$5/3)*$F8*SIN($K$5))-(($N$5/3)*$G8*SIN($K$5))</f>
        <v>100271.38922723997</v>
      </c>
      <c r="S8" s="106">
        <f>IF(($A8&lt;'Alternative 2'!$B$27),(($H8*'Alternative 2'!$B$39)+(3*($N$5/3)*COS($K$5))),IF(($A8&lt;'Alternative 2'!$B$28),(($H8*'Alternative 2'!$B$39)+(2*(($N$5/3)*COS($K$5)))),IF(($A8&lt;'Alternative 2'!$B$29),(($H$3*'Alternative 2'!$B$39+(($N$5/3)*COS($K$5)))),($H8*'Alternative 2'!$B$39))))</f>
        <v>1266822.8364126435</v>
      </c>
      <c r="T8" s="105">
        <f>R8*'Alternative 2'!$K9/'Alternative 2'!$L9</f>
        <v>1595870.0725944501</v>
      </c>
      <c r="U8" s="105">
        <f>S8/'Alternative 2'!$M9</f>
        <v>1061635.6648905037</v>
      </c>
      <c r="V8" s="105">
        <f t="shared" si="2"/>
        <v>2.657505737484954</v>
      </c>
      <c r="X8" s="105">
        <f>'Alternative 2'!$B$39*$B8*$C8*COS($K$13)-($N$12/3)*$E8*SIN($K$13)-($N$12/3)*$F8*SIN($K$13)-($N$12/3)*$G8*SIN($K$13)</f>
        <v>60827.667106617359</v>
      </c>
      <c r="Y8" s="106">
        <f>IF(($A8&lt;'Alternative 2'!$B$27),(($H8*'Alternative 2'!$B$39)+(3*($N$12/3)*COS($K$13))),IF(($A8&lt;'Alternative 2'!$B$28),(($H8*'Alternative 2'!$B$39)+(2*(($N$12/3)*COS($K$13)))),IF(($A8&lt;'Alternative 2'!$B$29),(($H$3*'Alternative 2'!$B$39+(($N$12/3)*COS($K$13)))),($H8*'Alternative 2'!$B$39))))</f>
        <v>313568.86413484323</v>
      </c>
      <c r="Z8" s="105">
        <f>X8*'Alternative 2'!$K9/'Alternative 2'!$L9</f>
        <v>968103.20739844092</v>
      </c>
      <c r="AA8" s="105">
        <f>Y8/'Alternative 2'!$M9</f>
        <v>262780.14572853799</v>
      </c>
      <c r="AB8" s="105">
        <f t="shared" si="3"/>
        <v>1.2308833531269789</v>
      </c>
      <c r="AD8" s="105">
        <f>'Alternative 2'!$B$39*$B8*$C8*COS($K$23)-($N$22/3)*$E8*SIN($K$23)-($N$22/3)*$F8*SIN($K$23)-($N$22/3)*$G8*SIN($K$23)</f>
        <v>76029.899216474325</v>
      </c>
      <c r="AE8" s="106">
        <f>IF(($A8&lt;'Alternative 2'!$B$27),(($H8*'Alternative 2'!$B$39)+(3*($N$22/3)*COS($K$23))),IF(($A8&lt;'Alternative 2'!$B$28),(($H8*'Alternative 2'!$B$39)+(2*(($N$22/3)*COS($K$23)))),IF(($A8&lt;'Alternative 2'!$B$29),(($H$3*'Alternative 2'!$B$39+(($N$22/3)*COS($K$23)))),($H8*'Alternative 2'!$B$39))))</f>
        <v>165107.8844472116</v>
      </c>
      <c r="AF8" s="105">
        <f>AD8*'Alternative 2'!$K9/'Alternative 2'!$L9</f>
        <v>1210054.4503973199</v>
      </c>
      <c r="AG8" s="105">
        <f>AE8/'Alternative 2'!$M9</f>
        <v>138365.37647217183</v>
      </c>
      <c r="AH8" s="105">
        <f t="shared" si="4"/>
        <v>1.3484198268694918</v>
      </c>
      <c r="AJ8" s="105">
        <f>'Alternative 2'!$B$39*$B8*$C8*COS($K$33)-($N$32/3)*$E8*SIN($K$33)-($N$32/3)*$F8*SIN($K$33)-($N$32/3)*$G8*SIN($K$33)</f>
        <v>74629.60681280875</v>
      </c>
      <c r="AK8" s="106">
        <f>IF(($A8&lt;'Alternative 2'!$B$27),(($H8*'Alternative 2'!$B$39)+(3*($N$32/3)*COS($K$33))),IF(($A8&lt;'Alternative 2'!$B$28),(($H8*'Alternative 2'!$B$39)+(2*(($N$32/3)*COS($K$33)))),IF(($A8&lt;'Alternative 2'!$B$29),(($H$3*'Alternative 2'!$B$39+(($N$32/3)*COS($K$33)))),($H8*'Alternative 2'!$B$39))))</f>
        <v>115459.73680296843</v>
      </c>
      <c r="AL8" s="105">
        <f>AJ8*'Alternative 2'!$K9/'Alternative 2'!$L9</f>
        <v>1187768.0857910921</v>
      </c>
      <c r="AM8" s="105">
        <f>AK8/'Alternative 2'!$M9</f>
        <v>96758.734469935851</v>
      </c>
      <c r="AN8" s="105">
        <f t="shared" si="5"/>
        <v>1.2845268202610278</v>
      </c>
      <c r="AP8" s="105">
        <f>'Alternative 2'!$B$39*$B8*$C8*COS($K$43)-($N$42/3)*$E8*SIN($K$43)-($N$42/3)*$F8*SIN($K$43)-($N$42/3)*$G8*SIN($K$43)</f>
        <v>67407.949452497211</v>
      </c>
      <c r="AQ8" s="106">
        <f>IF(($A8&lt;'Alternative 2'!$B$27),(($H8*'Alternative 2'!$B$39)+(3*($N$42/3)*COS($K$43))),IF(($A8&lt;'Alternative 2'!$B$28),(($H8*'Alternative 2'!$B$39)+(2*(($N$42/3)*COS($K$43)))),IF(($A8&lt;'Alternative 2'!$B$29),(($H$3*'Alternative 2'!$B$39+(($N$42/3)*COS($K$43)))),($H8*'Alternative 2'!$B$39))))</f>
        <v>89231.118637344567</v>
      </c>
      <c r="AR8" s="105">
        <f>AP8*'Alternative 2'!$K9/'Alternative 2'!$L9</f>
        <v>1072831.7420875609</v>
      </c>
      <c r="AS8" s="105">
        <f>AQ8/'Alternative 2'!$M9</f>
        <v>74778.363035937495</v>
      </c>
      <c r="AT8" s="105">
        <f t="shared" si="6"/>
        <v>1.1476101051234984</v>
      </c>
      <c r="AV8" s="105">
        <f>'Alternative 2'!$B$39*$B8*$C8*COS($K$53)-($N$52/3)*$E8*SIN($K$53)-($N$52/3)*$F8*SIN($K$53)-($N$52/3)*$G8*SIN($K$53)</f>
        <v>56604.326090719493</v>
      </c>
      <c r="AW8" s="106">
        <f>IF(($A8&lt;'Alternative 2'!$B$27),(($H8*'Alternative 2'!$B$39)+(3*($N$52/3)*COS($K$53))),IF(($A8&lt;'Alternative 2'!$B$28),(($H8*'Alternative 2'!$B$39)+(2*(($N$52/3)*COS($K$53)))),IF(($A8&lt;'Alternative 2'!$B$29),(($H$3*'Alternative 2'!$B$39+(($N$52/3)*COS($K$53)))),($H8*'Alternative 2'!$B$39))))</f>
        <v>72753.454500946478</v>
      </c>
      <c r="AX8" s="105">
        <f>AV8*'Alternative 2'!$K9/'Alternative 2'!$L9</f>
        <v>900886.59071870451</v>
      </c>
      <c r="AY8" s="105">
        <f>AW8/'Alternative 2'!$M9</f>
        <v>60969.584556048074</v>
      </c>
      <c r="AZ8" s="105">
        <f t="shared" si="7"/>
        <v>0.96185617527475253</v>
      </c>
      <c r="BB8" s="105">
        <f>'Alternative 2'!$B$39*$B8*$C8*COS($K$63)-($N$62/3)*$E8*SIN($K$63)-($N$62/3)*$F8*SIN($K$63)-($N$62/3)*$G8*SIN($K$63)</f>
        <v>43212.707155957323</v>
      </c>
      <c r="BC8" s="106">
        <f>IF(($A8&lt;'Alternative 2'!$B$27),(($H8*'Alternative 2'!$B$39)+(3*($N$62/3)*COS($K$63))),IF(($A8&lt;'Alternative 2'!$B$28),(($H8*'Alternative 2'!$B$39)+(2*(($N$62/3)*COS($K$63)))),IF(($A8&lt;'Alternative 2'!$B$29),(($H$3*'Alternative 2'!$B$39+(($N$62/3)*COS($K$63)))),($H8*'Alternative 2'!$B$39))))</f>
        <v>61760.113093900101</v>
      </c>
      <c r="BD8" s="105">
        <f>BB8*'Alternative 2'!$K9/'Alternative 2'!$L9</f>
        <v>687752.17574472365</v>
      </c>
      <c r="BE8" s="105">
        <f>BC8/'Alternative 2'!$M9</f>
        <v>51756.833586790679</v>
      </c>
      <c r="BF8" s="105">
        <f t="shared" si="8"/>
        <v>0.73950900933151431</v>
      </c>
      <c r="BH8" s="105">
        <f>'Alternative 2'!$B$39*$B8*$C8*COS($K$73)-($N$72/3)*$E8*SIN($K$73)-($N$72/3)*$F8*SIN($K$73)-($N$72/3)*$G8*SIN($K$73)</f>
        <v>27922.473439801332</v>
      </c>
      <c r="BI8" s="106">
        <f>IF(($A8&lt;'Alternative 2'!$B$27),(($H8*'Alternative 2'!$B$39)+(3*($N$72/3)*COS($K$73))),IF(($A8&lt;'Alternative 2'!$B$28),(($H8*'Alternative 2'!$B$39)+(2*(($N$72/3)*COS($K$73)))),IF(($A8&lt;'Alternative 2'!$B$29),(($H$3*'Alternative 2'!$B$39+(($N$72/3)*COS($K$73)))),($H8*'Alternative 2'!$B$39))))</f>
        <v>54562.18987927297</v>
      </c>
      <c r="BJ8" s="105">
        <f>BH8*'Alternative 2'!$K9/'Alternative 2'!$L9</f>
        <v>444400.34249856498</v>
      </c>
      <c r="BK8" s="105">
        <f>BI8/'Alternative 2'!$M9</f>
        <v>45724.757294709714</v>
      </c>
      <c r="BL8" s="105">
        <f t="shared" si="9"/>
        <v>0.49012509979327473</v>
      </c>
      <c r="BN8" s="105">
        <f>'Alternative 2'!$B$39*$B8*$C8*COS($K$83)-($N$82/3)*$E8*SIN($K$83)-($N$82/3)*$F8*SIN($K$83)-($N$82/3)*$G8*SIN($K$83)</f>
        <v>11333.279177075816</v>
      </c>
      <c r="BO8" s="106">
        <f>IF(($A8&lt;'Alternative 2'!$B$27),(($H8*'Alternative 2'!$B$39)+(3*($N$82/3)*COS($K$83))),IF(($A8&lt;'Alternative 2'!$B$28),(($H8*'Alternative 2'!$B$39)+(2*(($N$82/3)*COS($K$83)))),IF(($A8&lt;'Alternative 2'!$B$29),(($H$3*'Alternative 2'!$B$39+(($N$82/3)*COS($K$83)))),($H8*'Alternative 2'!$B$39))))</f>
        <v>50411.13346472077</v>
      </c>
      <c r="BP8" s="105">
        <f>BN8*'Alternative 2'!$K9/'Alternative 2'!$L9</f>
        <v>180374.89260336035</v>
      </c>
      <c r="BQ8" s="105">
        <f>BO8/'Alternative 2'!$M9</f>
        <v>42246.047083627251</v>
      </c>
      <c r="BR8" s="105">
        <f t="shared" si="10"/>
        <v>0.2226209396869876</v>
      </c>
      <c r="BT8" s="105">
        <f>'Alternative 2'!$B$39*$B8*$C8*COS($K$93)-($K$92/3)*$E8*SIN($K$93)-($K$92/3)*$F8*SIN($K$93)-($K$92/3)*$G8*SIN($K$93)</f>
        <v>-12.426744274172627</v>
      </c>
      <c r="BU8" s="106">
        <f>IF(($A8&lt;'Alternative 2'!$B$27),(($H8*'Alternative 2'!$B$39)+(3*($N$92/3)*COS($K$93))),IF(($A8&lt;'Alternative 2'!$B$28),(($H8*'Alternative 2'!$B$39)+(2*(($N$92/3)*COS($K$93)))),IF(($A8&lt;'Alternative 2'!$B$29),(($H$3*'Alternative 2'!$B$39+(($N$92/3)*COS($K$93)))),($H8*'Alternative 2'!$B$39))))</f>
        <v>48973.961170810253</v>
      </c>
      <c r="BV8" s="105">
        <f>BT8*'Alternative 2'!$K9/'Alternative 2'!$L9</f>
        <v>-197.77794483323137</v>
      </c>
      <c r="BW8" s="105">
        <f>BU8/'Alternative 2'!$M9</f>
        <v>41041.653446290802</v>
      </c>
      <c r="BX8" s="105">
        <f t="shared" si="11"/>
        <v>4.0843875501457572E-2</v>
      </c>
      <c r="BZ8" s="104">
        <v>150</v>
      </c>
      <c r="CA8" s="104">
        <v>-150</v>
      </c>
    </row>
    <row r="9" spans="1:79" ht="15" customHeight="1" x14ac:dyDescent="0.25">
      <c r="A9" s="18">
        <f>IF('Alternative 2'!F10&gt;0,'Alternative 2'!F10,"x")</f>
        <v>7</v>
      </c>
      <c r="B9" s="18">
        <f t="shared" si="17"/>
        <v>17</v>
      </c>
      <c r="C9" s="18">
        <f t="shared" si="12"/>
        <v>8.5</v>
      </c>
      <c r="D9" s="18">
        <f t="shared" si="13"/>
        <v>7</v>
      </c>
      <c r="E9" s="101">
        <f>IF($A9&lt;='Alternative 2'!$B$27, IF($A9='Alternative 2'!$B$27,0,E10+1),0)</f>
        <v>3</v>
      </c>
      <c r="F9" s="101">
        <f>IF($A9&lt;=('Alternative 2'!$B$28), IF($A9=ROUNDDOWN('Alternative 2'!$B$28,0),0,F10+1),0)</f>
        <v>7</v>
      </c>
      <c r="G9" s="101">
        <f>IF($A9&lt;=('Alternative 2'!$B$29), IF($A9=ROUNDDOWN('Alternative 2'!$B$29,0),0,G10+1),0)</f>
        <v>11</v>
      </c>
      <c r="H9" s="18">
        <f t="shared" si="14"/>
        <v>17</v>
      </c>
      <c r="J9" s="104">
        <f t="shared" si="15"/>
        <v>6</v>
      </c>
      <c r="K9" s="104">
        <f t="shared" si="16"/>
        <v>0.10471975511965977</v>
      </c>
      <c r="L9" s="105">
        <f>'Alternative 2'!$B$27*SIN(K9)+'Alternative 2'!$B$28*SIN(K9)+'Alternative 2'!$B$29*SIN(K9)</f>
        <v>4.4936786358764227</v>
      </c>
      <c r="M9" s="104">
        <f>(('Alternative 2'!$B$27)*(((('Alternative 2'!$B$28-'Alternative 2'!$B$27)/2)+'Alternative 2'!$B$27)*'Alternative 2'!$B$39)*COS('Alternative 2-Tilt Up (3pt)'!K9))+(('Alternative 2'!$B$28)*((('Alternative 2'!$B$28-'Alternative 2'!$B$27)/2)+(('Alternative 2'!$B$29-'Alternative 2'!$B$28)/2))*('Alternative 2'!$B$39)*COS('Alternative 2-Tilt Up (3pt)'!K9))+(('Alternative 2'!$B$29)*((('Alternative 2'!$B$12-'Alternative 2'!$B$29+(('Alternative 2'!$B$29-'Alternative 2'!$B$28)/2)*('Alternative 2'!$B$39)*COS('Alternative 2-Tilt Up (3pt)'!K9)))))</f>
        <v>606460.70624067658</v>
      </c>
      <c r="N9" s="104">
        <f t="shared" si="0"/>
        <v>404875.88591594674</v>
      </c>
      <c r="O9" s="104">
        <f>(((('Alternative 2'!$B$28-'Alternative 2'!$B$27)/2)+'Alternative 2'!$B$27)*('Alternative 2'!$B$39)*COS('Alternative 2-Tilt Up (3pt)'!K9))+(((('Alternative 2'!$B$28-'Alternative 2'!$B$27)/2)+(('Alternative 2'!$B$29-'Alternative 2'!$B$28)/2))*('Alternative 2'!$B$39)*COS('Alternative 2-Tilt Up (3pt)'!K9))+(((('Alternative 2'!$B$12-'Alternative 2'!$B$29)+(('Alternative 2'!$B$29-'Alternative 2'!$B$28)/2))*('Alternative 2'!$B$39)*COS('Alternative 2-Tilt Up (3pt)'!K9)))</f>
        <v>62235.031322643772</v>
      </c>
      <c r="P9" s="104">
        <f t="shared" si="1"/>
        <v>402657.93345003616</v>
      </c>
      <c r="R9" s="105">
        <f>('Alternative 2'!$B$39*$B9*$C9*COS($K$5))-(($N$5/3)*$E9*SIN($K$5))-(($N$5/3)*$F9*SIN($K$5))-(($N$5/3)*$G9*SIN($K$5))</f>
        <v>95215.040617249877</v>
      </c>
      <c r="S9" s="106">
        <f>IF(($A9&lt;'Alternative 2'!$B$27),(($H9*'Alternative 2'!$B$39)+(3*($N$5/3)*COS($K$5))),IF(($A9&lt;'Alternative 2'!$B$28),(($H9*'Alternative 2'!$B$39)+(2*(($N$5/3)*COS($K$5)))),IF(($A9&lt;'Alternative 2'!$B$29),(($H$3*'Alternative 2'!$B$39+(($N$5/3)*COS($K$5)))),($H9*'Alternative 2'!$B$39))))</f>
        <v>1264102.0607920429</v>
      </c>
      <c r="T9" s="105">
        <f>R9*'Alternative 2'!$K10/'Alternative 2'!$L10</f>
        <v>1515395.7170930943</v>
      </c>
      <c r="U9" s="105">
        <f>S9/'Alternative 2'!$M10</f>
        <v>1093803.9202303595</v>
      </c>
      <c r="V9" s="105">
        <f t="shared" si="2"/>
        <v>2.6091996373234538</v>
      </c>
      <c r="X9" s="105">
        <f>'Alternative 2'!$B$39*$B9*$C9*COS($K$13)-($N$12/3)*$E9*SIN($K$13)-($N$12/3)*$F9*SIN($K$13)-($N$12/3)*$G9*SIN($K$13)</f>
        <v>60592.671263068798</v>
      </c>
      <c r="Y9" s="106">
        <f>IF(($A9&lt;'Alternative 2'!$B$27),(($H9*'Alternative 2'!$B$39)+(3*($N$12/3)*COS($K$13))),IF(($A9&lt;'Alternative 2'!$B$28),(($H9*'Alternative 2'!$B$39)+(2*(($N$12/3)*COS($K$13)))),IF(($A9&lt;'Alternative 2'!$B$29),(($H$3*'Alternative 2'!$B$39+(($N$12/3)*COS($K$13)))),($H9*'Alternative 2'!$B$39))))</f>
        <v>310848.08851424267</v>
      </c>
      <c r="Z9" s="105">
        <f>X9*'Alternative 2'!$K10/'Alternative 2'!$L10</f>
        <v>964363.12922865176</v>
      </c>
      <c r="AA9" s="105">
        <f>Y9/'Alternative 2'!$M10</f>
        <v>268971.04937868373</v>
      </c>
      <c r="AB9" s="105">
        <f t="shared" si="3"/>
        <v>1.2333341786073355</v>
      </c>
      <c r="AD9" s="105">
        <f>'Alternative 2'!$B$39*$B9*$C9*COS($K$23)-($N$22/3)*$E9*SIN($K$23)-($N$22/3)*$F9*SIN($K$23)-($N$22/3)*$G9*SIN($K$23)</f>
        <v>73557.066941519559</v>
      </c>
      <c r="AE9" s="106">
        <f>IF(($A9&lt;'Alternative 2'!$B$27),(($H9*'Alternative 2'!$B$39)+(3*($N$22/3)*COS($K$23))),IF(($A9&lt;'Alternative 2'!$B$28),(($H9*'Alternative 2'!$B$39)+(2*(($N$22/3)*COS($K$23)))),IF(($A9&lt;'Alternative 2'!$B$29),(($H$3*'Alternative 2'!$B$39+(($N$22/3)*COS($K$23)))),($H9*'Alternative 2'!$B$39))))</f>
        <v>162387.10882661105</v>
      </c>
      <c r="AF9" s="105">
        <f>AD9*'Alternative 2'!$K10/'Alternative 2'!$L10</f>
        <v>1170698.0691547841</v>
      </c>
      <c r="AG9" s="105">
        <f>AE9/'Alternative 2'!$M10</f>
        <v>140510.53450393936</v>
      </c>
      <c r="AH9" s="105">
        <f t="shared" si="4"/>
        <v>1.3112086036587234</v>
      </c>
      <c r="AJ9" s="105">
        <f>'Alternative 2'!$B$39*$B9*$C9*COS($K$33)-($N$32/3)*$E9*SIN($K$33)-($N$32/3)*$F9*SIN($K$33)-($N$32/3)*$G9*SIN($K$33)</f>
        <v>71780.623176160763</v>
      </c>
      <c r="AK9" s="106">
        <f>IF(($A9&lt;'Alternative 2'!$B$27),(($H9*'Alternative 2'!$B$39)+(3*($N$32/3)*COS($K$33))),IF(($A9&lt;'Alternative 2'!$B$28),(($H9*'Alternative 2'!$B$39)+(2*(($N$32/3)*COS($K$33)))),IF(($A9&lt;'Alternative 2'!$B$29),(($H$3*'Alternative 2'!$B$39+(($N$32/3)*COS($K$33)))),($H9*'Alternative 2'!$B$39))))</f>
        <v>112738.96118236787</v>
      </c>
      <c r="AL9" s="105">
        <f>AJ9*'Alternative 2'!$K10/'Alternative 2'!$L10</f>
        <v>1142425.0646354356</v>
      </c>
      <c r="AM9" s="105">
        <f>AK9/'Alternative 2'!$M10</f>
        <v>97550.918971453779</v>
      </c>
      <c r="AN9" s="105">
        <f t="shared" si="5"/>
        <v>1.2399759836068893</v>
      </c>
      <c r="AP9" s="105">
        <f>'Alternative 2'!$B$39*$B9*$C9*COS($K$43)-($N$42/3)*$E9*SIN($K$43)-($N$42/3)*$F9*SIN($K$43)-($N$42/3)*$G9*SIN($K$43)</f>
        <v>64713.602145055411</v>
      </c>
      <c r="AQ9" s="106">
        <f>IF(($A9&lt;'Alternative 2'!$B$27),(($H9*'Alternative 2'!$B$39)+(3*($N$42/3)*COS($K$43))),IF(($A9&lt;'Alternative 2'!$B$28),(($H9*'Alternative 2'!$B$39)+(2*(($N$42/3)*COS($K$43)))),IF(($A9&lt;'Alternative 2'!$B$29),(($H$3*'Alternative 2'!$B$39+(($N$42/3)*COS($K$43)))),($H9*'Alternative 2'!$B$39))))</f>
        <v>86510.343016743995</v>
      </c>
      <c r="AR9" s="105">
        <f>AP9*'Alternative 2'!$K10/'Alternative 2'!$L10</f>
        <v>1029949.8366281948</v>
      </c>
      <c r="AS9" s="105">
        <f>AQ9/'Alternative 2'!$M10</f>
        <v>74855.78519894091</v>
      </c>
      <c r="AT9" s="105">
        <f t="shared" si="6"/>
        <v>1.1048056218271358</v>
      </c>
      <c r="AV9" s="105">
        <f>'Alternative 2'!$B$39*$B9*$C9*COS($K$53)-($N$52/3)*$E9*SIN($K$53)-($N$52/3)*$F9*SIN($K$53)-($N$52/3)*$G9*SIN($K$53)</f>
        <v>54338.207687942544</v>
      </c>
      <c r="AW9" s="106">
        <f>IF(($A9&lt;'Alternative 2'!$B$27),(($H9*'Alternative 2'!$B$39)+(3*($N$52/3)*COS($K$53))),IF(($A9&lt;'Alternative 2'!$B$28),(($H9*'Alternative 2'!$B$39)+(2*(($N$52/3)*COS($K$53)))),IF(($A9&lt;'Alternative 2'!$B$29),(($H$3*'Alternative 2'!$B$39+(($N$52/3)*COS($K$53)))),($H9*'Alternative 2'!$B$39))))</f>
        <v>70032.678880345906</v>
      </c>
      <c r="AX9" s="105">
        <f>AV9*'Alternative 2'!$K10/'Alternative 2'!$L10</f>
        <v>864820.16571135225</v>
      </c>
      <c r="AY9" s="105">
        <f>AW9/'Alternative 2'!$M10</f>
        <v>60597.969957868809</v>
      </c>
      <c r="AZ9" s="105">
        <f t="shared" si="7"/>
        <v>0.92541813566922104</v>
      </c>
      <c r="BB9" s="105">
        <f>'Alternative 2'!$B$39*$B9*$C9*COS($K$63)-($N$62/3)*$E9*SIN($K$63)-($N$62/3)*$F9*SIN($K$63)-($N$62/3)*$G9*SIN($K$63)</f>
        <v>41552.185239788421</v>
      </c>
      <c r="BC9" s="106">
        <f>IF(($A9&lt;'Alternative 2'!$B$27),(($H9*'Alternative 2'!$B$39)+(3*($N$62/3)*COS($K$63))),IF(($A9&lt;'Alternative 2'!$B$28),(($H9*'Alternative 2'!$B$39)+(2*(($N$62/3)*COS($K$63)))),IF(($A9&lt;'Alternative 2'!$B$29),(($H$3*'Alternative 2'!$B$39+(($N$62/3)*COS($K$63)))),($H9*'Alternative 2'!$B$39))))</f>
        <v>59039.337473299529</v>
      </c>
      <c r="BD9" s="105">
        <f>BB9*'Alternative 2'!$K10/'Alternative 2'!$L10</f>
        <v>661324.12631483446</v>
      </c>
      <c r="BE9" s="105">
        <f>BC9/'Alternative 2'!$M10</f>
        <v>51085.636816093938</v>
      </c>
      <c r="BF9" s="105">
        <f t="shared" si="8"/>
        <v>0.71240976313092841</v>
      </c>
      <c r="BH9" s="105">
        <f>'Alternative 2'!$B$39*$B9*$C9*COS($K$73)-($N$72/3)*$E9*SIN($K$73)-($N$72/3)*$F9*SIN($K$73)-($N$72/3)*$G9*SIN($K$73)</f>
        <v>26991.204446041869</v>
      </c>
      <c r="BI9" s="106">
        <f>IF(($A9&lt;'Alternative 2'!$B$27),(($H9*'Alternative 2'!$B$39)+(3*($N$72/3)*COS($K$73))),IF(($A9&lt;'Alternative 2'!$B$28),(($H9*'Alternative 2'!$B$39)+(2*(($N$72/3)*COS($K$73)))),IF(($A9&lt;'Alternative 2'!$B$29),(($H$3*'Alternative 2'!$B$39+(($N$72/3)*COS($K$73)))),($H9*'Alternative 2'!$B$39))))</f>
        <v>51841.414258672405</v>
      </c>
      <c r="BJ9" s="105">
        <f>BH9*'Alternative 2'!$K10/'Alternative 2'!$L10</f>
        <v>429578.72360877565</v>
      </c>
      <c r="BK9" s="105">
        <f>BI9/'Alternative 2'!$M10</f>
        <v>44857.408199218466</v>
      </c>
      <c r="BL9" s="105">
        <f t="shared" si="9"/>
        <v>0.4744361318079941</v>
      </c>
      <c r="BN9" s="105">
        <f>'Alternative 2'!$B$39*$B9*$C9*COS($K$83)-($N$82/3)*$E9*SIN($K$83)-($N$82/3)*$F9*SIN($K$83)-($N$82/3)*$G9*SIN($K$83)</f>
        <v>11215.878032925575</v>
      </c>
      <c r="BO9" s="106">
        <f>IF(($A9&lt;'Alternative 2'!$B$27),(($H9*'Alternative 2'!$B$39)+(3*($N$82/3)*COS($K$83))),IF(($A9&lt;'Alternative 2'!$B$28),(($H9*'Alternative 2'!$B$39)+(2*(($N$82/3)*COS($K$83)))),IF(($A9&lt;'Alternative 2'!$B$29),(($H$3*'Alternative 2'!$B$39+(($N$82/3)*COS($K$83)))),($H9*'Alternative 2'!$B$39))))</f>
        <v>47690.357844120212</v>
      </c>
      <c r="BP9" s="105">
        <f>BN9*'Alternative 2'!$K10/'Alternative 2'!$L10</f>
        <v>178506.3937834914</v>
      </c>
      <c r="BQ9" s="105">
        <f>BO9/'Alternative 2'!$M10</f>
        <v>41265.576558275097</v>
      </c>
      <c r="BR9" s="105">
        <f t="shared" si="10"/>
        <v>0.21977197034176649</v>
      </c>
      <c r="BT9" s="105">
        <f>'Alternative 2'!$B$39*$B9*$C9*COS($K$93)-($K$92/3)*$E9*SIN($K$93)-($K$92/3)*$F9*SIN($K$93)-($K$92/3)*$G9*SIN($K$93)</f>
        <v>-10.873401239900591</v>
      </c>
      <c r="BU9" s="106">
        <f>IF(($A9&lt;'Alternative 2'!$B$27),(($H9*'Alternative 2'!$B$39)+(3*($N$92/3)*COS($K$93))),IF(($A9&lt;'Alternative 2'!$B$28),(($H9*'Alternative 2'!$B$39)+(2*(($N$92/3)*COS($K$93)))),IF(($A9&lt;'Alternative 2'!$B$29),(($H$3*'Alternative 2'!$B$39+(($N$92/3)*COS($K$93)))),($H9*'Alternative 2'!$B$39))))</f>
        <v>46253.185550209688</v>
      </c>
      <c r="BV9" s="105">
        <f>BT9*'Alternative 2'!$K10/'Alternative 2'!$L10</f>
        <v>-173.05570172907019</v>
      </c>
      <c r="BW9" s="105">
        <f>BU9/'Alternative 2'!$M10</f>
        <v>40022.018195478951</v>
      </c>
      <c r="BX9" s="105">
        <f t="shared" si="11"/>
        <v>3.9848962493749883E-2</v>
      </c>
      <c r="BZ9" s="104">
        <v>150</v>
      </c>
      <c r="CA9" s="104">
        <v>-150</v>
      </c>
    </row>
    <row r="10" spans="1:79" ht="15" customHeight="1" x14ac:dyDescent="0.25">
      <c r="A10" s="18">
        <f>IF('Alternative 2'!F11&gt;0,'Alternative 2'!F11,"x")</f>
        <v>8</v>
      </c>
      <c r="B10" s="18">
        <f t="shared" si="17"/>
        <v>16</v>
      </c>
      <c r="C10" s="18">
        <f t="shared" si="12"/>
        <v>8</v>
      </c>
      <c r="D10" s="18">
        <f t="shared" si="13"/>
        <v>8</v>
      </c>
      <c r="E10" s="101">
        <f>IF($A10&lt;='Alternative 2'!$B$27, IF($A10='Alternative 2'!$B$27,0,E11+1),0)</f>
        <v>2</v>
      </c>
      <c r="F10" s="101">
        <f>IF($A10&lt;=('Alternative 2'!$B$28), IF($A10=ROUNDDOWN('Alternative 2'!$B$28,0),0,F11+1),0)</f>
        <v>6</v>
      </c>
      <c r="G10" s="101">
        <f>IF($A10&lt;=('Alternative 2'!$B$29), IF($A10=ROUNDDOWN('Alternative 2'!$B$29,0),0,G11+1),0)</f>
        <v>10</v>
      </c>
      <c r="H10" s="18">
        <f t="shared" si="14"/>
        <v>16</v>
      </c>
      <c r="J10" s="104">
        <f t="shared" si="15"/>
        <v>7</v>
      </c>
      <c r="K10" s="104">
        <f t="shared" si="16"/>
        <v>0.12217304763960307</v>
      </c>
      <c r="L10" s="105">
        <f>'Alternative 2'!$B$27*SIN(K10)+'Alternative 2'!$B$28*SIN(K10)+'Alternative 2'!$B$29*SIN(K10)</f>
        <v>5.2391630729872904</v>
      </c>
      <c r="M10" s="104">
        <f>(('Alternative 2'!$B$27)*(((('Alternative 2'!$B$28-'Alternative 2'!$B$27)/2)+'Alternative 2'!$B$27)*'Alternative 2'!$B$39)*COS('Alternative 2-Tilt Up (3pt)'!K10))+(('Alternative 2'!$B$28)*((('Alternative 2'!$B$28-'Alternative 2'!$B$27)/2)+(('Alternative 2'!$B$29-'Alternative 2'!$B$28)/2))*('Alternative 2'!$B$39)*COS('Alternative 2-Tilt Up (3pt)'!K10))+(('Alternative 2'!$B$29)*((('Alternative 2'!$B$12-'Alternative 2'!$B$29+(('Alternative 2'!$B$29-'Alternative 2'!$B$28)/2)*('Alternative 2'!$B$39)*COS('Alternative 2-Tilt Up (3pt)'!K10)))))</f>
        <v>605256.05610963679</v>
      </c>
      <c r="N10" s="104">
        <f t="shared" si="0"/>
        <v>346575.99754641484</v>
      </c>
      <c r="O10" s="104">
        <f>(((('Alternative 2'!$B$28-'Alternative 2'!$B$27)/2)+'Alternative 2'!$B$27)*('Alternative 2'!$B$39)*COS('Alternative 2-Tilt Up (3pt)'!K10))+(((('Alternative 2'!$B$28-'Alternative 2'!$B$27)/2)+(('Alternative 2'!$B$29-'Alternative 2'!$B$28)/2))*('Alternative 2'!$B$39)*COS('Alternative 2-Tilt Up (3pt)'!K10))+(((('Alternative 2'!$B$12-'Alternative 2'!$B$29)+(('Alternative 2'!$B$29-'Alternative 2'!$B$28)/2))*('Alternative 2'!$B$39)*COS('Alternative 2-Tilt Up (3pt)'!K10)))</f>
        <v>62111.393549252367</v>
      </c>
      <c r="P10" s="104">
        <f t="shared" si="1"/>
        <v>343992.67261594633</v>
      </c>
      <c r="R10" s="105">
        <f>('Alternative 2'!$B$39*$B10*$C10*COS($K$5))-(($N$5/3)*$E10*SIN($K$5))-(($N$5/3)*$F10*SIN($K$5))-(($N$5/3)*$G10*SIN($K$5))</f>
        <v>92877.810204865033</v>
      </c>
      <c r="S10" s="106">
        <f>IF(($A10&lt;'Alternative 2'!$B$27),(($H10*'Alternative 2'!$B$39)+(3*($N$5/3)*COS($K$5))),IF(($A10&lt;'Alternative 2'!$B$28),(($H10*'Alternative 2'!$B$39)+(2*(($N$5/3)*COS($K$5)))),IF(($A10&lt;'Alternative 2'!$B$29),(($H$3*'Alternative 2'!$B$39+(($N$5/3)*COS($K$5)))),($H10*'Alternative 2'!$B$39))))</f>
        <v>1261381.2851714424</v>
      </c>
      <c r="T10" s="105">
        <f>R10*'Alternative 2'!$K11/'Alternative 2'!$L11</f>
        <v>1478197.5083455357</v>
      </c>
      <c r="U10" s="105">
        <f>S10/'Alternative 2'!$M11</f>
        <v>1127528.2410052663</v>
      </c>
      <c r="V10" s="105">
        <f t="shared" si="2"/>
        <v>2.6057257493508019</v>
      </c>
      <c r="X10" s="105">
        <f>'Alternative 2'!$B$39*$B10*$C10*COS($K$13)-($N$12/3)*$E10*SIN($K$13)-($N$12/3)*$F10*SIN($K$13)-($N$12/3)*$G10*SIN($K$13)</f>
        <v>63037.116344894283</v>
      </c>
      <c r="Y10" s="106">
        <f>IF(($A10&lt;'Alternative 2'!$B$27),(($H10*'Alternative 2'!$B$39)+(3*($N$12/3)*COS($K$13))),IF(($A10&lt;'Alternative 2'!$B$28),(($H10*'Alternative 2'!$B$39)+(2*(($N$12/3)*COS($K$13)))),IF(($A10&lt;'Alternative 2'!$B$29),(($H$3*'Alternative 2'!$B$39+(($N$12/3)*COS($K$13)))),($H10*'Alternative 2'!$B$39))))</f>
        <v>308127.31289364205</v>
      </c>
      <c r="Z10" s="105">
        <f>X10*'Alternative 2'!$K11/'Alternative 2'!$L11</f>
        <v>1003267.7138788684</v>
      </c>
      <c r="AA10" s="105">
        <f>Y10/'Alternative 2'!$M11</f>
        <v>275429.99979219376</v>
      </c>
      <c r="AB10" s="105">
        <f t="shared" si="3"/>
        <v>1.2786977136710622</v>
      </c>
      <c r="AD10" s="105">
        <f>'Alternative 2'!$B$39*$B10*$C10*COS($K$23)-($N$22/3)*$E10*SIN($K$23)-($N$22/3)*$F10*SIN($K$23)-($N$22/3)*$G10*SIN($K$23)</f>
        <v>73640.927440057334</v>
      </c>
      <c r="AE10" s="106">
        <f>IF(($A10&lt;'Alternative 2'!$B$27),(($H10*'Alternative 2'!$B$39)+(3*($N$22/3)*COS($K$23))),IF(($A10&lt;'Alternative 2'!$B$28),(($H10*'Alternative 2'!$B$39)+(2*(($N$22/3)*COS($K$23)))),IF(($A10&lt;'Alternative 2'!$B$29),(($H$3*'Alternative 2'!$B$39+(($N$22/3)*COS($K$23)))),($H10*'Alternative 2'!$B$39))))</f>
        <v>159666.33320601046</v>
      </c>
      <c r="AF10" s="105">
        <f>AD10*'Alternative 2'!$K11/'Alternative 2'!$L11</f>
        <v>1172032.7515693859</v>
      </c>
      <c r="AG10" s="105">
        <f>AE10/'Alternative 2'!$M11</f>
        <v>142723.14164155757</v>
      </c>
      <c r="AH10" s="105">
        <f t="shared" si="4"/>
        <v>1.3147558932109433</v>
      </c>
      <c r="AJ10" s="105">
        <f>'Alternative 2'!$B$39*$B10*$C10*COS($K$33)-($N$32/3)*$E10*SIN($K$33)-($N$32/3)*$F10*SIN($K$33)-($N$32/3)*$G10*SIN($K$33)</f>
        <v>71287.900344950074</v>
      </c>
      <c r="AK10" s="106">
        <f>IF(($A10&lt;'Alternative 2'!$B$27),(($H10*'Alternative 2'!$B$39)+(3*($N$32/3)*COS($K$33))),IF(($A10&lt;'Alternative 2'!$B$28),(($H10*'Alternative 2'!$B$39)+(2*(($N$32/3)*COS($K$33)))),IF(($A10&lt;'Alternative 2'!$B$29),(($H$3*'Alternative 2'!$B$39+(($N$32/3)*COS($K$33)))),($H10*'Alternative 2'!$B$39))))</f>
        <v>110018.1855617673</v>
      </c>
      <c r="AL10" s="105">
        <f>AJ10*'Alternative 2'!$K11/'Alternative 2'!$L11</f>
        <v>1134583.1305954957</v>
      </c>
      <c r="AM10" s="105">
        <f>AK10/'Alternative 2'!$M11</f>
        <v>98343.468944198117</v>
      </c>
      <c r="AN10" s="105">
        <f t="shared" si="5"/>
        <v>1.2329265995396939</v>
      </c>
      <c r="AP10" s="105">
        <f>'Alternative 2'!$B$39*$B10*$C10*COS($K$43)-($N$42/3)*$E10*SIN($K$43)-($N$42/3)*$F10*SIN($K$43)-($N$42/3)*$G10*SIN($K$43)</f>
        <v>64103.489882748181</v>
      </c>
      <c r="AQ10" s="106">
        <f>IF(($A10&lt;'Alternative 2'!$B$27),(($H10*'Alternative 2'!$B$39)+(3*($N$42/3)*COS($K$43))),IF(($A10&lt;'Alternative 2'!$B$28),(($H10*'Alternative 2'!$B$39)+(2*(($N$42/3)*COS($K$43)))),IF(($A10&lt;'Alternative 2'!$B$29),(($H$3*'Alternative 2'!$B$39+(($N$42/3)*COS($K$43)))),($H10*'Alternative 2'!$B$39))))</f>
        <v>83789.567396143422</v>
      </c>
      <c r="AR10" s="105">
        <f>AP10*'Alternative 2'!$K11/'Alternative 2'!$L11</f>
        <v>1020239.590187583</v>
      </c>
      <c r="AS10" s="105">
        <f>AQ10/'Alternative 2'!$M11</f>
        <v>74898.133222204167</v>
      </c>
      <c r="AT10" s="105">
        <f t="shared" si="6"/>
        <v>1.0951377234097872</v>
      </c>
      <c r="AV10" s="105">
        <f>'Alternative 2'!$B$39*$B10*$C10*COS($K$53)-($N$52/3)*$E10*SIN($K$53)-($N$52/3)*$F10*SIN($K$53)-($N$52/3)*$G10*SIN($K$53)</f>
        <v>53820.970142824764</v>
      </c>
      <c r="AW10" s="106">
        <f>IF(($A10&lt;'Alternative 2'!$B$27),(($H10*'Alternative 2'!$B$39)+(3*($N$52/3)*COS($K$53))),IF(($A10&lt;'Alternative 2'!$B$28),(($H10*'Alternative 2'!$B$39)+(2*(($N$52/3)*COS($K$53)))),IF(($A10&lt;'Alternative 2'!$B$29),(($H$3*'Alternative 2'!$B$39+(($N$52/3)*COS($K$53)))),($H10*'Alternative 2'!$B$39))))</f>
        <v>67311.903259745333</v>
      </c>
      <c r="AX10" s="105">
        <f>AV10*'Alternative 2'!$K11/'Alternative 2'!$L11</f>
        <v>856588.06755217526</v>
      </c>
      <c r="AY10" s="105">
        <f>AW10/'Alternative 2'!$M11</f>
        <v>60169.016912964405</v>
      </c>
      <c r="AZ10" s="105">
        <f t="shared" si="7"/>
        <v>0.9167570844651397</v>
      </c>
      <c r="BB10" s="105">
        <f>'Alternative 2'!$B$39*$B10*$C10*COS($K$63)-($N$62/3)*$E10*SIN($K$63)-($N$62/3)*$F10*SIN($K$63)-($N$62/3)*$G10*SIN($K$63)</f>
        <v>41252.051133919842</v>
      </c>
      <c r="BC10" s="106">
        <f>IF(($A10&lt;'Alternative 2'!$B$27),(($H10*'Alternative 2'!$B$39)+(3*($N$62/3)*COS($K$63))),IF(($A10&lt;'Alternative 2'!$B$28),(($H10*'Alternative 2'!$B$39)+(2*(($N$62/3)*COS($K$63)))),IF(($A10&lt;'Alternative 2'!$B$29),(($H$3*'Alternative 2'!$B$39+(($N$62/3)*COS($K$63)))),($H10*'Alternative 2'!$B$39))))</f>
        <v>56318.561852698956</v>
      </c>
      <c r="BD10" s="105">
        <f>BB10*'Alternative 2'!$K11/'Alternative 2'!$L11</f>
        <v>656547.33962611039</v>
      </c>
      <c r="BE10" s="105">
        <f>BC10/'Alternative 2'!$M11</f>
        <v>50342.247604449869</v>
      </c>
      <c r="BF10" s="105">
        <f t="shared" si="8"/>
        <v>0.70688958723056028</v>
      </c>
      <c r="BH10" s="105">
        <f>'Alternative 2'!$B$39*$B10*$C10*COS($K$73)-($N$72/3)*$E10*SIN($K$73)-($N$72/3)*$F10*SIN($K$73)-($N$72/3)*$G10*SIN($K$73)</f>
        <v>26990.495519997145</v>
      </c>
      <c r="BI10" s="106">
        <f>IF(($A10&lt;'Alternative 2'!$B$27),(($H10*'Alternative 2'!$B$39)+(3*($N$72/3)*COS($K$73))),IF(($A10&lt;'Alternative 2'!$B$28),(($H10*'Alternative 2'!$B$39)+(2*(($N$72/3)*COS($K$73)))),IF(($A10&lt;'Alternative 2'!$B$29),(($H$3*'Alternative 2'!$B$39+(($N$72/3)*COS($K$73)))),($H10*'Alternative 2'!$B$39))))</f>
        <v>49120.638638071832</v>
      </c>
      <c r="BJ10" s="105">
        <f>BH10*'Alternative 2'!$K11/'Alternative 2'!$L11</f>
        <v>429567.44069081492</v>
      </c>
      <c r="BK10" s="105">
        <f>BI10/'Alternative 2'!$M11</f>
        <v>43908.140965570718</v>
      </c>
      <c r="BL10" s="105">
        <f t="shared" si="9"/>
        <v>0.47347558165638565</v>
      </c>
      <c r="BN10" s="105">
        <f>'Alternative 2'!$B$39*$B10*$C10*COS($K$83)-($N$82/3)*$E10*SIN($K$83)-($N$82/3)*$F10*SIN($K$83)-($N$82/3)*$G10*SIN($K$83)</f>
        <v>11570.934617133218</v>
      </c>
      <c r="BO10" s="106">
        <f>IF(($A10&lt;'Alternative 2'!$B$27),(($H10*'Alternative 2'!$B$39)+(3*($N$82/3)*COS($K$83))),IF(($A10&lt;'Alternative 2'!$B$28),(($H10*'Alternative 2'!$B$39)+(2*(($N$82/3)*COS($K$83)))),IF(($A10&lt;'Alternative 2'!$B$29),(($H$3*'Alternative 2'!$B$39+(($N$82/3)*COS($K$83)))),($H10*'Alternative 2'!$B$39))))</f>
        <v>44969.582223519639</v>
      </c>
      <c r="BP10" s="105">
        <f>BN10*'Alternative 2'!$K11/'Alternative 2'!$L11</f>
        <v>184157.29960200438</v>
      </c>
      <c r="BQ10" s="105">
        <f>BO10/'Alternative 2'!$M11</f>
        <v>40197.579066138765</v>
      </c>
      <c r="BR10" s="105">
        <f t="shared" si="10"/>
        <v>0.22435487866814316</v>
      </c>
      <c r="BT10" s="105">
        <f>'Alternative 2'!$B$39*$B10*$C10*COS($K$93)-($K$92/3)*$E10*SIN($K$93)-($K$92/3)*$F10*SIN($K$93)-($K$92/3)*$G10*SIN($K$93)</f>
        <v>-9.3200582056283867</v>
      </c>
      <c r="BU10" s="106">
        <f>IF(($A10&lt;'Alternative 2'!$B$27),(($H10*'Alternative 2'!$B$39)+(3*($N$92/3)*COS($K$93))),IF(($A10&lt;'Alternative 2'!$B$28),(($H10*'Alternative 2'!$B$39)+(2*(($N$92/3)*COS($K$93)))),IF(($A10&lt;'Alternative 2'!$B$29),(($H$3*'Alternative 2'!$B$39+(($N$92/3)*COS($K$93)))),($H10*'Alternative 2'!$B$39))))</f>
        <v>43532.409929609115</v>
      </c>
      <c r="BV10" s="105">
        <f>BT10*'Alternative 2'!$K11/'Alternative 2'!$L11</f>
        <v>-148.33345862490629</v>
      </c>
      <c r="BW10" s="105">
        <f>BU10/'Alternative 2'!$M11</f>
        <v>38912.914097961286</v>
      </c>
      <c r="BX10" s="105">
        <f t="shared" si="11"/>
        <v>3.8764580639336382E-2</v>
      </c>
      <c r="BZ10" s="104">
        <v>150</v>
      </c>
      <c r="CA10" s="104">
        <v>-150</v>
      </c>
    </row>
    <row r="11" spans="1:79" ht="15" customHeight="1" x14ac:dyDescent="0.25">
      <c r="A11" s="18">
        <f>IF('Alternative 2'!F12&gt;0,'Alternative 2'!F12,"x")</f>
        <v>9</v>
      </c>
      <c r="B11" s="18">
        <f t="shared" si="17"/>
        <v>15</v>
      </c>
      <c r="C11" s="18">
        <f t="shared" si="12"/>
        <v>7.5</v>
      </c>
      <c r="D11" s="18">
        <f t="shared" si="13"/>
        <v>9</v>
      </c>
      <c r="E11" s="101">
        <f>IF($A11&lt;='Alternative 2'!$B$27, IF($A11='Alternative 2'!$B$27,0,E12+1),0)</f>
        <v>1</v>
      </c>
      <c r="F11" s="101">
        <f>IF($A11&lt;=('Alternative 2'!$B$28), IF($A11=ROUNDDOWN('Alternative 2'!$B$28,0),0,F12+1),0)</f>
        <v>5</v>
      </c>
      <c r="G11" s="101">
        <f>IF($A11&lt;=('Alternative 2'!$B$29), IF($A11=ROUNDDOWN('Alternative 2'!$B$29,0),0,G12+1),0)</f>
        <v>9</v>
      </c>
      <c r="H11" s="18">
        <f t="shared" si="14"/>
        <v>15</v>
      </c>
      <c r="J11" s="104">
        <f t="shared" si="15"/>
        <v>8</v>
      </c>
      <c r="K11" s="104">
        <f t="shared" si="16"/>
        <v>0.13962634015954636</v>
      </c>
      <c r="L11" s="105">
        <f>'Alternative 2'!$B$27*SIN(K11)+'Alternative 2'!$B$28*SIN(K11)+'Alternative 2'!$B$29*SIN(K11)</f>
        <v>5.983051610273213</v>
      </c>
      <c r="M11" s="104">
        <f>(('Alternative 2'!$B$27)*(((('Alternative 2'!$B$28-'Alternative 2'!$B$27)/2)+'Alternative 2'!$B$27)*'Alternative 2'!$B$39)*COS('Alternative 2-Tilt Up (3pt)'!K11))+(('Alternative 2'!$B$28)*((('Alternative 2'!$B$28-'Alternative 2'!$B$27)/2)+(('Alternative 2'!$B$29-'Alternative 2'!$B$28)/2))*('Alternative 2'!$B$39)*COS('Alternative 2-Tilt Up (3pt)'!K11))+(('Alternative 2'!$B$29)*((('Alternative 2'!$B$12-'Alternative 2'!$B$29+(('Alternative 2'!$B$29-'Alternative 2'!$B$28)/2)*('Alternative 2'!$B$39)*COS('Alternative 2-Tilt Up (3pt)'!K11)))))</f>
        <v>603867.06378929201</v>
      </c>
      <c r="N11" s="104">
        <f t="shared" si="0"/>
        <v>302788.82907465845</v>
      </c>
      <c r="O11" s="104">
        <f>(((('Alternative 2'!$B$28-'Alternative 2'!$B$27)/2)+'Alternative 2'!$B$27)*('Alternative 2'!$B$39)*COS('Alternative 2-Tilt Up (3pt)'!K11))+(((('Alternative 2'!$B$28-'Alternative 2'!$B$27)/2)+(('Alternative 2'!$B$29-'Alternative 2'!$B$28)/2))*('Alternative 2'!$B$39)*COS('Alternative 2-Tilt Up (3pt)'!K11))+(((('Alternative 2'!$B$12-'Alternative 2'!$B$29)+(('Alternative 2'!$B$29-'Alternative 2'!$B$28)/2))*('Alternative 2'!$B$39)*COS('Alternative 2-Tilt Up (3pt)'!K11)))</f>
        <v>61968.836043699295</v>
      </c>
      <c r="P11" s="104">
        <f t="shared" si="1"/>
        <v>299842.1090042835</v>
      </c>
      <c r="R11" s="105">
        <f>('Alternative 2'!$B$39*$B11*$C11*COS($K$5))-(($N$5/3)*$E11*SIN($K$5))-(($N$5/3)*$F11*SIN($K$5))-(($N$5/3)*$G11*SIN($K$5))</f>
        <v>93259.697990085668</v>
      </c>
      <c r="S11" s="106">
        <f>IF(($A11&lt;'Alternative 2'!$B$27),(($H11*'Alternative 2'!$B$39)+(3*($N$5/3)*COS($K$5))),IF(($A11&lt;'Alternative 2'!$B$28),(($H11*'Alternative 2'!$B$39)+(2*(($N$5/3)*COS($K$5)))),IF(($A11&lt;'Alternative 2'!$B$29),(($H$3*'Alternative 2'!$B$39+(($N$5/3)*COS($K$5)))),($H11*'Alternative 2'!$B$39))))</f>
        <v>1258660.5095508418</v>
      </c>
      <c r="T11" s="105">
        <f>R11*'Alternative 2'!$K12/'Alternative 2'!$L12</f>
        <v>1484275.4463517785</v>
      </c>
      <c r="U11" s="105">
        <f>S11/'Alternative 2'!$M12</f>
        <v>1162911.9167210246</v>
      </c>
      <c r="V11" s="105">
        <f t="shared" si="2"/>
        <v>2.6471873630728031</v>
      </c>
      <c r="X11" s="105">
        <f>'Alternative 2'!$B$39*$B11*$C11*COS($K$13)-($N$12/3)*$E11*SIN($K$13)-($N$12/3)*$F11*SIN($K$13)-($N$12/3)*$G11*SIN($K$13)</f>
        <v>68161.00235209387</v>
      </c>
      <c r="Y11" s="106">
        <f>IF(($A11&lt;'Alternative 2'!$B$27),(($H11*'Alternative 2'!$B$39)+(3*($N$12/3)*COS($K$13))),IF(($A11&lt;'Alternative 2'!$B$28),(($H11*'Alternative 2'!$B$39)+(2*(($N$12/3)*COS($K$13)))),IF(($A11&lt;'Alternative 2'!$B$29),(($H$3*'Alternative 2'!$B$39+(($N$12/3)*COS($K$13)))),($H11*'Alternative 2'!$B$39))))</f>
        <v>305406.5372730415</v>
      </c>
      <c r="Z11" s="105">
        <f>X11*'Alternative 2'!$K12/'Alternative 2'!$L12</f>
        <v>1084816.961349092</v>
      </c>
      <c r="AA11" s="105">
        <f>Y11/'Alternative 2'!$M12</f>
        <v>282173.7068449572</v>
      </c>
      <c r="AB11" s="105">
        <f t="shared" si="3"/>
        <v>1.3669906681940491</v>
      </c>
      <c r="AD11" s="105">
        <f>'Alternative 2'!$B$39*$B11*$C11*COS($K$23)-($N$22/3)*$E11*SIN($K$23)-($N$22/3)*$F11*SIN($K$23)-($N$22/3)*$G11*SIN($K$23)</f>
        <v>76281.480712087679</v>
      </c>
      <c r="AE11" s="106">
        <f>IF(($A11&lt;'Alternative 2'!$B$27),(($H11*'Alternative 2'!$B$39)+(3*($N$22/3)*COS($K$23))),IF(($A11&lt;'Alternative 2'!$B$28),(($H11*'Alternative 2'!$B$39)+(2*(($N$22/3)*COS($K$23)))),IF(($A11&lt;'Alternative 2'!$B$29),(($H$3*'Alternative 2'!$B$39+(($N$22/3)*COS($K$23)))),($H11*'Alternative 2'!$B$39))))</f>
        <v>156945.5575854099</v>
      </c>
      <c r="AF11" s="105">
        <f>AD11*'Alternative 2'!$K12/'Alternative 2'!$L12</f>
        <v>1214058.4976411257</v>
      </c>
      <c r="AG11" s="105">
        <f>AE11/'Alternative 2'!$M12</f>
        <v>145006.4237398135</v>
      </c>
      <c r="AH11" s="105">
        <f t="shared" si="4"/>
        <v>1.3590649213809392</v>
      </c>
      <c r="AJ11" s="105">
        <f>'Alternative 2'!$B$39*$B11*$C11*COS($K$33)-($N$32/3)*$E11*SIN($K$33)-($N$32/3)*$F11*SIN($K$33)-($N$32/3)*$G11*SIN($K$33)</f>
        <v>73151.438319177003</v>
      </c>
      <c r="AK11" s="106">
        <f>IF(($A11&lt;'Alternative 2'!$B$27),(($H11*'Alternative 2'!$B$39)+(3*($N$32/3)*COS($K$33))),IF(($A11&lt;'Alternative 2'!$B$28),(($H11*'Alternative 2'!$B$39)+(2*(($N$32/3)*COS($K$33)))),IF(($A11&lt;'Alternative 2'!$B$29),(($H$3*'Alternative 2'!$B$39+(($N$32/3)*COS($K$33)))),($H11*'Alternative 2'!$B$39))))</f>
        <v>107297.40994116673</v>
      </c>
      <c r="AL11" s="105">
        <f>AJ11*'Alternative 2'!$K12/'Alternative 2'!$L12</f>
        <v>1164242.283671278</v>
      </c>
      <c r="AM11" s="105">
        <f>AK11/'Alternative 2'!$M12</f>
        <v>99135.100932348359</v>
      </c>
      <c r="AN11" s="105">
        <f t="shared" si="5"/>
        <v>1.2633773846036263</v>
      </c>
      <c r="AP11" s="105">
        <f>'Alternative 2'!$B$39*$B11*$C11*COS($K$43)-($N$42/3)*$E11*SIN($K$43)-($N$42/3)*$F11*SIN($K$43)-($N$42/3)*$G11*SIN($K$43)</f>
        <v>65577.612665575623</v>
      </c>
      <c r="AQ11" s="106">
        <f>IF(($A11&lt;'Alternative 2'!$B$27),(($H11*'Alternative 2'!$B$39)+(3*($N$42/3)*COS($K$43))),IF(($A11&lt;'Alternative 2'!$B$28),(($H11*'Alternative 2'!$B$39)+(2*(($N$42/3)*COS($K$43)))),IF(($A11&lt;'Alternative 2'!$B$29),(($H$3*'Alternative 2'!$B$39+(($N$42/3)*COS($K$43)))),($H11*'Alternative 2'!$B$39))))</f>
        <v>81068.79177554285</v>
      </c>
      <c r="AR11" s="105">
        <f>AP11*'Alternative 2'!$K12/'Alternative 2'!$L12</f>
        <v>1043701.0027657273</v>
      </c>
      <c r="AS11" s="105">
        <f>AQ11/'Alternative 2'!$M12</f>
        <v>74901.741426365159</v>
      </c>
      <c r="AT11" s="105">
        <f t="shared" si="6"/>
        <v>1.1186027441920925</v>
      </c>
      <c r="AV11" s="105">
        <f>'Alternative 2'!$B$39*$B11*$C11*COS($K$53)-($N$52/3)*$E11*SIN($K$53)-($N$52/3)*$F11*SIN($K$53)-($N$52/3)*$G11*SIN($K$53)</f>
        <v>55052.613455366271</v>
      </c>
      <c r="AW11" s="106">
        <f>IF(($A11&lt;'Alternative 2'!$B$27),(($H11*'Alternative 2'!$B$39)+(3*($N$52/3)*COS($K$53))),IF(($A11&lt;'Alternative 2'!$B$28),(($H11*'Alternative 2'!$B$39)+(2*(($N$52/3)*COS($K$53)))),IF(($A11&lt;'Alternative 2'!$B$29),(($H$3*'Alternative 2'!$B$39+(($N$52/3)*COS($K$53)))),($H11*'Alternative 2'!$B$39))))</f>
        <v>64591.127639144761</v>
      </c>
      <c r="AX11" s="105">
        <f>AV11*'Alternative 2'!$K12/'Alternative 2'!$L12</f>
        <v>876190.29624117515</v>
      </c>
      <c r="AY11" s="105">
        <f>AW11/'Alternative 2'!$M12</f>
        <v>59677.563152287068</v>
      </c>
      <c r="AZ11" s="105">
        <f t="shared" si="7"/>
        <v>0.93586785939346218</v>
      </c>
      <c r="BB11" s="105">
        <f>'Alternative 2'!$B$39*$B11*$C11*COS($K$63)-($N$62/3)*$E11*SIN($K$63)-($N$62/3)*$F11*SIN($K$63)-($N$62/3)*$G11*SIN($K$63)</f>
        <v>42312.304838351527</v>
      </c>
      <c r="BC11" s="106">
        <f>IF(($A11&lt;'Alternative 2'!$B$27),(($H11*'Alternative 2'!$B$39)+(3*($N$62/3)*COS($K$63))),IF(($A11&lt;'Alternative 2'!$B$28),(($H11*'Alternative 2'!$B$39)+(2*(($N$62/3)*COS($K$63)))),IF(($A11&lt;'Alternative 2'!$B$29),(($H$3*'Alternative 2'!$B$39+(($N$62/3)*COS($K$63)))),($H11*'Alternative 2'!$B$39))))</f>
        <v>53597.786232098384</v>
      </c>
      <c r="BD11" s="105">
        <f>BB11*'Alternative 2'!$K12/'Alternative 2'!$L12</f>
        <v>673421.81567855016</v>
      </c>
      <c r="BE11" s="105">
        <f>BC11/'Alternative 2'!$M12</f>
        <v>49520.505208680785</v>
      </c>
      <c r="BF11" s="105">
        <f t="shared" si="8"/>
        <v>0.72294232088723087</v>
      </c>
      <c r="BH11" s="105">
        <f>'Alternative 2'!$B$39*$B11*$C11*COS($K$73)-($N$72/3)*$E11*SIN($K$73)-($N$72/3)*$F11*SIN($K$73)-($N$72/3)*$G11*SIN($K$73)</f>
        <v>27920.346661667245</v>
      </c>
      <c r="BI11" s="106">
        <f>IF(($A11&lt;'Alternative 2'!$B$27),(($H11*'Alternative 2'!$B$39)+(3*($N$72/3)*COS($K$73))),IF(($A11&lt;'Alternative 2'!$B$28),(($H11*'Alternative 2'!$B$39)+(2*(($N$72/3)*COS($K$73)))),IF(($A11&lt;'Alternative 2'!$B$29),(($H$3*'Alternative 2'!$B$39+(($N$72/3)*COS($K$73)))),($H11*'Alternative 2'!$B$39))))</f>
        <v>46399.86301747126</v>
      </c>
      <c r="BJ11" s="105">
        <f>BH11*'Alternative 2'!$K12/'Alternative 2'!$L12</f>
        <v>444366.49374468415</v>
      </c>
      <c r="BK11" s="105">
        <f>BI11/'Alternative 2'!$M12</f>
        <v>42870.141096661529</v>
      </c>
      <c r="BL11" s="105">
        <f t="shared" si="9"/>
        <v>0.48723663484134566</v>
      </c>
      <c r="BN11" s="105">
        <f>'Alternative 2'!$B$39*$B11*$C11*COS($K$83)-($N$82/3)*$E11*SIN($K$83)-($N$82/3)*$F11*SIN($K$83)-($N$82/3)*$G11*SIN($K$83)</f>
        <v>12398.448929698778</v>
      </c>
      <c r="BO11" s="106">
        <f>IF(($A11&lt;'Alternative 2'!$B$27),(($H11*'Alternative 2'!$B$39)+(3*($N$82/3)*COS($K$83))),IF(($A11&lt;'Alternative 2'!$B$28),(($H11*'Alternative 2'!$B$39)+(2*(($N$82/3)*COS($K$83)))),IF(($A11&lt;'Alternative 2'!$B$29),(($H$3*'Alternative 2'!$B$39+(($N$82/3)*COS($K$83)))),($H11*'Alternative 2'!$B$39))))</f>
        <v>42248.806602919067</v>
      </c>
      <c r="BP11" s="105">
        <f>BN11*'Alternative 2'!$K12/'Alternative 2'!$L12</f>
        <v>197327.61005889977</v>
      </c>
      <c r="BQ11" s="105">
        <f>BO11/'Alternative 2'!$M12</f>
        <v>39034.863088943115</v>
      </c>
      <c r="BR11" s="105">
        <f t="shared" si="10"/>
        <v>0.23636247314784289</v>
      </c>
      <c r="BT11" s="105">
        <f>'Alternative 2'!$B$39*$B11*$C11*COS($K$93)-($K$92/3)*$E11*SIN($K$93)-($K$92/3)*$F11*SIN($K$93)-($K$92/3)*$G11*SIN($K$93)</f>
        <v>-7.766715171356017</v>
      </c>
      <c r="BU11" s="106">
        <f>IF(($A11&lt;'Alternative 2'!$B$27),(($H11*'Alternative 2'!$B$39)+(3*($N$92/3)*COS($K$93))),IF(($A11&lt;'Alternative 2'!$B$28),(($H11*'Alternative 2'!$B$39)+(2*(($N$92/3)*COS($K$93)))),IF(($A11&lt;'Alternative 2'!$B$29),(($H$3*'Alternative 2'!$B$39+(($N$92/3)*COS($K$93)))),($H11*'Alternative 2'!$B$39))))</f>
        <v>40811.634309008543</v>
      </c>
      <c r="BV11" s="105">
        <f>BT11*'Alternative 2'!$K12/'Alternative 2'!$L12</f>
        <v>-123.61121552073976</v>
      </c>
      <c r="BW11" s="105">
        <f>BU11/'Alternative 2'!$M12</f>
        <v>37707.019103779676</v>
      </c>
      <c r="BX11" s="105">
        <f t="shared" si="11"/>
        <v>3.7583407888258938E-2</v>
      </c>
      <c r="BZ11" s="104">
        <v>150</v>
      </c>
      <c r="CA11" s="104">
        <v>-150</v>
      </c>
    </row>
    <row r="12" spans="1:79" ht="15" customHeight="1" x14ac:dyDescent="0.25">
      <c r="A12" s="18">
        <f>IF('Alternative 2'!F13&gt;0,'Alternative 2'!F13,"x")</f>
        <v>10</v>
      </c>
      <c r="B12" s="18">
        <f t="shared" si="17"/>
        <v>14</v>
      </c>
      <c r="C12" s="18">
        <f t="shared" si="12"/>
        <v>7</v>
      </c>
      <c r="D12" s="18">
        <f t="shared" si="13"/>
        <v>10</v>
      </c>
      <c r="E12" s="101">
        <f>IF($A12&lt;='Alternative 2'!$B$27, IF($A12='Alternative 2'!$B$27,0,E13+1),0)</f>
        <v>0</v>
      </c>
      <c r="F12" s="101">
        <f>IF($A12&lt;=('Alternative 2'!$B$28), IF($A12=ROUNDDOWN('Alternative 2'!$B$28,0),0,F13+1),0)</f>
        <v>4</v>
      </c>
      <c r="G12" s="101">
        <f>IF($A12&lt;=('Alternative 2'!$B$29), IF($A12=ROUNDDOWN('Alternative 2'!$B$29,0),0,G13+1),0)</f>
        <v>8</v>
      </c>
      <c r="H12" s="18">
        <f t="shared" si="14"/>
        <v>14</v>
      </c>
      <c r="J12" s="104">
        <f t="shared" si="15"/>
        <v>9</v>
      </c>
      <c r="K12" s="104">
        <f t="shared" si="16"/>
        <v>0.15707963267948966</v>
      </c>
      <c r="L12" s="105">
        <f>'Alternative 2'!$B$27*SIN(K12)+'Alternative 2'!$B$28*SIN(K12)+'Alternative 2'!$B$29*SIN(K12)</f>
        <v>6.7251176520795255</v>
      </c>
      <c r="M12" s="104">
        <f>(('Alternative 2'!$B$27)*(((('Alternative 2'!$B$28-'Alternative 2'!$B$27)/2)+'Alternative 2'!$B$27)*'Alternative 2'!$B$39)*COS('Alternative 2-Tilt Up (3pt)'!K12))+(('Alternative 2'!$B$28)*((('Alternative 2'!$B$28-'Alternative 2'!$B$27)/2)+(('Alternative 2'!$B$29-'Alternative 2'!$B$28)/2))*('Alternative 2'!$B$39)*COS('Alternative 2-Tilt Up (3pt)'!K12))+(('Alternative 2'!$B$29)*((('Alternative 2'!$B$12-'Alternative 2'!$B$29+(('Alternative 2'!$B$29-'Alternative 2'!$B$28)/2)*('Alternative 2'!$B$39)*COS('Alternative 2-Tilt Up (3pt)'!K12)))))</f>
        <v>602294.15238015796</v>
      </c>
      <c r="N12" s="109">
        <f t="shared" si="0"/>
        <v>268676.70583900547</v>
      </c>
      <c r="O12" s="104">
        <f>(((('Alternative 2'!$B$28-'Alternative 2'!$B$27)/2)+'Alternative 2'!$B$27)*('Alternative 2'!$B$39)*COS('Alternative 2-Tilt Up (3pt)'!K12))+(((('Alternative 2'!$B$28-'Alternative 2'!$B$27)/2)+(('Alternative 2'!$B$29-'Alternative 2'!$B$28)/2))*('Alternative 2'!$B$39)*COS('Alternative 2-Tilt Up (3pt)'!K12))+(((('Alternative 2'!$B$12-'Alternative 2'!$B$29)+(('Alternative 2'!$B$29-'Alternative 2'!$B$28)/2))*('Alternative 2'!$B$39)*COS('Alternative 2-Tilt Up (3pt)'!K12)))</f>
        <v>61807.402230381696</v>
      </c>
      <c r="P12" s="104">
        <f t="shared" si="1"/>
        <v>265368.84974669525</v>
      </c>
      <c r="R12" s="105">
        <f>('Alternative 2'!$B$39*$B12*$C12*COS($K$5))-(($N$5/3)*$E12*SIN($K$5))-(($N$5/3)*$F12*SIN($K$5))-(($N$5/3)*$G12*SIN($K$5))</f>
        <v>96360.703972911739</v>
      </c>
      <c r="S12" s="106">
        <f>IF(($A12&lt;'Alternative 2'!$B$27),(($H12*'Alternative 2'!$B$39)+(3*($N$5/3)*COS($K$5))),IF(($A12&lt;'Alternative 2'!$B$28),(($H12*'Alternative 2'!$B$39)+(2*(($N$5/3)*COS($K$5)))),IF(($A12&lt;'Alternative 2'!$B$29),(($H$3*'Alternative 2'!$B$39+(($N$5/3)*COS($K$5)))),($H12*'Alternative 2'!$B$39))))</f>
        <v>849990.10884963011</v>
      </c>
      <c r="T12" s="105">
        <f>R12*'Alternative 2'!$K13/'Alternative 2'!$L13</f>
        <v>1533629.5311118213</v>
      </c>
      <c r="U12" s="105">
        <f>S12/'Alternative 2'!$M13</f>
        <v>812176.77060330007</v>
      </c>
      <c r="V12" s="105">
        <f t="shared" si="2"/>
        <v>2.3458063017151214</v>
      </c>
      <c r="X12" s="105">
        <f>'Alternative 2'!$B$39*$B12*$C12*COS($K$13)-($N$12/3)*$E12*SIN($K$13)-($N$12/3)*$F12*SIN($K$13)-($N$12/3)*$G12*SIN($K$13)</f>
        <v>75964.329284667387</v>
      </c>
      <c r="Y12" s="106">
        <f>IF(($A12&lt;'Alternative 2'!$B$27),(($H12*'Alternative 2'!$B$39)+(3*($N$12/3)*COS($K$13))),IF(($A12&lt;'Alternative 2'!$B$28),(($H12*'Alternative 2'!$B$39)+(2*(($N$12/3)*COS($K$13)))),IF(($A12&lt;'Alternative 2'!$B$29),(($H$3*'Alternative 2'!$B$39+(($N$12/3)*COS($K$13)))),($H12*'Alternative 2'!$B$39))))</f>
        <v>214487.46066442996</v>
      </c>
      <c r="Z12" s="105">
        <f>X12*'Alternative 2'!$K13/'Alternative 2'!$L13</f>
        <v>1209010.8716393195</v>
      </c>
      <c r="AA12" s="105">
        <f>Y12/'Alternative 2'!$M13</f>
        <v>204945.60033539959</v>
      </c>
      <c r="AB12" s="105">
        <f t="shared" si="3"/>
        <v>1.4139564719747191</v>
      </c>
      <c r="AD12" s="105">
        <f>'Alternative 2'!$B$39*$B12*$C12*COS($K$23)-($N$22/3)*$E12*SIN($K$23)-($N$22/3)*$F12*SIN($K$23)-($N$22/3)*$G12*SIN($K$23)</f>
        <v>81478.72675761061</v>
      </c>
      <c r="AE12" s="106">
        <f>IF(($A12&lt;'Alternative 2'!$B$27),(($H12*'Alternative 2'!$B$39)+(3*($N$22/3)*COS($K$23))),IF(($A12&lt;'Alternative 2'!$B$28),(($H12*'Alternative 2'!$B$39)+(2*(($N$22/3)*COS($K$23)))),IF(($A12&lt;'Alternative 2'!$B$29),(($H$3*'Alternative 2'!$B$39+(($N$22/3)*COS($K$23)))),($H12*'Alternative 2'!$B$39))))</f>
        <v>115513.47420600889</v>
      </c>
      <c r="AF12" s="105">
        <f>AD12*'Alternative 2'!$K13/'Alternative 2'!$L13</f>
        <v>1296775.3073700038</v>
      </c>
      <c r="AG12" s="105">
        <f>AE12/'Alternative 2'!$M13</f>
        <v>110374.6496165415</v>
      </c>
      <c r="AH12" s="105">
        <f t="shared" si="4"/>
        <v>1.4071499569865453</v>
      </c>
      <c r="AJ12" s="105">
        <f>'Alternative 2'!$B$39*$B12*$C12*COS($K$33)-($N$32/3)*$E12*SIN($K$33)-($N$32/3)*$F12*SIN($K$33)-($N$32/3)*$G12*SIN($K$33)</f>
        <v>77371.237098841288</v>
      </c>
      <c r="AK12" s="106">
        <f>IF(($A12&lt;'Alternative 2'!$B$27),(($H12*'Alternative 2'!$B$39)+(3*($N$32/3)*COS($K$33))),IF(($A12&lt;'Alternative 2'!$B$28),(($H12*'Alternative 2'!$B$39)+(2*(($N$32/3)*COS($K$33)))),IF(($A12&lt;'Alternative 2'!$B$29),(($H$3*'Alternative 2'!$B$39+(($N$32/3)*COS($K$33)))),($H12*'Alternative 2'!$B$39))))</f>
        <v>82414.709109846764</v>
      </c>
      <c r="AL12" s="105">
        <f>AJ12*'Alternative 2'!$K13/'Alternative 2'!$L13</f>
        <v>1231402.523862778</v>
      </c>
      <c r="AM12" s="105">
        <f>AK12/'Alternative 2'!$M13</f>
        <v>78748.342596169081</v>
      </c>
      <c r="AN12" s="105">
        <f t="shared" si="5"/>
        <v>1.310150866458947</v>
      </c>
      <c r="AP12" s="105">
        <f>'Alternative 2'!$B$39*$B12*$C12*COS($K$43)-($N$42/3)*$E12*SIN($K$43)-($N$42/3)*$F12*SIN($K$43)-($N$42/3)*$G12*SIN($K$43)</f>
        <v>69135.970493537767</v>
      </c>
      <c r="AQ12" s="106">
        <f>IF(($A12&lt;'Alternative 2'!$B$27),(($H12*'Alternative 2'!$B$39)+(3*($N$42/3)*COS($K$43))),IF(($A12&lt;'Alternative 2'!$B$28),(($H12*'Alternative 2'!$B$39)+(2*(($N$42/3)*COS($K$43)))),IF(($A12&lt;'Alternative 2'!$B$29),(($H$3*'Alternative 2'!$B$39+(($N$42/3)*COS($K$43)))),($H12*'Alternative 2'!$B$39))))</f>
        <v>64928.963666097516</v>
      </c>
      <c r="AR12" s="105">
        <f>AP12*'Alternative 2'!$K13/'Alternative 2'!$L13</f>
        <v>1100334.0743626279</v>
      </c>
      <c r="AS12" s="105">
        <f>AQ12/'Alternative 2'!$M13</f>
        <v>62040.481977278054</v>
      </c>
      <c r="AT12" s="105">
        <f t="shared" si="6"/>
        <v>1.1623745563399062</v>
      </c>
      <c r="AV12" s="105">
        <f>'Alternative 2'!$B$39*$B12*$C12*COS($K$53)-($N$52/3)*$E12*SIN($K$53)-($N$52/3)*$F12*SIN($K$53)-($N$52/3)*$G12*SIN($K$53)</f>
        <v>58033.137625567033</v>
      </c>
      <c r="AW12" s="106">
        <f>IF(($A12&lt;'Alternative 2'!$B$27),(($H12*'Alternative 2'!$B$39)+(3*($N$52/3)*COS($K$53))),IF(($A12&lt;'Alternative 2'!$B$28),(($H12*'Alternative 2'!$B$39)+(2*(($N$52/3)*COS($K$53)))),IF(($A12&lt;'Alternative 2'!$B$29),(($H$3*'Alternative 2'!$B$39+(($N$52/3)*COS($K$53)))),($H12*'Alternative 2'!$B$39))))</f>
        <v>53943.854241832123</v>
      </c>
      <c r="AX12" s="105">
        <f>AV12*'Alternative 2'!$K13/'Alternative 2'!$L13</f>
        <v>923626.8517783517</v>
      </c>
      <c r="AY12" s="105">
        <f>AW12/'Alternative 2'!$M13</f>
        <v>51544.064896615186</v>
      </c>
      <c r="AZ12" s="105">
        <f t="shared" si="7"/>
        <v>0.97517091667496691</v>
      </c>
      <c r="BB12" s="105">
        <f>'Alternative 2'!$B$39*$B12*$C12*COS($K$63)-($N$62/3)*$E12*SIN($K$63)-($N$62/3)*$F12*SIN($K$63)-($N$62/3)*$G12*SIN($K$63)</f>
        <v>44732.946353083513</v>
      </c>
      <c r="BC12" s="106">
        <f>IF(($A12&lt;'Alternative 2'!$B$27),(($H12*'Alternative 2'!$B$39)+(3*($N$62/3)*COS($K$63))),IF(($A12&lt;'Alternative 2'!$B$28),(($H12*'Alternative 2'!$B$39)+(2*(($N$62/3)*COS($K$63)))),IF(($A12&lt;'Alternative 2'!$B$29),(($H$3*'Alternative 2'!$B$39+(($N$62/3)*COS($K$63)))),($H12*'Alternative 2'!$B$39))))</f>
        <v>46614.959970467869</v>
      </c>
      <c r="BD12" s="105">
        <f>BB12*'Alternative 2'!$K13/'Alternative 2'!$L13</f>
        <v>711947.55447215436</v>
      </c>
      <c r="BE12" s="105">
        <f>BC12/'Alternative 2'!$M13</f>
        <v>44541.209664022521</v>
      </c>
      <c r="BF12" s="105">
        <f t="shared" si="8"/>
        <v>0.75648876413617694</v>
      </c>
      <c r="BH12" s="105">
        <f>'Alternative 2'!$B$39*$B12*$C12*COS($K$73)-($N$72/3)*$E12*SIN($K$73)-($N$72/3)*$F12*SIN($K$73)-($N$72/3)*$G12*SIN($K$73)</f>
        <v>29780.757871052148</v>
      </c>
      <c r="BI12" s="106">
        <f>IF(($A12&lt;'Alternative 2'!$B$27),(($H12*'Alternative 2'!$B$39)+(3*($N$72/3)*COS($K$73))),IF(($A12&lt;'Alternative 2'!$B$28),(($H12*'Alternative 2'!$B$39)+(2*(($N$72/3)*COS($K$73)))),IF(($A12&lt;'Alternative 2'!$B$29),(($H$3*'Alternative 2'!$B$39+(($N$72/3)*COS($K$73)))),($H12*'Alternative 2'!$B$39))))</f>
        <v>41816.344494049787</v>
      </c>
      <c r="BJ12" s="105">
        <f>BH12*'Alternative 2'!$K13/'Alternative 2'!$L13</f>
        <v>473975.88277038297</v>
      </c>
      <c r="BK12" s="105">
        <f>BI12/'Alternative 2'!$M13</f>
        <v>39956.0692248251</v>
      </c>
      <c r="BL12" s="105">
        <f t="shared" si="9"/>
        <v>0.51393195199520803</v>
      </c>
      <c r="BN12" s="105">
        <f>'Alternative 2'!$B$39*$B12*$C12*COS($K$83)-($N$82/3)*$E12*SIN($K$83)-($N$82/3)*$F12*SIN($K$83)-($N$82/3)*$G12*SIN($K$83)</f>
        <v>13698.420970622228</v>
      </c>
      <c r="BO12" s="106">
        <f>IF(($A12&lt;'Alternative 2'!$B$27),(($H12*'Alternative 2'!$B$39)+(3*($N$82/3)*COS($K$83))),IF(($A12&lt;'Alternative 2'!$B$28),(($H12*'Alternative 2'!$B$39)+(2*(($N$82/3)*COS($K$83)))),IF(($A12&lt;'Alternative 2'!$B$29),(($H$3*'Alternative 2'!$B$39+(($N$82/3)*COS($K$83)))),($H12*'Alternative 2'!$B$39))))</f>
        <v>39048.973551014991</v>
      </c>
      <c r="BP12" s="105">
        <f>BN12*'Alternative 2'!$K13/'Alternative 2'!$L13</f>
        <v>218017.32515417715</v>
      </c>
      <c r="BQ12" s="105">
        <f>BO12/'Alternative 2'!$M13</f>
        <v>37311.8097538328</v>
      </c>
      <c r="BR12" s="105">
        <f t="shared" si="10"/>
        <v>0.25532913490800996</v>
      </c>
      <c r="BT12" s="105">
        <f>'Alternative 2'!$B$39*$B12*$C12*COS($K$93)-($K$92/3)*$E12*SIN($K$93)-($K$92/3)*$F12*SIN($K$93)-($K$92/3)*$G12*SIN($K$93)</f>
        <v>-6.2133721370834802</v>
      </c>
      <c r="BU12" s="106">
        <f>IF(($A12&lt;'Alternative 2'!$B$27),(($H12*'Alternative 2'!$B$39)+(3*($N$92/3)*COS($K$93))),IF(($A12&lt;'Alternative 2'!$B$28),(($H12*'Alternative 2'!$B$39)+(2*(($N$92/3)*COS($K$93)))),IF(($A12&lt;'Alternative 2'!$B$29),(($H$3*'Alternative 2'!$B$39+(($N$92/3)*COS($K$93)))),($H12*'Alternative 2'!$B$39))))</f>
        <v>38090.858688407978</v>
      </c>
      <c r="BV12" s="105">
        <f>BT12*'Alternative 2'!$K13/'Alternative 2'!$L13</f>
        <v>-98.888972416570596</v>
      </c>
      <c r="BW12" s="105">
        <f>BU12/'Alternative 2'!$M13</f>
        <v>36396.318353547751</v>
      </c>
      <c r="BX12" s="105">
        <f t="shared" si="11"/>
        <v>3.6297429381131181E-2</v>
      </c>
      <c r="BZ12" s="104">
        <v>150</v>
      </c>
      <c r="CA12" s="104">
        <v>-150</v>
      </c>
    </row>
    <row r="13" spans="1:79" ht="15" customHeight="1" x14ac:dyDescent="0.25">
      <c r="A13" s="18">
        <f>IF('Alternative 2'!F14&gt;0,'Alternative 2'!F14,"x")</f>
        <v>11</v>
      </c>
      <c r="B13" s="18">
        <f t="shared" si="17"/>
        <v>13</v>
      </c>
      <c r="C13" s="18">
        <f t="shared" si="12"/>
        <v>6.5</v>
      </c>
      <c r="D13" s="18">
        <f t="shared" si="13"/>
        <v>11</v>
      </c>
      <c r="E13" s="101">
        <f>IF($A13&lt;='Alternative 2'!$B$27, IF($A13='Alternative 2'!$B$27,0,E14+1),0)</f>
        <v>0</v>
      </c>
      <c r="F13" s="101">
        <f>IF($A13&lt;=('Alternative 2'!$B$28), IF($A13=ROUNDDOWN('Alternative 2'!$B$28,0),0,F14+1),0)</f>
        <v>3</v>
      </c>
      <c r="G13" s="101">
        <f>IF($A13&lt;=('Alternative 2'!$B$29), IF($A13=ROUNDDOWN('Alternative 2'!$B$29,0),0,G14+1),0)</f>
        <v>7</v>
      </c>
      <c r="H13" s="18">
        <f t="shared" si="14"/>
        <v>13</v>
      </c>
      <c r="J13" s="104">
        <f t="shared" si="15"/>
        <v>10</v>
      </c>
      <c r="K13" s="109">
        <f t="shared" si="16"/>
        <v>0.17453292519943295</v>
      </c>
      <c r="L13" s="105">
        <f>'Alternative 2'!$B$27*SIN(K13)+'Alternative 2'!$B$28*SIN(K13)+'Alternative 2'!$B$29*SIN(K13)</f>
        <v>7.4651351579013348</v>
      </c>
      <c r="M13" s="104">
        <f>(('Alternative 2'!$B$27)*(((('Alternative 2'!$B$28-'Alternative 2'!$B$27)/2)+'Alternative 2'!$B$27)*'Alternative 2'!$B$39)*COS('Alternative 2-Tilt Up (3pt)'!K13))+(('Alternative 2'!$B$28)*((('Alternative 2'!$B$28-'Alternative 2'!$B$27)/2)+(('Alternative 2'!$B$29-'Alternative 2'!$B$28)/2))*('Alternative 2'!$B$39)*COS('Alternative 2-Tilt Up (3pt)'!K13))+(('Alternative 2'!$B$29)*((('Alternative 2'!$B$12-'Alternative 2'!$B$29+(('Alternative 2'!$B$29-'Alternative 2'!$B$28)/2)*('Alternative 2'!$B$39)*COS('Alternative 2-Tilt Up (3pt)'!K13)))))</f>
        <v>600537.80100628722</v>
      </c>
      <c r="N13" s="104">
        <f t="shared" si="0"/>
        <v>241337.01063831069</v>
      </c>
      <c r="O13" s="104">
        <f>(((('Alternative 2'!$B$28-'Alternative 2'!$B$27)/2)+'Alternative 2'!$B$27)*('Alternative 2'!$B$39)*COS('Alternative 2-Tilt Up (3pt)'!K13))+(((('Alternative 2'!$B$28-'Alternative 2'!$B$27)/2)+(('Alternative 2'!$B$29-'Alternative 2'!$B$28)/2))*('Alternative 2'!$B$39)*COS('Alternative 2-Tilt Up (3pt)'!K13))+(((('Alternative 2'!$B$12-'Alternative 2'!$B$29)+(('Alternative 2'!$B$29-'Alternative 2'!$B$28)/2))*('Alternative 2'!$B$39)*COS('Alternative 2-Tilt Up (3pt)'!K13)))</f>
        <v>61627.141283602978</v>
      </c>
      <c r="P13" s="109">
        <f t="shared" si="1"/>
        <v>237670.5591653981</v>
      </c>
      <c r="R13" s="105">
        <f>('Alternative 2'!$B$39*$B13*$C13*COS($K$5))-(($N$5/3)*$E13*SIN($K$5))-(($N$5/3)*$F13*SIN($K$5))-(($N$5/3)*$G13*SIN($K$5))</f>
        <v>88004.754870641729</v>
      </c>
      <c r="S13" s="106">
        <f>IF(($A13&lt;'Alternative 2'!$B$27),(($H13*'Alternative 2'!$B$39)+(3*($N$5/3)*COS($K$5))),IF(($A13&lt;'Alternative 2'!$B$28),(($H13*'Alternative 2'!$B$39)+(2*(($N$5/3)*COS($K$5)))),IF(($A13&lt;'Alternative 2'!$B$29),(($H$3*'Alternative 2'!$B$39+(($N$5/3)*COS($K$5)))),($H13*'Alternative 2'!$B$39))))</f>
        <v>847269.33322902955</v>
      </c>
      <c r="T13" s="105">
        <f>R13*'Alternative 2'!$K14/'Alternative 2'!$L14</f>
        <v>1400640.358395617</v>
      </c>
      <c r="U13" s="105">
        <f>S13/'Alternative 2'!$M14</f>
        <v>837734.14205861476</v>
      </c>
      <c r="V13" s="105">
        <f t="shared" si="2"/>
        <v>2.2383745004542317</v>
      </c>
      <c r="X13" s="105">
        <f>'Alternative 2'!$B$39*$B13*$C13*COS($K$13)-($N$12/3)*$E13*SIN($K$13)-($N$12/3)*$F13*SIN($K$13)-($N$12/3)*$G13*SIN($K$13)</f>
        <v>70895.357025782592</v>
      </c>
      <c r="Y13" s="106">
        <f>IF(($A13&lt;'Alternative 2'!$B$27),(($H13*'Alternative 2'!$B$39)+(3*($N$12/3)*COS($K$13))),IF(($A13&lt;'Alternative 2'!$B$28),(($H13*'Alternative 2'!$B$39)+(2*(($N$12/3)*COS($K$13)))),IF(($A13&lt;'Alternative 2'!$B$29),(($H$3*'Alternative 2'!$B$39+(($N$12/3)*COS($K$13)))),($H13*'Alternative 2'!$B$39))))</f>
        <v>211766.68504382938</v>
      </c>
      <c r="Z13" s="105">
        <f>X13*'Alternative 2'!$K14/'Alternative 2'!$L14</f>
        <v>1128335.6043561157</v>
      </c>
      <c r="AA13" s="105">
        <f>Y13/'Alternative 2'!$M14</f>
        <v>209383.45724810305</v>
      </c>
      <c r="AB13" s="105">
        <f t="shared" si="3"/>
        <v>1.3377190616042187</v>
      </c>
      <c r="AD13" s="105">
        <f>'Alternative 2'!$B$39*$B13*$C13*COS($K$23)-($N$22/3)*$E13*SIN($K$23)-($N$22/3)*$F13*SIN($K$23)-($N$22/3)*$G13*SIN($K$23)</f>
        <v>75142.901822904401</v>
      </c>
      <c r="AE13" s="106">
        <f>IF(($A13&lt;'Alternative 2'!$B$27),(($H13*'Alternative 2'!$B$39)+(3*($N$22/3)*COS($K$23))),IF(($A13&lt;'Alternative 2'!$B$28),(($H13*'Alternative 2'!$B$39)+(2*(($N$22/3)*COS($K$23)))),IF(($A13&lt;'Alternative 2'!$B$29),(($H$3*'Alternative 2'!$B$39+(($N$22/3)*COS($K$23)))),($H13*'Alternative 2'!$B$39))))</f>
        <v>112792.6985854083</v>
      </c>
      <c r="AF13" s="105">
        <f>AD13*'Alternative 2'!$K14/'Alternative 2'!$L14</f>
        <v>1195937.4365035603</v>
      </c>
      <c r="AG13" s="105">
        <f>AE13/'Alternative 2'!$M14</f>
        <v>111523.32661423121</v>
      </c>
      <c r="AH13" s="105">
        <f t="shared" si="4"/>
        <v>1.3074607631177915</v>
      </c>
      <c r="AJ13" s="105">
        <f>'Alternative 2'!$B$39*$B13*$C13*COS($K$33)-($N$32/3)*$E13*SIN($K$33)-($N$32/3)*$F13*SIN($K$33)-($N$32/3)*$G13*SIN($K$33)</f>
        <v>71152.103197773875</v>
      </c>
      <c r="AK13" s="106">
        <f>IF(($A13&lt;'Alternative 2'!$B$27),(($H13*'Alternative 2'!$B$39)+(3*($N$32/3)*COS($K$33))),IF(($A13&lt;'Alternative 2'!$B$28),(($H13*'Alternative 2'!$B$39)+(2*(($N$32/3)*COS($K$33)))),IF(($A13&lt;'Alternative 2'!$B$29),(($H$3*'Alternative 2'!$B$39+(($N$32/3)*COS($K$33)))),($H13*'Alternative 2'!$B$39))))</f>
        <v>79693.933489246177</v>
      </c>
      <c r="AL13" s="105">
        <f>AJ13*'Alternative 2'!$K14/'Alternative 2'!$L14</f>
        <v>1132421.8500468533</v>
      </c>
      <c r="AM13" s="105">
        <f>AK13/'Alternative 2'!$M14</f>
        <v>78797.055883578287</v>
      </c>
      <c r="AN13" s="105">
        <f t="shared" si="5"/>
        <v>1.2112189059304315</v>
      </c>
      <c r="AP13" s="105">
        <f>'Alternative 2'!$B$39*$B13*$C13*COS($K$43)-($N$42/3)*$E13*SIN($K$43)-($N$42/3)*$F13*SIN($K$43)-($N$42/3)*$G13*SIN($K$43)</f>
        <v>63518.641372496291</v>
      </c>
      <c r="AQ13" s="106">
        <f>IF(($A13&lt;'Alternative 2'!$B$27),(($H13*'Alternative 2'!$B$39)+(3*($N$42/3)*COS($K$43))),IF(($A13&lt;'Alternative 2'!$B$28),(($H13*'Alternative 2'!$B$39)+(2*(($N$42/3)*COS($K$43)))),IF(($A13&lt;'Alternative 2'!$B$29),(($H$3*'Alternative 2'!$B$39+(($N$42/3)*COS($K$43)))),($H13*'Alternative 2'!$B$39))))</f>
        <v>62208.188045496943</v>
      </c>
      <c r="AR13" s="105">
        <f>AP13*'Alternative 2'!$K14/'Alternative 2'!$L14</f>
        <v>1010931.4291886638</v>
      </c>
      <c r="AS13" s="105">
        <f>AQ13/'Alternative 2'!$M14</f>
        <v>61508.095475029055</v>
      </c>
      <c r="AT13" s="105">
        <f t="shared" si="6"/>
        <v>1.0724395246636929</v>
      </c>
      <c r="AV13" s="105">
        <f>'Alternative 2'!$B$39*$B13*$C13*COS($K$53)-($N$52/3)*$E13*SIN($K$53)-($N$52/3)*$F13*SIN($K$53)-($N$52/3)*$G13*SIN($K$53)</f>
        <v>53316.110451340384</v>
      </c>
      <c r="AW13" s="106">
        <f>IF(($A13&lt;'Alternative 2'!$B$27),(($H13*'Alternative 2'!$B$39)+(3*($N$52/3)*COS($K$53))),IF(($A13&lt;'Alternative 2'!$B$28),(($H13*'Alternative 2'!$B$39)+(2*(($N$52/3)*COS($K$53)))),IF(($A13&lt;'Alternative 2'!$B$29),(($H$3*'Alternative 2'!$B$39+(($N$52/3)*COS($K$53)))),($H13*'Alternative 2'!$B$39))))</f>
        <v>51223.078621231551</v>
      </c>
      <c r="AX13" s="105">
        <f>AV13*'Alternative 2'!$K14/'Alternative 2'!$L14</f>
        <v>848552.96921845921</v>
      </c>
      <c r="AY13" s="105">
        <f>AW13/'Alternative 2'!$M14</f>
        <v>50646.612758683208</v>
      </c>
      <c r="AZ13" s="105">
        <f t="shared" si="7"/>
        <v>0.89919958197714234</v>
      </c>
      <c r="BB13" s="105">
        <f>'Alternative 2'!$B$39*$B13*$C13*COS($K$63)-($N$62/3)*$E13*SIN($K$63)-($N$62/3)*$F13*SIN($K$63)-($N$62/3)*$G13*SIN($K$63)</f>
        <v>41131.88742342039</v>
      </c>
      <c r="BC13" s="106">
        <f>IF(($A13&lt;'Alternative 2'!$B$27),(($H13*'Alternative 2'!$B$39)+(3*($N$62/3)*COS($K$63))),IF(($A13&lt;'Alternative 2'!$B$28),(($H13*'Alternative 2'!$B$39)+(2*(($N$62/3)*COS($K$63)))),IF(($A13&lt;'Alternative 2'!$B$29),(($H$3*'Alternative 2'!$B$39+(($N$62/3)*COS($K$63)))),($H13*'Alternative 2'!$B$39))))</f>
        <v>43894.184349867297</v>
      </c>
      <c r="BD13" s="105">
        <f>BB13*'Alternative 2'!$K14/'Alternative 2'!$L14</f>
        <v>654634.87316009391</v>
      </c>
      <c r="BE13" s="105">
        <f>BC13/'Alternative 2'!$M14</f>
        <v>43400.198054564578</v>
      </c>
      <c r="BF13" s="105">
        <f t="shared" si="8"/>
        <v>0.69803507121465846</v>
      </c>
      <c r="BH13" s="105">
        <f>'Alternative 2'!$B$39*$B13*$C13*COS($K$73)-($N$72/3)*$E13*SIN($K$73)-($N$72/3)*$F13*SIN($K$73)-($N$72/3)*$G13*SIN($K$73)</f>
        <v>27453.885084402013</v>
      </c>
      <c r="BI13" s="106">
        <f>IF(($A13&lt;'Alternative 2'!$B$27),(($H13*'Alternative 2'!$B$39)+(3*($N$72/3)*COS($K$73))),IF(($A13&lt;'Alternative 2'!$B$28),(($H13*'Alternative 2'!$B$39)+(2*(($N$72/3)*COS($K$73)))),IF(($A13&lt;'Alternative 2'!$B$29),(($H$3*'Alternative 2'!$B$39+(($N$72/3)*COS($K$73)))),($H13*'Alternative 2'!$B$39))))</f>
        <v>39095.568873449214</v>
      </c>
      <c r="BJ13" s="105">
        <f>BH13*'Alternative 2'!$K14/'Alternative 2'!$L14</f>
        <v>436942.52089550218</v>
      </c>
      <c r="BK13" s="105">
        <f>BI13/'Alternative 2'!$M14</f>
        <v>38655.586321851675</v>
      </c>
      <c r="BL13" s="105">
        <f t="shared" si="9"/>
        <v>0.4755981072173539</v>
      </c>
      <c r="BN13" s="105">
        <f>'Alternative 2'!$B$39*$B13*$C13*COS($K$83)-($N$82/3)*$E13*SIN($K$83)-($N$82/3)*$F13*SIN($K$83)-($N$82/3)*$G13*SIN($K$83)</f>
        <v>12753.981039199232</v>
      </c>
      <c r="BO13" s="106">
        <f>IF(($A13&lt;'Alternative 2'!$B$27),(($H13*'Alternative 2'!$B$39)+(3*($N$82/3)*COS($K$83))),IF(($A13&lt;'Alternative 2'!$B$28),(($H13*'Alternative 2'!$B$39)+(2*(($N$82/3)*COS($K$83)))),IF(($A13&lt;'Alternative 2'!$B$29),(($H$3*'Alternative 2'!$B$39+(($N$82/3)*COS($K$83)))),($H13*'Alternative 2'!$B$39))))</f>
        <v>36328.197930414419</v>
      </c>
      <c r="BP13" s="105">
        <f>BN13*'Alternative 2'!$K14/'Alternative 2'!$L14</f>
        <v>202986.08410389695</v>
      </c>
      <c r="BQ13" s="105">
        <f>BO13/'Alternative 2'!$M14</f>
        <v>35919.359443574569</v>
      </c>
      <c r="BR13" s="105">
        <f t="shared" si="10"/>
        <v>0.23890544354747151</v>
      </c>
      <c r="BT13" s="105">
        <f>'Alternative 2'!$B$39*$B13*$C13*COS($K$93)-($K$92/3)*$E13*SIN($K$93)-($K$92/3)*$F13*SIN($K$93)-($K$92/3)*$G13*SIN($K$93)</f>
        <v>-5.1778101142357613</v>
      </c>
      <c r="BU13" s="106">
        <f>IF(($A13&lt;'Alternative 2'!$B$27),(($H13*'Alternative 2'!$B$39)+(3*($N$92/3)*COS($K$93))),IF(($A13&lt;'Alternative 2'!$B$28),(($H13*'Alternative 2'!$B$39)+(2*(($N$92/3)*COS($K$93)))),IF(($A13&lt;'Alternative 2'!$B$29),(($H$3*'Alternative 2'!$B$39+(($N$92/3)*COS($K$93)))),($H13*'Alternative 2'!$B$39))))</f>
        <v>35370.083067807405</v>
      </c>
      <c r="BV13" s="105">
        <f>BT13*'Alternative 2'!$K14/'Alternative 2'!$L14</f>
        <v>-82.407477013801312</v>
      </c>
      <c r="BW13" s="105">
        <f>BU13/'Alternative 2'!$M14</f>
        <v>34972.027230616106</v>
      </c>
      <c r="BX13" s="105">
        <f t="shared" si="11"/>
        <v>3.4889619753602302E-2</v>
      </c>
      <c r="BZ13" s="104">
        <v>150</v>
      </c>
      <c r="CA13" s="104">
        <v>-150</v>
      </c>
    </row>
    <row r="14" spans="1:79" ht="15" customHeight="1" x14ac:dyDescent="0.25">
      <c r="A14" s="18">
        <f>IF('Alternative 2'!F15&gt;0,'Alternative 2'!F15,"x")</f>
        <v>12</v>
      </c>
      <c r="B14" s="18">
        <f t="shared" si="17"/>
        <v>12</v>
      </c>
      <c r="C14" s="18">
        <f t="shared" si="12"/>
        <v>6</v>
      </c>
      <c r="D14" s="18">
        <f t="shared" si="13"/>
        <v>12</v>
      </c>
      <c r="E14" s="101">
        <f>IF($A14&lt;='Alternative 2'!$B$27, IF($A14='Alternative 2'!$B$27,0,E15+1),0)</f>
        <v>0</v>
      </c>
      <c r="F14" s="101">
        <f>IF($A14&lt;=('Alternative 2'!$B$28), IF($A14=ROUNDDOWN('Alternative 2'!$B$28,0),0,F15+1),0)</f>
        <v>2</v>
      </c>
      <c r="G14" s="101">
        <f>IF($A14&lt;=('Alternative 2'!$B$29), IF($A14=ROUNDDOWN('Alternative 2'!$B$29,0),0,G15+1),0)</f>
        <v>6</v>
      </c>
      <c r="H14" s="18">
        <f t="shared" si="14"/>
        <v>12</v>
      </c>
      <c r="J14" s="104">
        <f t="shared" si="15"/>
        <v>11</v>
      </c>
      <c r="K14" s="104">
        <f t="shared" si="16"/>
        <v>0.19198621771937624</v>
      </c>
      <c r="L14" s="105">
        <f>'Alternative 2'!$B$27*SIN(K14)+'Alternative 2'!$B$28*SIN(K14)+'Alternative 2'!$B$29*SIN(K14)</f>
        <v>8.2028787112376609</v>
      </c>
      <c r="M14" s="104">
        <f>(('Alternative 2'!$B$27)*(((('Alternative 2'!$B$28-'Alternative 2'!$B$27)/2)+'Alternative 2'!$B$27)*'Alternative 2'!$B$39)*COS('Alternative 2-Tilt Up (3pt)'!K14))+(('Alternative 2'!$B$28)*((('Alternative 2'!$B$28-'Alternative 2'!$B$27)/2)+(('Alternative 2'!$B$29-'Alternative 2'!$B$28)/2))*('Alternative 2'!$B$39)*COS('Alternative 2-Tilt Up (3pt)'!K14))+(('Alternative 2'!$B$29)*((('Alternative 2'!$B$12-'Alternative 2'!$B$29+(('Alternative 2'!$B$29-'Alternative 2'!$B$28)/2)*('Alternative 2'!$B$39)*COS('Alternative 2-Tilt Up (3pt)'!K14)))))</f>
        <v>598598.54466932244</v>
      </c>
      <c r="N14" s="104">
        <f t="shared" si="0"/>
        <v>218922.61207614702</v>
      </c>
      <c r="O14" s="104">
        <f>(((('Alternative 2'!$B$28-'Alternative 2'!$B$27)/2)+'Alternative 2'!$B$27)*('Alternative 2'!$B$39)*COS('Alternative 2-Tilt Up (3pt)'!K14))+(((('Alternative 2'!$B$28-'Alternative 2'!$B$27)/2)+(('Alternative 2'!$B$29-'Alternative 2'!$B$28)/2))*('Alternative 2'!$B$39)*COS('Alternative 2-Tilt Up (3pt)'!K14))+(((('Alternative 2'!$B$12-'Alternative 2'!$B$29)+(('Alternative 2'!$B$29-'Alternative 2'!$B$28)/2))*('Alternative 2'!$B$39)*COS('Alternative 2-Tilt Up (3pt)'!K14)))</f>
        <v>61428.108112593764</v>
      </c>
      <c r="P14" s="104">
        <f t="shared" si="1"/>
        <v>214900.38708531376</v>
      </c>
      <c r="R14" s="105">
        <f>('Alternative 2'!$B$39*$B14*$C14*COS($K$5))-(($N$5/3)*$E14*SIN($K$5))-(($N$5/3)*$F14*SIN($K$5))-(($N$5/3)*$G14*SIN($K$5))</f>
        <v>82367.923965977112</v>
      </c>
      <c r="S14" s="106">
        <f>IF(($A14&lt;'Alternative 2'!$B$27),(($H14*'Alternative 2'!$B$39)+(3*($N$5/3)*COS($K$5))),IF(($A14&lt;'Alternative 2'!$B$28),(($H14*'Alternative 2'!$B$39)+(2*(($N$5/3)*COS($K$5)))),IF(($A14&lt;'Alternative 2'!$B$29),(($H$3*'Alternative 2'!$B$39+(($N$5/3)*COS($K$5)))),($H14*'Alternative 2'!$B$39))))</f>
        <v>844548.55760842899</v>
      </c>
      <c r="T14" s="105">
        <f>R14*'Alternative 2'!$K15/'Alternative 2'!$L15</f>
        <v>1310927.3324332123</v>
      </c>
      <c r="U14" s="105">
        <f>S14/'Alternative 2'!$M15</f>
        <v>864600.79079725232</v>
      </c>
      <c r="V14" s="105">
        <f t="shared" si="2"/>
        <v>2.1755281232304648</v>
      </c>
      <c r="X14" s="105">
        <f>'Alternative 2'!$B$39*$B14*$C14*COS($K$13)-($N$12/3)*$E14*SIN($K$13)-($N$12/3)*$F14*SIN($K$13)-($N$12/3)*$G14*SIN($K$13)</f>
        <v>68505.825692271872</v>
      </c>
      <c r="Y14" s="106">
        <f>IF(($A14&lt;'Alternative 2'!$B$27),(($H14*'Alternative 2'!$B$39)+(3*($N$12/3)*COS($K$13))),IF(($A14&lt;'Alternative 2'!$B$28),(($H14*'Alternative 2'!$B$39)+(2*(($N$12/3)*COS($K$13)))),IF(($A14&lt;'Alternative 2'!$B$29),(($H$3*'Alternative 2'!$B$39+(($N$12/3)*COS($K$13)))),($H14*'Alternative 2'!$B$39))))</f>
        <v>209045.90942322882</v>
      </c>
      <c r="Z14" s="105">
        <f>X14*'Alternative 2'!$K15/'Alternative 2'!$L15</f>
        <v>1090304.9998929184</v>
      </c>
      <c r="AA14" s="105">
        <f>Y14/'Alternative 2'!$M15</f>
        <v>214009.31535786751</v>
      </c>
      <c r="AB14" s="105">
        <f t="shared" si="3"/>
        <v>1.3043143152507861</v>
      </c>
      <c r="AD14" s="105">
        <f>'Alternative 2'!$B$39*$B14*$C14*COS($K$23)-($N$22/3)*$E14*SIN($K$23)-($N$22/3)*$F14*SIN($K$23)-($N$22/3)*$G14*SIN($K$23)</f>
        <v>71363.769661690778</v>
      </c>
      <c r="AE14" s="106">
        <f>IF(($A14&lt;'Alternative 2'!$B$27),(($H14*'Alternative 2'!$B$39)+(3*($N$22/3)*COS($K$23))),IF(($A14&lt;'Alternative 2'!$B$28),(($H14*'Alternative 2'!$B$39)+(2*(($N$22/3)*COS($K$23)))),IF(($A14&lt;'Alternative 2'!$B$29),(($H$3*'Alternative 2'!$B$39+(($N$22/3)*COS($K$23)))),($H14*'Alternative 2'!$B$39))))</f>
        <v>110071.92296480775</v>
      </c>
      <c r="AF14" s="105">
        <f>AD14*'Alternative 2'!$K15/'Alternative 2'!$L15</f>
        <v>1135790.629294255</v>
      </c>
      <c r="AG14" s="105">
        <f>AE14/'Alternative 2'!$M15</f>
        <v>112685.37585268288</v>
      </c>
      <c r="AH14" s="105">
        <f t="shared" si="4"/>
        <v>1.2484760051469379</v>
      </c>
      <c r="AJ14" s="105">
        <f>'Alternative 2'!$B$39*$B14*$C14*COS($K$33)-($N$32/3)*$E14*SIN($K$33)-($N$32/3)*$F14*SIN($K$33)-($N$32/3)*$G14*SIN($K$33)</f>
        <v>67289.230102143963</v>
      </c>
      <c r="AK14" s="106">
        <f>IF(($A14&lt;'Alternative 2'!$B$27),(($H14*'Alternative 2'!$B$39)+(3*($N$32/3)*COS($K$33))),IF(($A14&lt;'Alternative 2'!$B$28),(($H14*'Alternative 2'!$B$39)+(2*(($N$32/3)*COS($K$33)))),IF(($A14&lt;'Alternative 2'!$B$29),(($H$3*'Alternative 2'!$B$39+(($N$32/3)*COS($K$33)))),($H14*'Alternative 2'!$B$39))))</f>
        <v>76973.15786864562</v>
      </c>
      <c r="AL14" s="105">
        <f>AJ14*'Alternative 2'!$K15/'Alternative 2'!$L15</f>
        <v>1070942.2633466488</v>
      </c>
      <c r="AM14" s="105">
        <f>AK14/'Alternative 2'!$M15</f>
        <v>78800.742199892353</v>
      </c>
      <c r="AN14" s="105">
        <f t="shared" si="5"/>
        <v>1.1497430055465412</v>
      </c>
      <c r="AP14" s="105">
        <f>'Alternative 2'!$B$39*$B14*$C14*COS($K$43)-($N$42/3)*$E14*SIN($K$43)-($N$42/3)*$F14*SIN($K$43)-($N$42/3)*$G14*SIN($K$43)</f>
        <v>59985.547296589517</v>
      </c>
      <c r="AQ14" s="106">
        <f>IF(($A14&lt;'Alternative 2'!$B$27),(($H14*'Alternative 2'!$B$39)+(3*($N$42/3)*COS($K$43))),IF(($A14&lt;'Alternative 2'!$B$28),(($H14*'Alternative 2'!$B$39)+(2*(($N$42/3)*COS($K$43)))),IF(($A14&lt;'Alternative 2'!$B$29),(($H$3*'Alternative 2'!$B$39+(($N$42/3)*COS($K$43)))),($H14*'Alternative 2'!$B$39))))</f>
        <v>59487.412424896378</v>
      </c>
      <c r="AR14" s="105">
        <f>AP14*'Alternative 2'!$K15/'Alternative 2'!$L15</f>
        <v>954700.44303345634</v>
      </c>
      <c r="AS14" s="105">
        <f>AQ14/'Alternative 2'!$M15</f>
        <v>60899.830284115305</v>
      </c>
      <c r="AT14" s="105">
        <f t="shared" si="6"/>
        <v>1.0156002733175715</v>
      </c>
      <c r="AV14" s="105">
        <f>'Alternative 2'!$B$39*$B14*$C14*COS($K$53)-($N$52/3)*$E14*SIN($K$53)-($N$52/3)*$F14*SIN($K$53)-($N$52/3)*$G14*SIN($K$53)</f>
        <v>50347.964134773007</v>
      </c>
      <c r="AW14" s="106">
        <f>IF(($A14&lt;'Alternative 2'!$B$27),(($H14*'Alternative 2'!$B$39)+(3*($N$52/3)*COS($K$53))),IF(($A14&lt;'Alternative 2'!$B$28),(($H14*'Alternative 2'!$B$39)+(2*(($N$52/3)*COS($K$53)))),IF(($A14&lt;'Alternative 2'!$B$29),(($H$3*'Alternative 2'!$B$39+(($N$52/3)*COS($K$53)))),($H14*'Alternative 2'!$B$39))))</f>
        <v>48502.303000630985</v>
      </c>
      <c r="AX14" s="105">
        <f>AV14*'Alternative 2'!$K15/'Alternative 2'!$L15</f>
        <v>801313.4135067435</v>
      </c>
      <c r="AY14" s="105">
        <f>AW14/'Alternative 2'!$M15</f>
        <v>49653.899887751068</v>
      </c>
      <c r="AZ14" s="105">
        <f t="shared" si="7"/>
        <v>0.85096731339449461</v>
      </c>
      <c r="BB14" s="105">
        <f>'Alternative 2'!$B$39*$B14*$C14*COS($K$63)-($N$62/3)*$E14*SIN($K$63)-($N$62/3)*$F14*SIN($K$63)-($N$62/3)*$G14*SIN($K$63)</f>
        <v>38891.216304057554</v>
      </c>
      <c r="BC14" s="106">
        <f>IF(($A14&lt;'Alternative 2'!$B$27),(($H14*'Alternative 2'!$B$39)+(3*($N$62/3)*COS($K$63))),IF(($A14&lt;'Alternative 2'!$B$28),(($H14*'Alternative 2'!$B$39)+(2*(($N$62/3)*COS($K$63)))),IF(($A14&lt;'Alternative 2'!$B$29),(($H$3*'Alternative 2'!$B$39+(($N$62/3)*COS($K$63)))),($H14*'Alternative 2'!$B$39))))</f>
        <v>41173.408729266732</v>
      </c>
      <c r="BD14" s="105">
        <f>BB14*'Alternative 2'!$K15/'Alternative 2'!$L15</f>
        <v>618973.45458919776</v>
      </c>
      <c r="BE14" s="105">
        <f>BC14/'Alternative 2'!$M15</f>
        <v>42150.994666250575</v>
      </c>
      <c r="BF14" s="105">
        <f t="shared" si="8"/>
        <v>0.66112444925544833</v>
      </c>
      <c r="BH14" s="105">
        <f>'Alternative 2'!$B$39*$B14*$C14*COS($K$73)-($N$72/3)*$E14*SIN($K$73)-($N$72/3)*$F14*SIN($K$73)-($N$72/3)*$G14*SIN($K$73)</f>
        <v>26057.572365466713</v>
      </c>
      <c r="BI14" s="106">
        <f>IF(($A14&lt;'Alternative 2'!$B$27),(($H14*'Alternative 2'!$B$39)+(3*($N$72/3)*COS($K$73))),IF(($A14&lt;'Alternative 2'!$B$28),(($H14*'Alternative 2'!$B$39)+(2*(($N$72/3)*COS($K$73)))),IF(($A14&lt;'Alternative 2'!$B$29),(($H$3*'Alternative 2'!$B$39+(($N$72/3)*COS($K$73)))),($H14*'Alternative 2'!$B$39))))</f>
        <v>36374.793252848649</v>
      </c>
      <c r="BJ14" s="105">
        <f>BH14*'Alternative 2'!$K15/'Alternative 2'!$L15</f>
        <v>414719.49499245145</v>
      </c>
      <c r="BK14" s="105">
        <f>BI14/'Alternative 2'!$M15</f>
        <v>37238.444999015672</v>
      </c>
      <c r="BL14" s="105">
        <f t="shared" si="9"/>
        <v>0.45195793999146711</v>
      </c>
      <c r="BN14" s="105">
        <f>'Alternative 2'!$B$39*$B14*$C14*COS($K$83)-($N$82/3)*$E14*SIN($K$83)-($N$82/3)*$F14*SIN($K$83)-($N$82/3)*$G14*SIN($K$83)</f>
        <v>12281.998836134147</v>
      </c>
      <c r="BO14" s="106">
        <f>IF(($A14&lt;'Alternative 2'!$B$27),(($H14*'Alternative 2'!$B$39)+(3*($N$82/3)*COS($K$83))),IF(($A14&lt;'Alternative 2'!$B$28),(($H14*'Alternative 2'!$B$39)+(2*(($N$82/3)*COS($K$83)))),IF(($A14&lt;'Alternative 2'!$B$29),(($H$3*'Alternative 2'!$B$39+(($N$82/3)*COS($K$83)))),($H14*'Alternative 2'!$B$39))))</f>
        <v>33607.422309813846</v>
      </c>
      <c r="BP14" s="105">
        <f>BN14*'Alternative 2'!$K15/'Alternative 2'!$L15</f>
        <v>195474.24769199907</v>
      </c>
      <c r="BQ14" s="105">
        <f>BO14/'Alternative 2'!$M15</f>
        <v>34405.367985003912</v>
      </c>
      <c r="BR14" s="105">
        <f t="shared" si="10"/>
        <v>0.22987961567700299</v>
      </c>
      <c r="BT14" s="105">
        <f>'Alternative 2'!$B$39*$B14*$C14*COS($K$93)-($K$92/3)*$E14*SIN($K$93)-($K$92/3)*$F14*SIN($K$93)-($K$92/3)*$G14*SIN($K$93)</f>
        <v>-4.1422480913878754</v>
      </c>
      <c r="BU14" s="106">
        <f>IF(($A14&lt;'Alternative 2'!$B$27),(($H14*'Alternative 2'!$B$39)+(3*($N$92/3)*COS($K$93))),IF(($A14&lt;'Alternative 2'!$B$28),(($H14*'Alternative 2'!$B$39)+(2*(($N$92/3)*COS($K$93)))),IF(($A14&lt;'Alternative 2'!$B$29),(($H$3*'Alternative 2'!$B$39+(($N$92/3)*COS($K$93)))),($H14*'Alternative 2'!$B$39))))</f>
        <v>32649.307447206837</v>
      </c>
      <c r="BV14" s="105">
        <f>BT14*'Alternative 2'!$K15/'Alternative 2'!$L15</f>
        <v>-65.925981611029385</v>
      </c>
      <c r="BW14" s="105">
        <f>BU14/'Alternative 2'!$M15</f>
        <v>33424.504468724364</v>
      </c>
      <c r="BX14" s="105">
        <f t="shared" si="11"/>
        <v>3.3358578487113336E-2</v>
      </c>
      <c r="BZ14" s="104">
        <v>150</v>
      </c>
      <c r="CA14" s="104">
        <v>-150</v>
      </c>
    </row>
    <row r="15" spans="1:79" ht="15" customHeight="1" x14ac:dyDescent="0.25">
      <c r="A15" s="18">
        <f>IF('Alternative 2'!F16&gt;0,'Alternative 2'!F16,"x")</f>
        <v>13</v>
      </c>
      <c r="B15" s="18">
        <f t="shared" si="17"/>
        <v>11</v>
      </c>
      <c r="C15" s="18">
        <f t="shared" si="12"/>
        <v>5.5</v>
      </c>
      <c r="D15" s="18">
        <f t="shared" si="13"/>
        <v>13</v>
      </c>
      <c r="E15" s="101">
        <f>IF($A15&lt;='Alternative 2'!$B$27, IF($A15='Alternative 2'!$B$27,0,E16+1),0)</f>
        <v>0</v>
      </c>
      <c r="F15" s="101">
        <f>IF($A15&lt;=('Alternative 2'!$B$28), IF($A15=ROUNDDOWN('Alternative 2'!$B$28,0),0,F16+1),0)</f>
        <v>1</v>
      </c>
      <c r="G15" s="101">
        <f>IF($A15&lt;=('Alternative 2'!$B$29), IF($A15=ROUNDDOWN('Alternative 2'!$B$29,0),0,G16+1),0)</f>
        <v>5</v>
      </c>
      <c r="H15" s="18">
        <f t="shared" si="14"/>
        <v>11</v>
      </c>
      <c r="J15" s="104">
        <f t="shared" si="15"/>
        <v>12</v>
      </c>
      <c r="K15" s="104">
        <f t="shared" si="16"/>
        <v>0.20943951023931953</v>
      </c>
      <c r="L15" s="105">
        <f>'Alternative 2'!$B$27*SIN(K15)+'Alternative 2'!$B$28*SIN(K15)+'Alternative 2'!$B$29*SIN(K15)</f>
        <v>8.9381235882554719</v>
      </c>
      <c r="M15" s="104">
        <f>(('Alternative 2'!$B$27)*(((('Alternative 2'!$B$28-'Alternative 2'!$B$27)/2)+'Alternative 2'!$B$27)*'Alternative 2'!$B$39)*COS('Alternative 2-Tilt Up (3pt)'!K15))+(('Alternative 2'!$B$28)*((('Alternative 2'!$B$28-'Alternative 2'!$B$27)/2)+(('Alternative 2'!$B$29-'Alternative 2'!$B$28)/2))*('Alternative 2'!$B$39)*COS('Alternative 2-Tilt Up (3pt)'!K15))+(('Alternative 2'!$B$29)*((('Alternative 2'!$B$12-'Alternative 2'!$B$29+(('Alternative 2'!$B$29-'Alternative 2'!$B$28)/2)*('Alternative 2'!$B$39)*COS('Alternative 2-Tilt Up (3pt)'!K15)))))</f>
        <v>596476.9740855298</v>
      </c>
      <c r="N15" s="104">
        <f t="shared" si="0"/>
        <v>200202.07872353302</v>
      </c>
      <c r="O15" s="104">
        <f>(((('Alternative 2'!$B$28-'Alternative 2'!$B$27)/2)+'Alternative 2'!$B$27)*('Alternative 2'!$B$39)*COS('Alternative 2-Tilt Up (3pt)'!K15))+(((('Alternative 2'!$B$28-'Alternative 2'!$B$27)/2)+(('Alternative 2'!$B$29-'Alternative 2'!$B$28)/2))*('Alternative 2'!$B$39)*COS('Alternative 2-Tilt Up (3pt)'!K15))+(((('Alternative 2'!$B$12-'Alternative 2'!$B$29)+(('Alternative 2'!$B$29-'Alternative 2'!$B$28)/2))*('Alternative 2'!$B$39)*COS('Alternative 2-Tilt Up (3pt)'!K15)))</f>
        <v>61210.363344785997</v>
      </c>
      <c r="P15" s="104">
        <f t="shared" si="1"/>
        <v>195827.18296534431</v>
      </c>
      <c r="R15" s="105">
        <f>('Alternative 2'!$B$39*$B15*$C15*COS($K$5))-(($N$5/3)*$E15*SIN($K$5))-(($N$5/3)*$F15*SIN($K$5))-(($N$5/3)*$G15*SIN($K$5))</f>
        <v>79450.211258917945</v>
      </c>
      <c r="S15" s="106">
        <f>IF(($A15&lt;'Alternative 2'!$B$27),(($H15*'Alternative 2'!$B$39)+(3*($N$5/3)*COS($K$5))),IF(($A15&lt;'Alternative 2'!$B$28),(($H15*'Alternative 2'!$B$39)+(2*(($N$5/3)*COS($K$5)))),IF(($A15&lt;'Alternative 2'!$B$29),(($H$3*'Alternative 2'!$B$39+(($N$5/3)*COS($K$5)))),($H15*'Alternative 2'!$B$39))))</f>
        <v>841827.78198782844</v>
      </c>
      <c r="T15" s="105">
        <f>R15*'Alternative 2'!$K16/'Alternative 2'!$L16</f>
        <v>1264490.4532246084</v>
      </c>
      <c r="U15" s="105">
        <f>S15/'Alternative 2'!$M16</f>
        <v>892869.35099342023</v>
      </c>
      <c r="V15" s="105">
        <f t="shared" si="2"/>
        <v>2.1573598042180286</v>
      </c>
      <c r="X15" s="105">
        <f>'Alternative 2'!$B$39*$B15*$C15*COS($K$13)-($N$12/3)*$E15*SIN($K$13)-($N$12/3)*$F15*SIN($K$13)-($N$12/3)*$G15*SIN($K$13)</f>
        <v>68795.735284135211</v>
      </c>
      <c r="Y15" s="106">
        <f>IF(($A15&lt;'Alternative 2'!$B$27),(($H15*'Alternative 2'!$B$39)+(3*($N$12/3)*COS($K$13))),IF(($A15&lt;'Alternative 2'!$B$28),(($H15*'Alternative 2'!$B$39)+(2*(($N$12/3)*COS($K$13)))),IF(($A15&lt;'Alternative 2'!$B$29),(($H$3*'Alternative 2'!$B$39+(($N$12/3)*COS($K$13)))),($H15*'Alternative 2'!$B$39))))</f>
        <v>206325.13380262826</v>
      </c>
      <c r="Z15" s="105">
        <f>X15*'Alternative 2'!$K16/'Alternative 2'!$L16</f>
        <v>1094919.0582497274</v>
      </c>
      <c r="AA15" s="105">
        <f>Y15/'Alternative 2'!$M16</f>
        <v>218835.00670051164</v>
      </c>
      <c r="AB15" s="105">
        <f t="shared" si="3"/>
        <v>1.3137540649502388</v>
      </c>
      <c r="AD15" s="105">
        <f>'Alternative 2'!$B$39*$B15*$C15*COS($K$23)-($N$22/3)*$E15*SIN($K$23)-($N$22/3)*$F15*SIN($K$23)-($N$22/3)*$G15*SIN($K$23)</f>
        <v>70141.33027396971</v>
      </c>
      <c r="AE15" s="106">
        <f>IF(($A15&lt;'Alternative 2'!$B$27),(($H15*'Alternative 2'!$B$39)+(3*($N$22/3)*COS($K$23))),IF(($A15&lt;'Alternative 2'!$B$28),(($H15*'Alternative 2'!$B$39)+(2*(($N$22/3)*COS($K$23)))),IF(($A15&lt;'Alternative 2'!$B$29),(($H$3*'Alternative 2'!$B$39+(($N$22/3)*COS($K$23)))),($H15*'Alternative 2'!$B$39))))</f>
        <v>107351.14734420717</v>
      </c>
      <c r="AF15" s="105">
        <f>AD15*'Alternative 2'!$K16/'Alternative 2'!$L16</f>
        <v>1116334.8857420878</v>
      </c>
      <c r="AG15" s="105">
        <f>AE15/'Alternative 2'!$M16</f>
        <v>113860.04514045267</v>
      </c>
      <c r="AH15" s="105">
        <f t="shared" si="4"/>
        <v>1.2301949308825406</v>
      </c>
      <c r="AJ15" s="105">
        <f>'Alternative 2'!$B$39*$B15*$C15*COS($K$33)-($N$32/3)*$E15*SIN($K$33)-($N$32/3)*$F15*SIN($K$33)-($N$32/3)*$G15*SIN($K$33)</f>
        <v>65782.617811951524</v>
      </c>
      <c r="AK15" s="106">
        <f>IF(($A15&lt;'Alternative 2'!$B$27),(($H15*'Alternative 2'!$B$39)+(3*($N$32/3)*COS($K$33))),IF(($A15&lt;'Alternative 2'!$B$28),(($H15*'Alternative 2'!$B$39)+(2*(($N$32/3)*COS($K$33)))),IF(($A15&lt;'Alternative 2'!$B$29),(($H$3*'Alternative 2'!$B$39+(($N$32/3)*COS($K$33)))),($H15*'Alternative 2'!$B$39))))</f>
        <v>74252.382248045047</v>
      </c>
      <c r="AL15" s="105">
        <f>AJ15*'Alternative 2'!$K16/'Alternative 2'!$L16</f>
        <v>1046963.7637621637</v>
      </c>
      <c r="AM15" s="105">
        <f>AK15/'Alternative 2'!$M16</f>
        <v>78754.440951066048</v>
      </c>
      <c r="AN15" s="105">
        <f t="shared" si="5"/>
        <v>1.1257182047132297</v>
      </c>
      <c r="AP15" s="105">
        <f>'Alternative 2'!$B$39*$B15*$C15*COS($K$43)-($N$42/3)*$E15*SIN($K$43)-($N$42/3)*$F15*SIN($K$43)-($N$42/3)*$G15*SIN($K$43)</f>
        <v>58536.688265817422</v>
      </c>
      <c r="AQ15" s="106">
        <f>IF(($A15&lt;'Alternative 2'!$B$27),(($H15*'Alternative 2'!$B$39)+(3*($N$42/3)*COS($K$43))),IF(($A15&lt;'Alternative 2'!$B$28),(($H15*'Alternative 2'!$B$39)+(2*(($N$42/3)*COS($K$43)))),IF(($A15&lt;'Alternative 2'!$B$29),(($H$3*'Alternative 2'!$B$39+(($N$42/3)*COS($K$43)))),($H15*'Alternative 2'!$B$39))))</f>
        <v>56766.636804295806</v>
      </c>
      <c r="AR15" s="105">
        <f>AP15*'Alternative 2'!$K16/'Alternative 2'!$L16</f>
        <v>931641.11589700473</v>
      </c>
      <c r="AS15" s="105">
        <f>AQ15/'Alternative 2'!$M16</f>
        <v>60208.502553629944</v>
      </c>
      <c r="AT15" s="105">
        <f t="shared" si="6"/>
        <v>0.99184961845063468</v>
      </c>
      <c r="AV15" s="105">
        <f>'Alternative 2'!$B$39*$B15*$C15*COS($K$53)-($N$52/3)*$E15*SIN($K$53)-($N$52/3)*$F15*SIN($K$53)-($N$52/3)*$G15*SIN($K$53)</f>
        <v>49128.698675864907</v>
      </c>
      <c r="AW15" s="106">
        <f>IF(($A15&lt;'Alternative 2'!$B$27),(($H15*'Alternative 2'!$B$39)+(3*($N$52/3)*COS($K$53))),IF(($A15&lt;'Alternative 2'!$B$28),(($H15*'Alternative 2'!$B$39)+(2*(($N$52/3)*COS($K$53)))),IF(($A15&lt;'Alternative 2'!$B$29),(($H$3*'Alternative 2'!$B$39+(($N$52/3)*COS($K$53)))),($H15*'Alternative 2'!$B$39))))</f>
        <v>45781.527380030413</v>
      </c>
      <c r="AX15" s="105">
        <f>AV15*'Alternative 2'!$K16/'Alternative 2'!$L16</f>
        <v>781908.18464320467</v>
      </c>
      <c r="AY15" s="105">
        <f>AW15/'Alternative 2'!$M16</f>
        <v>48557.345711223243</v>
      </c>
      <c r="AZ15" s="105">
        <f t="shared" si="7"/>
        <v>0.83046553035442783</v>
      </c>
      <c r="BB15" s="105">
        <f>'Alternative 2'!$B$39*$B15*$C15*COS($K$63)-($N$62/3)*$E15*SIN($K$63)-($N$62/3)*$F15*SIN($K$63)-($N$62/3)*$G15*SIN($K$63)</f>
        <v>38010.932994995041</v>
      </c>
      <c r="BC15" s="106">
        <f>IF(($A15&lt;'Alternative 2'!$B$27),(($H15*'Alternative 2'!$B$39)+(3*($N$62/3)*COS($K$63))),IF(($A15&lt;'Alternative 2'!$B$28),(($H15*'Alternative 2'!$B$39)+(2*(($N$62/3)*COS($K$63)))),IF(($A15&lt;'Alternative 2'!$B$29),(($H$3*'Alternative 2'!$B$39+(($N$62/3)*COS($K$63)))),($H15*'Alternative 2'!$B$39))))</f>
        <v>38452.633108666167</v>
      </c>
      <c r="BD15" s="105">
        <f>BB15*'Alternative 2'!$K16/'Alternative 2'!$L16</f>
        <v>604963.29875946639</v>
      </c>
      <c r="BE15" s="105">
        <f>BC15/'Alternative 2'!$M16</f>
        <v>40784.087080912315</v>
      </c>
      <c r="BF15" s="105">
        <f t="shared" si="8"/>
        <v>0.64574738584037872</v>
      </c>
      <c r="BH15" s="105">
        <f>'Alternative 2'!$B$39*$B15*$C15*COS($K$73)-($N$72/3)*$E15*SIN($K$73)-($N$72/3)*$F15*SIN($K$73)-($N$72/3)*$G15*SIN($K$73)</f>
        <v>25591.819714246187</v>
      </c>
      <c r="BI15" s="106">
        <f>IF(($A15&lt;'Alternative 2'!$B$27),(($H15*'Alternative 2'!$B$39)+(3*($N$72/3)*COS($K$73))),IF(($A15&lt;'Alternative 2'!$B$28),(($H15*'Alternative 2'!$B$39)+(2*(($N$72/3)*COS($K$73)))),IF(($A15&lt;'Alternative 2'!$B$29),(($H$3*'Alternative 2'!$B$39+(($N$72/3)*COS($K$73)))),($H15*'Alternative 2'!$B$39))))</f>
        <v>33654.017632248077</v>
      </c>
      <c r="BJ15" s="105">
        <f>BH15*'Alternative 2'!$K16/'Alternative 2'!$L16</f>
        <v>407306.80506122997</v>
      </c>
      <c r="BK15" s="105">
        <f>BI15/'Alternative 2'!$M16</f>
        <v>35694.522709469005</v>
      </c>
      <c r="BL15" s="105">
        <f t="shared" si="9"/>
        <v>0.443001327770699</v>
      </c>
      <c r="BN15" s="105">
        <f>'Alternative 2'!$B$39*$B15*$C15*COS($K$83)-($N$82/3)*$E15*SIN($K$83)-($N$82/3)*$F15*SIN($K$83)-($N$82/3)*$G15*SIN($K$83)</f>
        <v>12282.47436142697</v>
      </c>
      <c r="BO15" s="106">
        <f>IF(($A15&lt;'Alternative 2'!$B$27),(($H15*'Alternative 2'!$B$39)+(3*($N$82/3)*COS($K$83))),IF(($A15&lt;'Alternative 2'!$B$28),(($H15*'Alternative 2'!$B$39)+(2*(($N$82/3)*COS($K$83)))),IF(($A15&lt;'Alternative 2'!$B$29),(($H$3*'Alternative 2'!$B$39+(($N$82/3)*COS($K$83)))),($H15*'Alternative 2'!$B$39))))</f>
        <v>30886.646689213281</v>
      </c>
      <c r="BP15" s="105">
        <f>BN15*'Alternative 2'!$K16/'Alternative 2'!$L16</f>
        <v>195481.81591848348</v>
      </c>
      <c r="BQ15" s="105">
        <f>BO15/'Alternative 2'!$M16</f>
        <v>32759.360968868175</v>
      </c>
      <c r="BR15" s="105">
        <f t="shared" si="10"/>
        <v>0.22824117688735168</v>
      </c>
      <c r="BT15" s="105">
        <f>'Alternative 2'!$B$39*$B15*$C15*COS($K$93)-($K$92/3)*$E15*SIN($K$93)-($K$92/3)*$F15*SIN($K$93)-($K$92/3)*$G15*SIN($K$93)</f>
        <v>-3.1066860685398234</v>
      </c>
      <c r="BU15" s="106">
        <f>IF(($A15&lt;'Alternative 2'!$B$27),(($H15*'Alternative 2'!$B$39)+(3*($N$92/3)*COS($K$93))),IF(($A15&lt;'Alternative 2'!$B$28),(($H15*'Alternative 2'!$B$39)+(2*(($N$92/3)*COS($K$93)))),IF(($A15&lt;'Alternative 2'!$B$29),(($H$3*'Alternative 2'!$B$39+(($N$92/3)*COS($K$93)))),($H15*'Alternative 2'!$B$39))))</f>
        <v>29928.531826606268</v>
      </c>
      <c r="BV15" s="105">
        <f>BT15*'Alternative 2'!$K16/'Alternative 2'!$L16</f>
        <v>-49.444486208254794</v>
      </c>
      <c r="BW15" s="105">
        <f>BU15/'Alternative 2'!$M16</f>
        <v>31743.153837365546</v>
      </c>
      <c r="BX15" s="105">
        <f t="shared" si="11"/>
        <v>3.1693709351157291E-2</v>
      </c>
      <c r="BZ15" s="104">
        <v>150</v>
      </c>
      <c r="CA15" s="104">
        <v>-150</v>
      </c>
    </row>
    <row r="16" spans="1:79" ht="15" customHeight="1" x14ac:dyDescent="0.25">
      <c r="A16" s="18">
        <f>IF('Alternative 2'!F17&gt;0,'Alternative 2'!F17,"x")</f>
        <v>14</v>
      </c>
      <c r="B16" s="18">
        <f t="shared" si="17"/>
        <v>10</v>
      </c>
      <c r="C16" s="18">
        <f t="shared" si="12"/>
        <v>5</v>
      </c>
      <c r="D16" s="18">
        <f t="shared" si="13"/>
        <v>14</v>
      </c>
      <c r="E16" s="101">
        <f>IF($A16&lt;='Alternative 2'!$B$27, IF($A16='Alternative 2'!$B$27,0,E17+1),0)</f>
        <v>0</v>
      </c>
      <c r="F16" s="101">
        <f>IF($A16&lt;=('Alternative 2'!$B$28), IF($A16=ROUNDDOWN('Alternative 2'!$B$28,0),0,F17+1),0)</f>
        <v>0</v>
      </c>
      <c r="G16" s="101">
        <f>IF($A16&lt;=('Alternative 2'!$B$29), IF($A16=ROUNDDOWN('Alternative 2'!$B$29,0),0,G17+1),0)</f>
        <v>4</v>
      </c>
      <c r="H16" s="18">
        <f t="shared" si="14"/>
        <v>10</v>
      </c>
      <c r="J16" s="104">
        <f t="shared" si="15"/>
        <v>13</v>
      </c>
      <c r="K16" s="104">
        <f t="shared" si="16"/>
        <v>0.22689280275926285</v>
      </c>
      <c r="L16" s="105">
        <f>'Alternative 2'!$B$27*SIN(K16)+'Alternative 2'!$B$28*SIN(K16)+'Alternative 2'!$B$29*SIN(K16)</f>
        <v>9.6706458262427564</v>
      </c>
      <c r="M16" s="104">
        <f>(('Alternative 2'!$B$27)*(((('Alternative 2'!$B$28-'Alternative 2'!$B$27)/2)+'Alternative 2'!$B$27)*'Alternative 2'!$B$39)*COS('Alternative 2-Tilt Up (3pt)'!K16))+(('Alternative 2'!$B$28)*((('Alternative 2'!$B$28-'Alternative 2'!$B$27)/2)+(('Alternative 2'!$B$29-'Alternative 2'!$B$28)/2))*('Alternative 2'!$B$39)*COS('Alternative 2-Tilt Up (3pt)'!K16))+(('Alternative 2'!$B$29)*((('Alternative 2'!$B$12-'Alternative 2'!$B$29+(('Alternative 2'!$B$29-'Alternative 2'!$B$28)/2)*('Alternative 2'!$B$39)*COS('Alternative 2-Tilt Up (3pt)'!K16)))))</f>
        <v>594173.73550586111</v>
      </c>
      <c r="N16" s="104">
        <f t="shared" si="0"/>
        <v>184322.87135161573</v>
      </c>
      <c r="O16" s="104">
        <f>(((('Alternative 2'!$B$28-'Alternative 2'!$B$27)/2)+'Alternative 2'!$B$27)*('Alternative 2'!$B$39)*COS('Alternative 2-Tilt Up (3pt)'!K16))+(((('Alternative 2'!$B$28-'Alternative 2'!$B$27)/2)+(('Alternative 2'!$B$29-'Alternative 2'!$B$28)/2))*('Alternative 2'!$B$39)*COS('Alternative 2-Tilt Up (3pt)'!K16))+(((('Alternative 2'!$B$12-'Alternative 2'!$B$29)+(('Alternative 2'!$B$29-'Alternative 2'!$B$28)/2))*('Alternative 2'!$B$39)*COS('Alternative 2-Tilt Up (3pt)'!K16)))</f>
        <v>60973.97330734531</v>
      </c>
      <c r="P16" s="104">
        <f t="shared" si="1"/>
        <v>179598.68810027439</v>
      </c>
      <c r="R16" s="105">
        <f>('Alternative 2'!$B$39*$B16*$C16*COS($K$5))-(($N$5/3)*$E16*SIN($K$5))-(($N$5/3)*$F16*SIN($K$5))-(($N$5/3)*$G16*SIN($K$5))</f>
        <v>79251.616749464127</v>
      </c>
      <c r="S16" s="106">
        <f>IF(($A16&lt;'Alternative 2'!$B$27),(($H16*'Alternative 2'!$B$39)+(3*($N$5/3)*COS($K$5))),IF(($A16&lt;'Alternative 2'!$B$28),(($H16*'Alternative 2'!$B$39)+(2*(($N$5/3)*COS($K$5)))),IF(($A16&lt;'Alternative 2'!$B$29),(($H$3*'Alternative 2'!$B$39+(($N$5/3)*COS($K$5)))),($H16*'Alternative 2'!$B$39))))</f>
        <v>839107.00636722788</v>
      </c>
      <c r="T16" s="105">
        <f>R16*'Alternative 2'!$K17/'Alternative 2'!$L17</f>
        <v>1261329.7207698033</v>
      </c>
      <c r="U16" s="105">
        <f>S16/'Alternative 2'!$M17</f>
        <v>922640.85954725905</v>
      </c>
      <c r="V16" s="105">
        <f t="shared" si="2"/>
        <v>2.1839705803170624</v>
      </c>
      <c r="X16" s="105">
        <f>'Alternative 2'!$B$39*$B16*$C16*COS($K$13)-($N$12/3)*$E16*SIN($K$13)-($N$12/3)*$F16*SIN($K$13)-($N$12/3)*$G16*SIN($K$13)</f>
        <v>71765.085801372537</v>
      </c>
      <c r="Y16" s="106">
        <f>IF(($A16&lt;'Alternative 2'!$B$27),(($H16*'Alternative 2'!$B$39)+(3*($N$12/3)*COS($K$13))),IF(($A16&lt;'Alternative 2'!$B$28),(($H16*'Alternative 2'!$B$39)+(2*(($N$12/3)*COS($K$13)))),IF(($A16&lt;'Alternative 2'!$B$29),(($H$3*'Alternative 2'!$B$39+(($N$12/3)*COS($K$13)))),($H16*'Alternative 2'!$B$39))))</f>
        <v>203604.35818202767</v>
      </c>
      <c r="Z16" s="105">
        <f>X16*'Alternative 2'!$K17/'Alternative 2'!$L17</f>
        <v>1142177.7794265409</v>
      </c>
      <c r="AA16" s="105">
        <f>Y16/'Alternative 2'!$M17</f>
        <v>223873.35419104045</v>
      </c>
      <c r="AB16" s="105">
        <f t="shared" si="3"/>
        <v>1.3660511336175813</v>
      </c>
      <c r="AD16" s="105">
        <f>'Alternative 2'!$B$39*$B16*$C16*COS($K$23)-($N$22/3)*$E16*SIN($K$23)-($N$22/3)*$F16*SIN($K$23)-($N$22/3)*$G16*SIN($K$23)</f>
        <v>71475.583659741154</v>
      </c>
      <c r="AE16" s="106">
        <f>IF(($A16&lt;'Alternative 2'!$B$27),(($H16*'Alternative 2'!$B$39)+(3*($N$22/3)*COS($K$23))),IF(($A16&lt;'Alternative 2'!$B$28),(($H16*'Alternative 2'!$B$39)+(2*(($N$22/3)*COS($K$23)))),IF(($A16&lt;'Alternative 2'!$B$29),(($H$3*'Alternative 2'!$B$39+(($N$22/3)*COS($K$23)))),($H16*'Alternative 2'!$B$39))))</f>
        <v>104630.3717236066</v>
      </c>
      <c r="AF16" s="105">
        <f>AD16*'Alternative 2'!$K17/'Alternative 2'!$L17</f>
        <v>1137570.2058470575</v>
      </c>
      <c r="AG16" s="105">
        <f>AE16/'Alternative 2'!$M17</f>
        <v>115046.41883489335</v>
      </c>
      <c r="AH16" s="105">
        <f t="shared" si="4"/>
        <v>1.2526166246819508</v>
      </c>
      <c r="AJ16" s="105">
        <f>'Alternative 2'!$B$39*$B16*$C16*COS($K$33)-($N$32/3)*$E16*SIN($K$33)-($N$32/3)*$F16*SIN($K$33)-($N$32/3)*$G16*SIN($K$33)</f>
        <v>66632.266327196485</v>
      </c>
      <c r="AK16" s="106">
        <f>IF(($A16&lt;'Alternative 2'!$B$27),(($H16*'Alternative 2'!$B$39)+(3*($N$32/3)*COS($K$33))),IF(($A16&lt;'Alternative 2'!$B$28),(($H16*'Alternative 2'!$B$39)+(2*(($N$32/3)*COS($K$33)))),IF(($A16&lt;'Alternative 2'!$B$29),(($H$3*'Alternative 2'!$B$39+(($N$32/3)*COS($K$33)))),($H16*'Alternative 2'!$B$39))))</f>
        <v>71531.606627444475</v>
      </c>
      <c r="AL16" s="105">
        <f>AJ16*'Alternative 2'!$K17/'Alternative 2'!$L17</f>
        <v>1060486.3512933974</v>
      </c>
      <c r="AM16" s="105">
        <f>AK16/'Alternative 2'!$M17</f>
        <v>78652.642062028433</v>
      </c>
      <c r="AN16" s="105">
        <f t="shared" si="5"/>
        <v>1.1391389933554257</v>
      </c>
      <c r="AP16" s="105">
        <f>'Alternative 2'!$B$39*$B16*$C16*COS($K$43)-($N$42/3)*$E16*SIN($K$43)-($N$42/3)*$F16*SIN($K$43)-($N$42/3)*$G16*SIN($K$43)</f>
        <v>59172.064280179933</v>
      </c>
      <c r="AQ16" s="106">
        <f>IF(($A16&lt;'Alternative 2'!$B$27),(($H16*'Alternative 2'!$B$39)+(3*($N$42/3)*COS($K$43))),IF(($A16&lt;'Alternative 2'!$B$28),(($H16*'Alternative 2'!$B$39)+(2*(($N$42/3)*COS($K$43)))),IF(($A16&lt;'Alternative 2'!$B$29),(($H$3*'Alternative 2'!$B$39+(($N$42/3)*COS($K$43)))),($H16*'Alternative 2'!$B$39))))</f>
        <v>54045.861183695233</v>
      </c>
      <c r="AR16" s="105">
        <f>AP16*'Alternative 2'!$K17/'Alternative 2'!$L17</f>
        <v>941753.44777930819</v>
      </c>
      <c r="AS16" s="105">
        <f>AQ16/'Alternative 2'!$M17</f>
        <v>59426.175015959132</v>
      </c>
      <c r="AT16" s="105">
        <f t="shared" si="6"/>
        <v>1.0011796227952672</v>
      </c>
      <c r="AV16" s="105">
        <f>'Alternative 2'!$B$39*$B16*$C16*COS($K$53)-($N$52/3)*$E16*SIN($K$53)-($N$52/3)*$F16*SIN($K$53)-($N$52/3)*$G16*SIN($K$53)</f>
        <v>49658.314074616021</v>
      </c>
      <c r="AW16" s="106">
        <f>IF(($A16&lt;'Alternative 2'!$B$27),(($H16*'Alternative 2'!$B$39)+(3*($N$52/3)*COS($K$53))),IF(($A16&lt;'Alternative 2'!$B$28),(($H16*'Alternative 2'!$B$39)+(2*(($N$52/3)*COS($K$53)))),IF(($A16&lt;'Alternative 2'!$B$29),(($H$3*'Alternative 2'!$B$39+(($N$52/3)*COS($K$53)))),($H16*'Alternative 2'!$B$39))))</f>
        <v>43060.751759429841</v>
      </c>
      <c r="AX16" s="105">
        <f>AV16*'Alternative 2'!$K17/'Alternative 2'!$L17</f>
        <v>790337.28262784169</v>
      </c>
      <c r="AY16" s="105">
        <f>AW16/'Alternative 2'!$M17</f>
        <v>47347.488120822796</v>
      </c>
      <c r="AZ16" s="105">
        <f t="shared" si="7"/>
        <v>0.83768477074866454</v>
      </c>
      <c r="BB16" s="105">
        <f>'Alternative 2'!$B$39*$B16*$C16*COS($K$63)-($N$62/3)*$E16*SIN($K$63)-($N$62/3)*$F16*SIN($K$63)-($N$62/3)*$G16*SIN($K$63)</f>
        <v>38491.037496232777</v>
      </c>
      <c r="BC16" s="106">
        <f>IF(($A16&lt;'Alternative 2'!$B$27),(($H16*'Alternative 2'!$B$39)+(3*($N$62/3)*COS($K$63))),IF(($A16&lt;'Alternative 2'!$B$28),(($H16*'Alternative 2'!$B$39)+(2*(($N$62/3)*COS($K$63)))),IF(($A16&lt;'Alternative 2'!$B$29),(($H$3*'Alternative 2'!$B$39+(($N$62/3)*COS($K$63)))),($H16*'Alternative 2'!$B$39))))</f>
        <v>35731.857488065594</v>
      </c>
      <c r="BD16" s="105">
        <f>BB16*'Alternative 2'!$K17/'Alternative 2'!$L17</f>
        <v>612604.40567089873</v>
      </c>
      <c r="BE16" s="105">
        <f>BC16/'Alternative 2'!$M17</f>
        <v>39288.995868044265</v>
      </c>
      <c r="BF16" s="105">
        <f t="shared" si="8"/>
        <v>0.65189340153894293</v>
      </c>
      <c r="BH16" s="105">
        <f>'Alternative 2'!$B$39*$B16*$C16*COS($K$73)-($N$72/3)*$E16*SIN($K$73)-($N$72/3)*$F16*SIN($K$73)-($N$72/3)*$G16*SIN($K$73)</f>
        <v>26056.627130740446</v>
      </c>
      <c r="BI16" s="106">
        <f>IF(($A16&lt;'Alternative 2'!$B$27),(($H16*'Alternative 2'!$B$39)+(3*($N$72/3)*COS($K$73))),IF(($A16&lt;'Alternative 2'!$B$28),(($H16*'Alternative 2'!$B$39)+(2*(($N$72/3)*COS($K$73)))),IF(($A16&lt;'Alternative 2'!$B$29),(($H$3*'Alternative 2'!$B$39+(($N$72/3)*COS($K$73)))),($H16*'Alternative 2'!$B$39))))</f>
        <v>30933.242011647508</v>
      </c>
      <c r="BJ16" s="105">
        <f>BH16*'Alternative 2'!$K17/'Alternative 2'!$L17</f>
        <v>414704.45110183768</v>
      </c>
      <c r="BK16" s="105">
        <f>BI16/'Alternative 2'!$M17</f>
        <v>34012.673927929805</v>
      </c>
      <c r="BL16" s="105">
        <f t="shared" si="9"/>
        <v>0.44871712502976752</v>
      </c>
      <c r="BN16" s="105">
        <f>'Alternative 2'!$B$39*$B16*$C16*COS($K$83)-($N$82/3)*$E16*SIN($K$83)-($N$82/3)*$F16*SIN($K$83)-($N$82/3)*$G16*SIN($K$83)</f>
        <v>12755.407615077684</v>
      </c>
      <c r="BO16" s="106">
        <f>IF(($A16&lt;'Alternative 2'!$B$27),(($H16*'Alternative 2'!$B$39)+(3*($N$82/3)*COS($K$83))),IF(($A16&lt;'Alternative 2'!$B$28),(($H16*'Alternative 2'!$B$39)+(2*(($N$82/3)*COS($K$83)))),IF(($A16&lt;'Alternative 2'!$B$29),(($H$3*'Alternative 2'!$B$39+(($N$82/3)*COS($K$83)))),($H16*'Alternative 2'!$B$39))))</f>
        <v>28165.871068612709</v>
      </c>
      <c r="BP16" s="105">
        <f>BN16*'Alternative 2'!$K17/'Alternative 2'!$L17</f>
        <v>203008.78878334991</v>
      </c>
      <c r="BQ16" s="105">
        <f>BO16/'Alternative 2'!$M17</f>
        <v>30969.80873172346</v>
      </c>
      <c r="BR16" s="105">
        <f t="shared" si="10"/>
        <v>0.23397859751507338</v>
      </c>
      <c r="BT16" s="105">
        <f>'Alternative 2'!$B$39*$B16*$C16*COS($K$93)-($K$92/3)*$E16*SIN($K$93)-($K$92/3)*$F16*SIN($K$93)-($K$92/3)*$G16*SIN($K$93)</f>
        <v>-2.0711240456916045</v>
      </c>
      <c r="BU16" s="106">
        <f>IF(($A16&lt;'Alternative 2'!$B$27),(($H16*'Alternative 2'!$B$39)+(3*($N$92/3)*COS($K$93))),IF(($A16&lt;'Alternative 2'!$B$28),(($H16*'Alternative 2'!$B$39)+(2*(($N$92/3)*COS($K$93)))),IF(($A16&lt;'Alternative 2'!$B$29),(($H$3*'Alternative 2'!$B$39+(($N$92/3)*COS($K$93)))),($H16*'Alternative 2'!$B$39))))</f>
        <v>27207.756206005695</v>
      </c>
      <c r="BV16" s="105">
        <f>BT16*'Alternative 2'!$K17/'Alternative 2'!$L17</f>
        <v>-32.962990805477553</v>
      </c>
      <c r="BW16" s="105">
        <f>BU16/'Alternative 2'!$M17</f>
        <v>29916.312677378912</v>
      </c>
      <c r="BX16" s="105">
        <f t="shared" si="11"/>
        <v>2.9883349686573434E-2</v>
      </c>
      <c r="BZ16" s="104">
        <v>150</v>
      </c>
      <c r="CA16" s="104">
        <v>-150</v>
      </c>
    </row>
    <row r="17" spans="1:79" ht="15" customHeight="1" x14ac:dyDescent="0.25">
      <c r="A17" s="18">
        <f>IF('Alternative 2'!F18&gt;0,'Alternative 2'!F18,"x")</f>
        <v>15</v>
      </c>
      <c r="B17" s="18">
        <f t="shared" si="17"/>
        <v>9</v>
      </c>
      <c r="C17" s="18">
        <f t="shared" si="12"/>
        <v>4.5</v>
      </c>
      <c r="D17" s="18">
        <f t="shared" si="13"/>
        <v>15</v>
      </c>
      <c r="E17" s="101">
        <f>IF($A17&lt;='Alternative 2'!$B$27, IF($A17='Alternative 2'!$B$27,0,E18+1),0)</f>
        <v>0</v>
      </c>
      <c r="F17" s="101">
        <f>IF($A17&lt;=('Alternative 2'!$B$28), IF($A17=ROUNDDOWN('Alternative 2'!$B$28,0),0,F18+1),0)</f>
        <v>0</v>
      </c>
      <c r="G17" s="101">
        <f>IF($A17&lt;=('Alternative 2'!$B$29), IF($A17=ROUNDDOWN('Alternative 2'!$B$29,0),0,G18+1),0)</f>
        <v>3</v>
      </c>
      <c r="H17" s="18">
        <f t="shared" si="14"/>
        <v>9</v>
      </c>
      <c r="J17" s="104">
        <f t="shared" si="15"/>
        <v>14</v>
      </c>
      <c r="K17" s="104">
        <f t="shared" si="16"/>
        <v>0.24434609527920614</v>
      </c>
      <c r="L17" s="105">
        <f>'Alternative 2'!$B$27*SIN(K17)+'Alternative 2'!$B$28*SIN(K17)+'Alternative 2'!$B$29*SIN(K17)</f>
        <v>10.400222291829715</v>
      </c>
      <c r="M17" s="104">
        <f>(('Alternative 2'!$B$27)*(((('Alternative 2'!$B$28-'Alternative 2'!$B$27)/2)+'Alternative 2'!$B$27)*'Alternative 2'!$B$39)*COS('Alternative 2-Tilt Up (3pt)'!K17))+(('Alternative 2'!$B$28)*((('Alternative 2'!$B$28-'Alternative 2'!$B$27)/2)+(('Alternative 2'!$B$29-'Alternative 2'!$B$28)/2))*('Alternative 2'!$B$39)*COS('Alternative 2-Tilt Up (3pt)'!K17))+(('Alternative 2'!$B$29)*((('Alternative 2'!$B$12-'Alternative 2'!$B$29+(('Alternative 2'!$B$29-'Alternative 2'!$B$28)/2)*('Alternative 2'!$B$39)*COS('Alternative 2-Tilt Up (3pt)'!K17)))))</f>
        <v>591689.53051910014</v>
      </c>
      <c r="N17" s="104">
        <f t="shared" si="0"/>
        <v>170676.0241991916</v>
      </c>
      <c r="O17" s="104">
        <f>(((('Alternative 2'!$B$28-'Alternative 2'!$B$27)/2)+'Alternative 2'!$B$27)*('Alternative 2'!$B$39)*COS('Alternative 2-Tilt Up (3pt)'!K17))+(((('Alternative 2'!$B$28-'Alternative 2'!$B$27)/2)+(('Alternative 2'!$B$29-'Alternative 2'!$B$28)/2))*('Alternative 2'!$B$39)*COS('Alternative 2-Tilt Up (3pt)'!K17))+(((('Alternative 2'!$B$12-'Alternative 2'!$B$29)+(('Alternative 2'!$B$29-'Alternative 2'!$B$28)/2))*('Alternative 2'!$B$39)*COS('Alternative 2-Tilt Up (3pt)'!K17)))</f>
        <v>60719.010006967059</v>
      </c>
      <c r="P17" s="104">
        <f t="shared" si="1"/>
        <v>165606.21685825416</v>
      </c>
      <c r="R17" s="105">
        <f>('Alternative 2'!$B$39*$B17*$C17*COS($K$5))-(($N$5/3)*$E17*SIN($K$5))-(($N$5/3)*$F17*SIN($K$5))-(($N$5/3)*$G17*SIN($K$5))</f>
        <v>67596.067154914286</v>
      </c>
      <c r="S17" s="106">
        <f>IF(($A17&lt;'Alternative 2'!$B$27),(($H17*'Alternative 2'!$B$39)+(3*($N$5/3)*COS($K$5))),IF(($A17&lt;'Alternative 2'!$B$28),(($H17*'Alternative 2'!$B$39)+(2*(($N$5/3)*COS($K$5)))),IF(($A17&lt;'Alternative 2'!$B$29),(($H$3*'Alternative 2'!$B$39+(($N$5/3)*COS($K$5)))),($H17*'Alternative 2'!$B$39))))</f>
        <v>468527.46435442421</v>
      </c>
      <c r="T17" s="105">
        <f>R17*'Alternative 2'!$K18/'Alternative 2'!$L18</f>
        <v>1075825.7308387519</v>
      </c>
      <c r="U17" s="105">
        <f>S17/'Alternative 2'!$M18</f>
        <v>534426.82530643267</v>
      </c>
      <c r="V17" s="105">
        <f t="shared" si="2"/>
        <v>1.6102525561451846</v>
      </c>
      <c r="X17" s="105">
        <f>'Alternative 2'!$B$39*$B17*$C17*COS($K$13)-($N$12/3)*$E17*SIN($K$13)-($N$12/3)*$F17*SIN($K$13)-($N$12/3)*$G17*SIN($K$13)</f>
        <v>61862.137127151538</v>
      </c>
      <c r="Y17" s="106">
        <f>IF(($A17&lt;'Alternative 2'!$B$27),(($H17*'Alternative 2'!$B$39)+(3*($N$12/3)*COS($K$13))),IF(($A17&lt;'Alternative 2'!$B$28),(($H17*'Alternative 2'!$B$39)+(2*(($N$12/3)*COS($K$13)))),IF(($A17&lt;'Alternative 2'!$B$29),(($H$3*'Alternative 2'!$B$39+(($N$12/3)*COS($K$13)))),($H17*'Alternative 2'!$B$39))))</f>
        <v>150776.1402618241</v>
      </c>
      <c r="Z17" s="105">
        <f>X17*'Alternative 2'!$K18/'Alternative 2'!$L18</f>
        <v>984567.32302992337</v>
      </c>
      <c r="AA17" s="105">
        <f>Y17/'Alternative 2'!$M18</f>
        <v>171983.11753850372</v>
      </c>
      <c r="AB17" s="105">
        <f t="shared" si="3"/>
        <v>1.156550440568427</v>
      </c>
      <c r="AD17" s="105">
        <f>'Alternative 2'!$B$39*$B17*$C17*COS($K$23)-($N$22/3)*$E17*SIN($K$23)-($N$22/3)*$F17*SIN($K$23)-($N$22/3)*$G17*SIN($K$23)</f>
        <v>61276.766065283548</v>
      </c>
      <c r="AE17" s="106">
        <f>IF(($A17&lt;'Alternative 2'!$B$27),(($H17*'Alternative 2'!$B$39)+(3*($N$22/3)*COS($K$23))),IF(($A17&lt;'Alternative 2'!$B$28),(($H17*'Alternative 2'!$B$39)+(2*(($N$22/3)*COS($K$23)))),IF(($A17&lt;'Alternative 2'!$B$29),(($H$3*'Alternative 2'!$B$39+(($N$22/3)*COS($K$23)))),($H17*'Alternative 2'!$B$39))))</f>
        <v>101289.14703261355</v>
      </c>
      <c r="AF17" s="105">
        <f>AD17*'Alternative 2'!$K18/'Alternative 2'!$L18</f>
        <v>975250.84535670711</v>
      </c>
      <c r="AG17" s="105">
        <f>AE17/'Alternative 2'!$M18</f>
        <v>115535.67593144868</v>
      </c>
      <c r="AH17" s="105">
        <f t="shared" si="4"/>
        <v>1.0907865212881558</v>
      </c>
      <c r="AJ17" s="105">
        <f>'Alternative 2'!$B$39*$B17*$C17*COS($K$33)-($N$32/3)*$E17*SIN($K$33)-($N$32/3)*$F17*SIN($K$33)-($N$32/3)*$G17*SIN($K$33)</f>
        <v>57042.98216170977</v>
      </c>
      <c r="AK17" s="106">
        <f>IF(($A17&lt;'Alternative 2'!$B$27),(($H17*'Alternative 2'!$B$39)+(3*($N$32/3)*COS($K$33))),IF(($A17&lt;'Alternative 2'!$B$28),(($H17*'Alternative 2'!$B$39)+(2*(($N$32/3)*COS($K$33)))),IF(($A17&lt;'Alternative 2'!$B$29),(($H$3*'Alternative 2'!$B$39+(($N$32/3)*COS($K$33)))),($H17*'Alternative 2'!$B$39))))</f>
        <v>84739.764484532498</v>
      </c>
      <c r="AL17" s="105">
        <f>AJ17*'Alternative 2'!$K18/'Alternative 2'!$L18</f>
        <v>907868.02481720666</v>
      </c>
      <c r="AM17" s="105">
        <f>AK17/'Alternative 2'!$M18</f>
        <v>96658.588356360153</v>
      </c>
      <c r="AN17" s="105">
        <f t="shared" si="5"/>
        <v>1.0045266131735668</v>
      </c>
      <c r="AP17" s="105">
        <f>'Alternative 2'!$B$39*$B17*$C17*COS($K$43)-($N$42/3)*$E17*SIN($K$43)-($N$42/3)*$F17*SIN($K$43)-($N$42/3)*$G17*SIN($K$43)</f>
        <v>50631.753345538913</v>
      </c>
      <c r="AQ17" s="106">
        <f>IF(($A17&lt;'Alternative 2'!$B$27),(($H17*'Alternative 2'!$B$39)+(3*($N$42/3)*COS($K$43))),IF(($A17&lt;'Alternative 2'!$B$28),(($H17*'Alternative 2'!$B$39)+(2*(($N$42/3)*COS($K$43)))),IF(($A17&lt;'Alternative 2'!$B$29),(($H$3*'Alternative 2'!$B$39+(($N$42/3)*COS($K$43)))),($H17*'Alternative 2'!$B$39))))</f>
        <v>75996.891762657877</v>
      </c>
      <c r="AR17" s="105">
        <f>AP17*'Alternative 2'!$K18/'Alternative 2'!$L18</f>
        <v>805830.06289074814</v>
      </c>
      <c r="AS17" s="105">
        <f>AQ17/'Alternative 2'!$M18</f>
        <v>86686.012427972018</v>
      </c>
      <c r="AT17" s="105">
        <f t="shared" si="6"/>
        <v>0.89251607531872024</v>
      </c>
      <c r="AV17" s="105">
        <f>'Alternative 2'!$B$39*$B17*$C17*COS($K$53)-($N$52/3)*$E17*SIN($K$53)-($N$52/3)*$F17*SIN($K$53)-($N$52/3)*$G17*SIN($K$53)</f>
        <v>42490.378128939767</v>
      </c>
      <c r="AW17" s="106">
        <f>IF(($A17&lt;'Alternative 2'!$B$27),(($H17*'Alternative 2'!$B$39)+(3*($N$52/3)*COS($K$53))),IF(($A17&lt;'Alternative 2'!$B$28),(($H17*'Alternative 2'!$B$39)+(2*(($N$52/3)*COS($K$53)))),IF(($A17&lt;'Alternative 2'!$B$29),(($H$3*'Alternative 2'!$B$39+(($N$52/3)*COS($K$53)))),($H17*'Alternative 2'!$B$39))))</f>
        <v>70504.337050525181</v>
      </c>
      <c r="AX17" s="105">
        <f>AV17*'Alternative 2'!$K18/'Alternative 2'!$L18</f>
        <v>676255.94251541048</v>
      </c>
      <c r="AY17" s="105">
        <f>AW17/'Alternative 2'!$M18</f>
        <v>80420.918488022187</v>
      </c>
      <c r="AZ17" s="105">
        <f t="shared" si="7"/>
        <v>0.75667686100343268</v>
      </c>
      <c r="BB17" s="105">
        <f>'Alternative 2'!$B$39*$B17*$C17*COS($K$63)-($N$62/3)*$E17*SIN($K$63)-($N$62/3)*$F17*SIN($K$63)-($N$62/3)*$G17*SIN($K$63)</f>
        <v>32949.441553075441</v>
      </c>
      <c r="BC17" s="106">
        <f>IF(($A17&lt;'Alternative 2'!$B$27),(($H17*'Alternative 2'!$B$39)+(3*($N$62/3)*COS($K$63))),IF(($A17&lt;'Alternative 2'!$B$28),(($H17*'Alternative 2'!$B$39)+(2*(($N$62/3)*COS($K$63)))),IF(($A17&lt;'Alternative 2'!$B$29),(($H$3*'Alternative 2'!$B$39+(($N$62/3)*COS($K$63)))),($H17*'Alternative 2'!$B$39))))</f>
        <v>66839.88991484305</v>
      </c>
      <c r="BD17" s="105">
        <f>BB17*'Alternative 2'!$K18/'Alternative 2'!$L18</f>
        <v>524407.0924766669</v>
      </c>
      <c r="BE17" s="105">
        <f>BC17/'Alternative 2'!$M18</f>
        <v>76241.059251970219</v>
      </c>
      <c r="BF17" s="105">
        <f t="shared" si="8"/>
        <v>0.60064815172863717</v>
      </c>
      <c r="BH17" s="105">
        <f>'Alternative 2'!$B$39*$B17*$C17*COS($K$73)-($N$72/3)*$E17*SIN($K$73)-($N$72/3)*$F17*SIN($K$73)-($N$72/3)*$G17*SIN($K$73)</f>
        <v>22334.150551199709</v>
      </c>
      <c r="BI17" s="106">
        <f>IF(($A17&lt;'Alternative 2'!$B$27),(($H17*'Alternative 2'!$B$39)+(3*($N$72/3)*COS($K$73))),IF(($A17&lt;'Alternative 2'!$B$28),(($H17*'Alternative 2'!$B$39)+(2*(($N$72/3)*COS($K$73)))),IF(($A17&lt;'Alternative 2'!$B$29),(($H$3*'Alternative 2'!$B$39+(($N$72/3)*COS($K$73)))),($H17*'Alternative 2'!$B$39))))</f>
        <v>64440.582176634009</v>
      </c>
      <c r="BJ17" s="105">
        <f>BH17*'Alternative 2'!$K18/'Alternative 2'!$L18</f>
        <v>355459.34624186653</v>
      </c>
      <c r="BK17" s="105">
        <f>BI17/'Alternative 2'!$M18</f>
        <v>73504.283897229776</v>
      </c>
      <c r="BL17" s="105">
        <f t="shared" si="9"/>
        <v>0.42896363013909627</v>
      </c>
      <c r="BN17" s="105">
        <f>'Alternative 2'!$B$39*$B17*$C17*COS($K$83)-($N$82/3)*$E17*SIN($K$83)-($N$82/3)*$F17*SIN($K$83)-($N$82/3)*$G17*SIN($K$83)</f>
        <v>10983.928896381964</v>
      </c>
      <c r="BO17" s="106">
        <f>IF(($A17&lt;'Alternative 2'!$B$27),(($H17*'Alternative 2'!$B$39)+(3*($N$82/3)*COS($K$83))),IF(($A17&lt;'Alternative 2'!$B$28),(($H17*'Alternative 2'!$B$39)+(2*(($N$82/3)*COS($K$83)))),IF(($A17&lt;'Alternative 2'!$B$29),(($H$3*'Alternative 2'!$B$39+(($N$82/3)*COS($K$83)))),($H17*'Alternative 2'!$B$39))))</f>
        <v>63056.896705116604</v>
      </c>
      <c r="BP17" s="105">
        <f>BN17*'Alternative 2'!$K18/'Alternative 2'!$L18</f>
        <v>174814.80550265891</v>
      </c>
      <c r="BQ17" s="105">
        <f>BO17/'Alternative 2'!$M18</f>
        <v>71925.980190349772</v>
      </c>
      <c r="BR17" s="105">
        <f t="shared" si="10"/>
        <v>0.2467407856930087</v>
      </c>
      <c r="BT17" s="105">
        <f>'Alternative 2'!$B$39*$B17*$C17*COS($K$93)-($K$92/3)*$E17*SIN($K$93)-($K$92/3)*$F17*SIN($K$93)-($K$92/3)*$G17*SIN($K$93)</f>
        <v>-1.5533430342682035</v>
      </c>
      <c r="BU17" s="106">
        <f>IF(($A17&lt;'Alternative 2'!$B$27),(($H17*'Alternative 2'!$B$39)+(3*($N$92/3)*COS($K$93))),IF(($A17&lt;'Alternative 2'!$B$28),(($H17*'Alternative 2'!$B$39)+(2*(($N$92/3)*COS($K$93)))),IF(($A17&lt;'Alternative 2'!$B$29),(($H$3*'Alternative 2'!$B$39+(($N$92/3)*COS($K$93)))),($H17*'Alternative 2'!$B$39))))</f>
        <v>62577.839273813101</v>
      </c>
      <c r="BV17" s="105">
        <f>BT17*'Alternative 2'!$K18/'Alternative 2'!$L18</f>
        <v>-24.722243104100208</v>
      </c>
      <c r="BW17" s="105">
        <f>BU17/'Alternative 2'!$M18</f>
        <v>71379.542336373052</v>
      </c>
      <c r="BX17" s="105">
        <f t="shared" si="11"/>
        <v>7.1354820093268947E-2</v>
      </c>
      <c r="BZ17" s="104">
        <v>150</v>
      </c>
      <c r="CA17" s="104">
        <v>-150</v>
      </c>
    </row>
    <row r="18" spans="1:79" ht="15" customHeight="1" x14ac:dyDescent="0.25">
      <c r="A18" s="18">
        <f>IF('Alternative 2'!F19&gt;0,'Alternative 2'!F19,"x")</f>
        <v>16</v>
      </c>
      <c r="B18" s="18">
        <f t="shared" si="17"/>
        <v>8</v>
      </c>
      <c r="C18" s="18">
        <f t="shared" si="12"/>
        <v>4</v>
      </c>
      <c r="D18" s="18">
        <f t="shared" si="13"/>
        <v>16</v>
      </c>
      <c r="E18" s="101">
        <f>IF($A18&lt;='Alternative 2'!$B$27, IF($A18='Alternative 2'!$B$27,0,E19+1),0)</f>
        <v>0</v>
      </c>
      <c r="F18" s="101">
        <f>IF($A18&lt;=('Alternative 2'!$B$28), IF($A18=ROUNDDOWN('Alternative 2'!$B$28,0),0,F19+1),0)</f>
        <v>0</v>
      </c>
      <c r="G18" s="101">
        <f>IF($A18&lt;=('Alternative 2'!$B$29), IF($A18=ROUNDDOWN('Alternative 2'!$B$29,0),0,G19+1),0)</f>
        <v>2</v>
      </c>
      <c r="H18" s="18">
        <f t="shared" si="14"/>
        <v>8</v>
      </c>
      <c r="J18" s="104">
        <f t="shared" si="15"/>
        <v>15</v>
      </c>
      <c r="K18" s="104">
        <f t="shared" si="16"/>
        <v>0.26179938779914941</v>
      </c>
      <c r="L18" s="105">
        <f>'Alternative 2'!$B$27*SIN(K18)+'Alternative 2'!$B$28*SIN(K18)+'Alternative 2'!$B$29*SIN(K18)</f>
        <v>11.126630748957368</v>
      </c>
      <c r="M18" s="104">
        <f>(('Alternative 2'!$B$27)*(((('Alternative 2'!$B$28-'Alternative 2'!$B$27)/2)+'Alternative 2'!$B$27)*'Alternative 2'!$B$39)*COS('Alternative 2-Tilt Up (3pt)'!K18))+(('Alternative 2'!$B$28)*((('Alternative 2'!$B$28-'Alternative 2'!$B$27)/2)+(('Alternative 2'!$B$29-'Alternative 2'!$B$28)/2))*('Alternative 2'!$B$39)*COS('Alternative 2-Tilt Up (3pt)'!K18))+(('Alternative 2'!$B$29)*((('Alternative 2'!$B$12-'Alternative 2'!$B$29+(('Alternative 2'!$B$29-'Alternative 2'!$B$28)/2)*('Alternative 2'!$B$39)*COS('Alternative 2-Tilt Up (3pt)'!K18)))))</f>
        <v>589025.11583815049</v>
      </c>
      <c r="N18" s="104">
        <f t="shared" si="0"/>
        <v>158814.95372532579</v>
      </c>
      <c r="O18" s="104">
        <f>(((('Alternative 2'!$B$28-'Alternative 2'!$B$27)/2)+'Alternative 2'!$B$27)*('Alternative 2'!$B$39)*COS('Alternative 2-Tilt Up (3pt)'!K18))+(((('Alternative 2'!$B$28-'Alternative 2'!$B$27)/2)+(('Alternative 2'!$B$29-'Alternative 2'!$B$28)/2))*('Alternative 2'!$B$39)*COS('Alternative 2-Tilt Up (3pt)'!K18))+(((('Alternative 2'!$B$12-'Alternative 2'!$B$29)+(('Alternative 2'!$B$29-'Alternative 2'!$B$28)/2))*('Alternative 2'!$B$39)*COS('Alternative 2-Tilt Up (3pt)'!K18)))</f>
        <v>60445.551107942432</v>
      </c>
      <c r="P18" s="104">
        <f t="shared" si="1"/>
        <v>153403.46540419545</v>
      </c>
      <c r="R18" s="105">
        <f>('Alternative 2'!$B$39*$B18*$C18*COS($K$5))-(($N$5/3)*$E18*SIN($K$5))-(($N$5/3)*$F18*SIN($K$5))-(($N$5/3)*$G18*SIN($K$5))</f>
        <v>58659.635757969838</v>
      </c>
      <c r="S18" s="106">
        <f>IF(($A18&lt;'Alternative 2'!$B$27),(($H18*'Alternative 2'!$B$39)+(3*($N$5/3)*COS($K$5))),IF(($A18&lt;'Alternative 2'!$B$28),(($H18*'Alternative 2'!$B$39)+(2*(($N$5/3)*COS($K$5)))),IF(($A18&lt;'Alternative 2'!$B$29),(($H$3*'Alternative 2'!$B$39+(($N$5/3)*COS($K$5)))),($H18*'Alternative 2'!$B$39))))</f>
        <v>468527.46435442421</v>
      </c>
      <c r="T18" s="105">
        <f>R18*'Alternative 2'!$K19/'Alternative 2'!$L19</f>
        <v>933597.88766150002</v>
      </c>
      <c r="U18" s="105">
        <f>S18/'Alternative 2'!$M19</f>
        <v>554784.13050678454</v>
      </c>
      <c r="V18" s="105">
        <f t="shared" si="2"/>
        <v>1.4883820181682845</v>
      </c>
      <c r="X18" s="105">
        <f>'Alternative 2'!$B$39*$B18*$C18*COS($K$13)-($N$12/3)*$E18*SIN($K$13)-($N$12/3)*$F18*SIN($K$13)-($N$12/3)*$G18*SIN($K$13)</f>
        <v>54638.629378304569</v>
      </c>
      <c r="Y18" s="106">
        <f>IF(($A18&lt;'Alternative 2'!$B$27),(($H18*'Alternative 2'!$B$39)+(3*($N$12/3)*COS($K$13))),IF(($A18&lt;'Alternative 2'!$B$28),(($H18*'Alternative 2'!$B$39)+(2*(($N$12/3)*COS($K$13)))),IF(($A18&lt;'Alternative 2'!$B$29),(($H$3*'Alternative 2'!$B$39+(($N$12/3)*COS($K$13)))),($H18*'Alternative 2'!$B$39))))</f>
        <v>150776.1402618241</v>
      </c>
      <c r="Z18" s="105">
        <f>X18*'Alternative 2'!$K19/'Alternative 2'!$L19</f>
        <v>869601.52945331135</v>
      </c>
      <c r="AA18" s="105">
        <f>Y18/'Alternative 2'!$M19</f>
        <v>178534.27224716157</v>
      </c>
      <c r="AB18" s="105">
        <f t="shared" si="3"/>
        <v>1.0481358017004729</v>
      </c>
      <c r="AD18" s="105">
        <f>'Alternative 2'!$B$39*$B18*$C18*COS($K$23)-($N$22/3)*$E18*SIN($K$23)-($N$22/3)*$F18*SIN($K$23)-($N$22/3)*$G18*SIN($K$23)</f>
        <v>53634.641244318467</v>
      </c>
      <c r="AE18" s="106">
        <f>IF(($A18&lt;'Alternative 2'!$B$27),(($H18*'Alternative 2'!$B$39)+(3*($N$22/3)*COS($K$23))),IF(($A18&lt;'Alternative 2'!$B$28),(($H18*'Alternative 2'!$B$39)+(2*(($N$22/3)*COS($K$23)))),IF(($A18&lt;'Alternative 2'!$B$29),(($H$3*'Alternative 2'!$B$39+(($N$22/3)*COS($K$23)))),($H18*'Alternative 2'!$B$39))))</f>
        <v>101289.14703261355</v>
      </c>
      <c r="AF18" s="105">
        <f>AD18*'Alternative 2'!$K19/'Alternative 2'!$L19</f>
        <v>853622.54852349404</v>
      </c>
      <c r="AG18" s="105">
        <f>AE18/'Alternative 2'!$M19</f>
        <v>119936.64329515997</v>
      </c>
      <c r="AH18" s="105">
        <f t="shared" si="4"/>
        <v>0.97355919181865402</v>
      </c>
      <c r="AJ18" s="105">
        <f>'Alternative 2'!$B$39*$B18*$C18*COS($K$33)-($N$32/3)*$E18*SIN($K$33)-($N$32/3)*$F18*SIN($K$33)-($N$32/3)*$G18*SIN($K$33)</f>
        <v>49809.958801660498</v>
      </c>
      <c r="AK18" s="106">
        <f>IF(($A18&lt;'Alternative 2'!$B$27),(($H18*'Alternative 2'!$B$39)+(3*($N$32/3)*COS($K$33))),IF(($A18&lt;'Alternative 2'!$B$28),(($H18*'Alternative 2'!$B$39)+(2*(($N$32/3)*COS($K$33)))),IF(($A18&lt;'Alternative 2'!$B$29),(($H$3*'Alternative 2'!$B$39+(($N$32/3)*COS($K$33)))),($H18*'Alternative 2'!$B$39))))</f>
        <v>84739.764484532498</v>
      </c>
      <c r="AL18" s="105">
        <f>AJ18*'Alternative 2'!$K19/'Alternative 2'!$L19</f>
        <v>792750.78545673529</v>
      </c>
      <c r="AM18" s="105">
        <f>AK18/'Alternative 2'!$M19</f>
        <v>100340.49257641374</v>
      </c>
      <c r="AN18" s="105">
        <f t="shared" si="5"/>
        <v>0.89309127803314903</v>
      </c>
      <c r="AP18" s="105">
        <f>'Alternative 2'!$B$39*$B18*$C18*COS($K$43)-($N$42/3)*$E18*SIN($K$43)-($N$42/3)*$F18*SIN($K$43)-($N$42/3)*$G18*SIN($K$43)</f>
        <v>44175.677456032558</v>
      </c>
      <c r="AQ18" s="106">
        <f>IF(($A18&lt;'Alternative 2'!$B$27),(($H18*'Alternative 2'!$B$39)+(3*($N$42/3)*COS($K$43))),IF(($A18&lt;'Alternative 2'!$B$28),(($H18*'Alternative 2'!$B$39)+(2*(($N$42/3)*COS($K$43)))),IF(($A18&lt;'Alternative 2'!$B$29),(($H$3*'Alternative 2'!$B$39+(($N$42/3)*COS($K$43)))),($H18*'Alternative 2'!$B$39))))</f>
        <v>75996.891762657877</v>
      </c>
      <c r="AR18" s="105">
        <f>AP18*'Alternative 2'!$K19/'Alternative 2'!$L19</f>
        <v>703078.33702094411</v>
      </c>
      <c r="AS18" s="105">
        <f>AQ18/'Alternative 2'!$M19</f>
        <v>89988.042805256817</v>
      </c>
      <c r="AT18" s="105">
        <f t="shared" si="6"/>
        <v>0.79306637982620087</v>
      </c>
      <c r="AV18" s="105">
        <f>'Alternative 2'!$B$39*$B18*$C18*COS($K$53)-($N$52/3)*$E18*SIN($K$53)-($N$52/3)*$F18*SIN($K$53)-($N$52/3)*$G18*SIN($K$53)</f>
        <v>37071.323040922769</v>
      </c>
      <c r="AW18" s="106">
        <f>IF(($A18&lt;'Alternative 2'!$B$27),(($H18*'Alternative 2'!$B$39)+(3*($N$52/3)*COS($K$53))),IF(($A18&lt;'Alternative 2'!$B$28),(($H18*'Alternative 2'!$B$39)+(2*(($N$52/3)*COS($K$53)))),IF(($A18&lt;'Alternative 2'!$B$29),(($H$3*'Alternative 2'!$B$39+(($N$52/3)*COS($K$53)))),($H18*'Alternative 2'!$B$39))))</f>
        <v>70504.337050525181</v>
      </c>
      <c r="AX18" s="105">
        <f>AV18*'Alternative 2'!$K19/'Alternative 2'!$L19</f>
        <v>590008.92925115582</v>
      </c>
      <c r="AY18" s="105">
        <f>AW18/'Alternative 2'!$M19</f>
        <v>83484.299861542429</v>
      </c>
      <c r="AZ18" s="105">
        <f t="shared" si="7"/>
        <v>0.67349322911269827</v>
      </c>
      <c r="BB18" s="105">
        <f>'Alternative 2'!$B$39*$B18*$C18*COS($K$63)-($N$62/3)*$E18*SIN($K$63)-($N$62/3)*$F18*SIN($K$63)-($N$62/3)*$G18*SIN($K$63)</f>
        <v>28768.233420218385</v>
      </c>
      <c r="BC18" s="106">
        <f>IF(($A18&lt;'Alternative 2'!$B$27),(($H18*'Alternative 2'!$B$39)+(3*($N$62/3)*COS($K$63))),IF(($A18&lt;'Alternative 2'!$B$28),(($H18*'Alternative 2'!$B$39)+(2*(($N$62/3)*COS($K$63)))),IF(($A18&lt;'Alternative 2'!$B$29),(($H$3*'Alternative 2'!$B$39+(($N$62/3)*COS($K$63)))),($H18*'Alternative 2'!$B$39))))</f>
        <v>66839.88991484305</v>
      </c>
      <c r="BD18" s="105">
        <f>BB18*'Alternative 2'!$K19/'Alternative 2'!$L19</f>
        <v>457861.04202359926</v>
      </c>
      <c r="BE18" s="105">
        <f>BC18/'Alternative 2'!$M19</f>
        <v>79145.222064345013</v>
      </c>
      <c r="BF18" s="105">
        <f t="shared" si="8"/>
        <v>0.53700626408794427</v>
      </c>
      <c r="BH18" s="105">
        <f>'Alternative 2'!$B$39*$B18*$C18*COS($K$73)-($N$72/3)*$E18*SIN($K$73)-($N$72/3)*$F18*SIN($K$73)-($N$72/3)*$G18*SIN($K$73)</f>
        <v>19542.234039373769</v>
      </c>
      <c r="BI18" s="106">
        <f>IF(($A18&lt;'Alternative 2'!$B$27),(($H18*'Alternative 2'!$B$39)+(3*($N$72/3)*COS($K$73))),IF(($A18&lt;'Alternative 2'!$B$28),(($H18*'Alternative 2'!$B$39)+(2*(($N$72/3)*COS($K$73)))),IF(($A18&lt;'Alternative 2'!$B$29),(($H$3*'Alternative 2'!$B$39+(($N$72/3)*COS($K$73)))),($H18*'Alternative 2'!$B$39))))</f>
        <v>64440.582176634009</v>
      </c>
      <c r="BJ18" s="105">
        <f>BH18*'Alternative 2'!$K19/'Alternative 2'!$L19</f>
        <v>311024.57735372486</v>
      </c>
      <c r="BK18" s="105">
        <f>BI18/'Alternative 2'!$M19</f>
        <v>76304.197879787127</v>
      </c>
      <c r="BL18" s="105">
        <f t="shared" si="9"/>
        <v>0.387328775233512</v>
      </c>
      <c r="BN18" s="105">
        <f>'Alternative 2'!$B$39*$B18*$C18*COS($K$83)-($N$82/3)*$E18*SIN($K$83)-($N$82/3)*$F18*SIN($K$83)-($N$82/3)*$G18*SIN($K$83)</f>
        <v>9684.9079060441472</v>
      </c>
      <c r="BO18" s="106">
        <f>IF(($A18&lt;'Alternative 2'!$B$27),(($H18*'Alternative 2'!$B$39)+(3*($N$82/3)*COS($K$83))),IF(($A18&lt;'Alternative 2'!$B$28),(($H18*'Alternative 2'!$B$39)+(2*(($N$82/3)*COS($K$83)))),IF(($A18&lt;'Alternative 2'!$B$29),(($H$3*'Alternative 2'!$B$39+(($N$82/3)*COS($K$83)))),($H18*'Alternative 2'!$B$39))))</f>
        <v>63056.896705116604</v>
      </c>
      <c r="BP18" s="105">
        <f>BN18*'Alternative 2'!$K19/'Alternative 2'!$L19</f>
        <v>154140.22686035014</v>
      </c>
      <c r="BQ18" s="105">
        <f>BO18/'Alternative 2'!$M19</f>
        <v>74665.773668586655</v>
      </c>
      <c r="BR18" s="105">
        <f t="shared" si="10"/>
        <v>0.22880600052893679</v>
      </c>
      <c r="BT18" s="105">
        <f>'Alternative 2'!$B$39*$B18*$C18*COS($K$93)-($K$92/3)*$E18*SIN($K$93)-($K$92/3)*$F18*SIN($K$93)-($K$92/3)*$G18*SIN($K$93)</f>
        <v>-1.0355620228446356</v>
      </c>
      <c r="BU18" s="106">
        <f>IF(($A18&lt;'Alternative 2'!$B$27),(($H18*'Alternative 2'!$B$39)+(3*($N$92/3)*COS($K$93))),IF(($A18&lt;'Alternative 2'!$B$28),(($H18*'Alternative 2'!$B$39)+(2*(($N$92/3)*COS($K$93)))),IF(($A18&lt;'Alternative 2'!$B$29),(($H$3*'Alternative 2'!$B$39+(($N$92/3)*COS($K$93)))),($H18*'Alternative 2'!$B$39))))</f>
        <v>62577.839273813101</v>
      </c>
      <c r="BV18" s="105">
        <f>BT18*'Alternative 2'!$K19/'Alternative 2'!$L19</f>
        <v>-16.48149540272021</v>
      </c>
      <c r="BW18" s="105">
        <f>BU18/'Alternative 2'!$M19</f>
        <v>74098.520987135562</v>
      </c>
      <c r="BX18" s="105">
        <f t="shared" si="11"/>
        <v>7.4082039491732837E-2</v>
      </c>
      <c r="BZ18" s="104">
        <v>150</v>
      </c>
      <c r="CA18" s="104">
        <v>-150</v>
      </c>
    </row>
    <row r="19" spans="1:79" ht="15" customHeight="1" x14ac:dyDescent="0.25">
      <c r="A19" s="18">
        <f>IF('Alternative 2'!F20&gt;0,'Alternative 2'!F20,"x")</f>
        <v>17</v>
      </c>
      <c r="B19" s="18">
        <f t="shared" si="17"/>
        <v>7</v>
      </c>
      <c r="C19" s="18">
        <f t="shared" si="12"/>
        <v>3.5</v>
      </c>
      <c r="D19" s="18">
        <f t="shared" si="13"/>
        <v>17</v>
      </c>
      <c r="E19" s="101">
        <f>IF($A19&lt;='Alternative 2'!$B$27, IF($A19='Alternative 2'!$B$27,0,E20+1),0)</f>
        <v>0</v>
      </c>
      <c r="F19" s="101">
        <f>IF($A19&lt;=('Alternative 2'!$B$28), IF($A19=ROUNDDOWN('Alternative 2'!$B$28,0),0,F20+1),0)</f>
        <v>0</v>
      </c>
      <c r="G19" s="101">
        <f>IF($A19&lt;=('Alternative 2'!$B$29), IF($A19=ROUNDDOWN('Alternative 2'!$B$29,0),0,G20+1),0)</f>
        <v>1</v>
      </c>
      <c r="H19" s="18">
        <f t="shared" si="14"/>
        <v>7</v>
      </c>
      <c r="J19" s="104">
        <f t="shared" si="15"/>
        <v>16</v>
      </c>
      <c r="K19" s="104">
        <f t="shared" si="16"/>
        <v>0.27925268031909273</v>
      </c>
      <c r="L19" s="105">
        <f>'Alternative 2'!$B$27*SIN(K19)+'Alternative 2'!$B$28*SIN(K19)+'Alternative 2'!$B$29*SIN(K19)</f>
        <v>11.849649926572795</v>
      </c>
      <c r="M19" s="104">
        <f>(('Alternative 2'!$B$27)*(((('Alternative 2'!$B$28-'Alternative 2'!$B$27)/2)+'Alternative 2'!$B$27)*'Alternative 2'!$B$39)*COS('Alternative 2-Tilt Up (3pt)'!K19))+(('Alternative 2'!$B$28)*((('Alternative 2'!$B$28-'Alternative 2'!$B$27)/2)+(('Alternative 2'!$B$29-'Alternative 2'!$B$28)/2))*('Alternative 2'!$B$39)*COS('Alternative 2-Tilt Up (3pt)'!K19))+(('Alternative 2'!$B$29)*((('Alternative 2'!$B$12-'Alternative 2'!$B$29+(('Alternative 2'!$B$29-'Alternative 2'!$B$28)/2)*('Alternative 2'!$B$39)*COS('Alternative 2-Tilt Up (3pt)'!K19)))))</f>
        <v>586181.30306953494</v>
      </c>
      <c r="N19" s="104">
        <f t="shared" si="0"/>
        <v>148404.71407219185</v>
      </c>
      <c r="O19" s="104">
        <f>(((('Alternative 2'!$B$28-'Alternative 2'!$B$27)/2)+'Alternative 2'!$B$27)*('Alternative 2'!$B$39)*COS('Alternative 2-Tilt Up (3pt)'!K19))+(((('Alternative 2'!$B$28-'Alternative 2'!$B$27)/2)+(('Alternative 2'!$B$29-'Alternative 2'!$B$28)/2))*('Alternative 2'!$B$39)*COS('Alternative 2-Tilt Up (3pt)'!K19))+(((('Alternative 2'!$B$12-'Alternative 2'!$B$29)+(('Alternative 2'!$B$29-'Alternative 2'!$B$28)/2))*('Alternative 2'!$B$39)*COS('Alternative 2-Tilt Up (3pt)'!K19)))</f>
        <v>60153.679908501115</v>
      </c>
      <c r="P19" s="104">
        <f t="shared" si="1"/>
        <v>142655.76713427645</v>
      </c>
      <c r="R19" s="105">
        <f>('Alternative 2'!$B$39*$B19*$C19*COS($K$5))-(($N$5/3)*$E19*SIN($K$5))-(($N$5/3)*$F19*SIN($K$5))-(($N$5/3)*$G19*SIN($K$5))</f>
        <v>52442.322558630796</v>
      </c>
      <c r="S19" s="106">
        <f>IF(($A19&lt;'Alternative 2'!$B$27),(($H19*'Alternative 2'!$B$39)+(3*($N$5/3)*COS($K$5))),IF(($A19&lt;'Alternative 2'!$B$28),(($H19*'Alternative 2'!$B$39)+(2*(($N$5/3)*COS($K$5)))),IF(($A19&lt;'Alternative 2'!$B$29),(($H$3*'Alternative 2'!$B$39+(($N$5/3)*COS($K$5)))),($H19*'Alternative 2'!$B$39))))</f>
        <v>468527.46435442421</v>
      </c>
      <c r="T19" s="105">
        <f>R19*'Alternative 2'!$K20/'Alternative 2'!$L20</f>
        <v>834646.19123804825</v>
      </c>
      <c r="U19" s="105">
        <f>S19/'Alternative 2'!$M20</f>
        <v>576327.15332601976</v>
      </c>
      <c r="V19" s="105">
        <f t="shared" si="2"/>
        <v>1.4109733445640682</v>
      </c>
      <c r="X19" s="105">
        <f>'Alternative 2'!$B$39*$B19*$C19*COS($K$13)-($N$12/3)*$E19*SIN($K$13)-($N$12/3)*$F19*SIN($K$13)-($N$12/3)*$G19*SIN($K$13)</f>
        <v>50094.562554831646</v>
      </c>
      <c r="Y19" s="106">
        <f>IF(($A19&lt;'Alternative 2'!$B$27),(($H19*'Alternative 2'!$B$39)+(3*($N$12/3)*COS($K$13))),IF(($A19&lt;'Alternative 2'!$B$28),(($H19*'Alternative 2'!$B$39)+(2*(($N$12/3)*COS($K$13)))),IF(($A19&lt;'Alternative 2'!$B$29),(($H$3*'Alternative 2'!$B$39+(($N$12/3)*COS($K$13)))),($H19*'Alternative 2'!$B$39))))</f>
        <v>150776.1402618241</v>
      </c>
      <c r="Z19" s="105">
        <f>X19*'Alternative 2'!$K20/'Alternative 2'!$L20</f>
        <v>797280.39869670535</v>
      </c>
      <c r="AA19" s="105">
        <f>Y19/'Alternative 2'!$M20</f>
        <v>185467.00101415563</v>
      </c>
      <c r="AB19" s="105">
        <f t="shared" si="3"/>
        <v>0.982747399710861</v>
      </c>
      <c r="AD19" s="105">
        <f>'Alternative 2'!$B$39*$B19*$C19*COS($K$23)-($N$22/3)*$E19*SIN($K$23)-($N$22/3)*$F19*SIN($K$23)-($N$22/3)*$G19*SIN($K$23)</f>
        <v>48549.209196845964</v>
      </c>
      <c r="AE19" s="106">
        <f>IF(($A19&lt;'Alternative 2'!$B$27),(($H19*'Alternative 2'!$B$39)+(3*($N$22/3)*COS($K$23))),IF(($A19&lt;'Alternative 2'!$B$28),(($H19*'Alternative 2'!$B$39)+(2*(($N$22/3)*COS($K$23)))),IF(($A19&lt;'Alternative 2'!$B$29),(($H$3*'Alternative 2'!$B$39+(($N$22/3)*COS($K$23)))),($H19*'Alternative 2'!$B$39))))</f>
        <v>101289.14703261355</v>
      </c>
      <c r="AF19" s="105">
        <f>AD19*'Alternative 2'!$K20/'Alternative 2'!$L20</f>
        <v>772685.31534741912</v>
      </c>
      <c r="AG19" s="105">
        <f>AE19/'Alternative 2'!$M20</f>
        <v>124593.94638169539</v>
      </c>
      <c r="AH19" s="105">
        <f t="shared" si="4"/>
        <v>0.89727926172911443</v>
      </c>
      <c r="AJ19" s="105">
        <f>'Alternative 2'!$B$39*$B19*$C19*COS($K$33)-($N$32/3)*$E19*SIN($K$33)-($N$32/3)*$F19*SIN($K$33)-($N$32/3)*$G19*SIN($K$33)</f>
        <v>44933.196247048705</v>
      </c>
      <c r="AK19" s="106">
        <f>IF(($A19&lt;'Alternative 2'!$B$27),(($H19*'Alternative 2'!$B$39)+(3*($N$32/3)*COS($K$33))),IF(($A19&lt;'Alternative 2'!$B$28),(($H19*'Alternative 2'!$B$39)+(2*(($N$32/3)*COS($K$33)))),IF(($A19&lt;'Alternative 2'!$B$29),(($H$3*'Alternative 2'!$B$39+(($N$32/3)*COS($K$33)))),($H19*'Alternative 2'!$B$39))))</f>
        <v>84739.764484532498</v>
      </c>
      <c r="AL19" s="105">
        <f>AJ19*'Alternative 2'!$K20/'Alternative 2'!$L20</f>
        <v>715134.63321198348</v>
      </c>
      <c r="AM19" s="105">
        <f>AK19/'Alternative 2'!$M20</f>
        <v>104236.8504612227</v>
      </c>
      <c r="AN19" s="105">
        <f t="shared" si="5"/>
        <v>0.81937148367320622</v>
      </c>
      <c r="AP19" s="105">
        <f>'Alternative 2'!$B$39*$B19*$C19*COS($K$43)-($N$42/3)*$E19*SIN($K$43)-($N$42/3)*$F19*SIN($K$43)-($N$42/3)*$G19*SIN($K$43)</f>
        <v>39803.836611660852</v>
      </c>
      <c r="AQ19" s="106">
        <f>IF(($A19&lt;'Alternative 2'!$B$27),(($H19*'Alternative 2'!$B$39)+(3*($N$42/3)*COS($K$43))),IF(($A19&lt;'Alternative 2'!$B$28),(($H19*'Alternative 2'!$B$39)+(2*(($N$42/3)*COS($K$43)))),IF(($A19&lt;'Alternative 2'!$B$29),(($H$3*'Alternative 2'!$B$39+(($N$42/3)*COS($K$43)))),($H19*'Alternative 2'!$B$39))))</f>
        <v>75996.891762657877</v>
      </c>
      <c r="AR19" s="105">
        <f>AP19*'Alternative 2'!$K20/'Alternative 2'!$L20</f>
        <v>633498.27016989572</v>
      </c>
      <c r="AS19" s="105">
        <f>AQ19/'Alternative 2'!$M20</f>
        <v>93482.400976318924</v>
      </c>
      <c r="AT19" s="105">
        <f t="shared" si="6"/>
        <v>0.72698067114621467</v>
      </c>
      <c r="AV19" s="105">
        <f>'Alternative 2'!$B$39*$B19*$C19*COS($K$53)-($N$52/3)*$E19*SIN($K$53)-($N$52/3)*$F19*SIN($K$53)-($N$52/3)*$G19*SIN($K$53)</f>
        <v>33401.148810565021</v>
      </c>
      <c r="AW19" s="106">
        <f>IF(($A19&lt;'Alternative 2'!$B$27),(($H19*'Alternative 2'!$B$39)+(3*($N$52/3)*COS($K$53))),IF(($A19&lt;'Alternative 2'!$B$28),(($H19*'Alternative 2'!$B$39)+(2*(($N$52/3)*COS($K$53)))),IF(($A19&lt;'Alternative 2'!$B$29),(($H$3*'Alternative 2'!$B$39+(($N$52/3)*COS($K$53)))),($H19*'Alternative 2'!$B$39))))</f>
        <v>70504.337050525181</v>
      </c>
      <c r="AX19" s="105">
        <f>AV19*'Alternative 2'!$K20/'Alternative 2'!$L20</f>
        <v>531596.24283507746</v>
      </c>
      <c r="AY19" s="105">
        <f>AW19/'Alternative 2'!$M20</f>
        <v>86726.108842852322</v>
      </c>
      <c r="AZ19" s="105">
        <f t="shared" si="7"/>
        <v>0.6183223516779297</v>
      </c>
      <c r="BB19" s="105">
        <f>'Alternative 2'!$B$39*$B19*$C19*COS($K$63)-($N$62/3)*$E19*SIN($K$63)-($N$62/3)*$F19*SIN($K$63)-($N$62/3)*$G19*SIN($K$63)</f>
        <v>25947.413097661618</v>
      </c>
      <c r="BC19" s="106">
        <f>IF(($A19&lt;'Alternative 2'!$B$27),(($H19*'Alternative 2'!$B$39)+(3*($N$62/3)*COS($K$63))),IF(($A19&lt;'Alternative 2'!$B$28),(($H19*'Alternative 2'!$B$39)+(2*(($N$62/3)*COS($K$63)))),IF(($A19&lt;'Alternative 2'!$B$29),(($H$3*'Alternative 2'!$B$39+(($N$62/3)*COS($K$63)))),($H19*'Alternative 2'!$B$39))))</f>
        <v>66839.88991484305</v>
      </c>
      <c r="BD19" s="105">
        <f>BB19*'Alternative 2'!$K20/'Alternative 2'!$L20</f>
        <v>412966.25431169599</v>
      </c>
      <c r="BE19" s="105">
        <f>BC19/'Alternative 2'!$M20</f>
        <v>82218.538749535917</v>
      </c>
      <c r="BF19" s="105">
        <f t="shared" si="8"/>
        <v>0.49518479306123192</v>
      </c>
      <c r="BH19" s="105">
        <f>'Alternative 2'!$B$39*$B19*$C19*COS($K$73)-($N$72/3)*$E19*SIN($K$73)-($N$72/3)*$F19*SIN($K$73)-($N$72/3)*$G19*SIN($K$73)</f>
        <v>17680.877595262624</v>
      </c>
      <c r="BI19" s="106">
        <f>IF(($A19&lt;'Alternative 2'!$B$27),(($H19*'Alternative 2'!$B$39)+(3*($N$72/3)*COS($K$73))),IF(($A19&lt;'Alternative 2'!$B$28),(($H19*'Alternative 2'!$B$39)+(2*(($N$72/3)*COS($K$73)))),IF(($A19&lt;'Alternative 2'!$B$29),(($H$3*'Alternative 2'!$B$39+(($N$72/3)*COS($K$73)))),($H19*'Alternative 2'!$B$39))))</f>
        <v>64440.582176634009</v>
      </c>
      <c r="BJ19" s="105">
        <f>BH19*'Alternative 2'!$K20/'Alternative 2'!$L20</f>
        <v>281400.14443741267</v>
      </c>
      <c r="BK19" s="105">
        <f>BI19/'Alternative 2'!$M20</f>
        <v>79267.193729409031</v>
      </c>
      <c r="BL19" s="105">
        <f t="shared" si="9"/>
        <v>0.36066733816682167</v>
      </c>
      <c r="BN19" s="105">
        <f>'Alternative 2'!$B$39*$B19*$C19*COS($K$83)-($N$82/3)*$E19*SIN($K$83)-($N$82/3)*$F19*SIN($K$83)-($N$82/3)*$G19*SIN($K$83)</f>
        <v>8858.3446440642292</v>
      </c>
      <c r="BO19" s="106">
        <f>IF(($A19&lt;'Alternative 2'!$B$27),(($H19*'Alternative 2'!$B$39)+(3*($N$82/3)*COS($K$83))),IF(($A19&lt;'Alternative 2'!$B$28),(($H19*'Alternative 2'!$B$39)+(2*(($N$82/3)*COS($K$83)))),IF(($A19&lt;'Alternative 2'!$B$29),(($H$3*'Alternative 2'!$B$39+(($N$82/3)*COS($K$83)))),($H19*'Alternative 2'!$B$39))))</f>
        <v>63056.896705116604</v>
      </c>
      <c r="BP19" s="105">
        <f>BN19*'Alternative 2'!$K20/'Alternative 2'!$L20</f>
        <v>140985.05285642348</v>
      </c>
      <c r="BQ19" s="105">
        <f>BO19/'Alternative 2'!$M20</f>
        <v>77565.147276279546</v>
      </c>
      <c r="BR19" s="105">
        <f t="shared" si="10"/>
        <v>0.21855020013270304</v>
      </c>
      <c r="BT19" s="105">
        <f>'Alternative 2'!$B$39*$B19*$C19*COS($K$93)-($K$92/3)*$E19*SIN($K$93)-($K$92/3)*$F19*SIN($K$93)-($K$92/3)*$G19*SIN($K$93)</f>
        <v>-0.51778101142090105</v>
      </c>
      <c r="BU19" s="106">
        <f>IF(($A19&lt;'Alternative 2'!$B$27),(($H19*'Alternative 2'!$B$39)+(3*($N$92/3)*COS($K$93))),IF(($A19&lt;'Alternative 2'!$B$28),(($H19*'Alternative 2'!$B$39)+(2*(($N$92/3)*COS($K$93)))),IF(($A19&lt;'Alternative 2'!$B$29),(($H$3*'Alternative 2'!$B$39+(($N$92/3)*COS($K$93)))),($H19*'Alternative 2'!$B$39))))</f>
        <v>62577.839273813101</v>
      </c>
      <c r="BV19" s="105">
        <f>BT19*'Alternative 2'!$K20/'Alternative 2'!$L20</f>
        <v>-8.2407477013375559</v>
      </c>
      <c r="BW19" s="105">
        <f>BU19/'Alternative 2'!$M20</f>
        <v>76975.867401207011</v>
      </c>
      <c r="BX19" s="105">
        <f t="shared" si="11"/>
        <v>7.6967626653505677E-2</v>
      </c>
      <c r="BZ19" s="104">
        <v>150</v>
      </c>
      <c r="CA19" s="104">
        <v>-150</v>
      </c>
    </row>
    <row r="20" spans="1:79" ht="15" customHeight="1" x14ac:dyDescent="0.25">
      <c r="A20" s="18">
        <f>IF('Alternative 2'!F21&gt;0,'Alternative 2'!F21,"x")</f>
        <v>18</v>
      </c>
      <c r="B20" s="18">
        <f t="shared" si="17"/>
        <v>6</v>
      </c>
      <c r="C20" s="18">
        <f t="shared" si="12"/>
        <v>3</v>
      </c>
      <c r="D20" s="18">
        <f t="shared" si="13"/>
        <v>18</v>
      </c>
      <c r="E20" s="101">
        <f>IF($A20&lt;='Alternative 2'!$B$27, IF($A20='Alternative 2'!$B$27,0,E21+1),0)</f>
        <v>0</v>
      </c>
      <c r="F20" s="101">
        <f>IF($A20&lt;=('Alternative 2'!$B$28), IF($A20=ROUNDDOWN('Alternative 2'!$B$28,0),0,F21+1),0)</f>
        <v>0</v>
      </c>
      <c r="G20" s="101">
        <f>IF($A20&lt;=('Alternative 2'!$B$29), IF($A20=ROUNDDOWN('Alternative 2'!$B$29,0),0,G21+1),0)</f>
        <v>0</v>
      </c>
      <c r="H20" s="18">
        <f t="shared" si="14"/>
        <v>6</v>
      </c>
      <c r="J20" s="104">
        <f t="shared" si="15"/>
        <v>17</v>
      </c>
      <c r="K20" s="104">
        <f t="shared" si="16"/>
        <v>0.29670597283903605</v>
      </c>
      <c r="L20" s="105">
        <f>'Alternative 2'!$B$27*SIN(K20)+'Alternative 2'!$B$28*SIN(K20)+'Alternative 2'!$B$29*SIN(K20)</f>
        <v>12.569059586030454</v>
      </c>
      <c r="M20" s="104">
        <f>(('Alternative 2'!$B$27)*(((('Alternative 2'!$B$28-'Alternative 2'!$B$27)/2)+'Alternative 2'!$B$27)*'Alternative 2'!$B$39)*COS('Alternative 2-Tilt Up (3pt)'!K20))+(('Alternative 2'!$B$28)*((('Alternative 2'!$B$28-'Alternative 2'!$B$27)/2)+(('Alternative 2'!$B$29-'Alternative 2'!$B$28)/2))*('Alternative 2'!$B$39)*COS('Alternative 2-Tilt Up (3pt)'!K20))+(('Alternative 2'!$B$29)*((('Alternative 2'!$B$12-'Alternative 2'!$B$29+(('Alternative 2'!$B$29-'Alternative 2'!$B$28)/2)*('Alternative 2'!$B$39)*COS('Alternative 2-Tilt Up (3pt)'!K20)))))</f>
        <v>583158.95846617117</v>
      </c>
      <c r="N20" s="104">
        <f t="shared" si="0"/>
        <v>139189.16235729543</v>
      </c>
      <c r="O20" s="104">
        <f>(((('Alternative 2'!$B$28-'Alternative 2'!$B$27)/2)+'Alternative 2'!$B$27)*('Alternative 2'!$B$39)*COS('Alternative 2-Tilt Up (3pt)'!K20))+(((('Alternative 2'!$B$28-'Alternative 2'!$B$27)/2)+(('Alternative 2'!$B$29-'Alternative 2'!$B$28)/2))*('Alternative 2'!$B$39)*COS('Alternative 2-Tilt Up (3pt)'!K20))+(((('Alternative 2'!$B$12-'Alternative 2'!$B$29)+(('Alternative 2'!$B$29-'Alternative 2'!$B$28)/2))*('Alternative 2'!$B$39)*COS('Alternative 2-Tilt Up (3pt)'!K20)))</f>
        <v>59843.485315437887</v>
      </c>
      <c r="P20" s="104">
        <f t="shared" si="1"/>
        <v>133107.25794079271</v>
      </c>
      <c r="R20" s="105">
        <f>('Alternative 2'!$B$39*$B20*$C20*COS($K$5))-(($N$5/3)*$E20*SIN($K$5))-(($N$5/3)*$F20*SIN($K$5))-(($N$5/3)*$G20*SIN($K$5))</f>
        <v>48944.12755689714</v>
      </c>
      <c r="S20" s="106">
        <f>IF(($A20&lt;'Alternative 2'!$B$27),(($H20*'Alternative 2'!$B$39)+(3*($N$5/3)*COS($K$5))),IF(($A20&lt;'Alternative 2'!$B$28),(($H20*'Alternative 2'!$B$39)+(2*(($N$5/3)*COS($K$5)))),IF(($A20&lt;'Alternative 2'!$B$29),(($H$3*'Alternative 2'!$B$39+(($N$5/3)*COS($K$5)))),($H20*'Alternative 2'!$B$39))))</f>
        <v>468527.46435442421</v>
      </c>
      <c r="T20" s="105">
        <f>R20*'Alternative 2'!$K21/'Alternative 2'!$L21</f>
        <v>778970.64156839601</v>
      </c>
      <c r="U20" s="105">
        <f>S20/'Alternative 2'!$M21</f>
        <v>599149.79722935706</v>
      </c>
      <c r="V20" s="105">
        <f t="shared" si="2"/>
        <v>1.378120438797753</v>
      </c>
      <c r="X20" s="105">
        <f>'Alternative 2'!$B$39*$B20*$C20*COS($K$13)-($N$12/3)*$E20*SIN($K$13)-($N$12/3)*$F20*SIN($K$13)-($N$12/3)*$G20*SIN($K$13)</f>
        <v>48229.936656732767</v>
      </c>
      <c r="Y20" s="106">
        <f>IF(($A20&lt;'Alternative 2'!$B$27),(($H20*'Alternative 2'!$B$39)+(3*($N$12/3)*COS($K$13))),IF(($A20&lt;'Alternative 2'!$B$28),(($H20*'Alternative 2'!$B$39)+(2*(($N$12/3)*COS($K$13)))),IF(($A20&lt;'Alternative 2'!$B$29),(($H$3*'Alternative 2'!$B$39+(($N$12/3)*COS($K$13)))),($H20*'Alternative 2'!$B$39))))</f>
        <v>150776.1402618241</v>
      </c>
      <c r="Z20" s="105">
        <f>X20*'Alternative 2'!$K21/'Alternative 2'!$L21</f>
        <v>767603.93076010502</v>
      </c>
      <c r="AA20" s="105">
        <f>Y20/'Alternative 2'!$M21</f>
        <v>192811.52277673082</v>
      </c>
      <c r="AB20" s="105">
        <f t="shared" si="3"/>
        <v>0.96041545353683588</v>
      </c>
      <c r="AD20" s="105">
        <f>'Alternative 2'!$B$39*$B20*$C20*COS($K$23)-($N$22/3)*$E20*SIN($K$23)-($N$22/3)*$F20*SIN($K$23)-($N$22/3)*$G20*SIN($K$23)</f>
        <v>46020.469922866003</v>
      </c>
      <c r="AE20" s="106">
        <f>IF(($A20&lt;'Alternative 2'!$B$27),(($H20*'Alternative 2'!$B$39)+(3*($N$22/3)*COS($K$23))),IF(($A20&lt;'Alternative 2'!$B$28),(($H20*'Alternative 2'!$B$39)+(2*(($N$22/3)*COS($K$23)))),IF(($A20&lt;'Alternative 2'!$B$29),(($H$3*'Alternative 2'!$B$39+(($N$22/3)*COS($K$23)))),($H20*'Alternative 2'!$B$39))))</f>
        <v>101289.14703261355</v>
      </c>
      <c r="AF20" s="105">
        <f>AD20*'Alternative 2'!$K21/'Alternative 2'!$L21</f>
        <v>732439.14582848176</v>
      </c>
      <c r="AG20" s="105">
        <f>AE20/'Alternative 2'!$M21</f>
        <v>129527.8858193404</v>
      </c>
      <c r="AH20" s="105">
        <f t="shared" si="4"/>
        <v>0.86196703164782207</v>
      </c>
      <c r="AJ20" s="105">
        <f>'Alternative 2'!$B$39*$B20*$C20*COS($K$33)-($N$32/3)*$E20*SIN($K$33)-($N$32/3)*$F20*SIN($K$33)-($N$32/3)*$G20*SIN($K$33)</f>
        <v>42412.69449787437</v>
      </c>
      <c r="AK20" s="106">
        <f>IF(($A20&lt;'Alternative 2'!$B$27),(($H20*'Alternative 2'!$B$39)+(3*($N$32/3)*COS($K$33))),IF(($A20&lt;'Alternative 2'!$B$28),(($H20*'Alternative 2'!$B$39)+(2*(($N$32/3)*COS($K$33)))),IF(($A20&lt;'Alternative 2'!$B$29),(($H$3*'Alternative 2'!$B$39+(($N$32/3)*COS($K$33)))),($H20*'Alternative 2'!$B$39))))</f>
        <v>84739.764484532498</v>
      </c>
      <c r="AL20" s="105">
        <f>AJ20*'Alternative 2'!$K21/'Alternative 2'!$L21</f>
        <v>675019.56808295124</v>
      </c>
      <c r="AM20" s="105">
        <f>AK20/'Alternative 2'!$M21</f>
        <v>108364.64576976017</v>
      </c>
      <c r="AN20" s="105">
        <f t="shared" si="5"/>
        <v>0.7833842138527114</v>
      </c>
      <c r="AP20" s="105">
        <f>'Alternative 2'!$B$39*$B20*$C20*COS($K$43)-($N$42/3)*$E20*SIN($K$43)-($N$42/3)*$F20*SIN($K$43)-($N$42/3)*$G20*SIN($K$43)</f>
        <v>37516.23081242379</v>
      </c>
      <c r="AQ20" s="106">
        <f>IF(($A20&lt;'Alternative 2'!$B$27),(($H20*'Alternative 2'!$B$39)+(3*($N$42/3)*COS($K$43))),IF(($A20&lt;'Alternative 2'!$B$28),(($H20*'Alternative 2'!$B$39)+(2*(($N$42/3)*COS($K$43)))),IF(($A20&lt;'Alternative 2'!$B$29),(($H$3*'Alternative 2'!$B$39+(($N$42/3)*COS($K$43)))),($H20*'Alternative 2'!$B$39))))</f>
        <v>75996.891762657877</v>
      </c>
      <c r="AR20" s="105">
        <f>AP20*'Alternative 2'!$K21/'Alternative 2'!$L21</f>
        <v>597089.86233760277</v>
      </c>
      <c r="AS20" s="105">
        <f>AQ20/'Alternative 2'!$M21</f>
        <v>97184.318431359628</v>
      </c>
      <c r="AT20" s="105">
        <f t="shared" si="6"/>
        <v>0.69427418076896241</v>
      </c>
      <c r="AV20" s="105">
        <f>'Alternative 2'!$B$39*$B20*$C20*COS($K$53)-($N$52/3)*$E20*SIN($K$53)-($N$52/3)*$F20*SIN($K$53)-($N$52/3)*$G20*SIN($K$53)</f>
        <v>31479.855437866514</v>
      </c>
      <c r="AW20" s="106">
        <f>IF(($A20&lt;'Alternative 2'!$B$27),(($H20*'Alternative 2'!$B$39)+(3*($N$52/3)*COS($K$53))),IF(($A20&lt;'Alternative 2'!$B$28),(($H20*'Alternative 2'!$B$39)+(2*(($N$52/3)*COS($K$53)))),IF(($A20&lt;'Alternative 2'!$B$29),(($H$3*'Alternative 2'!$B$39+(($N$52/3)*COS($K$53)))),($H20*'Alternative 2'!$B$39))))</f>
        <v>70504.337050525181</v>
      </c>
      <c r="AX20" s="105">
        <f>AV20*'Alternative 2'!$K21/'Alternative 2'!$L21</f>
        <v>501017.88326717546</v>
      </c>
      <c r="AY20" s="105">
        <f>AW20/'Alternative 2'!$M21</f>
        <v>90160.476090377808</v>
      </c>
      <c r="AZ20" s="105">
        <f t="shared" si="7"/>
        <v>0.59117835935755325</v>
      </c>
      <c r="BB20" s="105">
        <f>'Alternative 2'!$B$39*$B20*$C20*COS($K$63)-($N$62/3)*$E20*SIN($K$63)-($N$62/3)*$F20*SIN($K$63)-($N$62/3)*$G20*SIN($K$63)</f>
        <v>24486.98058540513</v>
      </c>
      <c r="BC20" s="106">
        <f>IF(($A20&lt;'Alternative 2'!$B$27),(($H20*'Alternative 2'!$B$39)+(3*($N$62/3)*COS($K$63))),IF(($A20&lt;'Alternative 2'!$B$28),(($H20*'Alternative 2'!$B$39)+(2*(($N$62/3)*COS($K$63)))),IF(($A20&lt;'Alternative 2'!$B$29),(($H$3*'Alternative 2'!$B$39+(($N$62/3)*COS($K$63)))),($H20*'Alternative 2'!$B$39))))</f>
        <v>66839.88991484305</v>
      </c>
      <c r="BD20" s="105">
        <f>BB20*'Alternative 2'!$K21/'Alternative 2'!$L21</f>
        <v>389722.72934095678</v>
      </c>
      <c r="BE20" s="105">
        <f>BC20/'Alternative 2'!$M21</f>
        <v>85474.40552816038</v>
      </c>
      <c r="BF20" s="105">
        <f t="shared" si="8"/>
        <v>0.47519713486911719</v>
      </c>
      <c r="BH20" s="105">
        <f>'Alternative 2'!$B$39*$B20*$C20*COS($K$73)-($N$72/3)*$E20*SIN($K$73)-($N$72/3)*$F20*SIN($K$73)-($N$72/3)*$G20*SIN($K$73)</f>
        <v>16750.081218866264</v>
      </c>
      <c r="BI20" s="106">
        <f>IF(($A20&lt;'Alternative 2'!$B$27),(($H20*'Alternative 2'!$B$39)+(3*($N$72/3)*COS($K$73))),IF(($A20&lt;'Alternative 2'!$B$28),(($H20*'Alternative 2'!$B$39)+(2*(($N$72/3)*COS($K$73)))),IF(($A20&lt;'Alternative 2'!$B$29),(($H$3*'Alternative 2'!$B$39+(($N$72/3)*COS($K$73)))),($H20*'Alternative 2'!$B$39))))</f>
        <v>64440.582176634009</v>
      </c>
      <c r="BJ20" s="105">
        <f>BH20*'Alternative 2'!$K21/'Alternative 2'!$L21</f>
        <v>266586.04749292973</v>
      </c>
      <c r="BK20" s="105">
        <f>BI20/'Alternative 2'!$M21</f>
        <v>82406.186791357948</v>
      </c>
      <c r="BL20" s="105">
        <f t="shared" si="9"/>
        <v>0.34899223428428766</v>
      </c>
      <c r="BN20" s="105">
        <f>'Alternative 2'!$B$39*$B20*$C20*COS($K$83)-($N$82/3)*$E20*SIN($K$83)-($N$82/3)*$F20*SIN($K$83)-($N$82/3)*$G20*SIN($K$83)</f>
        <v>8504.2391104422095</v>
      </c>
      <c r="BO20" s="106">
        <f>IF(($A20&lt;'Alternative 2'!$B$27),(($H20*'Alternative 2'!$B$39)+(3*($N$82/3)*COS($K$83))),IF(($A20&lt;'Alternative 2'!$B$28),(($H20*'Alternative 2'!$B$39)+(2*(($N$82/3)*COS($K$83)))),IF(($A20&lt;'Alternative 2'!$B$29),(($H$3*'Alternative 2'!$B$39+(($N$82/3)*COS($K$83)))),($H20*'Alternative 2'!$B$39))))</f>
        <v>63056.896705116604</v>
      </c>
      <c r="BP20" s="105">
        <f>BN20*'Alternative 2'!$K21/'Alternative 2'!$L21</f>
        <v>135349.28349087897</v>
      </c>
      <c r="BQ20" s="105">
        <f>BO20/'Alternative 2'!$M21</f>
        <v>80636.739036931918</v>
      </c>
      <c r="BR20" s="105">
        <f t="shared" si="10"/>
        <v>0.21598602252781088</v>
      </c>
      <c r="BT20" s="105">
        <f>'Alternative 2'!$B$39*$B20*$C20*COS($K$93)-($K$92/3)*$E20*SIN($K$93)-($K$92/3)*$F20*SIN($K$93)-($K$92/3)*$G20*SIN($K$93)</f>
        <v>3.0000186429586464E-12</v>
      </c>
      <c r="BU20" s="106">
        <f>IF(($A20&lt;'Alternative 2'!$B$27),(($H20*'Alternative 2'!$B$39)+(3*($N$92/3)*COS($K$93))),IF(($A20&lt;'Alternative 2'!$B$28),(($H20*'Alternative 2'!$B$39)+(2*(($N$92/3)*COS($K$93)))),IF(($A20&lt;'Alternative 2'!$B$29),(($H$3*'Alternative 2'!$B$39+(($N$92/3)*COS($K$93)))),($H20*'Alternative 2'!$B$39))))</f>
        <v>62577.839273813101</v>
      </c>
      <c r="BV20" s="105">
        <f>BT20*'Alternative 2'!$K21/'Alternative 2'!$L21</f>
        <v>4.7746819969484347E-11</v>
      </c>
      <c r="BW20" s="105">
        <f>BU20/'Alternative 2'!$M21</f>
        <v>80024.123588182934</v>
      </c>
      <c r="BX20" s="105">
        <f t="shared" si="11"/>
        <v>8.0024123588182977E-2</v>
      </c>
      <c r="BZ20" s="104">
        <v>150</v>
      </c>
      <c r="CA20" s="104">
        <v>-150</v>
      </c>
    </row>
    <row r="21" spans="1:79" ht="15" customHeight="1" x14ac:dyDescent="0.25">
      <c r="A21" s="18">
        <f>IF('Alternative 2'!F22&gt;0,'Alternative 2'!F22,"x")</f>
        <v>19</v>
      </c>
      <c r="B21" s="18">
        <f t="shared" si="17"/>
        <v>5</v>
      </c>
      <c r="C21" s="18">
        <f t="shared" si="12"/>
        <v>2.5</v>
      </c>
      <c r="D21" s="18">
        <f t="shared" si="13"/>
        <v>19</v>
      </c>
      <c r="E21" s="101">
        <f>IF($A21&lt;='Alternative 2'!$B$27, IF($A21='Alternative 2'!$B$27,0,E22+1),0)</f>
        <v>0</v>
      </c>
      <c r="F21" s="101">
        <f>IF($A21&lt;=('Alternative 2'!$B$28), IF($A21=ROUNDDOWN('Alternative 2'!$B$28,0),0,F22+1),0)</f>
        <v>0</v>
      </c>
      <c r="G21" s="101">
        <f>IF($A21&lt;=('Alternative 2'!$B$29), IF($A21=ROUNDDOWN('Alternative 2'!$B$29,0),0,G22+1),0)</f>
        <v>0</v>
      </c>
      <c r="H21" s="18">
        <f t="shared" si="14"/>
        <v>5</v>
      </c>
      <c r="J21" s="104">
        <f t="shared" si="15"/>
        <v>18</v>
      </c>
      <c r="K21" s="104">
        <f t="shared" si="16"/>
        <v>0.31415926535897931</v>
      </c>
      <c r="L21" s="105">
        <f>'Alternative 2'!$B$27*SIN(K21)+'Alternative 2'!$B$28*SIN(K21)+'Alternative 2'!$B$29*SIN(K21)</f>
        <v>13.28464058817899</v>
      </c>
      <c r="M21" s="104">
        <f>(('Alternative 2'!$B$27)*(((('Alternative 2'!$B$28-'Alternative 2'!$B$27)/2)+'Alternative 2'!$B$27)*'Alternative 2'!$B$39)*COS('Alternative 2-Tilt Up (3pt)'!K21))+(('Alternative 2'!$B$28)*((('Alternative 2'!$B$28-'Alternative 2'!$B$27)/2)+(('Alternative 2'!$B$29-'Alternative 2'!$B$28)/2))*('Alternative 2'!$B$39)*COS('Alternative 2-Tilt Up (3pt)'!K21))+(('Alternative 2'!$B$29)*((('Alternative 2'!$B$12-'Alternative 2'!$B$29+(('Alternative 2'!$B$29-'Alternative 2'!$B$28)/2)*('Alternative 2'!$B$39)*COS('Alternative 2-Tilt Up (3pt)'!K21)))))</f>
        <v>579959.00266350387</v>
      </c>
      <c r="N21" s="104">
        <f t="shared" si="0"/>
        <v>130969.06886127565</v>
      </c>
      <c r="O21" s="104">
        <f>(((('Alternative 2'!$B$28-'Alternative 2'!$B$27)/2)+'Alternative 2'!$B$27)*('Alternative 2'!$B$39)*COS('Alternative 2-Tilt Up (3pt)'!K21))+(((('Alternative 2'!$B$28-'Alternative 2'!$B$27)/2)+(('Alternative 2'!$B$29-'Alternative 2'!$B$28)/2))*('Alternative 2'!$B$39)*COS('Alternative 2-Tilt Up (3pt)'!K21))+(((('Alternative 2'!$B$12-'Alternative 2'!$B$29)+(('Alternative 2'!$B$29-'Alternative 2'!$B$28)/2))*('Alternative 2'!$B$39)*COS('Alternative 2-Tilt Up (3pt)'!K21)))</f>
        <v>59515.061817030728</v>
      </c>
      <c r="P21" s="104">
        <f t="shared" si="1"/>
        <v>124558.9863736249</v>
      </c>
      <c r="R21" s="105">
        <f>('Alternative 2'!$B$39*$B21*$C21*COS($K$5))-(($N$5/3)*$E21*SIN($K$5))-(($N$5/3)*$F21*SIN($K$5))-(($N$5/3)*$G21*SIN($K$5))</f>
        <v>33988.977470067461</v>
      </c>
      <c r="S21" s="106">
        <f>IF(($A21&lt;'Alternative 2'!$B$27),(($H21*'Alternative 2'!$B$39)+(3*($N$5/3)*COS($K$5))),IF(($A21&lt;'Alternative 2'!$B$28),(($H21*'Alternative 2'!$B$39)+(2*(($N$5/3)*COS($K$5)))),IF(($A21&lt;'Alternative 2'!$B$29),(($H$3*'Alternative 2'!$B$39+(($N$5/3)*COS($K$5)))),($H21*'Alternative 2'!$B$39))))</f>
        <v>13603.878103002848</v>
      </c>
      <c r="T21" s="105">
        <f>R21*'Alternative 2'!$K22/'Alternative 2'!$L22</f>
        <v>540951.8344224972</v>
      </c>
      <c r="U21" s="105">
        <f>S21/'Alternative 2'!$M22</f>
        <v>18099.369169814243</v>
      </c>
      <c r="V21" s="105">
        <f t="shared" si="2"/>
        <v>0.55905120359231153</v>
      </c>
      <c r="X21" s="105">
        <f>'Alternative 2'!$B$39*$B21*$C21*COS($K$13)-($N$12/3)*$E21*SIN($K$13)-($N$12/3)*$F21*SIN($K$13)-($N$12/3)*$G21*SIN($K$13)</f>
        <v>33493.011567175534</v>
      </c>
      <c r="Y21" s="106">
        <f>IF(($A21&lt;'Alternative 2'!$B$27),(($H21*'Alternative 2'!$B$39)+(3*($N$12/3)*COS($K$13))),IF(($A21&lt;'Alternative 2'!$B$28),(($H21*'Alternative 2'!$B$39)+(2*(($N$12/3)*COS($K$13)))),IF(($A21&lt;'Alternative 2'!$B$29),(($H$3*'Alternative 2'!$B$39+(($N$12/3)*COS($K$13)))),($H21*'Alternative 2'!$B$39))))</f>
        <v>13603.878103002848</v>
      </c>
      <c r="Z21" s="105">
        <f>X21*'Alternative 2'!$K22/'Alternative 2'!$L22</f>
        <v>533058.28525007295</v>
      </c>
      <c r="AA21" s="105">
        <f>Y21/'Alternative 2'!$M22</f>
        <v>18099.369169814243</v>
      </c>
      <c r="AB21" s="105">
        <f t="shared" si="3"/>
        <v>0.55115765441988718</v>
      </c>
      <c r="AD21" s="105">
        <f>'Alternative 2'!$B$39*$B21*$C21*COS($K$23)-($N$22/3)*$E21*SIN($K$23)-($N$22/3)*$F21*SIN($K$23)-($N$22/3)*$G21*SIN($K$23)</f>
        <v>31958.659668656946</v>
      </c>
      <c r="AE21" s="106">
        <f>IF(($A21&lt;'Alternative 2'!$B$27),(($H21*'Alternative 2'!$B$39)+(3*($N$22/3)*COS($K$23))),IF(($A21&lt;'Alternative 2'!$B$28),(($H21*'Alternative 2'!$B$39)+(2*(($N$22/3)*COS($K$23)))),IF(($A21&lt;'Alternative 2'!$B$29),(($H$3*'Alternative 2'!$B$39+(($N$22/3)*COS($K$23)))),($H21*'Alternative 2'!$B$39))))</f>
        <v>13603.878103002848</v>
      </c>
      <c r="AF21" s="105">
        <f>AD21*'Alternative 2'!$K22/'Alternative 2'!$L22</f>
        <v>508638.29571422347</v>
      </c>
      <c r="AG21" s="105">
        <f>AE21/'Alternative 2'!$M22</f>
        <v>18099.369169814243</v>
      </c>
      <c r="AH21" s="105">
        <f t="shared" si="4"/>
        <v>0.52673766488403773</v>
      </c>
      <c r="AJ21" s="105">
        <f>'Alternative 2'!$B$39*$B21*$C21*COS($K$33)-($N$32/3)*$E21*SIN($K$33)-($N$32/3)*$F21*SIN($K$33)-($N$32/3)*$G21*SIN($K$33)</f>
        <v>29453.260067968313</v>
      </c>
      <c r="AK21" s="106">
        <f>IF(($A21&lt;'Alternative 2'!$B$27),(($H21*'Alternative 2'!$B$39)+(3*($N$32/3)*COS($K$33))),IF(($A21&lt;'Alternative 2'!$B$28),(($H21*'Alternative 2'!$B$39)+(2*(($N$32/3)*COS($K$33)))),IF(($A21&lt;'Alternative 2'!$B$29),(($H$3*'Alternative 2'!$B$39+(($N$32/3)*COS($K$33)))),($H21*'Alternative 2'!$B$39))))</f>
        <v>13603.878103002848</v>
      </c>
      <c r="AL21" s="105">
        <f>AJ21*'Alternative 2'!$K22/'Alternative 2'!$L22</f>
        <v>468763.58894649387</v>
      </c>
      <c r="AM21" s="105">
        <f>AK21/'Alternative 2'!$M22</f>
        <v>18099.369169814243</v>
      </c>
      <c r="AN21" s="105">
        <f t="shared" si="5"/>
        <v>0.48686295811630809</v>
      </c>
      <c r="AP21" s="105">
        <f>'Alternative 2'!$B$39*$B21*$C21*COS($K$43)-($N$42/3)*$E21*SIN($K$43)-($N$42/3)*$F21*SIN($K$43)-($N$42/3)*$G21*SIN($K$43)</f>
        <v>26052.938064183189</v>
      </c>
      <c r="AQ21" s="106">
        <f>IF(($A21&lt;'Alternative 2'!$B$27),(($H21*'Alternative 2'!$B$39)+(3*($N$42/3)*COS($K$43))),IF(($A21&lt;'Alternative 2'!$B$28),(($H21*'Alternative 2'!$B$39)+(2*(($N$42/3)*COS($K$43)))),IF(($A21&lt;'Alternative 2'!$B$29),(($H$3*'Alternative 2'!$B$39+(($N$42/3)*COS($K$43)))),($H21*'Alternative 2'!$B$39))))</f>
        <v>13603.878103002848</v>
      </c>
      <c r="AR21" s="105">
        <f>AP21*'Alternative 2'!$K22/'Alternative 2'!$L22</f>
        <v>414645.73773444636</v>
      </c>
      <c r="AS21" s="105">
        <f>AQ21/'Alternative 2'!$M22</f>
        <v>18099.369169814243</v>
      </c>
      <c r="AT21" s="105">
        <f t="shared" si="6"/>
        <v>0.4327451069042606</v>
      </c>
      <c r="AV21" s="105">
        <f>'Alternative 2'!$B$39*$B21*$C21*COS($K$53)-($N$52/3)*$E21*SIN($K$53)-($N$52/3)*$F21*SIN($K$53)-($N$52/3)*$G21*SIN($K$53)</f>
        <v>21861.010720740636</v>
      </c>
      <c r="AW21" s="106">
        <f>IF(($A21&lt;'Alternative 2'!$B$27),(($H21*'Alternative 2'!$B$39)+(3*($N$52/3)*COS($K$53))),IF(($A21&lt;'Alternative 2'!$B$28),(($H21*'Alternative 2'!$B$39)+(2*(($N$52/3)*COS($K$53)))),IF(($A21&lt;'Alternative 2'!$B$29),(($H$3*'Alternative 2'!$B$39+(($N$52/3)*COS($K$53)))),($H21*'Alternative 2'!$B$39))))</f>
        <v>13603.878103002848</v>
      </c>
      <c r="AX21" s="105">
        <f>AV21*'Alternative 2'!$K22/'Alternative 2'!$L22</f>
        <v>347929.08560220519</v>
      </c>
      <c r="AY21" s="105">
        <f>AW21/'Alternative 2'!$M22</f>
        <v>18099.369169814243</v>
      </c>
      <c r="AZ21" s="105">
        <f t="shared" si="7"/>
        <v>0.3660284547720194</v>
      </c>
      <c r="BB21" s="105">
        <f>'Alternative 2'!$B$39*$B21*$C21*COS($K$63)-($N$62/3)*$E21*SIN($K$63)-($N$62/3)*$F21*SIN($K$63)-($N$62/3)*$G21*SIN($K$63)</f>
        <v>17004.847628753563</v>
      </c>
      <c r="BC21" s="106">
        <f>IF(($A21&lt;'Alternative 2'!$B$27),(($H21*'Alternative 2'!$B$39)+(3*($N$62/3)*COS($K$63))),IF(($A21&lt;'Alternative 2'!$B$28),(($H21*'Alternative 2'!$B$39)+(2*(($N$62/3)*COS($K$63)))),IF(($A21&lt;'Alternative 2'!$B$29),(($H$3*'Alternative 2'!$B$39+(($N$62/3)*COS($K$63)))),($H21*'Alternative 2'!$B$39))))</f>
        <v>13603.878103002848</v>
      </c>
      <c r="BD21" s="105">
        <f>BB21*'Alternative 2'!$K22/'Alternative 2'!$L22</f>
        <v>270640.78426455334</v>
      </c>
      <c r="BE21" s="105">
        <f>BC21/'Alternative 2'!$M22</f>
        <v>18099.369169814243</v>
      </c>
      <c r="BF21" s="105">
        <f t="shared" si="8"/>
        <v>0.28874015343436754</v>
      </c>
      <c r="BH21" s="105">
        <f>'Alternative 2'!$B$39*$B21*$C21*COS($K$73)-($N$72/3)*$E21*SIN($K$73)-($N$72/3)*$F21*SIN($K$73)-($N$72/3)*$G21*SIN($K$73)</f>
        <v>11632.000846434905</v>
      </c>
      <c r="BI21" s="106">
        <f>IF(($A21&lt;'Alternative 2'!$B$27),(($H21*'Alternative 2'!$B$39)+(3*($N$72/3)*COS($K$73))),IF(($A21&lt;'Alternative 2'!$B$28),(($H21*'Alternative 2'!$B$39)+(2*(($N$72/3)*COS($K$73)))),IF(($A21&lt;'Alternative 2'!$B$29),(($H$3*'Alternative 2'!$B$39+(($N$72/3)*COS($K$73)))),($H21*'Alternative 2'!$B$39))))</f>
        <v>13603.878103002848</v>
      </c>
      <c r="BJ21" s="105">
        <f>BH21*'Alternative 2'!$K22/'Alternative 2'!$L22</f>
        <v>185129.19964786788</v>
      </c>
      <c r="BK21" s="105">
        <f>BI21/'Alternative 2'!$M22</f>
        <v>18099.369169814243</v>
      </c>
      <c r="BL21" s="105">
        <f t="shared" si="9"/>
        <v>0.20322856881768211</v>
      </c>
      <c r="BN21" s="105">
        <f>'Alternative 2'!$B$39*$B21*$C21*COS($K$83)-($N$82/3)*$E21*SIN($K$83)-($N$82/3)*$F21*SIN($K$83)-($N$82/3)*$G21*SIN($K$83)</f>
        <v>5905.721604473757</v>
      </c>
      <c r="BO21" s="106">
        <f>IF(($A21&lt;'Alternative 2'!$B$27),(($H21*'Alternative 2'!$B$39)+(3*($N$82/3)*COS($K$83))),IF(($A21&lt;'Alternative 2'!$B$28),(($H21*'Alternative 2'!$B$39)+(2*(($N$82/3)*COS($K$83)))),IF(($A21&lt;'Alternative 2'!$B$29),(($H$3*'Alternative 2'!$B$39+(($N$82/3)*COS($K$83)))),($H21*'Alternative 2'!$B$39))))</f>
        <v>13603.878103002848</v>
      </c>
      <c r="BP21" s="105">
        <f>BN21*'Alternative 2'!$K22/'Alternative 2'!$L22</f>
        <v>93992.557979777077</v>
      </c>
      <c r="BQ21" s="105">
        <f>BO21/'Alternative 2'!$M22</f>
        <v>18099.369169814243</v>
      </c>
      <c r="BR21" s="105">
        <f t="shared" si="10"/>
        <v>0.11209192714959133</v>
      </c>
      <c r="BT21" s="105">
        <f>'Alternative 2'!$B$39*$B21*$C21*COS($K$93)-($K$92/3)*$E21*SIN($K$93)-($K$92/3)*$F21*SIN($K$93)-($K$92/3)*$G21*SIN($K$93)</f>
        <v>2.0833462798323935E-12</v>
      </c>
      <c r="BU21" s="106">
        <f>IF(($A21&lt;'Alternative 2'!$B$27),(($H21*'Alternative 2'!$B$39)+(3*($N$92/3)*COS($K$93))),IF(($A21&lt;'Alternative 2'!$B$28),(($H21*'Alternative 2'!$B$39)+(2*(($N$92/3)*COS($K$93)))),IF(($A21&lt;'Alternative 2'!$B$29),(($H$3*'Alternative 2'!$B$39+(($N$92/3)*COS($K$93)))),($H21*'Alternative 2'!$B$39))))</f>
        <v>13603.878103002848</v>
      </c>
      <c r="BV21" s="105">
        <f>BT21*'Alternative 2'!$K22/'Alternative 2'!$L22</f>
        <v>3.3157513867697467E-11</v>
      </c>
      <c r="BW21" s="105">
        <f>BU21/'Alternative 2'!$M22</f>
        <v>18099.369169814243</v>
      </c>
      <c r="BX21" s="105">
        <f t="shared" si="11"/>
        <v>1.8099369169814274E-2</v>
      </c>
      <c r="BZ21" s="104">
        <v>150</v>
      </c>
      <c r="CA21" s="104">
        <v>-150</v>
      </c>
    </row>
    <row r="22" spans="1:79" ht="15" customHeight="1" x14ac:dyDescent="0.25">
      <c r="A22" s="18">
        <f>IF('Alternative 2'!F23&gt;0,'Alternative 2'!F23,"x")</f>
        <v>20</v>
      </c>
      <c r="B22" s="18">
        <f t="shared" si="17"/>
        <v>4</v>
      </c>
      <c r="C22" s="18">
        <f t="shared" si="12"/>
        <v>2</v>
      </c>
      <c r="D22" s="18">
        <f t="shared" si="13"/>
        <v>20</v>
      </c>
      <c r="E22" s="101">
        <f>IF($A22&lt;='Alternative 2'!$B$27, IF($A22='Alternative 2'!$B$27,0,E23+1),0)</f>
        <v>0</v>
      </c>
      <c r="F22" s="101">
        <f>IF($A22&lt;=('Alternative 2'!$B$28), IF($A22=ROUNDDOWN('Alternative 2'!$B$28,0),0,F23+1),0)</f>
        <v>0</v>
      </c>
      <c r="G22" s="101">
        <f>IF($A22&lt;=('Alternative 2'!$B$29), IF($A22=ROUNDDOWN('Alternative 2'!$B$29,0),0,G23+1),0)</f>
        <v>0</v>
      </c>
      <c r="H22" s="18">
        <f t="shared" si="14"/>
        <v>4</v>
      </c>
      <c r="J22" s="104">
        <f t="shared" si="15"/>
        <v>19</v>
      </c>
      <c r="K22" s="104">
        <f t="shared" si="16"/>
        <v>0.33161255787892258</v>
      </c>
      <c r="L22" s="105">
        <f>'Alternative 2'!$B$27*SIN(K22)+'Alternative 2'!$B$28*SIN(K22)+'Alternative 2'!$B$29*SIN(K22)</f>
        <v>13.996174960113164</v>
      </c>
      <c r="M22" s="104">
        <f>(('Alternative 2'!$B$27)*(((('Alternative 2'!$B$28-'Alternative 2'!$B$27)/2)+'Alternative 2'!$B$27)*'Alternative 2'!$B$39)*COS('Alternative 2-Tilt Up (3pt)'!K22))+(('Alternative 2'!$B$28)*((('Alternative 2'!$B$28-'Alternative 2'!$B$27)/2)+(('Alternative 2'!$B$29-'Alternative 2'!$B$28)/2))*('Alternative 2'!$B$39)*COS('Alternative 2-Tilt Up (3pt)'!K22))+(('Alternative 2'!$B$29)*((('Alternative 2'!$B$12-'Alternative 2'!$B$29+(('Alternative 2'!$B$29-'Alternative 2'!$B$28)/2)*('Alternative 2'!$B$39)*COS('Alternative 2-Tilt Up (3pt)'!K22)))))</f>
        <v>576582.41039906896</v>
      </c>
      <c r="N22" s="109">
        <f t="shared" si="0"/>
        <v>123587.13978116926</v>
      </c>
      <c r="O22" s="104">
        <f>(((('Alternative 2'!$B$28-'Alternative 2'!$B$27)/2)+'Alternative 2'!$B$27)*('Alternative 2'!$B$39)*COS('Alternative 2-Tilt Up (3pt)'!K22))+(((('Alternative 2'!$B$28-'Alternative 2'!$B$27)/2)+(('Alternative 2'!$B$29-'Alternative 2'!$B$28)/2))*('Alternative 2'!$B$39)*COS('Alternative 2-Tilt Up (3pt)'!K22))+(((('Alternative 2'!$B$12-'Alternative 2'!$B$29)+(('Alternative 2'!$B$29-'Alternative 2'!$B$28)/2))*('Alternative 2'!$B$39)*COS('Alternative 2-Tilt Up (3pt)'!K22)))</f>
        <v>59168.509454258747</v>
      </c>
      <c r="P22" s="104">
        <f t="shared" si="1"/>
        <v>116853.93636828482</v>
      </c>
      <c r="R22" s="105">
        <f>('Alternative 2'!$B$39*$B22*$C22*COS($K$5))-(($N$5/3)*$E22*SIN($K$5))-(($N$5/3)*$F22*SIN($K$5))-(($N$5/3)*$G22*SIN($K$5))</f>
        <v>21752.945580843174</v>
      </c>
      <c r="S22" s="106">
        <f>IF(($A22&lt;'Alternative 2'!$B$27),(($H22*'Alternative 2'!$B$39)+(3*($N$5/3)*COS($K$5))),IF(($A22&lt;'Alternative 2'!$B$28),(($H22*'Alternative 2'!$B$39)+(2*(($N$5/3)*COS($K$5)))),IF(($A22&lt;'Alternative 2'!$B$29),(($H$3*'Alternative 2'!$B$39+(($N$5/3)*COS($K$5)))),($H22*'Alternative 2'!$B$39))))</f>
        <v>10883.102482402279</v>
      </c>
      <c r="T22" s="105">
        <f>R22*'Alternative 2'!$K23/'Alternative 2'!$L23</f>
        <v>346209.17403039814</v>
      </c>
      <c r="U22" s="105">
        <f>S22/'Alternative 2'!$M23</f>
        <v>15076.525755780294</v>
      </c>
      <c r="V22" s="105">
        <f t="shared" si="2"/>
        <v>0.36128569978617842</v>
      </c>
      <c r="X22" s="105">
        <f>'Alternative 2'!$B$39*$B22*$C22*COS($K$13)-($N$12/3)*$E22*SIN($K$13)-($N$12/3)*$F22*SIN($K$13)-($N$12/3)*$G22*SIN($K$13)</f>
        <v>21435.527402992342</v>
      </c>
      <c r="Y22" s="106">
        <f>IF(($A22&lt;'Alternative 2'!$B$27),(($H22*'Alternative 2'!$B$39)+(3*($N$12/3)*COS($K$13))),IF(($A22&lt;'Alternative 2'!$B$28),(($H22*'Alternative 2'!$B$39)+(2*(($N$12/3)*COS($K$13)))),IF(($A22&lt;'Alternative 2'!$B$29),(($H$3*'Alternative 2'!$B$39+(($N$12/3)*COS($K$13)))),($H22*'Alternative 2'!$B$39))))</f>
        <v>10883.102482402279</v>
      </c>
      <c r="Z22" s="105">
        <f>X22*'Alternative 2'!$K23/'Alternative 2'!$L23</f>
        <v>341157.30256004666</v>
      </c>
      <c r="AA22" s="105">
        <f>Y22/'Alternative 2'!$M23</f>
        <v>15076.525755780294</v>
      </c>
      <c r="AB22" s="105">
        <f t="shared" si="3"/>
        <v>0.35623382831582695</v>
      </c>
      <c r="AD22" s="105">
        <f>'Alternative 2'!$B$39*$B22*$C22*COS($K$23)-($N$22/3)*$E22*SIN($K$23)-($N$22/3)*$F22*SIN($K$23)-($N$22/3)*$G22*SIN($K$23)</f>
        <v>20453.542187940446</v>
      </c>
      <c r="AE22" s="106">
        <f>IF(($A22&lt;'Alternative 2'!$B$27),(($H22*'Alternative 2'!$B$39)+(3*($N$22/3)*COS($K$23))),IF(($A22&lt;'Alternative 2'!$B$28),(($H22*'Alternative 2'!$B$39)+(2*(($N$22/3)*COS($K$23)))),IF(($A22&lt;'Alternative 2'!$B$29),(($H$3*'Alternative 2'!$B$39+(($N$22/3)*COS($K$23)))),($H22*'Alternative 2'!$B$39))))</f>
        <v>10883.102482402279</v>
      </c>
      <c r="AF22" s="105">
        <f>AD22*'Alternative 2'!$K23/'Alternative 2'!$L23</f>
        <v>325528.50925710303</v>
      </c>
      <c r="AG22" s="105">
        <f>AE22/'Alternative 2'!$M23</f>
        <v>15076.525755780294</v>
      </c>
      <c r="AH22" s="105">
        <f t="shared" si="4"/>
        <v>0.34060503501288331</v>
      </c>
      <c r="AJ22" s="105">
        <f>'Alternative 2'!$B$39*$B22*$C22*COS($K$33)-($N$32/3)*$E22*SIN($K$33)-($N$32/3)*$F22*SIN($K$33)-($N$32/3)*$G22*SIN($K$33)</f>
        <v>18850.08644349972</v>
      </c>
      <c r="AK22" s="106">
        <f>IF(($A22&lt;'Alternative 2'!$B$27),(($H22*'Alternative 2'!$B$39)+(3*($N$32/3)*COS($K$33))),IF(($A22&lt;'Alternative 2'!$B$28),(($H22*'Alternative 2'!$B$39)+(2*(($N$32/3)*COS($K$33)))),IF(($A22&lt;'Alternative 2'!$B$29),(($H$3*'Alternative 2'!$B$39+(($N$32/3)*COS($K$33)))),($H22*'Alternative 2'!$B$39))))</f>
        <v>10883.102482402279</v>
      </c>
      <c r="AL22" s="105">
        <f>AJ22*'Alternative 2'!$K23/'Alternative 2'!$L23</f>
        <v>300008.69692575606</v>
      </c>
      <c r="AM22" s="105">
        <f>AK22/'Alternative 2'!$M23</f>
        <v>15076.525755780294</v>
      </c>
      <c r="AN22" s="105">
        <f t="shared" si="5"/>
        <v>0.31508522268153633</v>
      </c>
      <c r="AP22" s="105">
        <f>'Alternative 2'!$B$39*$B22*$C22*COS($K$43)-($N$42/3)*$E22*SIN($K$43)-($N$42/3)*$F22*SIN($K$43)-($N$42/3)*$G22*SIN($K$43)</f>
        <v>16673.880361077241</v>
      </c>
      <c r="AQ22" s="106">
        <f>IF(($A22&lt;'Alternative 2'!$B$27),(($H22*'Alternative 2'!$B$39)+(3*($N$42/3)*COS($K$43))),IF(($A22&lt;'Alternative 2'!$B$28),(($H22*'Alternative 2'!$B$39)+(2*(($N$42/3)*COS($K$43)))),IF(($A22&lt;'Alternative 2'!$B$29),(($H$3*'Alternative 2'!$B$39+(($N$42/3)*COS($K$43)))),($H22*'Alternative 2'!$B$39))))</f>
        <v>10883.102482402279</v>
      </c>
      <c r="AR22" s="105">
        <f>AP22*'Alternative 2'!$K23/'Alternative 2'!$L23</f>
        <v>265373.27215004567</v>
      </c>
      <c r="AS22" s="105">
        <f>AQ22/'Alternative 2'!$M23</f>
        <v>15076.525755780294</v>
      </c>
      <c r="AT22" s="105">
        <f t="shared" si="6"/>
        <v>0.28044979790582597</v>
      </c>
      <c r="AV22" s="105">
        <f>'Alternative 2'!$B$39*$B22*$C22*COS($K$53)-($N$52/3)*$E22*SIN($K$53)-($N$52/3)*$F22*SIN($K$53)-($N$52/3)*$G22*SIN($K$53)</f>
        <v>13991.046861274008</v>
      </c>
      <c r="AW22" s="106">
        <f>IF(($A22&lt;'Alternative 2'!$B$27),(($H22*'Alternative 2'!$B$39)+(3*($N$52/3)*COS($K$53))),IF(($A22&lt;'Alternative 2'!$B$28),(($H22*'Alternative 2'!$B$39)+(2*(($N$52/3)*COS($K$53)))),IF(($A22&lt;'Alternative 2'!$B$29),(($H$3*'Alternative 2'!$B$39+(($N$52/3)*COS($K$53)))),($H22*'Alternative 2'!$B$39))))</f>
        <v>10883.102482402279</v>
      </c>
      <c r="AX22" s="105">
        <f>AV22*'Alternative 2'!$K23/'Alternative 2'!$L23</f>
        <v>222674.61478541131</v>
      </c>
      <c r="AY22" s="105">
        <f>AW22/'Alternative 2'!$M23</f>
        <v>15076.525755780294</v>
      </c>
      <c r="AZ22" s="105">
        <f t="shared" si="7"/>
        <v>0.23775114054119159</v>
      </c>
      <c r="BB22" s="105">
        <f>'Alternative 2'!$B$39*$B22*$C22*COS($K$63)-($N$62/3)*$E22*SIN($K$63)-($N$62/3)*$F22*SIN($K$63)-($N$62/3)*$G22*SIN($K$63)</f>
        <v>10883.102482402281</v>
      </c>
      <c r="BC22" s="106">
        <f>IF(($A22&lt;'Alternative 2'!$B$27),(($H22*'Alternative 2'!$B$39)+(3*($N$62/3)*COS($K$63))),IF(($A22&lt;'Alternative 2'!$B$28),(($H22*'Alternative 2'!$B$39)+(2*(($N$62/3)*COS($K$63)))),IF(($A22&lt;'Alternative 2'!$B$29),(($H$3*'Alternative 2'!$B$39+(($N$62/3)*COS($K$63)))),($H22*'Alternative 2'!$B$39))))</f>
        <v>10883.102482402279</v>
      </c>
      <c r="BD22" s="105">
        <f>BB22*'Alternative 2'!$K23/'Alternative 2'!$L23</f>
        <v>173210.10192931414</v>
      </c>
      <c r="BE22" s="105">
        <f>BC22/'Alternative 2'!$M23</f>
        <v>15076.525755780294</v>
      </c>
      <c r="BF22" s="105">
        <f t="shared" si="8"/>
        <v>0.18828662768509444</v>
      </c>
      <c r="BH22" s="105">
        <f>'Alternative 2'!$B$39*$B22*$C22*COS($K$73)-($N$72/3)*$E22*SIN($K$73)-($N$72/3)*$F22*SIN($K$73)-($N$72/3)*$G22*SIN($K$73)</f>
        <v>7444.4805417183388</v>
      </c>
      <c r="BI22" s="106">
        <f>IF(($A22&lt;'Alternative 2'!$B$27),(($H22*'Alternative 2'!$B$39)+(3*($N$72/3)*COS($K$73))),IF(($A22&lt;'Alternative 2'!$B$28),(($H22*'Alternative 2'!$B$39)+(2*(($N$72/3)*COS($K$73)))),IF(($A22&lt;'Alternative 2'!$B$29),(($H$3*'Alternative 2'!$B$39+(($N$72/3)*COS($K$73)))),($H22*'Alternative 2'!$B$39))))</f>
        <v>10883.102482402279</v>
      </c>
      <c r="BJ22" s="105">
        <f>BH22*'Alternative 2'!$K23/'Alternative 2'!$L23</f>
        <v>118482.68777463543</v>
      </c>
      <c r="BK22" s="105">
        <f>BI22/'Alternative 2'!$M23</f>
        <v>15076.525755780294</v>
      </c>
      <c r="BL22" s="105">
        <f t="shared" si="9"/>
        <v>0.13355921353041572</v>
      </c>
      <c r="BN22" s="105">
        <f>'Alternative 2'!$B$39*$B22*$C22*COS($K$83)-($N$82/3)*$E22*SIN($K$83)-($N$82/3)*$F22*SIN($K$83)-($N$82/3)*$G22*SIN($K$83)</f>
        <v>3779.6618268632046</v>
      </c>
      <c r="BO22" s="106">
        <f>IF(($A22&lt;'Alternative 2'!$B$27),(($H22*'Alternative 2'!$B$39)+(3*($N$82/3)*COS($K$83))),IF(($A22&lt;'Alternative 2'!$B$28),(($H22*'Alternative 2'!$B$39)+(2*(($N$82/3)*COS($K$83)))),IF(($A22&lt;'Alternative 2'!$B$29),(($H$3*'Alternative 2'!$B$39+(($N$82/3)*COS($K$83)))),($H22*'Alternative 2'!$B$39))))</f>
        <v>10883.102482402279</v>
      </c>
      <c r="BP22" s="105">
        <f>BN22*'Alternative 2'!$K23/'Alternative 2'!$L23</f>
        <v>60155.237107057328</v>
      </c>
      <c r="BQ22" s="105">
        <f>BO22/'Alternative 2'!$M23</f>
        <v>15076.525755780294</v>
      </c>
      <c r="BR22" s="105">
        <f t="shared" si="10"/>
        <v>7.5231762862837628E-2</v>
      </c>
      <c r="BT22" s="105">
        <f>'Alternative 2'!$B$39*$B22*$C22*COS($K$93)-($K$92/3)*$E22*SIN($K$93)-($K$92/3)*$F22*SIN($K$93)-($K$92/3)*$G22*SIN($K$93)</f>
        <v>1.3333416190927318E-12</v>
      </c>
      <c r="BU22" s="106">
        <f>IF(($A22&lt;'Alternative 2'!$B$27),(($H22*'Alternative 2'!$B$39)+(3*($N$92/3)*COS($K$93))),IF(($A22&lt;'Alternative 2'!$B$28),(($H22*'Alternative 2'!$B$39)+(2*(($N$92/3)*COS($K$93)))),IF(($A22&lt;'Alternative 2'!$B$29),(($H$3*'Alternative 2'!$B$39+(($N$92/3)*COS($K$93)))),($H22*'Alternative 2'!$B$39))))</f>
        <v>10883.102482402279</v>
      </c>
      <c r="BV22" s="105">
        <f>BT22*'Alternative 2'!$K23/'Alternative 2'!$L23</f>
        <v>2.1220808875326373E-11</v>
      </c>
      <c r="BW22" s="105">
        <f>BU22/'Alternative 2'!$M23</f>
        <v>15076.525755780294</v>
      </c>
      <c r="BX22" s="105">
        <f t="shared" si="11"/>
        <v>1.5076525755780315E-2</v>
      </c>
      <c r="BZ22" s="104">
        <v>150</v>
      </c>
      <c r="CA22" s="104">
        <v>-150</v>
      </c>
    </row>
    <row r="23" spans="1:79" ht="15" customHeight="1" x14ac:dyDescent="0.25">
      <c r="A23" s="18">
        <f>IF('Alternative 2'!F24&gt;0,'Alternative 2'!F24,"x")</f>
        <v>21</v>
      </c>
      <c r="B23" s="18">
        <f t="shared" si="17"/>
        <v>3</v>
      </c>
      <c r="C23" s="18">
        <f t="shared" si="12"/>
        <v>1.5</v>
      </c>
      <c r="D23" s="18">
        <f t="shared" si="13"/>
        <v>21</v>
      </c>
      <c r="E23" s="101">
        <f>IF($A23&lt;='Alternative 2'!$B$27, IF($A23='Alternative 2'!$B$27,0,E24+1),0)</f>
        <v>0</v>
      </c>
      <c r="F23" s="101">
        <f>IF($A23&lt;=('Alternative 2'!$B$28), IF($A23=ROUNDDOWN('Alternative 2'!$B$28,0),0,F24+1),0)</f>
        <v>0</v>
      </c>
      <c r="G23" s="101">
        <f>IF($A23&lt;=('Alternative 2'!$B$29), IF($A23=ROUNDDOWN('Alternative 2'!$B$29,0),0,G24+1),0)</f>
        <v>0</v>
      </c>
      <c r="H23" s="18">
        <f t="shared" si="14"/>
        <v>3</v>
      </c>
      <c r="J23" s="104">
        <f t="shared" si="15"/>
        <v>20</v>
      </c>
      <c r="K23" s="109">
        <f t="shared" si="16"/>
        <v>0.3490658503988659</v>
      </c>
      <c r="L23" s="105">
        <f>'Alternative 2'!$B$27*SIN(K23)+'Alternative 2'!$B$28*SIN(K23)+'Alternative 2'!$B$29*SIN(K23)</f>
        <v>14.703445961570498</v>
      </c>
      <c r="M23" s="104">
        <f>(('Alternative 2'!$B$27)*(((('Alternative 2'!$B$28-'Alternative 2'!$B$27)/2)+'Alternative 2'!$B$27)*'Alternative 2'!$B$39)*COS('Alternative 2-Tilt Up (3pt)'!K23))+(('Alternative 2'!$B$28)*((('Alternative 2'!$B$28-'Alternative 2'!$B$27)/2)+(('Alternative 2'!$B$29-'Alternative 2'!$B$28)/2))*('Alternative 2'!$B$39)*COS('Alternative 2-Tilt Up (3pt)'!K23))+(('Alternative 2'!$B$29)*((('Alternative 2'!$B$12-'Alternative 2'!$B$29+(('Alternative 2'!$B$29-'Alternative 2'!$B$28)/2)*('Alternative 2'!$B$39)*COS('Alternative 2-Tilt Up (3pt)'!K23)))))</f>
        <v>573030.21021558007</v>
      </c>
      <c r="N23" s="104">
        <f t="shared" si="0"/>
        <v>116917.53315106014</v>
      </c>
      <c r="O23" s="104">
        <f>(((('Alternative 2'!$B$28-'Alternative 2'!$B$27)/2)+'Alternative 2'!$B$27)*('Alternative 2'!$B$39)*COS('Alternative 2-Tilt Up (3pt)'!K23))+(((('Alternative 2'!$B$28-'Alternative 2'!$B$27)/2)+(('Alternative 2'!$B$29-'Alternative 2'!$B$28)/2))*('Alternative 2'!$B$39)*COS('Alternative 2-Tilt Up (3pt)'!K23))+(((('Alternative 2'!$B$12-'Alternative 2'!$B$29)+(('Alternative 2'!$B$29-'Alternative 2'!$B$28)/2))*('Alternative 2'!$B$39)*COS('Alternative 2-Tilt Up (3pt)'!K23)))</f>
        <v>58803.933790328781</v>
      </c>
      <c r="P23" s="109">
        <f t="shared" si="1"/>
        <v>109866.54314254303</v>
      </c>
      <c r="R23" s="105">
        <f>('Alternative 2'!$B$39*$B23*$C23*COS($K$5))-(($N$5/3)*$E23*SIN($K$5))-(($N$5/3)*$F23*SIN($K$5))-(($N$5/3)*$G23*SIN($K$5))</f>
        <v>12236.031889224285</v>
      </c>
      <c r="S23" s="106">
        <f>IF(($A23&lt;'Alternative 2'!$B$27),(($H23*'Alternative 2'!$B$39)+(3*($N$5/3)*COS($K$5))),IF(($A23&lt;'Alternative 2'!$B$28),(($H23*'Alternative 2'!$B$39)+(2*(($N$5/3)*COS($K$5)))),IF(($A23&lt;'Alternative 2'!$B$29),(($H$3*'Alternative 2'!$B$39+(($N$5/3)*COS($K$5)))),($H23*'Alternative 2'!$B$39))))</f>
        <v>8162.3268618017091</v>
      </c>
      <c r="T23" s="105">
        <f>R23*'Alternative 2'!$K24/'Alternative 2'!$L24</f>
        <v>194742.660392099</v>
      </c>
      <c r="U23" s="105">
        <f>S23/'Alternative 2'!$M24</f>
        <v>11783.443469931148</v>
      </c>
      <c r="V23" s="105">
        <f t="shared" si="2"/>
        <v>0.20652610386203013</v>
      </c>
      <c r="X23" s="105">
        <f>'Alternative 2'!$B$39*$B23*$C23*COS($K$13)-($N$12/3)*$E23*SIN($K$13)-($N$12/3)*$F23*SIN($K$13)-($N$12/3)*$G23*SIN($K$13)</f>
        <v>12057.484164183192</v>
      </c>
      <c r="Y23" s="106">
        <f>IF(($A23&lt;'Alternative 2'!$B$27),(($H23*'Alternative 2'!$B$39)+(3*($N$12/3)*COS($K$13))),IF(($A23&lt;'Alternative 2'!$B$28),(($H23*'Alternative 2'!$B$39)+(2*(($N$12/3)*COS($K$13)))),IF(($A23&lt;'Alternative 2'!$B$29),(($H$3*'Alternative 2'!$B$39+(($N$12/3)*COS($K$13)))),($H23*'Alternative 2'!$B$39))))</f>
        <v>8162.3268618017091</v>
      </c>
      <c r="Z23" s="105">
        <f>X23*'Alternative 2'!$K24/'Alternative 2'!$L24</f>
        <v>191900.98269002629</v>
      </c>
      <c r="AA23" s="105">
        <f>Y23/'Alternative 2'!$M24</f>
        <v>11783.443469931148</v>
      </c>
      <c r="AB23" s="105">
        <f t="shared" si="3"/>
        <v>0.20368442615995741</v>
      </c>
      <c r="AD23" s="105">
        <f>'Alternative 2'!$B$39*$B23*$C23*COS($K$23)-($N$22/3)*$E23*SIN($K$23)-($N$22/3)*$F23*SIN($K$23)-($N$22/3)*$G23*SIN($K$23)</f>
        <v>11505.117480716501</v>
      </c>
      <c r="AE23" s="106">
        <f>IF(($A23&lt;'Alternative 2'!$B$27),(($H23*'Alternative 2'!$B$39)+(3*($N$22/3)*COS($K$23))),IF(($A23&lt;'Alternative 2'!$B$28),(($H23*'Alternative 2'!$B$39)+(2*(($N$22/3)*COS($K$23)))),IF(($A23&lt;'Alternative 2'!$B$29),(($H$3*'Alternative 2'!$B$39+(($N$22/3)*COS($K$23)))),($H23*'Alternative 2'!$B$39))))</f>
        <v>8162.3268618017091</v>
      </c>
      <c r="AF23" s="105">
        <f>AD23*'Alternative 2'!$K24/'Alternative 2'!$L24</f>
        <v>183109.78645712047</v>
      </c>
      <c r="AG23" s="105">
        <f>AE23/'Alternative 2'!$M24</f>
        <v>11783.443469931148</v>
      </c>
      <c r="AH23" s="105">
        <f t="shared" si="4"/>
        <v>0.1948932299270516</v>
      </c>
      <c r="AJ23" s="105">
        <f>'Alternative 2'!$B$39*$B23*$C23*COS($K$33)-($N$32/3)*$E23*SIN($K$33)-($N$32/3)*$F23*SIN($K$33)-($N$32/3)*$G23*SIN($K$33)</f>
        <v>10603.173624468593</v>
      </c>
      <c r="AK23" s="106">
        <f>IF(($A23&lt;'Alternative 2'!$B$27),(($H23*'Alternative 2'!$B$39)+(3*($N$32/3)*COS($K$33))),IF(($A23&lt;'Alternative 2'!$B$28),(($H23*'Alternative 2'!$B$39)+(2*(($N$32/3)*COS($K$33)))),IF(($A23&lt;'Alternative 2'!$B$29),(($H$3*'Alternative 2'!$B$39+(($N$32/3)*COS($K$33)))),($H23*'Alternative 2'!$B$39))))</f>
        <v>8162.3268618017091</v>
      </c>
      <c r="AL23" s="105">
        <f>AJ23*'Alternative 2'!$K24/'Alternative 2'!$L24</f>
        <v>168754.89202073781</v>
      </c>
      <c r="AM23" s="105">
        <f>AK23/'Alternative 2'!$M24</f>
        <v>11783.443469931148</v>
      </c>
      <c r="AN23" s="105">
        <f t="shared" si="5"/>
        <v>0.18053833549066894</v>
      </c>
      <c r="AP23" s="105">
        <f>'Alternative 2'!$B$39*$B23*$C23*COS($K$43)-($N$42/3)*$E23*SIN($K$43)-($N$42/3)*$F23*SIN($K$43)-($N$42/3)*$G23*SIN($K$43)</f>
        <v>9379.0577031059474</v>
      </c>
      <c r="AQ23" s="106">
        <f>IF(($A23&lt;'Alternative 2'!$B$27),(($H23*'Alternative 2'!$B$39)+(3*($N$42/3)*COS($K$43))),IF(($A23&lt;'Alternative 2'!$B$28),(($H23*'Alternative 2'!$B$39)+(2*(($N$42/3)*COS($K$43)))),IF(($A23&lt;'Alternative 2'!$B$29),(($H$3*'Alternative 2'!$B$39+(($N$42/3)*COS($K$43)))),($H23*'Alternative 2'!$B$39))))</f>
        <v>8162.3268618017091</v>
      </c>
      <c r="AR23" s="105">
        <f>AP23*'Alternative 2'!$K24/'Alternative 2'!$L24</f>
        <v>149272.46558440072</v>
      </c>
      <c r="AS23" s="105">
        <f>AQ23/'Alternative 2'!$M24</f>
        <v>11783.443469931148</v>
      </c>
      <c r="AT23" s="105">
        <f t="shared" si="6"/>
        <v>0.16105590905433187</v>
      </c>
      <c r="AV23" s="105">
        <f>'Alternative 2'!$B$39*$B23*$C23*COS($K$53)-($N$52/3)*$E23*SIN($K$53)-($N$52/3)*$F23*SIN($K$53)-($N$52/3)*$G23*SIN($K$53)</f>
        <v>7869.9638594666285</v>
      </c>
      <c r="AW23" s="106">
        <f>IF(($A23&lt;'Alternative 2'!$B$27),(($H23*'Alternative 2'!$B$39)+(3*($N$52/3)*COS($K$53))),IF(($A23&lt;'Alternative 2'!$B$28),(($H23*'Alternative 2'!$B$39)+(2*(($N$52/3)*COS($K$53)))),IF(($A23&lt;'Alternative 2'!$B$29),(($H$3*'Alternative 2'!$B$39+(($N$52/3)*COS($K$53)))),($H23*'Alternative 2'!$B$39))))</f>
        <v>8162.3268618017091</v>
      </c>
      <c r="AX23" s="105">
        <f>AV23*'Alternative 2'!$K24/'Alternative 2'!$L24</f>
        <v>125254.47081679388</v>
      </c>
      <c r="AY23" s="105">
        <f>AW23/'Alternative 2'!$M24</f>
        <v>11783.443469931148</v>
      </c>
      <c r="AZ23" s="105">
        <f t="shared" si="7"/>
        <v>0.13703791428672502</v>
      </c>
      <c r="BB23" s="105">
        <f>'Alternative 2'!$B$39*$B23*$C23*COS($K$63)-($N$62/3)*$E23*SIN($K$63)-($N$62/3)*$F23*SIN($K$63)-($N$62/3)*$G23*SIN($K$63)</f>
        <v>6121.7451463512825</v>
      </c>
      <c r="BC23" s="106">
        <f>IF(($A23&lt;'Alternative 2'!$B$27),(($H23*'Alternative 2'!$B$39)+(3*($N$62/3)*COS($K$63))),IF(($A23&lt;'Alternative 2'!$B$28),(($H23*'Alternative 2'!$B$39)+(2*(($N$62/3)*COS($K$63)))),IF(($A23&lt;'Alternative 2'!$B$29),(($H$3*'Alternative 2'!$B$39+(($N$62/3)*COS($K$63)))),($H23*'Alternative 2'!$B$39))))</f>
        <v>8162.3268618017091</v>
      </c>
      <c r="BD23" s="105">
        <f>BB23*'Alternative 2'!$K24/'Alternative 2'!$L24</f>
        <v>97430.682335239224</v>
      </c>
      <c r="BE23" s="105">
        <f>BC23/'Alternative 2'!$M24</f>
        <v>11783.443469931148</v>
      </c>
      <c r="BF23" s="105">
        <f t="shared" si="8"/>
        <v>0.10921412580517038</v>
      </c>
      <c r="BH23" s="105">
        <f>'Alternative 2'!$B$39*$B23*$C23*COS($K$73)-($N$72/3)*$E23*SIN($K$73)-($N$72/3)*$F23*SIN($K$73)-($N$72/3)*$G23*SIN($K$73)</f>
        <v>4187.520304716566</v>
      </c>
      <c r="BI23" s="106">
        <f>IF(($A23&lt;'Alternative 2'!$B$27),(($H23*'Alternative 2'!$B$39)+(3*($N$72/3)*COS($K$73))),IF(($A23&lt;'Alternative 2'!$B$28),(($H23*'Alternative 2'!$B$39)+(2*(($N$72/3)*COS($K$73)))),IF(($A23&lt;'Alternative 2'!$B$29),(($H$3*'Alternative 2'!$B$39+(($N$72/3)*COS($K$73)))),($H23*'Alternative 2'!$B$39))))</f>
        <v>8162.3268618017091</v>
      </c>
      <c r="BJ23" s="105">
        <f>BH23*'Alternative 2'!$K24/'Alternative 2'!$L24</f>
        <v>66646.511873232448</v>
      </c>
      <c r="BK23" s="105">
        <f>BI23/'Alternative 2'!$M24</f>
        <v>11783.443469931148</v>
      </c>
      <c r="BL23" s="105">
        <f t="shared" si="9"/>
        <v>7.8429955343163604E-2</v>
      </c>
      <c r="BN23" s="105">
        <f>'Alternative 2'!$B$39*$B23*$C23*COS($K$83)-($N$82/3)*$E23*SIN($K$83)-($N$82/3)*$F23*SIN($K$83)-($N$82/3)*$G23*SIN($K$83)</f>
        <v>2126.0597776105524</v>
      </c>
      <c r="BO23" s="106">
        <f>IF(($A23&lt;'Alternative 2'!$B$27),(($H23*'Alternative 2'!$B$39)+(3*($N$82/3)*COS($K$83))),IF(($A23&lt;'Alternative 2'!$B$28),(($H23*'Alternative 2'!$B$39)+(2*(($N$82/3)*COS($K$83)))),IF(($A23&lt;'Alternative 2'!$B$29),(($H$3*'Alternative 2'!$B$39+(($N$82/3)*COS($K$83)))),($H23*'Alternative 2'!$B$39))))</f>
        <v>8162.3268618017091</v>
      </c>
      <c r="BP23" s="105">
        <f>BN23*'Alternative 2'!$K24/'Alternative 2'!$L24</f>
        <v>33837.320872719749</v>
      </c>
      <c r="BQ23" s="105">
        <f>BO23/'Alternative 2'!$M24</f>
        <v>11783.443469931148</v>
      </c>
      <c r="BR23" s="105">
        <f t="shared" si="10"/>
        <v>4.5620764342650895E-2</v>
      </c>
      <c r="BT23" s="105">
        <f>'Alternative 2'!$B$39*$B23*$C23*COS($K$93)-($K$92/3)*$E23*SIN($K$93)-($K$92/3)*$F23*SIN($K$93)-($K$92/3)*$G23*SIN($K$93)</f>
        <v>7.5000466073966161E-13</v>
      </c>
      <c r="BU23" s="106">
        <f>IF(($A23&lt;'Alternative 2'!$B$27),(($H23*'Alternative 2'!$B$39)+(3*($N$92/3)*COS($K$93))),IF(($A23&lt;'Alternative 2'!$B$28),(($H23*'Alternative 2'!$B$39)+(2*(($N$92/3)*COS($K$93)))),IF(($A23&lt;'Alternative 2'!$B$29),(($H$3*'Alternative 2'!$B$39+(($N$92/3)*COS($K$93)))),($H23*'Alternative 2'!$B$39))))</f>
        <v>8162.3268618017091</v>
      </c>
      <c r="BV23" s="105">
        <f>BT23*'Alternative 2'!$K24/'Alternative 2'!$L24</f>
        <v>1.1936704992371088E-11</v>
      </c>
      <c r="BW23" s="105">
        <f>BU23/'Alternative 2'!$M24</f>
        <v>11783.443469931148</v>
      </c>
      <c r="BX23" s="105">
        <f t="shared" si="11"/>
        <v>1.1783443469931161E-2</v>
      </c>
      <c r="BZ23" s="104">
        <v>150</v>
      </c>
      <c r="CA23" s="104">
        <v>-150</v>
      </c>
    </row>
    <row r="24" spans="1:79" ht="15" customHeight="1" x14ac:dyDescent="0.25">
      <c r="A24" s="18">
        <f>IF('Alternative 2'!F25&gt;0,'Alternative 2'!F25,"x")</f>
        <v>22</v>
      </c>
      <c r="B24" s="18">
        <f t="shared" si="17"/>
        <v>2</v>
      </c>
      <c r="C24" s="18">
        <f t="shared" si="12"/>
        <v>1</v>
      </c>
      <c r="D24" s="18">
        <f t="shared" si="13"/>
        <v>22</v>
      </c>
      <c r="E24" s="101">
        <f>IF($A24&lt;='Alternative 2'!$B$27, IF($A24='Alternative 2'!$B$27,0,E25+1),0)</f>
        <v>0</v>
      </c>
      <c r="F24" s="101">
        <f>IF($A24&lt;=('Alternative 2'!$B$28), IF($A24=ROUNDDOWN('Alternative 2'!$B$28,0),0,F25+1),0)</f>
        <v>0</v>
      </c>
      <c r="G24" s="101">
        <f>IF($A24&lt;=('Alternative 2'!$B$29), IF($A24=ROUNDDOWN('Alternative 2'!$B$29,0),0,G25+1),0)</f>
        <v>0</v>
      </c>
      <c r="H24" s="18">
        <f t="shared" si="14"/>
        <v>2</v>
      </c>
      <c r="J24" s="104">
        <f t="shared" si="15"/>
        <v>21</v>
      </c>
      <c r="K24" s="104">
        <f t="shared" si="16"/>
        <v>0.36651914291880922</v>
      </c>
      <c r="L24" s="105">
        <f>'Alternative 2'!$B$27*SIN(K24)+'Alternative 2'!$B$28*SIN(K24)+'Alternative 2'!$B$29*SIN(K24)</f>
        <v>15.406238150952458</v>
      </c>
      <c r="M24" s="104">
        <f>(('Alternative 2'!$B$27)*(((('Alternative 2'!$B$28-'Alternative 2'!$B$27)/2)+'Alternative 2'!$B$27)*'Alternative 2'!$B$39)*COS('Alternative 2-Tilt Up (3pt)'!K24))+(('Alternative 2'!$B$28)*((('Alternative 2'!$B$28-'Alternative 2'!$B$27)/2)+(('Alternative 2'!$B$29-'Alternative 2'!$B$28)/2))*('Alternative 2'!$B$39)*COS('Alternative 2-Tilt Up (3pt)'!K24))+(('Alternative 2'!$B$29)*((('Alternative 2'!$B$12-'Alternative 2'!$B$29+(('Alternative 2'!$B$29-'Alternative 2'!$B$28)/2)*('Alternative 2'!$B$39)*COS('Alternative 2-Tilt Up (3pt)'!K24)))))</f>
        <v>569303.48414762388</v>
      </c>
      <c r="N24" s="104">
        <f t="shared" si="0"/>
        <v>110858.37020747883</v>
      </c>
      <c r="O24" s="104">
        <f>(((('Alternative 2'!$B$28-'Alternative 2'!$B$27)/2)+'Alternative 2'!$B$27)*('Alternative 2'!$B$39)*COS('Alternative 2-Tilt Up (3pt)'!K24))+(((('Alternative 2'!$B$28-'Alternative 2'!$B$27)/2)+(('Alternative 2'!$B$29-'Alternative 2'!$B$28)/2))*('Alternative 2'!$B$39)*COS('Alternative 2-Tilt Up (3pt)'!K24))+(((('Alternative 2'!$B$12-'Alternative 2'!$B$29)+(('Alternative 2'!$B$29-'Alternative 2'!$B$28)/2))*('Alternative 2'!$B$39)*COS('Alternative 2-Tilt Up (3pt)'!K24)))</f>
        <v>58421.445878519778</v>
      </c>
      <c r="P24" s="104">
        <f t="shared" si="1"/>
        <v>103495.20453908277</v>
      </c>
      <c r="R24" s="105">
        <f>('Alternative 2'!$B$39*$B24*$C24*COS($K$5))-(($N$5/3)*$E24*SIN($K$5))-(($N$5/3)*$F24*SIN($K$5))-(($N$5/3)*$G24*SIN($K$5))</f>
        <v>5438.2363952107935</v>
      </c>
      <c r="S24" s="106">
        <f>IF(($A24&lt;'Alternative 2'!$B$27),(($H24*'Alternative 2'!$B$39)+(3*($N$5/3)*COS($K$5))),IF(($A24&lt;'Alternative 2'!$B$28),(($H24*'Alternative 2'!$B$39)+(2*(($N$5/3)*COS($K$5)))),IF(($A24&lt;'Alternative 2'!$B$29),(($H$3*'Alternative 2'!$B$39+(($N$5/3)*COS($K$5)))),($H24*'Alternative 2'!$B$39))))</f>
        <v>5441.5512412011394</v>
      </c>
      <c r="T24" s="105">
        <f>R24*'Alternative 2'!$K25/'Alternative 2'!$L25</f>
        <v>86552.293507599548</v>
      </c>
      <c r="U24" s="105">
        <f>S24/'Alternative 2'!$M25</f>
        <v>8193.4672565931396</v>
      </c>
      <c r="V24" s="105">
        <f t="shared" si="2"/>
        <v>9.4745760764192694E-2</v>
      </c>
      <c r="X24" s="105">
        <f>'Alternative 2'!$B$39*$B24*$C24*COS($K$13)-($N$12/3)*$E24*SIN($K$13)-($N$12/3)*$F24*SIN($K$13)-($N$12/3)*$G24*SIN($K$13)</f>
        <v>5358.8818507480855</v>
      </c>
      <c r="Y24" s="106">
        <f>IF(($A24&lt;'Alternative 2'!$B$27),(($H24*'Alternative 2'!$B$39)+(3*($N$12/3)*COS($K$13))),IF(($A24&lt;'Alternative 2'!$B$28),(($H24*'Alternative 2'!$B$39)+(2*(($N$12/3)*COS($K$13)))),IF(($A24&lt;'Alternative 2'!$B$29),(($H$3*'Alternative 2'!$B$39+(($N$12/3)*COS($K$13)))),($H24*'Alternative 2'!$B$39))))</f>
        <v>5441.5512412011394</v>
      </c>
      <c r="Z24" s="105">
        <f>X24*'Alternative 2'!$K25/'Alternative 2'!$L25</f>
        <v>85289.325640011681</v>
      </c>
      <c r="AA24" s="105">
        <f>Y24/'Alternative 2'!$M25</f>
        <v>8193.4672565931396</v>
      </c>
      <c r="AB24" s="105">
        <f t="shared" si="3"/>
        <v>9.3482792896604827E-2</v>
      </c>
      <c r="AD24" s="105">
        <f>'Alternative 2'!$B$39*$B24*$C24*COS($K$23)-($N$22/3)*$E24*SIN($K$23)-($N$22/3)*$F24*SIN($K$23)-($N$22/3)*$G24*SIN($K$23)</f>
        <v>5113.3855469851114</v>
      </c>
      <c r="AE24" s="106">
        <f>IF(($A24&lt;'Alternative 2'!$B$27),(($H24*'Alternative 2'!$B$39)+(3*($N$22/3)*COS($K$23))),IF(($A24&lt;'Alternative 2'!$B$28),(($H24*'Alternative 2'!$B$39)+(2*(($N$22/3)*COS($K$23)))),IF(($A24&lt;'Alternative 2'!$B$29),(($H$3*'Alternative 2'!$B$39+(($N$22/3)*COS($K$23)))),($H24*'Alternative 2'!$B$39))))</f>
        <v>5441.5512412011394</v>
      </c>
      <c r="AF24" s="105">
        <f>AD24*'Alternative 2'!$K25/'Alternative 2'!$L25</f>
        <v>81382.127314275756</v>
      </c>
      <c r="AG24" s="105">
        <f>AE24/'Alternative 2'!$M25</f>
        <v>8193.4672565931396</v>
      </c>
      <c r="AH24" s="105">
        <f t="shared" si="4"/>
        <v>8.9575594570868902E-2</v>
      </c>
      <c r="AJ24" s="105">
        <f>'Alternative 2'!$B$39*$B24*$C24*COS($K$33)-($N$32/3)*$E24*SIN($K$33)-($N$32/3)*$F24*SIN($K$33)-($N$32/3)*$G24*SIN($K$33)</f>
        <v>4712.52161087493</v>
      </c>
      <c r="AK24" s="106">
        <f>IF(($A24&lt;'Alternative 2'!$B$27),(($H24*'Alternative 2'!$B$39)+(3*($N$32/3)*COS($K$33))),IF(($A24&lt;'Alternative 2'!$B$28),(($H24*'Alternative 2'!$B$39)+(2*(($N$32/3)*COS($K$33)))),IF(($A24&lt;'Alternative 2'!$B$29),(($H$3*'Alternative 2'!$B$39+(($N$32/3)*COS($K$33)))),($H24*'Alternative 2'!$B$39))))</f>
        <v>5441.5512412011394</v>
      </c>
      <c r="AL24" s="105">
        <f>AJ24*'Alternative 2'!$K25/'Alternative 2'!$L25</f>
        <v>75002.174231439029</v>
      </c>
      <c r="AM24" s="105">
        <f>AK24/'Alternative 2'!$M25</f>
        <v>8193.4672565931396</v>
      </c>
      <c r="AN24" s="105">
        <f t="shared" si="5"/>
        <v>8.3195641488032171E-2</v>
      </c>
      <c r="AP24" s="105">
        <f>'Alternative 2'!$B$39*$B24*$C24*COS($K$43)-($N$42/3)*$E24*SIN($K$43)-($N$42/3)*$F24*SIN($K$43)-($N$42/3)*$G24*SIN($K$43)</f>
        <v>4168.4700902693103</v>
      </c>
      <c r="AQ24" s="106">
        <f>IF(($A24&lt;'Alternative 2'!$B$27),(($H24*'Alternative 2'!$B$39)+(3*($N$42/3)*COS($K$43))),IF(($A24&lt;'Alternative 2'!$B$28),(($H24*'Alternative 2'!$B$39)+(2*(($N$42/3)*COS($K$43)))),IF(($A24&lt;'Alternative 2'!$B$29),(($H$3*'Alternative 2'!$B$39+(($N$42/3)*COS($K$43)))),($H24*'Alternative 2'!$B$39))))</f>
        <v>5441.5512412011394</v>
      </c>
      <c r="AR24" s="105">
        <f>AP24*'Alternative 2'!$K25/'Alternative 2'!$L25</f>
        <v>66343.318037511417</v>
      </c>
      <c r="AS24" s="105">
        <f>AQ24/'Alternative 2'!$M25</f>
        <v>8193.4672565931396</v>
      </c>
      <c r="AT24" s="105">
        <f t="shared" si="6"/>
        <v>7.4536785294104554E-2</v>
      </c>
      <c r="AV24" s="105">
        <f>'Alternative 2'!$B$39*$B24*$C24*COS($K$53)-($N$52/3)*$E24*SIN($K$53)-($N$52/3)*$F24*SIN($K$53)-($N$52/3)*$G24*SIN($K$53)</f>
        <v>3497.761715318502</v>
      </c>
      <c r="AW24" s="106">
        <f>IF(($A24&lt;'Alternative 2'!$B$27),(($H24*'Alternative 2'!$B$39)+(3*($N$52/3)*COS($K$53))),IF(($A24&lt;'Alternative 2'!$B$28),(($H24*'Alternative 2'!$B$39)+(2*(($N$52/3)*COS($K$53)))),IF(($A24&lt;'Alternative 2'!$B$29),(($H$3*'Alternative 2'!$B$39+(($N$52/3)*COS($K$53)))),($H24*'Alternative 2'!$B$39))))</f>
        <v>5441.5512412011394</v>
      </c>
      <c r="AX24" s="105">
        <f>AV24*'Alternative 2'!$K25/'Alternative 2'!$L25</f>
        <v>55668.653696352834</v>
      </c>
      <c r="AY24" s="105">
        <f>AW24/'Alternative 2'!$M25</f>
        <v>8193.4672565931396</v>
      </c>
      <c r="AZ24" s="105">
        <f t="shared" si="7"/>
        <v>6.386212095294598E-2</v>
      </c>
      <c r="BB24" s="105">
        <f>'Alternative 2'!$B$39*$B24*$C24*COS($K$63)-($N$62/3)*$E24*SIN($K$63)-($N$62/3)*$F24*SIN($K$63)-($N$62/3)*$G24*SIN($K$63)</f>
        <v>2720.7756206005702</v>
      </c>
      <c r="BC24" s="106">
        <f>IF(($A24&lt;'Alternative 2'!$B$27),(($H24*'Alternative 2'!$B$39)+(3*($N$62/3)*COS($K$63))),IF(($A24&lt;'Alternative 2'!$B$28),(($H24*'Alternative 2'!$B$39)+(2*(($N$62/3)*COS($K$63)))),IF(($A24&lt;'Alternative 2'!$B$29),(($H$3*'Alternative 2'!$B$39+(($N$62/3)*COS($K$63)))),($H24*'Alternative 2'!$B$39))))</f>
        <v>5441.5512412011394</v>
      </c>
      <c r="BD24" s="105">
        <f>BB24*'Alternative 2'!$K25/'Alternative 2'!$L25</f>
        <v>43302.525482328543</v>
      </c>
      <c r="BE24" s="105">
        <f>BC24/'Alternative 2'!$M25</f>
        <v>8193.4672565931396</v>
      </c>
      <c r="BF24" s="105">
        <f t="shared" si="8"/>
        <v>5.1495992738921685E-2</v>
      </c>
      <c r="BH24" s="105">
        <f>'Alternative 2'!$B$39*$B24*$C24*COS($K$73)-($N$72/3)*$E24*SIN($K$73)-($N$72/3)*$F24*SIN($K$73)-($N$72/3)*$G24*SIN($K$73)</f>
        <v>1861.1201354295847</v>
      </c>
      <c r="BI24" s="106">
        <f>IF(($A24&lt;'Alternative 2'!$B$27),(($H24*'Alternative 2'!$B$39)+(3*($N$72/3)*COS($K$73))),IF(($A24&lt;'Alternative 2'!$B$28),(($H24*'Alternative 2'!$B$39)+(2*(($N$72/3)*COS($K$73)))),IF(($A24&lt;'Alternative 2'!$B$29),(($H$3*'Alternative 2'!$B$39+(($N$72/3)*COS($K$73)))),($H24*'Alternative 2'!$B$39))))</f>
        <v>5441.5512412011394</v>
      </c>
      <c r="BJ24" s="105">
        <f>BH24*'Alternative 2'!$K25/'Alternative 2'!$L25</f>
        <v>29620.671943658857</v>
      </c>
      <c r="BK24" s="105">
        <f>BI24/'Alternative 2'!$M25</f>
        <v>8193.4672565931396</v>
      </c>
      <c r="BL24" s="105">
        <f t="shared" si="9"/>
        <v>3.7814139200251999E-2</v>
      </c>
      <c r="BN24" s="105">
        <f>'Alternative 2'!$B$39*$B24*$C24*COS($K$83)-($N$82/3)*$E24*SIN($K$83)-($N$82/3)*$F24*SIN($K$83)-($N$82/3)*$G24*SIN($K$83)</f>
        <v>944.91545671580116</v>
      </c>
      <c r="BO24" s="106">
        <f>IF(($A24&lt;'Alternative 2'!$B$27),(($H24*'Alternative 2'!$B$39)+(3*($N$82/3)*COS($K$83))),IF(($A24&lt;'Alternative 2'!$B$28),(($H24*'Alternative 2'!$B$39)+(2*(($N$82/3)*COS($K$83)))),IF(($A24&lt;'Alternative 2'!$B$29),(($H$3*'Alternative 2'!$B$39+(($N$82/3)*COS($K$83)))),($H24*'Alternative 2'!$B$39))))</f>
        <v>5441.5512412011394</v>
      </c>
      <c r="BP24" s="105">
        <f>BN24*'Alternative 2'!$K25/'Alternative 2'!$L25</f>
        <v>15038.809276764332</v>
      </c>
      <c r="BQ24" s="105">
        <f>BO24/'Alternative 2'!$M25</f>
        <v>8193.4672565931396</v>
      </c>
      <c r="BR24" s="105">
        <f t="shared" si="10"/>
        <v>2.3232276533357472E-2</v>
      </c>
      <c r="BT24" s="105">
        <f>'Alternative 2'!$B$39*$B24*$C24*COS($K$93)-($K$92/3)*$E24*SIN($K$93)-($K$92/3)*$F24*SIN($K$93)-($K$92/3)*$G24*SIN($K$93)</f>
        <v>3.3333540477318296E-13</v>
      </c>
      <c r="BU24" s="106">
        <f>IF(($A24&lt;'Alternative 2'!$B$27),(($H24*'Alternative 2'!$B$39)+(3*($N$92/3)*COS($K$93))),IF(($A24&lt;'Alternative 2'!$B$28),(($H24*'Alternative 2'!$B$39)+(2*(($N$92/3)*COS($K$93)))),IF(($A24&lt;'Alternative 2'!$B$29),(($H$3*'Alternative 2'!$B$39+(($N$92/3)*COS($K$93)))),($H24*'Alternative 2'!$B$39))))</f>
        <v>5441.5512412011394</v>
      </c>
      <c r="BV24" s="105">
        <f>BT24*'Alternative 2'!$K25/'Alternative 2'!$L25</f>
        <v>5.3052022188315939E-12</v>
      </c>
      <c r="BW24" s="105">
        <f>BU24/'Alternative 2'!$M25</f>
        <v>8193.4672565931396</v>
      </c>
      <c r="BX24" s="105">
        <f t="shared" si="11"/>
        <v>8.1934672565931455E-3</v>
      </c>
      <c r="BZ24" s="104">
        <v>150</v>
      </c>
      <c r="CA24" s="104">
        <v>-150</v>
      </c>
    </row>
    <row r="25" spans="1:79" ht="15" customHeight="1" x14ac:dyDescent="0.25">
      <c r="A25" s="18">
        <f>IF('Alternative 2'!F26&gt;0,'Alternative 2'!F26,"x")</f>
        <v>23</v>
      </c>
      <c r="B25" s="18">
        <f t="shared" si="17"/>
        <v>1</v>
      </c>
      <c r="C25" s="18">
        <f t="shared" si="12"/>
        <v>0.5</v>
      </c>
      <c r="D25" s="18">
        <f t="shared" si="13"/>
        <v>23</v>
      </c>
      <c r="E25" s="101">
        <f>IF($A25&lt;='Alternative 2'!$B$27, IF($A25='Alternative 2'!$B$27,0,E26+1),0)</f>
        <v>0</v>
      </c>
      <c r="F25" s="101">
        <f>IF($A25&lt;=('Alternative 2'!$B$28), IF($A25=ROUNDDOWN('Alternative 2'!$B$28,0),0,F26+1),0)</f>
        <v>0</v>
      </c>
      <c r="G25" s="101">
        <f>IF($A25&lt;=('Alternative 2'!$B$29), IF($A25=ROUNDDOWN('Alternative 2'!$B$29,0),0,G26+1),0)</f>
        <v>0</v>
      </c>
      <c r="H25" s="18">
        <f t="shared" si="14"/>
        <v>1</v>
      </c>
      <c r="J25" s="104">
        <f t="shared" si="15"/>
        <v>22</v>
      </c>
      <c r="K25" s="104">
        <f t="shared" si="16"/>
        <v>0.38397243543875248</v>
      </c>
      <c r="L25" s="105">
        <f>'Alternative 2'!$B$27*SIN(K25)+'Alternative 2'!$B$28*SIN(K25)+'Alternative 2'!$B$29*SIN(K25)</f>
        <v>16.104337450950059</v>
      </c>
      <c r="M25" s="104">
        <f>(('Alternative 2'!$B$27)*(((('Alternative 2'!$B$28-'Alternative 2'!$B$27)/2)+'Alternative 2'!$B$27)*'Alternative 2'!$B$39)*COS('Alternative 2-Tilt Up (3pt)'!K25))+(('Alternative 2'!$B$28)*((('Alternative 2'!$B$28-'Alternative 2'!$B$27)/2)+(('Alternative 2'!$B$29-'Alternative 2'!$B$28)/2))*('Alternative 2'!$B$39)*COS('Alternative 2-Tilt Up (3pt)'!K25))+(('Alternative 2'!$B$29)*((('Alternative 2'!$B$12-'Alternative 2'!$B$29+(('Alternative 2'!$B$29-'Alternative 2'!$B$28)/2)*('Alternative 2'!$B$39)*COS('Alternative 2-Tilt Up (3pt)'!K25)))))</f>
        <v>565403.36739206244</v>
      </c>
      <c r="N25" s="104">
        <f t="shared" si="0"/>
        <v>105326.28910331987</v>
      </c>
      <c r="O25" s="104">
        <f>(((('Alternative 2'!$B$28-'Alternative 2'!$B$27)/2)+'Alternative 2'!$B$27)*('Alternative 2'!$B$39)*COS('Alternative 2-Tilt Up (3pt)'!K25))+(((('Alternative 2'!$B$28-'Alternative 2'!$B$27)/2)+(('Alternative 2'!$B$29-'Alternative 2'!$B$28)/2))*('Alternative 2'!$B$39)*COS('Alternative 2-Tilt Up (3pt)'!K25))+(((('Alternative 2'!$B$12-'Alternative 2'!$B$29)+(('Alternative 2'!$B$29-'Alternative 2'!$B$28)/2))*('Alternative 2'!$B$39)*COS('Alternative 2-Tilt Up (3pt)'!K25)))</f>
        <v>58021.162228354922</v>
      </c>
      <c r="P25" s="104">
        <f t="shared" si="1"/>
        <v>97656.83471803194</v>
      </c>
      <c r="R25" s="105">
        <f>('Alternative 2'!$B$39*$B25*$C25*COS($K$5))-(($N$5/3)*$E25*SIN($K$5))-(($N$5/3)*$F25*SIN($K$5))-(($N$5/3)*$G25*SIN($K$5))</f>
        <v>1359.5590988026984</v>
      </c>
      <c r="S25" s="106">
        <f>IF(($A25&lt;'Alternative 2'!$B$27),(($H25*'Alternative 2'!$B$39)+(3*($N$5/3)*COS($K$5))),IF(($A25&lt;'Alternative 2'!$B$28),(($H25*'Alternative 2'!$B$39)+(2*(($N$5/3)*COS($K$5)))),IF(($A25&lt;'Alternative 2'!$B$29),(($H$3*'Alternative 2'!$B$39+(($N$5/3)*COS($K$5)))),($H25*'Alternative 2'!$B$39))))</f>
        <v>2720.7756206005697</v>
      </c>
      <c r="T25" s="105">
        <f>R25*'Alternative 2'!$K26/'Alternative 2'!$L26</f>
        <v>21638.073376899887</v>
      </c>
      <c r="U25" s="105">
        <f>S25/'Alternative 2'!$M26</f>
        <v>4276.7885561942912</v>
      </c>
      <c r="V25" s="105">
        <f t="shared" si="2"/>
        <v>2.5914861933094179E-2</v>
      </c>
      <c r="X25" s="105">
        <f>'Alternative 2'!$B$39*$B25*$C25*COS($K$13)-($N$12/3)*$E25*SIN($K$13)-($N$12/3)*$F25*SIN($K$13)-($N$12/3)*$G25*SIN($K$13)</f>
        <v>1339.7204626870214</v>
      </c>
      <c r="Y25" s="106">
        <f>IF(($A25&lt;'Alternative 2'!$B$27),(($H25*'Alternative 2'!$B$39)+(3*($N$12/3)*COS($K$13))),IF(($A25&lt;'Alternative 2'!$B$28),(($H25*'Alternative 2'!$B$39)+(2*(($N$12/3)*COS($K$13)))),IF(($A25&lt;'Alternative 2'!$B$29),(($H$3*'Alternative 2'!$B$39+(($N$12/3)*COS($K$13)))),($H25*'Alternative 2'!$B$39))))</f>
        <v>2720.7756206005697</v>
      </c>
      <c r="Z25" s="105">
        <f>X25*'Alternative 2'!$K26/'Alternative 2'!$L26</f>
        <v>21322.33141000292</v>
      </c>
      <c r="AA25" s="105">
        <f>Y25/'Alternative 2'!$M26</f>
        <v>4276.7885561942912</v>
      </c>
      <c r="AB25" s="105">
        <f t="shared" si="3"/>
        <v>2.5599119966197213E-2</v>
      </c>
      <c r="AD25" s="105">
        <f>'Alternative 2'!$B$39*$B25*$C25*COS($K$23)-($N$22/3)*$E25*SIN($K$23)-($N$22/3)*$F25*SIN($K$23)-($N$22/3)*$G25*SIN($K$23)</f>
        <v>1278.3463867462779</v>
      </c>
      <c r="AE25" s="106">
        <f>IF(($A25&lt;'Alternative 2'!$B$27),(($H25*'Alternative 2'!$B$39)+(3*($N$22/3)*COS($K$23))),IF(($A25&lt;'Alternative 2'!$B$28),(($H25*'Alternative 2'!$B$39)+(2*(($N$22/3)*COS($K$23)))),IF(($A25&lt;'Alternative 2'!$B$29),(($H$3*'Alternative 2'!$B$39+(($N$22/3)*COS($K$23)))),($H25*'Alternative 2'!$B$39))))</f>
        <v>2720.7756206005697</v>
      </c>
      <c r="AF25" s="105">
        <f>AD25*'Alternative 2'!$K26/'Alternative 2'!$L26</f>
        <v>20345.531828568943</v>
      </c>
      <c r="AG25" s="105">
        <f>AE25/'Alternative 2'!$M26</f>
        <v>4276.7885561942912</v>
      </c>
      <c r="AH25" s="105">
        <f t="shared" si="4"/>
        <v>2.4622320384763231E-2</v>
      </c>
      <c r="AJ25" s="105">
        <f>'Alternative 2'!$B$39*$B25*$C25*COS($K$33)-($N$32/3)*$E25*SIN($K$33)-($N$32/3)*$F25*SIN($K$33)-($N$32/3)*$G25*SIN($K$33)</f>
        <v>1178.1304027187325</v>
      </c>
      <c r="AK25" s="106">
        <f>IF(($A25&lt;'Alternative 2'!$B$27),(($H25*'Alternative 2'!$B$39)+(3*($N$32/3)*COS($K$33))),IF(($A25&lt;'Alternative 2'!$B$28),(($H25*'Alternative 2'!$B$39)+(2*(($N$32/3)*COS($K$33)))),IF(($A25&lt;'Alternative 2'!$B$29),(($H$3*'Alternative 2'!$B$39+(($N$32/3)*COS($K$33)))),($H25*'Alternative 2'!$B$39))))</f>
        <v>2720.7756206005697</v>
      </c>
      <c r="AL25" s="105">
        <f>AJ25*'Alternative 2'!$K26/'Alternative 2'!$L26</f>
        <v>18750.543557859753</v>
      </c>
      <c r="AM25" s="105">
        <f>AK25/'Alternative 2'!$M26</f>
        <v>4276.7885561942912</v>
      </c>
      <c r="AN25" s="105">
        <f t="shared" si="5"/>
        <v>2.3027332114054042E-2</v>
      </c>
      <c r="AP25" s="105">
        <f>'Alternative 2'!$B$39*$B25*$C25*COS($K$43)-($N$42/3)*$E25*SIN($K$43)-($N$42/3)*$F25*SIN($K$43)-($N$42/3)*$G25*SIN($K$43)</f>
        <v>1042.1175225673276</v>
      </c>
      <c r="AQ25" s="106">
        <f>IF(($A25&lt;'Alternative 2'!$B$27),(($H25*'Alternative 2'!$B$39)+(3*($N$42/3)*COS($K$43))),IF(($A25&lt;'Alternative 2'!$B$28),(($H25*'Alternative 2'!$B$39)+(2*(($N$42/3)*COS($K$43)))),IF(($A25&lt;'Alternative 2'!$B$29),(($H$3*'Alternative 2'!$B$39+(($N$42/3)*COS($K$43)))),($H25*'Alternative 2'!$B$39))))</f>
        <v>2720.7756206005697</v>
      </c>
      <c r="AR25" s="105">
        <f>AP25*'Alternative 2'!$K26/'Alternative 2'!$L26</f>
        <v>16585.829509377854</v>
      </c>
      <c r="AS25" s="105">
        <f>AQ25/'Alternative 2'!$M26</f>
        <v>4276.7885561942912</v>
      </c>
      <c r="AT25" s="105">
        <f t="shared" si="6"/>
        <v>2.0862618065572148E-2</v>
      </c>
      <c r="AV25" s="105">
        <f>'Alternative 2'!$B$39*$B25*$C25*COS($K$53)-($N$52/3)*$E25*SIN($K$53)-($N$52/3)*$F25*SIN($K$53)-($N$52/3)*$G25*SIN($K$53)</f>
        <v>874.44042882962549</v>
      </c>
      <c r="AW25" s="106">
        <f>IF(($A25&lt;'Alternative 2'!$B$27),(($H25*'Alternative 2'!$B$39)+(3*($N$52/3)*COS($K$53))),IF(($A25&lt;'Alternative 2'!$B$28),(($H25*'Alternative 2'!$B$39)+(2*(($N$52/3)*COS($K$53)))),IF(($A25&lt;'Alternative 2'!$B$29),(($H$3*'Alternative 2'!$B$39+(($N$52/3)*COS($K$53)))),($H25*'Alternative 2'!$B$39))))</f>
        <v>2720.7756206005697</v>
      </c>
      <c r="AX25" s="105">
        <f>AV25*'Alternative 2'!$K26/'Alternative 2'!$L26</f>
        <v>13917.163424088209</v>
      </c>
      <c r="AY25" s="105">
        <f>AW25/'Alternative 2'!$M26</f>
        <v>4276.7885561942912</v>
      </c>
      <c r="AZ25" s="105">
        <f t="shared" si="7"/>
        <v>1.8193951980282501E-2</v>
      </c>
      <c r="BB25" s="105">
        <f>'Alternative 2'!$B$39*$B25*$C25*COS($K$63)-($N$62/3)*$E25*SIN($K$63)-($N$62/3)*$F25*SIN($K$63)-($N$62/3)*$G25*SIN($K$63)</f>
        <v>680.19390515014254</v>
      </c>
      <c r="BC25" s="106">
        <f>IF(($A25&lt;'Alternative 2'!$B$27),(($H25*'Alternative 2'!$B$39)+(3*($N$62/3)*COS($K$63))),IF(($A25&lt;'Alternative 2'!$B$28),(($H25*'Alternative 2'!$B$39)+(2*(($N$62/3)*COS($K$63)))),IF(($A25&lt;'Alternative 2'!$B$29),(($H$3*'Alternative 2'!$B$39+(($N$62/3)*COS($K$63)))),($H25*'Alternative 2'!$B$39))))</f>
        <v>2720.7756206005697</v>
      </c>
      <c r="BD25" s="105">
        <f>BB25*'Alternative 2'!$K26/'Alternative 2'!$L26</f>
        <v>10825.631370582134</v>
      </c>
      <c r="BE25" s="105">
        <f>BC25/'Alternative 2'!$M26</f>
        <v>4276.7885561942912</v>
      </c>
      <c r="BF25" s="105">
        <f t="shared" si="8"/>
        <v>1.5102419926776425E-2</v>
      </c>
      <c r="BH25" s="105">
        <f>'Alternative 2'!$B$39*$B25*$C25*COS($K$73)-($N$72/3)*$E25*SIN($K$73)-($N$72/3)*$F25*SIN($K$73)-($N$72/3)*$G25*SIN($K$73)</f>
        <v>465.28003385739618</v>
      </c>
      <c r="BI25" s="106">
        <f>IF(($A25&lt;'Alternative 2'!$B$27),(($H25*'Alternative 2'!$B$39)+(3*($N$72/3)*COS($K$73))),IF(($A25&lt;'Alternative 2'!$B$28),(($H25*'Alternative 2'!$B$39)+(2*(($N$72/3)*COS($K$73)))),IF(($A25&lt;'Alternative 2'!$B$29),(($H$3*'Alternative 2'!$B$39+(($N$72/3)*COS($K$73)))),($H25*'Alternative 2'!$B$39))))</f>
        <v>2720.7756206005697</v>
      </c>
      <c r="BJ25" s="105">
        <f>BH25*'Alternative 2'!$K26/'Alternative 2'!$L26</f>
        <v>7405.1679859147143</v>
      </c>
      <c r="BK25" s="105">
        <f>BI25/'Alternative 2'!$M26</f>
        <v>4276.7885561942912</v>
      </c>
      <c r="BL25" s="105">
        <f t="shared" si="9"/>
        <v>1.1681956542109004E-2</v>
      </c>
      <c r="BN25" s="105">
        <f>'Alternative 2'!$B$39*$B25*$C25*COS($K$83)-($N$82/3)*$E25*SIN($K$83)-($N$82/3)*$F25*SIN($K$83)-($N$82/3)*$G25*SIN($K$83)</f>
        <v>236.22886417895029</v>
      </c>
      <c r="BO25" s="106">
        <f>IF(($A25&lt;'Alternative 2'!$B$27),(($H25*'Alternative 2'!$B$39)+(3*($N$82/3)*COS($K$83))),IF(($A25&lt;'Alternative 2'!$B$28),(($H25*'Alternative 2'!$B$39)+(2*(($N$82/3)*COS($K$83)))),IF(($A25&lt;'Alternative 2'!$B$29),(($H$3*'Alternative 2'!$B$39+(($N$82/3)*COS($K$83)))),($H25*'Alternative 2'!$B$39))))</f>
        <v>2720.7756206005697</v>
      </c>
      <c r="BP25" s="105">
        <f>BN25*'Alternative 2'!$K26/'Alternative 2'!$L26</f>
        <v>3759.702319191083</v>
      </c>
      <c r="BQ25" s="105">
        <f>BO25/'Alternative 2'!$M26</f>
        <v>4276.7885561942912</v>
      </c>
      <c r="BR25" s="105">
        <f t="shared" si="10"/>
        <v>8.0364908753853739E-3</v>
      </c>
      <c r="BT25" s="105">
        <f>'Alternative 2'!$B$39*$B25*$C25*COS($K$93)-($K$92/3)*$E25*SIN($K$93)-($K$92/3)*$F25*SIN($K$93)-($K$92/3)*$G25*SIN($K$93)</f>
        <v>8.333385119329574E-14</v>
      </c>
      <c r="BU25" s="106">
        <f>IF(($A25&lt;'Alternative 2'!$B$27),(($H25*'Alternative 2'!$B$39)+(3*($N$92/3)*COS($K$93))),IF(($A25&lt;'Alternative 2'!$B$28),(($H25*'Alternative 2'!$B$39)+(2*(($N$92/3)*COS($K$93)))),IF(($A25&lt;'Alternative 2'!$B$29),(($H$3*'Alternative 2'!$B$39+(($N$92/3)*COS($K$93)))),($H25*'Alternative 2'!$B$39))))</f>
        <v>2720.7756206005697</v>
      </c>
      <c r="BV25" s="105">
        <f>BT25*'Alternative 2'!$K26/'Alternative 2'!$L26</f>
        <v>1.3263005547078985E-12</v>
      </c>
      <c r="BW25" s="105">
        <f>BU25/'Alternative 2'!$M26</f>
        <v>4276.7885561942912</v>
      </c>
      <c r="BX25" s="105">
        <f t="shared" si="11"/>
        <v>4.2767885561942921E-3</v>
      </c>
      <c r="BZ25" s="104">
        <v>150</v>
      </c>
      <c r="CA25" s="104">
        <v>-150</v>
      </c>
    </row>
    <row r="26" spans="1:79" ht="15" customHeight="1" x14ac:dyDescent="0.25">
      <c r="A26" s="18" t="str">
        <f>IF('Alternative 2'!F27&gt;0,'Alternative 2'!F27,"x")</f>
        <v>x</v>
      </c>
      <c r="B26" s="18" t="str">
        <f t="shared" si="17"/>
        <v>x</v>
      </c>
      <c r="C26" s="18">
        <f t="shared" si="12"/>
        <v>0</v>
      </c>
      <c r="D26" s="18" t="str">
        <f t="shared" si="13"/>
        <v>x</v>
      </c>
      <c r="E26" s="101">
        <f>IF($A26&lt;='Alternative 2'!$B$27, IF($A26='Alternative 2'!$B$27,0,E27+1),0)</f>
        <v>0</v>
      </c>
      <c r="F26" s="101">
        <f>IF($A26&lt;=('Alternative 2'!$B$28), IF($A26=ROUNDDOWN('Alternative 2'!$B$28,0),0,F27+1),0)</f>
        <v>0</v>
      </c>
      <c r="G26" s="101">
        <f>IF($A26&lt;=('Alternative 2'!$B$29), IF($A26=ROUNDDOWN('Alternative 2'!$B$29,0),0,G27+1),0)</f>
        <v>0</v>
      </c>
      <c r="H26" s="18" t="str">
        <f t="shared" si="14"/>
        <v>x</v>
      </c>
      <c r="J26" s="104">
        <f t="shared" si="15"/>
        <v>23</v>
      </c>
      <c r="K26" s="104">
        <f t="shared" si="16"/>
        <v>0.40142572795869574</v>
      </c>
      <c r="L26" s="105">
        <f>'Alternative 2'!$B$27*SIN(K26)+'Alternative 2'!$B$28*SIN(K26)+'Alternative 2'!$B$29*SIN(K26)</f>
        <v>16.797531213753878</v>
      </c>
      <c r="M26" s="104">
        <f>(('Alternative 2'!$B$27)*(((('Alternative 2'!$B$28-'Alternative 2'!$B$27)/2)+'Alternative 2'!$B$27)*'Alternative 2'!$B$39)*COS('Alternative 2-Tilt Up (3pt)'!K26))+(('Alternative 2'!$B$28)*((('Alternative 2'!$B$28-'Alternative 2'!$B$27)/2)+(('Alternative 2'!$B$29-'Alternative 2'!$B$28)/2))*('Alternative 2'!$B$39)*COS('Alternative 2-Tilt Up (3pt)'!K26))+(('Alternative 2'!$B$29)*((('Alternative 2'!$B$12-'Alternative 2'!$B$29+(('Alternative 2'!$B$29-'Alternative 2'!$B$28)/2)*('Alternative 2'!$B$39)*COS('Alternative 2-Tilt Up (3pt)'!K26)))))</f>
        <v>561331.04796224064</v>
      </c>
      <c r="N26" s="104">
        <f t="shared" si="0"/>
        <v>100252.4193857644</v>
      </c>
      <c r="O26" s="104">
        <f>(((('Alternative 2'!$B$28-'Alternative 2'!$B$27)/2)+'Alternative 2'!$B$27)*('Alternative 2'!$B$39)*COS('Alternative 2-Tilt Up (3pt)'!K26))+(((('Alternative 2'!$B$28-'Alternative 2'!$B$27)/2)+(('Alternative 2'!$B$29-'Alternative 2'!$B$28)/2))*('Alternative 2'!$B$39)*COS('Alternative 2-Tilt Up (3pt)'!K26))+(((('Alternative 2'!$B$12-'Alternative 2'!$B$29)+(('Alternative 2'!$B$29-'Alternative 2'!$B$28)/2))*('Alternative 2'!$B$39)*COS('Alternative 2-Tilt Up (3pt)'!K26)))</f>
        <v>57603.204770111697</v>
      </c>
      <c r="P26" s="104">
        <f t="shared" si="1"/>
        <v>92282.838614945649</v>
      </c>
      <c r="R26" s="105" t="e">
        <f>'Alternative 2'!$B$39*$B26*$C26*COS($K$5)-($N$5/3)*$E26*SIN($K$5)-($N$5/3)*$F26*SIN($K$5)-($N$5/3)*$G26*SIN($K$5)</f>
        <v>#VALUE!</v>
      </c>
      <c r="S26" s="106" t="e">
        <f>IF(($A26&lt;'Alternative 2'!$B$27),(($H26*'Alternative 2'!$B$39)+(3*($N$5/3)*COS($K$5))),IF(($A26&lt;'Alternative 2'!$B$28),(($H26*'Alternative 2'!$B$39)+(2*(($N$5/3)*COS($K$5)))),IF(($A26&lt;'Alternative 2'!$B$29),(($H$3*'Alternative 2'!$B$39+(($N$5/3)*COS($K$5)))),($H26*'Alternative 2'!$B$39))))</f>
        <v>#VALUE!</v>
      </c>
      <c r="T26" s="105" t="e">
        <f>R26*'Alternative 2'!$K27/'Alternative 2'!$L27</f>
        <v>#VALUE!</v>
      </c>
      <c r="U26" s="105" t="e">
        <f>S26/'Alternative 2'!$M27</f>
        <v>#VALUE!</v>
      </c>
      <c r="V26" s="105" t="e">
        <f t="shared" si="2"/>
        <v>#VALUE!</v>
      </c>
      <c r="X26" s="105" t="e">
        <f>'Alternative 2'!$B$39*$B26*$C26*COS($K$13)-($N$12/3)*$E26*SIN($K$13)-($N$12/3)*$F26*SIN($K$13)-($N$12/3)*$G26*SIN($K$13)</f>
        <v>#VALUE!</v>
      </c>
      <c r="Y26" s="106" t="e">
        <f>IF(($A26&lt;'Alternative 2'!$B$27),(($H26*'Alternative 2'!$B$39)+(3*($N$12/3)*COS($K$13))),IF(($A26&lt;'Alternative 2'!$B$28),(($H26*'Alternative 2'!$B$39)+(2*(($N$12/3)*COS($K$13)))),IF(($A26&lt;'Alternative 2'!$B$29),(($H$3*'Alternative 2'!$B$39+(($N$12/3)*COS($K$13)))),($H26*'Alternative 2'!$B$39))))</f>
        <v>#VALUE!</v>
      </c>
      <c r="Z26" s="105" t="e">
        <f>X26*'Alternative 2'!$K27/'Alternative 2'!$L27</f>
        <v>#VALUE!</v>
      </c>
      <c r="AA26" s="105" t="e">
        <f>Y26/'Alternative 2'!$M27</f>
        <v>#VALUE!</v>
      </c>
      <c r="AB26" s="105" t="e">
        <f t="shared" si="3"/>
        <v>#VALUE!</v>
      </c>
      <c r="AD26" s="105" t="e">
        <f>'Alternative 2'!$B$39*$B26*$C26*COS($K$23)-($N$22/3)*$E26*SIN($K$23)-($N$22/3)*$F26*SIN($K$23)-($N$22/3)*$G26*SIN($K$23)</f>
        <v>#VALUE!</v>
      </c>
      <c r="AE26" s="106" t="e">
        <f>IF(($A26&lt;'Alternative 2'!$B$27),(($H26*'Alternative 2'!$B$39)+(3*($N$22/3)*COS($K$23))),IF(($A26&lt;'Alternative 2'!$B$28),(($H26*'Alternative 2'!$B$39)+(2*(($N$22/3)*COS($K$23)))),IF(($A26&lt;'Alternative 2'!$B$29),(($H$3*'Alternative 2'!$B$39+(($N$22/3)*COS($K$23)))),($H26*'Alternative 2'!$B$39))))</f>
        <v>#VALUE!</v>
      </c>
      <c r="AF26" s="105" t="e">
        <f>AD26*'Alternative 2'!$K27/'Alternative 2'!$L27</f>
        <v>#VALUE!</v>
      </c>
      <c r="AG26" s="105" t="e">
        <f>AE26/'Alternative 2'!$M27</f>
        <v>#VALUE!</v>
      </c>
      <c r="AH26" s="105" t="e">
        <f t="shared" si="4"/>
        <v>#VALUE!</v>
      </c>
      <c r="AJ26" s="105" t="e">
        <f>'Alternative 2'!$B$39*$B26*$C26*COS($K$33)-($N$32/3)*$E26*SIN($K$33)-($N$32/3)*$F26*SIN($K$33)-($N$32/3)*$G26*SIN($K$33)</f>
        <v>#VALUE!</v>
      </c>
      <c r="AK26" s="106" t="e">
        <f>IF(($A26&lt;'Alternative 2'!$B$27),(($H26*'Alternative 2'!$B$39)+(3*($N$32/3)*COS($K$33))),IF(($A26&lt;'Alternative 2'!$B$28),(($H26*'Alternative 2'!$B$39)+(2*(($N$32/3)*COS($K$33)))),IF(($A26&lt;'Alternative 2'!$B$29),(($H$3*'Alternative 2'!$B$39+(($N$32/3)*COS($K$33)))),($H26*'Alternative 2'!$B$39))))</f>
        <v>#VALUE!</v>
      </c>
      <c r="AL26" s="105" t="e">
        <f>AJ26*'Alternative 2'!$K27/'Alternative 2'!$L27</f>
        <v>#VALUE!</v>
      </c>
      <c r="AM26" s="105" t="e">
        <f>AK26/'Alternative 2'!$M27</f>
        <v>#VALUE!</v>
      </c>
      <c r="AN26" s="105" t="e">
        <f t="shared" si="5"/>
        <v>#VALUE!</v>
      </c>
      <c r="AP26" s="105" t="e">
        <f>'Alternative 2'!$B$39*$B26*$C26*COS($K$43)-($N$42/3)*$E26*SIN($K$43)-($N$42/3)*$F26*SIN($K$43)-($N$42/3)*$G26*SIN($K$43)</f>
        <v>#VALUE!</v>
      </c>
      <c r="AQ26" s="106" t="e">
        <f>IF(($A26&lt;'Alternative 2'!$B$27),(($H26*'Alternative 2'!$B$39)+(3*($N$42/3)*COS($K$43))),IF(($A26&lt;'Alternative 2'!$B$28),(($H26*'Alternative 2'!$B$39)+(2*(($N$42/3)*COS($K$43)))),IF(($A26&lt;'Alternative 2'!$B$29),(($H$3*'Alternative 2'!$B$39+(($N$42/3)*COS($K$43)))),($H26*'Alternative 2'!$B$39))))</f>
        <v>#VALUE!</v>
      </c>
      <c r="AR26" s="105" t="e">
        <f>AP26*'Alternative 2'!$K27/'Alternative 2'!$L27</f>
        <v>#VALUE!</v>
      </c>
      <c r="AS26" s="105" t="e">
        <f>AQ26/'Alternative 2'!$M27</f>
        <v>#VALUE!</v>
      </c>
      <c r="AT26" s="105" t="e">
        <f t="shared" si="6"/>
        <v>#VALUE!</v>
      </c>
      <c r="AV26" s="105" t="e">
        <f>'Alternative 2'!$B$39*$B26*$C26*COS($K$53)-($N$52/3)*$E26*SIN($K$53)-($N$52/3)*$F26*SIN($K$53)-($N$52/3)*$G26*SIN($K$53)</f>
        <v>#VALUE!</v>
      </c>
      <c r="AW26" s="106" t="e">
        <f>IF(($A26&lt;'Alternative 2'!$B$27),(($H26*'Alternative 2'!$B$39)+(3*($N$52/3)*COS($K$53))),IF(($A26&lt;'Alternative 2'!$B$28),(($H26*'Alternative 2'!$B$39)+(2*(($N$52/3)*COS($K$53)))),IF(($A26&lt;'Alternative 2'!$B$29),(($H$3*'Alternative 2'!$B$39+(($N$52/3)*COS($K$53)))),($H26*'Alternative 2'!$B$39))))</f>
        <v>#VALUE!</v>
      </c>
      <c r="AX26" s="105" t="e">
        <f>AV26*'Alternative 2'!$K27/'Alternative 2'!$L27</f>
        <v>#VALUE!</v>
      </c>
      <c r="AY26" s="105" t="e">
        <f>AW26/'Alternative 2'!$M27</f>
        <v>#VALUE!</v>
      </c>
      <c r="AZ26" s="105" t="e">
        <f t="shared" si="7"/>
        <v>#VALUE!</v>
      </c>
      <c r="BB26" s="105" t="e">
        <f>'Alternative 2'!$B$39*$B26*$C26*COS($K$63)-($N$62/3)*$E26*SIN($K$63)-($N$62/3)*$F26*SIN($K$63)-($N$62/3)*$G26*SIN($K$63)</f>
        <v>#VALUE!</v>
      </c>
      <c r="BC26" s="106" t="e">
        <f>IF(($A26&lt;'Alternative 2'!$B$27),(($H26*'Alternative 2'!$B$39)+(3*($N$62/3)*COS($K$63))),IF(($A26&lt;'Alternative 2'!$B$28),(($H26*'Alternative 2'!$B$39)+(2*(($N$62/3)*COS($K$63)))),IF(($A26&lt;'Alternative 2'!$B$29),(($H$3*'Alternative 2'!$B$39+(($N$62/3)*COS($K$63)))),($H26*'Alternative 2'!$B$39))))</f>
        <v>#VALUE!</v>
      </c>
      <c r="BD26" s="105" t="e">
        <f>BB26*'Alternative 2'!$K27/'Alternative 2'!$L27</f>
        <v>#VALUE!</v>
      </c>
      <c r="BE26" s="105" t="e">
        <f>BC26/'Alternative 2'!$M27</f>
        <v>#VALUE!</v>
      </c>
      <c r="BF26" s="105" t="e">
        <f t="shared" si="8"/>
        <v>#VALUE!</v>
      </c>
      <c r="BH26" s="105" t="e">
        <f>'Alternative 2'!$B$39*$B26*$C26*COS($K$73)-($N$72/3)*$E26*SIN($K$73)-($N$72/3)*$F26*SIN($K$73)-($N$72/3)*$G26*SIN($K$73)</f>
        <v>#VALUE!</v>
      </c>
      <c r="BI26" s="106" t="e">
        <f>IF(($A26&lt;'Alternative 2'!$B$27),(($H26*'Alternative 2'!$B$39)+(3*($N$72/3)*COS($K$73))),IF(($A26&lt;'Alternative 2'!$B$28),(($H26*'Alternative 2'!$B$39)+(2*(($N$72/3)*COS($K$73)))),IF(($A26&lt;'Alternative 2'!$B$29),(($H$3*'Alternative 2'!$B$39+(($N$72/3)*COS($K$73)))),($H26*'Alternative 2'!$B$39))))</f>
        <v>#VALUE!</v>
      </c>
      <c r="BJ26" s="105" t="e">
        <f>BH26*'Alternative 2'!$K27/'Alternative 2'!$L27</f>
        <v>#VALUE!</v>
      </c>
      <c r="BK26" s="105" t="e">
        <f>BI26/'Alternative 2'!$M27</f>
        <v>#VALUE!</v>
      </c>
      <c r="BL26" s="105" t="e">
        <f t="shared" si="9"/>
        <v>#VALUE!</v>
      </c>
      <c r="BN26" s="105" t="e">
        <f>'Alternative 2'!$B$39*$B26*$C26*COS($K$83)-($N$82/3)*$E26*SIN($K$83)-($N$82/3)*$F26*SIN($K$83)-($N$82/3)*$G26*SIN($K$83)</f>
        <v>#VALUE!</v>
      </c>
      <c r="BO26" s="106" t="e">
        <f>IF(($A26&lt;'Alternative 2'!$B$27),(($H26*'Alternative 2'!$B$39)+(3*($N$82/3)*COS($K$83))),IF(($A26&lt;'Alternative 2'!$B$28),(($H26*'Alternative 2'!$B$39)+(2*(($N$82/3)*COS($K$83)))),IF(($A26&lt;'Alternative 2'!$B$29),(($H$3*'Alternative 2'!$B$39+(($N$82/3)*COS($K$83)))),($H26*'Alternative 2'!$B$39))))</f>
        <v>#VALUE!</v>
      </c>
      <c r="BP26" s="105" t="e">
        <f>BN26*'Alternative 2'!$K27/'Alternative 2'!$L27</f>
        <v>#VALUE!</v>
      </c>
      <c r="BQ26" s="105" t="e">
        <f>BO26/'Alternative 2'!$M27</f>
        <v>#VALUE!</v>
      </c>
      <c r="BR26" s="105" t="e">
        <f t="shared" si="10"/>
        <v>#VALUE!</v>
      </c>
      <c r="BT26" s="105" t="e">
        <f>'Alternative 2'!$B$39*$B26*$C26*COS($K$93)-($K$92/3)*$E26*SIN($K$93)-($K$92/3)*$F26*SIN($K$93)-($K$92/3)*$G26*SIN($K$93)</f>
        <v>#VALUE!</v>
      </c>
      <c r="BU26" s="106" t="e">
        <f>IF(($A26&lt;'Alternative 2'!$B$27),(($H26*'Alternative 2'!$B$39)+(3*($N$92/3)*COS($K$93))),IF(($A26&lt;'Alternative 2'!$B$28),(($H26*'Alternative 2'!$B$39)+(2*(($N$92/3)*COS($K$93)))),IF(($A26&lt;'Alternative 2'!$B$29),(($H$3*'Alternative 2'!$B$39+(($N$92/3)*COS($K$93)))),($H26*'Alternative 2'!$B$39))))</f>
        <v>#VALUE!</v>
      </c>
      <c r="BV26" s="105" t="e">
        <f>BT26*'Alternative 2'!$K27/'Alternative 2'!$L27</f>
        <v>#VALUE!</v>
      </c>
      <c r="BW26" s="105" t="e">
        <f>BU26/'Alternative 2'!$M27</f>
        <v>#VALUE!</v>
      </c>
      <c r="BX26" s="105" t="e">
        <f t="shared" si="11"/>
        <v>#VALUE!</v>
      </c>
      <c r="BZ26" s="104">
        <v>150</v>
      </c>
      <c r="CA26" s="104">
        <v>-150</v>
      </c>
    </row>
    <row r="27" spans="1:79" ht="15" customHeight="1" x14ac:dyDescent="0.25">
      <c r="A27" s="18" t="str">
        <f>IF('Alternative 2'!F28&gt;0,'Alternative 2'!F28,"x")</f>
        <v>x</v>
      </c>
      <c r="B27" s="18" t="e">
        <f t="shared" si="17"/>
        <v>#VALUE!</v>
      </c>
      <c r="C27" s="18">
        <f t="shared" si="12"/>
        <v>0</v>
      </c>
      <c r="D27" s="18" t="str">
        <f t="shared" si="13"/>
        <v>x</v>
      </c>
      <c r="E27" s="101">
        <f>IF($A27&lt;='Alternative 2'!$B$27, IF($A27='Alternative 2'!$B$27,0,E28+1),0)</f>
        <v>0</v>
      </c>
      <c r="F27" s="101">
        <f>IF($A27&lt;=('Alternative 2'!$B$28), IF($A27=ROUNDDOWN('Alternative 2'!$B$28,0),0,F28+1),0)</f>
        <v>0</v>
      </c>
      <c r="G27" s="101">
        <f>IF($A27&lt;=('Alternative 2'!$B$29), IF($A27=ROUNDDOWN('Alternative 2'!$B$29,0),0,G28+1),0)</f>
        <v>0</v>
      </c>
      <c r="H27" s="18" t="e">
        <f t="shared" si="14"/>
        <v>#VALUE!</v>
      </c>
      <c r="J27" s="104">
        <f t="shared" si="15"/>
        <v>24</v>
      </c>
      <c r="K27" s="104">
        <f t="shared" si="16"/>
        <v>0.41887902047863906</v>
      </c>
      <c r="L27" s="105">
        <f>'Alternative 2'!$B$27*SIN(K27)+'Alternative 2'!$B$28*SIN(K27)+'Alternative 2'!$B$29*SIN(K27)</f>
        <v>17.485608285828647</v>
      </c>
      <c r="M27" s="104">
        <f>(('Alternative 2'!$B$27)*(((('Alternative 2'!$B$28-'Alternative 2'!$B$27)/2)+'Alternative 2'!$B$27)*'Alternative 2'!$B$39)*COS('Alternative 2-Tilt Up (3pt)'!K27))+(('Alternative 2'!$B$28)*((('Alternative 2'!$B$28-'Alternative 2'!$B$27)/2)+(('Alternative 2'!$B$29-'Alternative 2'!$B$28)/2))*('Alternative 2'!$B$39)*COS('Alternative 2-Tilt Up (3pt)'!K27))+(('Alternative 2'!$B$29)*((('Alternative 2'!$B$12-'Alternative 2'!$B$29+(('Alternative 2'!$B$29-'Alternative 2'!$B$28)/2)*('Alternative 2'!$B$39)*COS('Alternative 2-Tilt Up (3pt)'!K27)))))</f>
        <v>557087.7663261065</v>
      </c>
      <c r="N27" s="104">
        <f t="shared" si="0"/>
        <v>95579.362848520876</v>
      </c>
      <c r="O27" s="104">
        <f>(((('Alternative 2'!$B$28-'Alternative 2'!$B$27)/2)+'Alternative 2'!$B$27)*('Alternative 2'!$B$39)*COS('Alternative 2-Tilt Up (3pt)'!K27))+(((('Alternative 2'!$B$28-'Alternative 2'!$B$27)/2)+(('Alternative 2'!$B$29-'Alternative 2'!$B$28)/2))*('Alternative 2'!$B$39)*COS('Alternative 2-Tilt Up (3pt)'!K27))+(((('Alternative 2'!$B$12-'Alternative 2'!$B$29)+(('Alternative 2'!$B$29-'Alternative 2'!$B$28)/2))*('Alternative 2'!$B$39)*COS('Alternative 2-Tilt Up (3pt)'!K27)))</f>
        <v>57167.700817680707</v>
      </c>
      <c r="P27" s="104">
        <f t="shared" si="1"/>
        <v>87316.092774640201</v>
      </c>
      <c r="R27" s="105" t="e">
        <f>'Alternative 2'!$B$39*$B27*$C27*COS($K$5)-($N$5/3)*$E27*SIN($K$5)-($N$5/3)*$F27*SIN($K$5)-($N$5/3)*$G27*SIN($K$5)</f>
        <v>#VALUE!</v>
      </c>
      <c r="S27" s="106" t="e">
        <f>IF(($A27&lt;'Alternative 2'!$B$27),(($H27*'Alternative 2'!$B$39)+(3*($N$5/3)*COS($K$5))),IF(($A27&lt;'Alternative 2'!$B$28),(($H27*'Alternative 2'!$B$39)+(2*(($N$5/3)*COS($K$5)))),IF(($A27&lt;'Alternative 2'!$B$29),(($H$3*'Alternative 2'!$B$39+(($N$5/3)*COS($K$5)))),($H27*'Alternative 2'!$B$39))))</f>
        <v>#VALUE!</v>
      </c>
      <c r="T27" s="105" t="e">
        <f>R27*'Alternative 2'!$K28/'Alternative 2'!$L28</f>
        <v>#VALUE!</v>
      </c>
      <c r="U27" s="105" t="e">
        <f>S27/'Alternative 2'!$M28</f>
        <v>#VALUE!</v>
      </c>
      <c r="V27" s="105" t="e">
        <f t="shared" si="2"/>
        <v>#VALUE!</v>
      </c>
      <c r="X27" s="105" t="e">
        <f>'Alternative 2'!$B$39*$B27*$C27*COS($K$13)-($N$12/3)*$E27*SIN($K$13)-($N$12/3)*$F27*SIN($K$13)-($N$12/3)*$G27*SIN($K$13)</f>
        <v>#VALUE!</v>
      </c>
      <c r="Y27" s="106" t="e">
        <f>IF(($A27&lt;'Alternative 2'!$B$27),(($H27*'Alternative 2'!$B$39)+(3*($N$12/3)*COS($K$13))),IF(($A27&lt;'Alternative 2'!$B$28),(($H27*'Alternative 2'!$B$39)+(2*(($N$12/3)*COS($K$13)))),IF(($A27&lt;'Alternative 2'!$B$29),(($H$3*'Alternative 2'!$B$39+(($N$12/3)*COS($K$13)))),($H27*'Alternative 2'!$B$39))))</f>
        <v>#VALUE!</v>
      </c>
      <c r="Z27" s="105" t="e">
        <f>X27*'Alternative 2'!$K28/'Alternative 2'!$L28</f>
        <v>#VALUE!</v>
      </c>
      <c r="AA27" s="105" t="e">
        <f>Y27/'Alternative 2'!$M28</f>
        <v>#VALUE!</v>
      </c>
      <c r="AB27" s="105" t="e">
        <f t="shared" si="3"/>
        <v>#VALUE!</v>
      </c>
      <c r="AD27" s="105" t="e">
        <f>'Alternative 2'!$B$39*$B27*$C27*COS($K$23)-($N$22/3)*$E27*SIN($K$23)-($N$22/3)*$F27*SIN($K$23)-($N$22/3)*$G27*SIN($K$23)</f>
        <v>#VALUE!</v>
      </c>
      <c r="AE27" s="106" t="e">
        <f>IF(($A27&lt;'Alternative 2'!$B$27),(($H27*'Alternative 2'!$B$39)+(3*($N$22/3)*COS($K$23))),IF(($A27&lt;'Alternative 2'!$B$28),(($H27*'Alternative 2'!$B$39)+(2*(($N$22/3)*COS($K$23)))),IF(($A27&lt;'Alternative 2'!$B$29),(($H$3*'Alternative 2'!$B$39+(($N$22/3)*COS($K$23)))),($H27*'Alternative 2'!$B$39))))</f>
        <v>#VALUE!</v>
      </c>
      <c r="AF27" s="105" t="e">
        <f>AD27*'Alternative 2'!$K28/'Alternative 2'!$L28</f>
        <v>#VALUE!</v>
      </c>
      <c r="AG27" s="105" t="e">
        <f>AE27/'Alternative 2'!$M28</f>
        <v>#VALUE!</v>
      </c>
      <c r="AH27" s="105" t="e">
        <f t="shared" si="4"/>
        <v>#VALUE!</v>
      </c>
      <c r="AJ27" s="105" t="e">
        <f>'Alternative 2'!$B$39*$B27*$C27*COS($K$33)-($N$32/3)*$E27*SIN($K$33)-($N$32/3)*$F27*SIN($K$33)-($N$32/3)*$G27*SIN($K$33)</f>
        <v>#VALUE!</v>
      </c>
      <c r="AK27" s="106" t="e">
        <f>IF(($A27&lt;'Alternative 2'!$B$27),(($H27*'Alternative 2'!$B$39)+(3*($N$32/3)*COS($K$33))),IF(($A27&lt;'Alternative 2'!$B$28),(($H27*'Alternative 2'!$B$39)+(2*(($N$32/3)*COS($K$33)))),IF(($A27&lt;'Alternative 2'!$B$29),(($H$3*'Alternative 2'!$B$39+(($N$32/3)*COS($K$33)))),($H27*'Alternative 2'!$B$39))))</f>
        <v>#VALUE!</v>
      </c>
      <c r="AL27" s="105" t="e">
        <f>AJ27*'Alternative 2'!$K28/'Alternative 2'!$L28</f>
        <v>#VALUE!</v>
      </c>
      <c r="AM27" s="105" t="e">
        <f>AK27/'Alternative 2'!$M28</f>
        <v>#VALUE!</v>
      </c>
      <c r="AN27" s="105" t="e">
        <f t="shared" si="5"/>
        <v>#VALUE!</v>
      </c>
      <c r="AP27" s="105" t="e">
        <f>'Alternative 2'!$B$39*$B27*$C27*COS($K$43)-($N$42/3)*$E27*SIN($K$43)-($N$42/3)*$F27*SIN($K$43)-($N$42/3)*$G27*SIN($K$43)</f>
        <v>#VALUE!</v>
      </c>
      <c r="AQ27" s="106" t="e">
        <f>IF(($A27&lt;'Alternative 2'!$B$27),(($H27*'Alternative 2'!$B$39)+(3*($N$42/3)*COS($K$43))),IF(($A27&lt;'Alternative 2'!$B$28),(($H27*'Alternative 2'!$B$39)+(2*(($N$42/3)*COS($K$43)))),IF(($A27&lt;'Alternative 2'!$B$29),(($H$3*'Alternative 2'!$B$39+(($N$42/3)*COS($K$43)))),($H27*'Alternative 2'!$B$39))))</f>
        <v>#VALUE!</v>
      </c>
      <c r="AR27" s="105" t="e">
        <f>AP27*'Alternative 2'!$K28/'Alternative 2'!$L28</f>
        <v>#VALUE!</v>
      </c>
      <c r="AS27" s="105" t="e">
        <f>AQ27/'Alternative 2'!$M28</f>
        <v>#VALUE!</v>
      </c>
      <c r="AT27" s="105" t="e">
        <f t="shared" si="6"/>
        <v>#VALUE!</v>
      </c>
      <c r="AV27" s="105" t="e">
        <f>'Alternative 2'!$B$39*$B27*$C27*COS($K$53)-($N$52/3)*$E27*SIN($K$53)-($N$52/3)*$F27*SIN($K$53)-($N$52/3)*$G27*SIN($K$53)</f>
        <v>#VALUE!</v>
      </c>
      <c r="AW27" s="106" t="e">
        <f>IF(($A27&lt;'Alternative 2'!$B$27),(($H27*'Alternative 2'!$B$39)+(3*($N$52/3)*COS($K$53))),IF(($A27&lt;'Alternative 2'!$B$28),(($H27*'Alternative 2'!$B$39)+(2*(($N$52/3)*COS($K$53)))),IF(($A27&lt;'Alternative 2'!$B$29),(($H$3*'Alternative 2'!$B$39+(($N$52/3)*COS($K$53)))),($H27*'Alternative 2'!$B$39))))</f>
        <v>#VALUE!</v>
      </c>
      <c r="AX27" s="105" t="e">
        <f>AV27*'Alternative 2'!$K28/'Alternative 2'!$L28</f>
        <v>#VALUE!</v>
      </c>
      <c r="AY27" s="105" t="e">
        <f>AW27/'Alternative 2'!$M28</f>
        <v>#VALUE!</v>
      </c>
      <c r="AZ27" s="105" t="e">
        <f t="shared" si="7"/>
        <v>#VALUE!</v>
      </c>
      <c r="BB27" s="105" t="e">
        <f>'Alternative 2'!$B$39*$B27*$C27*COS($K$63)-($N$62/3)*$E27*SIN($K$63)-($N$62/3)*$F27*SIN($K$63)-($N$62/3)*$G27*SIN($K$63)</f>
        <v>#VALUE!</v>
      </c>
      <c r="BC27" s="106" t="e">
        <f>IF(($A27&lt;'Alternative 2'!$B$27),(($H27*'Alternative 2'!$B$39)+(3*($N$62/3)*COS($K$63))),IF(($A27&lt;'Alternative 2'!$B$28),(($H27*'Alternative 2'!$B$39)+(2*(($N$62/3)*COS($K$63)))),IF(($A27&lt;'Alternative 2'!$B$29),(($H$3*'Alternative 2'!$B$39+(($N$62/3)*COS($K$63)))),($H27*'Alternative 2'!$B$39))))</f>
        <v>#VALUE!</v>
      </c>
      <c r="BD27" s="105" t="e">
        <f>BB27*'Alternative 2'!$K28/'Alternative 2'!$L28</f>
        <v>#VALUE!</v>
      </c>
      <c r="BE27" s="105" t="e">
        <f>BC27/'Alternative 2'!$M28</f>
        <v>#VALUE!</v>
      </c>
      <c r="BF27" s="105" t="e">
        <f t="shared" si="8"/>
        <v>#VALUE!</v>
      </c>
      <c r="BH27" s="105" t="e">
        <f>'Alternative 2'!$B$39*$B27*$C27*COS($K$73)-($N$72/3)*$E27*SIN($K$73)-($N$72/3)*$F27*SIN($K$73)-($N$72/3)*$G27*SIN($K$73)</f>
        <v>#VALUE!</v>
      </c>
      <c r="BI27" s="106" t="e">
        <f>IF(($A27&lt;'Alternative 2'!$B$27),(($H27*'Alternative 2'!$B$39)+(3*($N$72/3)*COS($K$73))),IF(($A27&lt;'Alternative 2'!$B$28),(($H27*'Alternative 2'!$B$39)+(2*(($N$72/3)*COS($K$73)))),IF(($A27&lt;'Alternative 2'!$B$29),(($H$3*'Alternative 2'!$B$39+(($N$72/3)*COS($K$73)))),($H27*'Alternative 2'!$B$39))))</f>
        <v>#VALUE!</v>
      </c>
      <c r="BJ27" s="105" t="e">
        <f>BH27*'Alternative 2'!$K28/'Alternative 2'!$L28</f>
        <v>#VALUE!</v>
      </c>
      <c r="BK27" s="105" t="e">
        <f>BI27/'Alternative 2'!$M28</f>
        <v>#VALUE!</v>
      </c>
      <c r="BL27" s="105" t="e">
        <f t="shared" si="9"/>
        <v>#VALUE!</v>
      </c>
      <c r="BN27" s="105" t="e">
        <f>'Alternative 2'!$B$39*$B27*$C27*COS($K$83)-($N$82/3)*$E27*SIN($K$83)-($N$82/3)*$F27*SIN($K$83)-($N$82/3)*$G27*SIN($K$83)</f>
        <v>#VALUE!</v>
      </c>
      <c r="BO27" s="106" t="e">
        <f>IF(($A27&lt;'Alternative 2'!$B$27),(($H27*'Alternative 2'!$B$39)+(3*($N$82/3)*COS($K$83))),IF(($A27&lt;'Alternative 2'!$B$28),(($H27*'Alternative 2'!$B$39)+(2*(($N$82/3)*COS($K$83)))),IF(($A27&lt;'Alternative 2'!$B$29),(($H$3*'Alternative 2'!$B$39+(($N$82/3)*COS($K$83)))),($H27*'Alternative 2'!$B$39))))</f>
        <v>#VALUE!</v>
      </c>
      <c r="BP27" s="105" t="e">
        <f>BN27*'Alternative 2'!$K28/'Alternative 2'!$L28</f>
        <v>#VALUE!</v>
      </c>
      <c r="BQ27" s="105" t="e">
        <f>BO27/'Alternative 2'!$M28</f>
        <v>#VALUE!</v>
      </c>
      <c r="BR27" s="105" t="e">
        <f t="shared" si="10"/>
        <v>#VALUE!</v>
      </c>
      <c r="BT27" s="105" t="e">
        <f>'Alternative 2'!$B$39*$B27*$C27*COS($K$93)-($K$92/3)*$E27*SIN($K$93)-($K$92/3)*$F27*SIN($K$93)-($K$92/3)*$G27*SIN($K$93)</f>
        <v>#VALUE!</v>
      </c>
      <c r="BU27" s="106" t="e">
        <f>IF(($A27&lt;'Alternative 2'!$B$27),(($H27*'Alternative 2'!$B$39)+(3*($N$92/3)*COS($K$93))),IF(($A27&lt;'Alternative 2'!$B$28),(($H27*'Alternative 2'!$B$39)+(2*(($N$92/3)*COS($K$93)))),IF(($A27&lt;'Alternative 2'!$B$29),(($H$3*'Alternative 2'!$B$39+(($N$92/3)*COS($K$93)))),($H27*'Alternative 2'!$B$39))))</f>
        <v>#VALUE!</v>
      </c>
      <c r="BV27" s="105" t="e">
        <f>BT27*'Alternative 2'!$K28/'Alternative 2'!$L28</f>
        <v>#VALUE!</v>
      </c>
      <c r="BW27" s="105" t="e">
        <f>BU27/'Alternative 2'!$M28</f>
        <v>#VALUE!</v>
      </c>
      <c r="BX27" s="105" t="e">
        <f t="shared" si="11"/>
        <v>#VALUE!</v>
      </c>
      <c r="BZ27" s="104">
        <v>150</v>
      </c>
      <c r="CA27" s="104">
        <v>-150</v>
      </c>
    </row>
    <row r="28" spans="1:79" ht="15" customHeight="1" x14ac:dyDescent="0.25">
      <c r="A28" s="18" t="str">
        <f>IF('Alternative 2'!F29&gt;0,'Alternative 2'!F29,"x")</f>
        <v>x</v>
      </c>
      <c r="B28" s="18" t="e">
        <f t="shared" si="17"/>
        <v>#VALUE!</v>
      </c>
      <c r="C28" s="18">
        <f t="shared" si="12"/>
        <v>0</v>
      </c>
      <c r="D28" s="18" t="str">
        <f t="shared" si="13"/>
        <v>x</v>
      </c>
      <c r="E28" s="101">
        <f>IF($A28&lt;='Alternative 2'!$B$27, IF($A28='Alternative 2'!$B$27,0,E29+1),0)</f>
        <v>0</v>
      </c>
      <c r="F28" s="101">
        <f>IF($A28&lt;=('Alternative 2'!$B$28), IF($A28=ROUNDDOWN('Alternative 2'!$B$28,0),0,F29+1),0)</f>
        <v>0</v>
      </c>
      <c r="G28" s="101">
        <f>IF($A28&lt;=('Alternative 2'!$B$29), IF($A28=ROUNDDOWN('Alternative 2'!$B$29,0),0,G29+1),0)</f>
        <v>0</v>
      </c>
      <c r="H28" s="18" t="e">
        <f t="shared" si="14"/>
        <v>#VALUE!</v>
      </c>
      <c r="J28" s="104">
        <f t="shared" si="15"/>
        <v>25</v>
      </c>
      <c r="K28" s="104">
        <f t="shared" si="16"/>
        <v>0.43633231299858238</v>
      </c>
      <c r="L28" s="105">
        <f>'Alternative 2'!$B$27*SIN(K28)+'Alternative 2'!$B$28*SIN(K28)+'Alternative 2'!$B$29*SIN(K28)</f>
        <v>18.168359072232668</v>
      </c>
      <c r="M28" s="104">
        <f>(('Alternative 2'!$B$27)*(((('Alternative 2'!$B$28-'Alternative 2'!$B$27)/2)+'Alternative 2'!$B$27)*'Alternative 2'!$B$39)*COS('Alternative 2-Tilt Up (3pt)'!K28))+(('Alternative 2'!$B$28)*((('Alternative 2'!$B$28-'Alternative 2'!$B$27)/2)+(('Alternative 2'!$B$29-'Alternative 2'!$B$28)/2))*('Alternative 2'!$B$39)*COS('Alternative 2-Tilt Up (3pt)'!K28))+(('Alternative 2'!$B$29)*((('Alternative 2'!$B$12-'Alternative 2'!$B$29+(('Alternative 2'!$B$29-'Alternative 2'!$B$28)/2)*('Alternative 2'!$B$39)*COS('Alternative 2-Tilt Up (3pt)'!K28)))))</f>
        <v>552674.81502835162</v>
      </c>
      <c r="N28" s="104">
        <f t="shared" si="0"/>
        <v>91258.898973384494</v>
      </c>
      <c r="O28" s="104">
        <f>(((('Alternative 2'!$B$28-'Alternative 2'!$B$27)/2)+'Alternative 2'!$B$27)*('Alternative 2'!$B$39)*COS('Alternative 2-Tilt Up (3pt)'!K28))+(((('Alternative 2'!$B$28-'Alternative 2'!$B$27)/2)+(('Alternative 2'!$B$29-'Alternative 2'!$B$28)/2))*('Alternative 2'!$B$39)*COS('Alternative 2-Tilt Up (3pt)'!K28))+(((('Alternative 2'!$B$12-'Alternative 2'!$B$29)+(('Alternative 2'!$B$29-'Alternative 2'!$B$28)/2))*('Alternative 2'!$B$39)*COS('Alternative 2-Tilt Up (3pt)'!K28)))</f>
        <v>56714.78302978471</v>
      </c>
      <c r="P28" s="104">
        <f t="shared" si="1"/>
        <v>82708.650775969305</v>
      </c>
      <c r="R28" s="105" t="e">
        <f>'Alternative 2'!$B$39*$B28*$C28*COS($K$5)-($N$5/3)*$E28*SIN($K$5)-($N$5/3)*$F28*SIN($K$5)-($N$5/3)*$G28*SIN($K$5)</f>
        <v>#VALUE!</v>
      </c>
      <c r="S28" s="106" t="e">
        <f>IF(($A28&lt;'Alternative 2'!$B$27),(($H28*'Alternative 2'!$B$39)+(3*($N$5/3)*COS($K$5))),IF(($A28&lt;'Alternative 2'!$B$28),(($H28*'Alternative 2'!$B$39)+(2*(($N$5/3)*COS($K$5)))),IF(($A28&lt;'Alternative 2'!$B$29),(($H$3*'Alternative 2'!$B$39+(($N$5/3)*COS($K$5)))),($H28*'Alternative 2'!$B$39))))</f>
        <v>#VALUE!</v>
      </c>
      <c r="T28" s="105" t="e">
        <f>R28*'Alternative 2'!$K29/'Alternative 2'!$L29</f>
        <v>#VALUE!</v>
      </c>
      <c r="U28" s="105" t="e">
        <f>S28/'Alternative 2'!$M29</f>
        <v>#VALUE!</v>
      </c>
      <c r="V28" s="105" t="e">
        <f t="shared" si="2"/>
        <v>#VALUE!</v>
      </c>
      <c r="X28" s="105" t="e">
        <f>'Alternative 2'!$B$39*$B28*$C28*COS($K$13)-($N$12/3)*$E28*SIN($K$13)-($N$12/3)*$F28*SIN($K$13)-($N$12/3)*$G28*SIN($K$13)</f>
        <v>#VALUE!</v>
      </c>
      <c r="Y28" s="106" t="e">
        <f>IF(($A28&lt;'Alternative 2'!$B$27),(($H28*'Alternative 2'!$B$39)+(3*($N$12/3)*COS($K$13))),IF(($A28&lt;'Alternative 2'!$B$28),(($H28*'Alternative 2'!$B$39)+(2*(($N$12/3)*COS($K$13)))),IF(($A28&lt;'Alternative 2'!$B$29),(($H$3*'Alternative 2'!$B$39+(($N$12/3)*COS($K$13)))),($H28*'Alternative 2'!$B$39))))</f>
        <v>#VALUE!</v>
      </c>
      <c r="Z28" s="105" t="e">
        <f>X28*'Alternative 2'!$K29/'Alternative 2'!$L29</f>
        <v>#VALUE!</v>
      </c>
      <c r="AA28" s="105" t="e">
        <f>Y28/'Alternative 2'!$M29</f>
        <v>#VALUE!</v>
      </c>
      <c r="AB28" s="105" t="e">
        <f t="shared" si="3"/>
        <v>#VALUE!</v>
      </c>
      <c r="AD28" s="105" t="e">
        <f>'Alternative 2'!$B$39*$B28*$C28*COS($K$23)-($N$22/3)*$E28*SIN($K$23)-($N$22/3)*$F28*SIN($K$23)-($N$22/3)*$G28*SIN($K$23)</f>
        <v>#VALUE!</v>
      </c>
      <c r="AE28" s="106" t="e">
        <f>IF(($A28&lt;'Alternative 2'!$B$27),(($H28*'Alternative 2'!$B$39)+(3*($N$22/3)*COS($K$23))),IF(($A28&lt;'Alternative 2'!$B$28),(($H28*'Alternative 2'!$B$39)+(2*(($N$22/3)*COS($K$23)))),IF(($A28&lt;'Alternative 2'!$B$29),(($H$3*'Alternative 2'!$B$39+(($N$22/3)*COS($K$23)))),($H28*'Alternative 2'!$B$39))))</f>
        <v>#VALUE!</v>
      </c>
      <c r="AF28" s="105" t="e">
        <f>AD28*'Alternative 2'!$K29/'Alternative 2'!$L29</f>
        <v>#VALUE!</v>
      </c>
      <c r="AG28" s="105" t="e">
        <f>AE28/'Alternative 2'!$M29</f>
        <v>#VALUE!</v>
      </c>
      <c r="AH28" s="105" t="e">
        <f t="shared" si="4"/>
        <v>#VALUE!</v>
      </c>
      <c r="AJ28" s="105" t="e">
        <f>'Alternative 2'!$B$39*$B28*$C28*COS($K$33)-($N$32/3)*$E28*SIN($K$33)-($N$32/3)*$F28*SIN($K$33)-($N$32/3)*$G28*SIN($K$33)</f>
        <v>#VALUE!</v>
      </c>
      <c r="AK28" s="106" t="e">
        <f>IF(($A28&lt;'Alternative 2'!$B$27),(($H28*'Alternative 2'!$B$39)+(3*($N$32/3)*COS($K$33))),IF(($A28&lt;'Alternative 2'!$B$28),(($H28*'Alternative 2'!$B$39)+(2*(($N$32/3)*COS($K$33)))),IF(($A28&lt;'Alternative 2'!$B$29),(($H$3*'Alternative 2'!$B$39+(($N$32/3)*COS($K$33)))),($H28*'Alternative 2'!$B$39))))</f>
        <v>#VALUE!</v>
      </c>
      <c r="AL28" s="105" t="e">
        <f>AJ28*'Alternative 2'!$K29/'Alternative 2'!$L29</f>
        <v>#VALUE!</v>
      </c>
      <c r="AM28" s="105" t="e">
        <f>AK28/'Alternative 2'!$M29</f>
        <v>#VALUE!</v>
      </c>
      <c r="AN28" s="105" t="e">
        <f t="shared" si="5"/>
        <v>#VALUE!</v>
      </c>
      <c r="AP28" s="105" t="e">
        <f>'Alternative 2'!$B$39*$B28*$C28*COS($K$43)-($N$42/3)*$E28*SIN($K$43)-($N$42/3)*$F28*SIN($K$43)-($N$42/3)*$G28*SIN($K$43)</f>
        <v>#VALUE!</v>
      </c>
      <c r="AQ28" s="106" t="e">
        <f>IF(($A28&lt;'Alternative 2'!$B$27),(($H28*'Alternative 2'!$B$39)+(3*($N$42/3)*COS($K$43))),IF(($A28&lt;'Alternative 2'!$B$28),(($H28*'Alternative 2'!$B$39)+(2*(($N$42/3)*COS($K$43)))),IF(($A28&lt;'Alternative 2'!$B$29),(($H$3*'Alternative 2'!$B$39+(($N$42/3)*COS($K$43)))),($H28*'Alternative 2'!$B$39))))</f>
        <v>#VALUE!</v>
      </c>
      <c r="AR28" s="105" t="e">
        <f>AP28*'Alternative 2'!$K29/'Alternative 2'!$L29</f>
        <v>#VALUE!</v>
      </c>
      <c r="AS28" s="105" t="e">
        <f>AQ28/'Alternative 2'!$M29</f>
        <v>#VALUE!</v>
      </c>
      <c r="AT28" s="105" t="e">
        <f t="shared" si="6"/>
        <v>#VALUE!</v>
      </c>
      <c r="AV28" s="105" t="e">
        <f>'Alternative 2'!$B$39*$B28*$C28*COS($K$53)-($N$52/3)*$E28*SIN($K$53)-($N$52/3)*$F28*SIN($K$53)-($N$52/3)*$G28*SIN($K$53)</f>
        <v>#VALUE!</v>
      </c>
      <c r="AW28" s="106" t="e">
        <f>IF(($A28&lt;'Alternative 2'!$B$27),(($H28*'Alternative 2'!$B$39)+(3*($N$52/3)*COS($K$53))),IF(($A28&lt;'Alternative 2'!$B$28),(($H28*'Alternative 2'!$B$39)+(2*(($N$52/3)*COS($K$53)))),IF(($A28&lt;'Alternative 2'!$B$29),(($H$3*'Alternative 2'!$B$39+(($N$52/3)*COS($K$53)))),($H28*'Alternative 2'!$B$39))))</f>
        <v>#VALUE!</v>
      </c>
      <c r="AX28" s="105" t="e">
        <f>AV28*'Alternative 2'!$K29/'Alternative 2'!$L29</f>
        <v>#VALUE!</v>
      </c>
      <c r="AY28" s="105" t="e">
        <f>AW28/'Alternative 2'!$M29</f>
        <v>#VALUE!</v>
      </c>
      <c r="AZ28" s="105" t="e">
        <f t="shared" si="7"/>
        <v>#VALUE!</v>
      </c>
      <c r="BB28" s="105" t="e">
        <f>'Alternative 2'!$B$39*$B28*$C28*COS($K$63)-($N$62/3)*$E28*SIN($K$63)-($N$62/3)*$F28*SIN($K$63)-($N$62/3)*$G28*SIN($K$63)</f>
        <v>#VALUE!</v>
      </c>
      <c r="BC28" s="106" t="e">
        <f>IF(($A28&lt;'Alternative 2'!$B$27),(($H28*'Alternative 2'!$B$39)+(3*($N$62/3)*COS($K$63))),IF(($A28&lt;'Alternative 2'!$B$28),(($H28*'Alternative 2'!$B$39)+(2*(($N$62/3)*COS($K$63)))),IF(($A28&lt;'Alternative 2'!$B$29),(($H$3*'Alternative 2'!$B$39+(($N$62/3)*COS($K$63)))),($H28*'Alternative 2'!$B$39))))</f>
        <v>#VALUE!</v>
      </c>
      <c r="BD28" s="105" t="e">
        <f>BB28*'Alternative 2'!$K29/'Alternative 2'!$L29</f>
        <v>#VALUE!</v>
      </c>
      <c r="BE28" s="105" t="e">
        <f>BC28/'Alternative 2'!$M29</f>
        <v>#VALUE!</v>
      </c>
      <c r="BF28" s="105" t="e">
        <f t="shared" si="8"/>
        <v>#VALUE!</v>
      </c>
      <c r="BH28" s="105" t="e">
        <f>'Alternative 2'!$B$39*$B28*$C28*COS($K$73)-($N$72/3)*$E28*SIN($K$73)-($N$72/3)*$F28*SIN($K$73)-($N$72/3)*$G28*SIN($K$73)</f>
        <v>#VALUE!</v>
      </c>
      <c r="BI28" s="106" t="e">
        <f>IF(($A28&lt;'Alternative 2'!$B$27),(($H28*'Alternative 2'!$B$39)+(3*($N$72/3)*COS($K$73))),IF(($A28&lt;'Alternative 2'!$B$28),(($H28*'Alternative 2'!$B$39)+(2*(($N$72/3)*COS($K$73)))),IF(($A28&lt;'Alternative 2'!$B$29),(($H$3*'Alternative 2'!$B$39+(($N$72/3)*COS($K$73)))),($H28*'Alternative 2'!$B$39))))</f>
        <v>#VALUE!</v>
      </c>
      <c r="BJ28" s="105" t="e">
        <f>BH28*'Alternative 2'!$K29/'Alternative 2'!$L29</f>
        <v>#VALUE!</v>
      </c>
      <c r="BK28" s="105" t="e">
        <f>BI28/'Alternative 2'!$M29</f>
        <v>#VALUE!</v>
      </c>
      <c r="BL28" s="105" t="e">
        <f t="shared" si="9"/>
        <v>#VALUE!</v>
      </c>
      <c r="BN28" s="105" t="e">
        <f>'Alternative 2'!$B$39*$B28*$C28*COS($K$83)-($N$82/3)*$E28*SIN($K$83)-($N$82/3)*$F28*SIN($K$83)-($N$82/3)*$G28*SIN($K$83)</f>
        <v>#VALUE!</v>
      </c>
      <c r="BO28" s="106" t="e">
        <f>IF(($A28&lt;'Alternative 2'!$B$27),(($H28*'Alternative 2'!$B$39)+(3*($N$82/3)*COS($K$83))),IF(($A28&lt;'Alternative 2'!$B$28),(($H28*'Alternative 2'!$B$39)+(2*(($N$82/3)*COS($K$83)))),IF(($A28&lt;'Alternative 2'!$B$29),(($H$3*'Alternative 2'!$B$39+(($N$82/3)*COS($K$83)))),($H28*'Alternative 2'!$B$39))))</f>
        <v>#VALUE!</v>
      </c>
      <c r="BP28" s="105" t="e">
        <f>BN28*'Alternative 2'!$K29/'Alternative 2'!$L29</f>
        <v>#VALUE!</v>
      </c>
      <c r="BQ28" s="105" t="e">
        <f>BO28/'Alternative 2'!$M29</f>
        <v>#VALUE!</v>
      </c>
      <c r="BR28" s="105" t="e">
        <f t="shared" si="10"/>
        <v>#VALUE!</v>
      </c>
      <c r="BT28" s="105" t="e">
        <f>'Alternative 2'!$B$39*$B28*$C28*COS($K$93)-($K$92/3)*$E28*SIN($K$93)-($K$92/3)*$F28*SIN($K$93)-($K$92/3)*$G28*SIN($K$93)</f>
        <v>#VALUE!</v>
      </c>
      <c r="BU28" s="106" t="e">
        <f>IF(($A28&lt;'Alternative 2'!$B$27),(($H28*'Alternative 2'!$B$39)+(3*($N$92/3)*COS($K$93))),IF(($A28&lt;'Alternative 2'!$B$28),(($H28*'Alternative 2'!$B$39)+(2*(($N$92/3)*COS($K$93)))),IF(($A28&lt;'Alternative 2'!$B$29),(($H$3*'Alternative 2'!$B$39+(($N$92/3)*COS($K$93)))),($H28*'Alternative 2'!$B$39))))</f>
        <v>#VALUE!</v>
      </c>
      <c r="BV28" s="105" t="e">
        <f>BT28*'Alternative 2'!$K29/'Alternative 2'!$L29</f>
        <v>#VALUE!</v>
      </c>
      <c r="BW28" s="105" t="e">
        <f>BU28/'Alternative 2'!$M29</f>
        <v>#VALUE!</v>
      </c>
      <c r="BX28" s="105" t="e">
        <f t="shared" si="11"/>
        <v>#VALUE!</v>
      </c>
      <c r="BZ28" s="104">
        <v>150</v>
      </c>
      <c r="CA28" s="104">
        <v>-150</v>
      </c>
    </row>
    <row r="29" spans="1:79" ht="15" customHeight="1" x14ac:dyDescent="0.25">
      <c r="A29" s="18" t="str">
        <f>IF('Alternative 2'!F30&gt;0,'Alternative 2'!F30,"x")</f>
        <v>x</v>
      </c>
      <c r="B29" s="18" t="e">
        <f t="shared" si="17"/>
        <v>#VALUE!</v>
      </c>
      <c r="C29" s="18">
        <f t="shared" si="12"/>
        <v>0</v>
      </c>
      <c r="D29" s="18" t="str">
        <f t="shared" si="13"/>
        <v>x</v>
      </c>
      <c r="E29" s="101">
        <f>IF($A29&lt;='Alternative 2'!$B$27, IF($A29='Alternative 2'!$B$27,0,E30+1),0)</f>
        <v>0</v>
      </c>
      <c r="F29" s="101">
        <f>IF($A29&lt;=('Alternative 2'!$B$28), IF($A29=ROUNDDOWN('Alternative 2'!$B$28,0),0,F30+1),0)</f>
        <v>0</v>
      </c>
      <c r="G29" s="101">
        <f>IF($A29&lt;=('Alternative 2'!$B$29), IF($A29=ROUNDDOWN('Alternative 2'!$B$29,0),0,G30+1),0)</f>
        <v>0</v>
      </c>
      <c r="H29" s="18" t="e">
        <f t="shared" si="14"/>
        <v>#VALUE!</v>
      </c>
      <c r="J29" s="104">
        <f t="shared" si="15"/>
        <v>26</v>
      </c>
      <c r="K29" s="104">
        <f t="shared" si="16"/>
        <v>0.4537856055185257</v>
      </c>
      <c r="L29" s="105">
        <f>'Alternative 2'!$B$27*SIN(K29)+'Alternative 2'!$B$28*SIN(K29)+'Alternative 2'!$B$29*SIN(K29)</f>
        <v>18.845575600462439</v>
      </c>
      <c r="M29" s="104">
        <f>(('Alternative 2'!$B$27)*(((('Alternative 2'!$B$28-'Alternative 2'!$B$27)/2)+'Alternative 2'!$B$27)*'Alternative 2'!$B$39)*COS('Alternative 2-Tilt Up (3pt)'!K29))+(('Alternative 2'!$B$28)*((('Alternative 2'!$B$28-'Alternative 2'!$B$27)/2)+(('Alternative 2'!$B$29-'Alternative 2'!$B$28)/2))*('Alternative 2'!$B$39)*COS('Alternative 2-Tilt Up (3pt)'!K29))+(('Alternative 2'!$B$29)*((('Alternative 2'!$B$12-'Alternative 2'!$B$29+(('Alternative 2'!$B$29-'Alternative 2'!$B$28)/2)*('Alternative 2'!$B$39)*COS('Alternative 2-Tilt Up (3pt)'!K29)))))</f>
        <v>548093.53829669091</v>
      </c>
      <c r="N29" s="104">
        <f t="shared" si="0"/>
        <v>87250.219879180804</v>
      </c>
      <c r="O29" s="104">
        <f>(((('Alternative 2'!$B$28-'Alternative 2'!$B$27)/2)+'Alternative 2'!$B$27)*('Alternative 2'!$B$39)*COS('Alternative 2-Tilt Up (3pt)'!K29))+(((('Alternative 2'!$B$28-'Alternative 2'!$B$27)/2)+(('Alternative 2'!$B$29-'Alternative 2'!$B$28)/2))*('Alternative 2'!$B$39)*COS('Alternative 2-Tilt Up (3pt)'!K29))+(((('Alternative 2'!$B$12-'Alternative 2'!$B$29)+(('Alternative 2'!$B$29-'Alternative 2'!$B$28)/2))*('Alternative 2'!$B$39)*COS('Alternative 2-Tilt Up (3pt)'!K29)))</f>
        <v>56244.58936956941</v>
      </c>
      <c r="P29" s="104">
        <f t="shared" si="1"/>
        <v>78419.97816570093</v>
      </c>
      <c r="R29" s="105" t="e">
        <f>'Alternative 2'!$B$39*$B29*$C29*COS($K$5)-($N$5/3)*$E29*SIN($K$5)-($N$5/3)*$F29*SIN($K$5)-($N$5/3)*$G29*SIN($K$5)</f>
        <v>#VALUE!</v>
      </c>
      <c r="S29" s="106" t="e">
        <f>IF(($A29&lt;'Alternative 2'!$B$27),(($H29*'Alternative 2'!$B$39)+(3*($N$5/3)*COS($K$5))),IF(($A29&lt;'Alternative 2'!$B$28),(($H29*'Alternative 2'!$B$39)+(2*(($N$5/3)*COS($K$5)))),IF(($A29&lt;'Alternative 2'!$B$29),(($H$3*'Alternative 2'!$B$39+(($N$5/3)*COS($K$5)))),($H29*'Alternative 2'!$B$39))))</f>
        <v>#VALUE!</v>
      </c>
      <c r="T29" s="105" t="e">
        <f>R29*'Alternative 2'!$K30/'Alternative 2'!$L30</f>
        <v>#VALUE!</v>
      </c>
      <c r="U29" s="105" t="e">
        <f>S29/'Alternative 2'!$M30</f>
        <v>#VALUE!</v>
      </c>
      <c r="V29" s="105" t="e">
        <f t="shared" si="2"/>
        <v>#VALUE!</v>
      </c>
      <c r="X29" s="105" t="e">
        <f>'Alternative 2'!$B$39*$B29*$C29*COS($K$13)-($N$12/3)*$E29*SIN($K$13)-($N$12/3)*$F29*SIN($K$13)-($N$12/3)*$G29*SIN($K$13)</f>
        <v>#VALUE!</v>
      </c>
      <c r="Y29" s="106" t="e">
        <f>IF(($A29&lt;'Alternative 2'!$B$27),(($H29*'Alternative 2'!$B$39)+(3*($N$12/3)*COS($K$13))),IF(($A29&lt;'Alternative 2'!$B$28),(($H29*'Alternative 2'!$B$39)+(2*(($N$12/3)*COS($K$13)))),IF(($A29&lt;'Alternative 2'!$B$29),(($H$3*'Alternative 2'!$B$39+(($N$12/3)*COS($K$13)))),($H29*'Alternative 2'!$B$39))))</f>
        <v>#VALUE!</v>
      </c>
      <c r="Z29" s="105" t="e">
        <f>X29*'Alternative 2'!$K30/'Alternative 2'!$L30</f>
        <v>#VALUE!</v>
      </c>
      <c r="AA29" s="105" t="e">
        <f>Y29/'Alternative 2'!$M30</f>
        <v>#VALUE!</v>
      </c>
      <c r="AB29" s="105" t="e">
        <f t="shared" si="3"/>
        <v>#VALUE!</v>
      </c>
      <c r="AD29" s="105" t="e">
        <f>'Alternative 2'!$B$39*$B29*$C29*COS($K$23)-($N$22/3)*$E29*SIN($K$23)-($N$22/3)*$F29*SIN($K$23)-($N$22/3)*$G29*SIN($K$23)</f>
        <v>#VALUE!</v>
      </c>
      <c r="AE29" s="106" t="e">
        <f>IF(($A29&lt;'Alternative 2'!$B$27),(($H29*'Alternative 2'!$B$39)+(3*($N$22/3)*COS($K$23))),IF(($A29&lt;'Alternative 2'!$B$28),(($H29*'Alternative 2'!$B$39)+(2*(($N$22/3)*COS($K$23)))),IF(($A29&lt;'Alternative 2'!$B$29),(($H$3*'Alternative 2'!$B$39+(($N$22/3)*COS($K$23)))),($H29*'Alternative 2'!$B$39))))</f>
        <v>#VALUE!</v>
      </c>
      <c r="AF29" s="105" t="e">
        <f>AD29*'Alternative 2'!$K30/'Alternative 2'!$L30</f>
        <v>#VALUE!</v>
      </c>
      <c r="AG29" s="105" t="e">
        <f>AE29/'Alternative 2'!$M30</f>
        <v>#VALUE!</v>
      </c>
      <c r="AH29" s="105" t="e">
        <f t="shared" si="4"/>
        <v>#VALUE!</v>
      </c>
      <c r="AJ29" s="105" t="e">
        <f>'Alternative 2'!$B$39*$B29*$C29*COS($K$33)-($N$32/3)*$E29*SIN($K$33)-($N$32/3)*$F29*SIN($K$33)-($N$32/3)*$G29*SIN($K$33)</f>
        <v>#VALUE!</v>
      </c>
      <c r="AK29" s="106" t="e">
        <f>IF(($A29&lt;'Alternative 2'!$B$27),(($H29*'Alternative 2'!$B$39)+(3*($N$32/3)*COS($K$33))),IF(($A29&lt;'Alternative 2'!$B$28),(($H29*'Alternative 2'!$B$39)+(2*(($N$32/3)*COS($K$33)))),IF(($A29&lt;'Alternative 2'!$B$29),(($H$3*'Alternative 2'!$B$39+(($N$32/3)*COS($K$33)))),($H29*'Alternative 2'!$B$39))))</f>
        <v>#VALUE!</v>
      </c>
      <c r="AL29" s="105" t="e">
        <f>AJ29*'Alternative 2'!$K30/'Alternative 2'!$L30</f>
        <v>#VALUE!</v>
      </c>
      <c r="AM29" s="105" t="e">
        <f>AK29/'Alternative 2'!$M30</f>
        <v>#VALUE!</v>
      </c>
      <c r="AN29" s="105" t="e">
        <f t="shared" si="5"/>
        <v>#VALUE!</v>
      </c>
      <c r="AP29" s="105" t="e">
        <f>'Alternative 2'!$B$39*$B29*$C29*COS($K$43)-($N$42/3)*$E29*SIN($K$43)-($N$42/3)*$F29*SIN($K$43)-($N$42/3)*$G29*SIN($K$43)</f>
        <v>#VALUE!</v>
      </c>
      <c r="AQ29" s="106" t="e">
        <f>IF(($A29&lt;'Alternative 2'!$B$27),(($H29*'Alternative 2'!$B$39)+(3*($N$42/3)*COS($K$43))),IF(($A29&lt;'Alternative 2'!$B$28),(($H29*'Alternative 2'!$B$39)+(2*(($N$42/3)*COS($K$43)))),IF(($A29&lt;'Alternative 2'!$B$29),(($H$3*'Alternative 2'!$B$39+(($N$42/3)*COS($K$43)))),($H29*'Alternative 2'!$B$39))))</f>
        <v>#VALUE!</v>
      </c>
      <c r="AR29" s="105" t="e">
        <f>AP29*'Alternative 2'!$K30/'Alternative 2'!$L30</f>
        <v>#VALUE!</v>
      </c>
      <c r="AS29" s="105" t="e">
        <f>AQ29/'Alternative 2'!$M30</f>
        <v>#VALUE!</v>
      </c>
      <c r="AT29" s="105" t="e">
        <f t="shared" si="6"/>
        <v>#VALUE!</v>
      </c>
      <c r="AV29" s="105" t="e">
        <f>'Alternative 2'!$B$39*$B29*$C29*COS($K$53)-($N$52/3)*$E29*SIN($K$53)-($N$52/3)*$F29*SIN($K$53)-($N$52/3)*$G29*SIN($K$53)</f>
        <v>#VALUE!</v>
      </c>
      <c r="AW29" s="106" t="e">
        <f>IF(($A29&lt;'Alternative 2'!$B$27),(($H29*'Alternative 2'!$B$39)+(3*($N$52/3)*COS($K$53))),IF(($A29&lt;'Alternative 2'!$B$28),(($H29*'Alternative 2'!$B$39)+(2*(($N$52/3)*COS($K$53)))),IF(($A29&lt;'Alternative 2'!$B$29),(($H$3*'Alternative 2'!$B$39+(($N$52/3)*COS($K$53)))),($H29*'Alternative 2'!$B$39))))</f>
        <v>#VALUE!</v>
      </c>
      <c r="AX29" s="105" t="e">
        <f>AV29*'Alternative 2'!$K30/'Alternative 2'!$L30</f>
        <v>#VALUE!</v>
      </c>
      <c r="AY29" s="105" t="e">
        <f>AW29/'Alternative 2'!$M30</f>
        <v>#VALUE!</v>
      </c>
      <c r="AZ29" s="105" t="e">
        <f t="shared" si="7"/>
        <v>#VALUE!</v>
      </c>
      <c r="BB29" s="105" t="e">
        <f>'Alternative 2'!$B$39*$B29*$C29*COS($K$63)-($N$62/3)*$E29*SIN($K$63)-($N$62/3)*$F29*SIN($K$63)-($N$62/3)*$G29*SIN($K$63)</f>
        <v>#VALUE!</v>
      </c>
      <c r="BC29" s="106" t="e">
        <f>IF(($A29&lt;'Alternative 2'!$B$27),(($H29*'Alternative 2'!$B$39)+(3*($N$62/3)*COS($K$63))),IF(($A29&lt;'Alternative 2'!$B$28),(($H29*'Alternative 2'!$B$39)+(2*(($N$62/3)*COS($K$63)))),IF(($A29&lt;'Alternative 2'!$B$29),(($H$3*'Alternative 2'!$B$39+(($N$62/3)*COS($K$63)))),($H29*'Alternative 2'!$B$39))))</f>
        <v>#VALUE!</v>
      </c>
      <c r="BD29" s="105" t="e">
        <f>BB29*'Alternative 2'!$K30/'Alternative 2'!$L30</f>
        <v>#VALUE!</v>
      </c>
      <c r="BE29" s="105" t="e">
        <f>BC29/'Alternative 2'!$M30</f>
        <v>#VALUE!</v>
      </c>
      <c r="BF29" s="105" t="e">
        <f t="shared" si="8"/>
        <v>#VALUE!</v>
      </c>
      <c r="BH29" s="105" t="e">
        <f>'Alternative 2'!$B$39*$B29*$C29*COS($K$73)-($N$72/3)*$E29*SIN($K$73)-($N$72/3)*$F29*SIN($K$73)-($N$72/3)*$G29*SIN($K$73)</f>
        <v>#VALUE!</v>
      </c>
      <c r="BI29" s="106" t="e">
        <f>IF(($A29&lt;'Alternative 2'!$B$27),(($H29*'Alternative 2'!$B$39)+(3*($N$72/3)*COS($K$73))),IF(($A29&lt;'Alternative 2'!$B$28),(($H29*'Alternative 2'!$B$39)+(2*(($N$72/3)*COS($K$73)))),IF(($A29&lt;'Alternative 2'!$B$29),(($H$3*'Alternative 2'!$B$39+(($N$72/3)*COS($K$73)))),($H29*'Alternative 2'!$B$39))))</f>
        <v>#VALUE!</v>
      </c>
      <c r="BJ29" s="105" t="e">
        <f>BH29*'Alternative 2'!$K30/'Alternative 2'!$L30</f>
        <v>#VALUE!</v>
      </c>
      <c r="BK29" s="105" t="e">
        <f>BI29/'Alternative 2'!$M30</f>
        <v>#VALUE!</v>
      </c>
      <c r="BL29" s="105" t="e">
        <f t="shared" si="9"/>
        <v>#VALUE!</v>
      </c>
      <c r="BN29" s="105" t="e">
        <f>'Alternative 2'!$B$39*$B29*$C29*COS($K$83)-($N$82/3)*$E29*SIN($K$83)-($N$82/3)*$F29*SIN($K$83)-($N$82/3)*$G29*SIN($K$83)</f>
        <v>#VALUE!</v>
      </c>
      <c r="BO29" s="106" t="e">
        <f>IF(($A29&lt;'Alternative 2'!$B$27),(($H29*'Alternative 2'!$B$39)+(3*($N$82/3)*COS($K$83))),IF(($A29&lt;'Alternative 2'!$B$28),(($H29*'Alternative 2'!$B$39)+(2*(($N$82/3)*COS($K$83)))),IF(($A29&lt;'Alternative 2'!$B$29),(($H$3*'Alternative 2'!$B$39+(($N$82/3)*COS($K$83)))),($H29*'Alternative 2'!$B$39))))</f>
        <v>#VALUE!</v>
      </c>
      <c r="BP29" s="105" t="e">
        <f>BN29*'Alternative 2'!$K30/'Alternative 2'!$L30</f>
        <v>#VALUE!</v>
      </c>
      <c r="BQ29" s="105" t="e">
        <f>BO29/'Alternative 2'!$M30</f>
        <v>#VALUE!</v>
      </c>
      <c r="BR29" s="105" t="e">
        <f t="shared" si="10"/>
        <v>#VALUE!</v>
      </c>
      <c r="BT29" s="105" t="e">
        <f>'Alternative 2'!$B$39*$B29*$C29*COS($K$93)-($K$92/3)*$E29*SIN($K$93)-($K$92/3)*$F29*SIN($K$93)-($K$92/3)*$G29*SIN($K$93)</f>
        <v>#VALUE!</v>
      </c>
      <c r="BU29" s="106" t="e">
        <f>IF(($A29&lt;'Alternative 2'!$B$27),(($H29*'Alternative 2'!$B$39)+(3*($N$92/3)*COS($K$93))),IF(($A29&lt;'Alternative 2'!$B$28),(($H29*'Alternative 2'!$B$39)+(2*(($N$92/3)*COS($K$93)))),IF(($A29&lt;'Alternative 2'!$B$29),(($H$3*'Alternative 2'!$B$39+(($N$92/3)*COS($K$93)))),($H29*'Alternative 2'!$B$39))))</f>
        <v>#VALUE!</v>
      </c>
      <c r="BV29" s="105" t="e">
        <f>BT29*'Alternative 2'!$K30/'Alternative 2'!$L30</f>
        <v>#VALUE!</v>
      </c>
      <c r="BW29" s="105" t="e">
        <f>BU29/'Alternative 2'!$M30</f>
        <v>#VALUE!</v>
      </c>
      <c r="BX29" s="105" t="e">
        <f t="shared" si="11"/>
        <v>#VALUE!</v>
      </c>
      <c r="BZ29" s="104">
        <v>150</v>
      </c>
      <c r="CA29" s="104">
        <v>-150</v>
      </c>
    </row>
    <row r="30" spans="1:79" ht="15" customHeight="1" x14ac:dyDescent="0.25">
      <c r="A30" s="18" t="str">
        <f>IF('Alternative 2'!F31&gt;0,'Alternative 2'!F31,"x")</f>
        <v>x</v>
      </c>
      <c r="B30" s="18" t="e">
        <f t="shared" si="17"/>
        <v>#VALUE!</v>
      </c>
      <c r="C30" s="18">
        <f t="shared" si="12"/>
        <v>0</v>
      </c>
      <c r="D30" s="18" t="str">
        <f t="shared" si="13"/>
        <v>x</v>
      </c>
      <c r="E30" s="101">
        <f>IF($A30&lt;='Alternative 2'!$B$27, IF($A30='Alternative 2'!$B$27,0,E31+1),0)</f>
        <v>0</v>
      </c>
      <c r="F30" s="101">
        <f>IF($A30&lt;=('Alternative 2'!$B$28), IF($A30=ROUNDDOWN('Alternative 2'!$B$28,0),0,F31+1),0)</f>
        <v>0</v>
      </c>
      <c r="G30" s="101">
        <f>IF($A30&lt;=('Alternative 2'!$B$29), IF($A30=ROUNDDOWN('Alternative 2'!$B$29,0),0,G31+1),0)</f>
        <v>0</v>
      </c>
      <c r="H30" s="18" t="e">
        <f t="shared" si="14"/>
        <v>#VALUE!</v>
      </c>
      <c r="J30" s="104">
        <f t="shared" si="15"/>
        <v>27</v>
      </c>
      <c r="K30" s="104">
        <f t="shared" si="16"/>
        <v>0.47123889803846897</v>
      </c>
      <c r="L30" s="105">
        <f>'Alternative 2'!$B$27*SIN(K30)+'Alternative 2'!$B$28*SIN(K30)+'Alternative 2'!$B$29*SIN(K30)</f>
        <v>19.517051583803116</v>
      </c>
      <c r="M30" s="104">
        <f>(('Alternative 2'!$B$27)*(((('Alternative 2'!$B$28-'Alternative 2'!$B$27)/2)+'Alternative 2'!$B$27)*'Alternative 2'!$B$39)*COS('Alternative 2-Tilt Up (3pt)'!K30))+(('Alternative 2'!$B$28)*((('Alternative 2'!$B$28-'Alternative 2'!$B$27)/2)+(('Alternative 2'!$B$29-'Alternative 2'!$B$28)/2))*('Alternative 2'!$B$39)*COS('Alternative 2-Tilt Up (3pt)'!K30))+(('Alternative 2'!$B$29)*((('Alternative 2'!$B$12-'Alternative 2'!$B$29+(('Alternative 2'!$B$29-'Alternative 2'!$B$28)/2)*('Alternative 2'!$B$39)*COS('Alternative 2-Tilt Up (3pt)'!K30)))))</f>
        <v>543345.33163239632</v>
      </c>
      <c r="N30" s="104">
        <f t="shared" si="0"/>
        <v>83518.557498199647</v>
      </c>
      <c r="O30" s="104">
        <f>(((('Alternative 2'!$B$28-'Alternative 2'!$B$27)/2)+'Alternative 2'!$B$27)*('Alternative 2'!$B$39)*COS('Alternative 2-Tilt Up (3pt)'!K30))+(((('Alternative 2'!$B$28-'Alternative 2'!$B$27)/2)+(('Alternative 2'!$B$29-'Alternative 2'!$B$28)/2))*('Alternative 2'!$B$39)*COS('Alternative 2-Tilt Up (3pt)'!K30))+(((('Alternative 2'!$B$12-'Alternative 2'!$B$29)+(('Alternative 2'!$B$29-'Alternative 2'!$B$28)/2))*('Alternative 2'!$B$39)*COS('Alternative 2-Tilt Up (3pt)'!K30)))</f>
        <v>55757.263062578546</v>
      </c>
      <c r="P30" s="104">
        <f t="shared" si="1"/>
        <v>74415.579621697223</v>
      </c>
      <c r="R30" s="105" t="e">
        <f>'Alternative 2'!$B$39*$B30*$C30*COS($K$5)-($N$5/3)*$E30*SIN($K$5)-($N$5/3)*$F30*SIN($K$5)-($N$5/3)*$G30*SIN($K$5)</f>
        <v>#VALUE!</v>
      </c>
      <c r="S30" s="106" t="e">
        <f>IF(($A30&lt;'Alternative 2'!$B$27),(($H30*'Alternative 2'!$B$39)+(3*($N$5/3)*COS($K$5))),IF(($A30&lt;'Alternative 2'!$B$28),(($H30*'Alternative 2'!$B$39)+(2*(($N$5/3)*COS($K$5)))),IF(($A30&lt;'Alternative 2'!$B$29),(($H$3*'Alternative 2'!$B$39+(($N$5/3)*COS($K$5)))),($H30*'Alternative 2'!$B$39))))</f>
        <v>#VALUE!</v>
      </c>
      <c r="T30" s="105" t="e">
        <f>R30*'Alternative 2'!$K31/'Alternative 2'!$L31</f>
        <v>#VALUE!</v>
      </c>
      <c r="U30" s="105" t="e">
        <f>S30/'Alternative 2'!$M31</f>
        <v>#VALUE!</v>
      </c>
      <c r="V30" s="105" t="e">
        <f t="shared" si="2"/>
        <v>#VALUE!</v>
      </c>
      <c r="X30" s="105" t="e">
        <f>'Alternative 2'!$B$39*$B30*$C30*COS($K$13)-($N$12/3)*$E30*SIN($K$13)-($N$12/3)*$F30*SIN($K$13)-($N$12/3)*$G30*SIN($K$13)</f>
        <v>#VALUE!</v>
      </c>
      <c r="Y30" s="106" t="e">
        <f>IF(($A30&lt;'Alternative 2'!$B$27),(($H30*'Alternative 2'!$B$39)+(3*($N$12/3)*COS($K$13))),IF(($A30&lt;'Alternative 2'!$B$28),(($H30*'Alternative 2'!$B$39)+(2*(($N$12/3)*COS($K$13)))),IF(($A30&lt;'Alternative 2'!$B$29),(($H$3*'Alternative 2'!$B$39+(($N$12/3)*COS($K$13)))),($H30*'Alternative 2'!$B$39))))</f>
        <v>#VALUE!</v>
      </c>
      <c r="Z30" s="105" t="e">
        <f>X30*'Alternative 2'!$K31/'Alternative 2'!$L31</f>
        <v>#VALUE!</v>
      </c>
      <c r="AA30" s="105" t="e">
        <f>Y30/'Alternative 2'!$M31</f>
        <v>#VALUE!</v>
      </c>
      <c r="AB30" s="105" t="e">
        <f t="shared" si="3"/>
        <v>#VALUE!</v>
      </c>
      <c r="AD30" s="105" t="e">
        <f>'Alternative 2'!$B$39*$B30*$C30*COS($K$23)-($N$22/3)*$E30*SIN($K$23)-($N$22/3)*$F30*SIN($K$23)-($N$22/3)*$G30*SIN($K$23)</f>
        <v>#VALUE!</v>
      </c>
      <c r="AE30" s="106" t="e">
        <f>IF(($A30&lt;'Alternative 2'!$B$27),(($H30*'Alternative 2'!$B$39)+(3*($N$22/3)*COS($K$23))),IF(($A30&lt;'Alternative 2'!$B$28),(($H30*'Alternative 2'!$B$39)+(2*(($N$22/3)*COS($K$23)))),IF(($A30&lt;'Alternative 2'!$B$29),(($H$3*'Alternative 2'!$B$39+(($N$22/3)*COS($K$23)))),($H30*'Alternative 2'!$B$39))))</f>
        <v>#VALUE!</v>
      </c>
      <c r="AF30" s="105" t="e">
        <f>AD30*'Alternative 2'!$K31/'Alternative 2'!$L31</f>
        <v>#VALUE!</v>
      </c>
      <c r="AG30" s="105" t="e">
        <f>AE30/'Alternative 2'!$M31</f>
        <v>#VALUE!</v>
      </c>
      <c r="AH30" s="105" t="e">
        <f t="shared" si="4"/>
        <v>#VALUE!</v>
      </c>
      <c r="AJ30" s="105" t="e">
        <f>'Alternative 2'!$B$39*$B30*$C30*COS($K$33)-($N$32/3)*$E30*SIN($K$33)-($N$32/3)*$F30*SIN($K$33)-($N$32/3)*$G30*SIN($K$33)</f>
        <v>#VALUE!</v>
      </c>
      <c r="AK30" s="106" t="e">
        <f>IF(($A30&lt;'Alternative 2'!$B$27),(($H30*'Alternative 2'!$B$39)+(3*($N$32/3)*COS($K$33))),IF(($A30&lt;'Alternative 2'!$B$28),(($H30*'Alternative 2'!$B$39)+(2*(($N$32/3)*COS($K$33)))),IF(($A30&lt;'Alternative 2'!$B$29),(($H$3*'Alternative 2'!$B$39+(($N$32/3)*COS($K$33)))),($H30*'Alternative 2'!$B$39))))</f>
        <v>#VALUE!</v>
      </c>
      <c r="AL30" s="105" t="e">
        <f>AJ30*'Alternative 2'!$K31/'Alternative 2'!$L31</f>
        <v>#VALUE!</v>
      </c>
      <c r="AM30" s="105" t="e">
        <f>AK30/'Alternative 2'!$M31</f>
        <v>#VALUE!</v>
      </c>
      <c r="AN30" s="105" t="e">
        <f t="shared" si="5"/>
        <v>#VALUE!</v>
      </c>
      <c r="AP30" s="105" t="e">
        <f>'Alternative 2'!$B$39*$B30*$C30*COS($K$43)-($N$42/3)*$E30*SIN($K$43)-($N$42/3)*$F30*SIN($K$43)-($N$42/3)*$G30*SIN($K$43)</f>
        <v>#VALUE!</v>
      </c>
      <c r="AQ30" s="106" t="e">
        <f>IF(($A30&lt;'Alternative 2'!$B$27),(($H30*'Alternative 2'!$B$39)+(3*($N$42/3)*COS($K$43))),IF(($A30&lt;'Alternative 2'!$B$28),(($H30*'Alternative 2'!$B$39)+(2*(($N$42/3)*COS($K$43)))),IF(($A30&lt;'Alternative 2'!$B$29),(($H$3*'Alternative 2'!$B$39+(($N$42/3)*COS($K$43)))),($H30*'Alternative 2'!$B$39))))</f>
        <v>#VALUE!</v>
      </c>
      <c r="AR30" s="105" t="e">
        <f>AP30*'Alternative 2'!$K31/'Alternative 2'!$L31</f>
        <v>#VALUE!</v>
      </c>
      <c r="AS30" s="105" t="e">
        <f>AQ30/'Alternative 2'!$M31</f>
        <v>#VALUE!</v>
      </c>
      <c r="AT30" s="105" t="e">
        <f t="shared" si="6"/>
        <v>#VALUE!</v>
      </c>
      <c r="AV30" s="105" t="e">
        <f>'Alternative 2'!$B$39*$B30*$C30*COS($K$53)-($N$52/3)*$E30*SIN($K$53)-($N$52/3)*$F30*SIN($K$53)-($N$52/3)*$G30*SIN($K$53)</f>
        <v>#VALUE!</v>
      </c>
      <c r="AW30" s="106" t="e">
        <f>IF(($A30&lt;'Alternative 2'!$B$27),(($H30*'Alternative 2'!$B$39)+(3*($N$52/3)*COS($K$53))),IF(($A30&lt;'Alternative 2'!$B$28),(($H30*'Alternative 2'!$B$39)+(2*(($N$52/3)*COS($K$53)))),IF(($A30&lt;'Alternative 2'!$B$29),(($H$3*'Alternative 2'!$B$39+(($N$52/3)*COS($K$53)))),($H30*'Alternative 2'!$B$39))))</f>
        <v>#VALUE!</v>
      </c>
      <c r="AX30" s="105" t="e">
        <f>AV30*'Alternative 2'!$K31/'Alternative 2'!$L31</f>
        <v>#VALUE!</v>
      </c>
      <c r="AY30" s="105" t="e">
        <f>AW30/'Alternative 2'!$M31</f>
        <v>#VALUE!</v>
      </c>
      <c r="AZ30" s="105" t="e">
        <f t="shared" si="7"/>
        <v>#VALUE!</v>
      </c>
      <c r="BB30" s="105" t="e">
        <f>'Alternative 2'!$B$39*$B30*$C30*COS($K$63)-($N$62/3)*$E30*SIN($K$63)-($N$62/3)*$F30*SIN($K$63)-($N$62/3)*$G30*SIN($K$63)</f>
        <v>#VALUE!</v>
      </c>
      <c r="BC30" s="106" t="e">
        <f>IF(($A30&lt;'Alternative 2'!$B$27),(($H30*'Alternative 2'!$B$39)+(3*($N$62/3)*COS($K$63))),IF(($A30&lt;'Alternative 2'!$B$28),(($H30*'Alternative 2'!$B$39)+(2*(($N$62/3)*COS($K$63)))),IF(($A30&lt;'Alternative 2'!$B$29),(($H$3*'Alternative 2'!$B$39+(($N$62/3)*COS($K$63)))),($H30*'Alternative 2'!$B$39))))</f>
        <v>#VALUE!</v>
      </c>
      <c r="BD30" s="105" t="e">
        <f>BB30*'Alternative 2'!$K31/'Alternative 2'!$L31</f>
        <v>#VALUE!</v>
      </c>
      <c r="BE30" s="105" t="e">
        <f>BC30/'Alternative 2'!$M31</f>
        <v>#VALUE!</v>
      </c>
      <c r="BF30" s="105" t="e">
        <f t="shared" si="8"/>
        <v>#VALUE!</v>
      </c>
      <c r="BH30" s="105" t="e">
        <f>'Alternative 2'!$B$39*$B30*$C30*COS($K$73)-($N$72/3)*$E30*SIN($K$73)-($N$72/3)*$F30*SIN($K$73)-($N$72/3)*$G30*SIN($K$73)</f>
        <v>#VALUE!</v>
      </c>
      <c r="BI30" s="106" t="e">
        <f>IF(($A30&lt;'Alternative 2'!$B$27),(($H30*'Alternative 2'!$B$39)+(3*($N$72/3)*COS($K$73))),IF(($A30&lt;'Alternative 2'!$B$28),(($H30*'Alternative 2'!$B$39)+(2*(($N$72/3)*COS($K$73)))),IF(($A30&lt;'Alternative 2'!$B$29),(($H$3*'Alternative 2'!$B$39+(($N$72/3)*COS($K$73)))),($H30*'Alternative 2'!$B$39))))</f>
        <v>#VALUE!</v>
      </c>
      <c r="BJ30" s="105" t="e">
        <f>BH30*'Alternative 2'!$K31/'Alternative 2'!$L31</f>
        <v>#VALUE!</v>
      </c>
      <c r="BK30" s="105" t="e">
        <f>BI30/'Alternative 2'!$M31</f>
        <v>#VALUE!</v>
      </c>
      <c r="BL30" s="105" t="e">
        <f t="shared" si="9"/>
        <v>#VALUE!</v>
      </c>
      <c r="BN30" s="105" t="e">
        <f>'Alternative 2'!$B$39*$B30*$C30*COS($K$83)-($N$82/3)*$E30*SIN($K$83)-($N$82/3)*$F30*SIN($K$83)-($N$82/3)*$G30*SIN($K$83)</f>
        <v>#VALUE!</v>
      </c>
      <c r="BO30" s="106" t="e">
        <f>IF(($A30&lt;'Alternative 2'!$B$27),(($H30*'Alternative 2'!$B$39)+(3*($N$82/3)*COS($K$83))),IF(($A30&lt;'Alternative 2'!$B$28),(($H30*'Alternative 2'!$B$39)+(2*(($N$82/3)*COS($K$83)))),IF(($A30&lt;'Alternative 2'!$B$29),(($H$3*'Alternative 2'!$B$39+(($N$82/3)*COS($K$83)))),($H30*'Alternative 2'!$B$39))))</f>
        <v>#VALUE!</v>
      </c>
      <c r="BP30" s="105" t="e">
        <f>BN30*'Alternative 2'!$K31/'Alternative 2'!$L31</f>
        <v>#VALUE!</v>
      </c>
      <c r="BQ30" s="105" t="e">
        <f>BO30/'Alternative 2'!$M31</f>
        <v>#VALUE!</v>
      </c>
      <c r="BR30" s="105" t="e">
        <f t="shared" si="10"/>
        <v>#VALUE!</v>
      </c>
      <c r="BT30" s="105" t="e">
        <f>'Alternative 2'!$B$39*$B30*$C30*COS($K$93)-($K$92/3)*$E30*SIN($K$93)-($K$92/3)*$F30*SIN($K$93)-($K$92/3)*$G30*SIN($K$93)</f>
        <v>#VALUE!</v>
      </c>
      <c r="BU30" s="106" t="e">
        <f>IF(($A30&lt;'Alternative 2'!$B$27),(($H30*'Alternative 2'!$B$39)+(3*($N$92/3)*COS($K$93))),IF(($A30&lt;'Alternative 2'!$B$28),(($H30*'Alternative 2'!$B$39)+(2*(($N$92/3)*COS($K$93)))),IF(($A30&lt;'Alternative 2'!$B$29),(($H$3*'Alternative 2'!$B$39+(($N$92/3)*COS($K$93)))),($H30*'Alternative 2'!$B$39))))</f>
        <v>#VALUE!</v>
      </c>
      <c r="BV30" s="105" t="e">
        <f>BT30*'Alternative 2'!$K31/'Alternative 2'!$L31</f>
        <v>#VALUE!</v>
      </c>
      <c r="BW30" s="105" t="e">
        <f>BU30/'Alternative 2'!$M31</f>
        <v>#VALUE!</v>
      </c>
      <c r="BX30" s="105" t="e">
        <f t="shared" si="11"/>
        <v>#VALUE!</v>
      </c>
      <c r="BZ30" s="104">
        <v>150</v>
      </c>
      <c r="CA30" s="104">
        <v>-150</v>
      </c>
    </row>
    <row r="31" spans="1:79" ht="15" customHeight="1" x14ac:dyDescent="0.25">
      <c r="A31" s="18" t="str">
        <f>IF('Alternative 2'!F32&gt;0,'Alternative 2'!F32,"x")</f>
        <v>x</v>
      </c>
      <c r="B31" s="18" t="e">
        <f t="shared" si="17"/>
        <v>#VALUE!</v>
      </c>
      <c r="C31" s="18">
        <f t="shared" si="12"/>
        <v>0</v>
      </c>
      <c r="D31" s="18" t="str">
        <f t="shared" si="13"/>
        <v>x</v>
      </c>
      <c r="E31" s="101">
        <f>IF($A31&lt;='Alternative 2'!$B$27, IF($A31='Alternative 2'!$B$27,0,E32+1),0)</f>
        <v>0</v>
      </c>
      <c r="F31" s="101">
        <f>IF($A31&lt;=('Alternative 2'!$B$28), IF($A31=ROUNDDOWN('Alternative 2'!$B$28,0),0,F32+1),0)</f>
        <v>0</v>
      </c>
      <c r="G31" s="101">
        <f>IF($A31&lt;=('Alternative 2'!$B$29), IF($A31=ROUNDDOWN('Alternative 2'!$B$29,0),0,G32+1),0)</f>
        <v>0</v>
      </c>
      <c r="H31" s="18" t="e">
        <f t="shared" si="14"/>
        <v>#VALUE!</v>
      </c>
      <c r="J31" s="104">
        <f t="shared" si="15"/>
        <v>28</v>
      </c>
      <c r="K31" s="104">
        <f t="shared" si="16"/>
        <v>0.48869219055841229</v>
      </c>
      <c r="L31" s="105">
        <f>'Alternative 2'!$B$27*SIN(K31)+'Alternative 2'!$B$28*SIN(K31)+'Alternative 2'!$B$29*SIN(K31)</f>
        <v>20.182582484165447</v>
      </c>
      <c r="M31" s="104">
        <f>(('Alternative 2'!$B$27)*(((('Alternative 2'!$B$28-'Alternative 2'!$B$27)/2)+'Alternative 2'!$B$27)*'Alternative 2'!$B$39)*COS('Alternative 2-Tilt Up (3pt)'!K31))+(('Alternative 2'!$B$28)*((('Alternative 2'!$B$28-'Alternative 2'!$B$27)/2)+(('Alternative 2'!$B$29-'Alternative 2'!$B$28)/2))*('Alternative 2'!$B$39)*COS('Alternative 2-Tilt Up (3pt)'!K31))+(('Alternative 2'!$B$29)*((('Alternative 2'!$B$12-'Alternative 2'!$B$29+(('Alternative 2'!$B$29-'Alternative 2'!$B$28)/2)*('Alternative 2'!$B$39)*COS('Alternative 2-Tilt Up (3pt)'!K31)))))</f>
        <v>538431.64138521487</v>
      </c>
      <c r="N31" s="104">
        <f t="shared" si="0"/>
        <v>80034.104923041872</v>
      </c>
      <c r="O31" s="104">
        <f>(((('Alternative 2'!$B$28-'Alternative 2'!$B$27)/2)+'Alternative 2'!$B$27)*('Alternative 2'!$B$39)*COS('Alternative 2-Tilt Up (3pt)'!K31))+(((('Alternative 2'!$B$28-'Alternative 2'!$B$27)/2)+(('Alternative 2'!$B$29-'Alternative 2'!$B$28)/2))*('Alternative 2'!$B$39)*COS('Alternative 2-Tilt Up (3pt)'!K31))+(((('Alternative 2'!$B$12-'Alternative 2'!$B$29)+(('Alternative 2'!$B$29-'Alternative 2'!$B$28)/2))*('Alternative 2'!$B$39)*COS('Alternative 2-Tilt Up (3pt)'!K31)))</f>
        <v>55252.952553126095</v>
      </c>
      <c r="P31" s="104">
        <f t="shared" si="1"/>
        <v>70665.920288418623</v>
      </c>
      <c r="R31" s="105" t="e">
        <f>'Alternative 2'!$B$39*$B31*$C31*COS($K$5)-($N$5/3)*$E31*SIN($K$5)-($N$5/3)*$F31*SIN($K$5)-($N$5/3)*$G31*SIN($K$5)</f>
        <v>#VALUE!</v>
      </c>
      <c r="S31" s="106" t="e">
        <f>IF(($A31&lt;'Alternative 2'!$B$27),(($H31*'Alternative 2'!$B$39)+(3*($N$5/3)*COS($K$5))),IF(($A31&lt;'Alternative 2'!$B$28),(($H31*'Alternative 2'!$B$39)+(2*(($N$5/3)*COS($K$5)))),IF(($A31&lt;'Alternative 2'!$B$29),(($H$3*'Alternative 2'!$B$39+(($N$5/3)*COS($K$5)))),($H31*'Alternative 2'!$B$39))))</f>
        <v>#VALUE!</v>
      </c>
      <c r="T31" s="105" t="e">
        <f>R31*'Alternative 2'!$K32/'Alternative 2'!$L32</f>
        <v>#VALUE!</v>
      </c>
      <c r="U31" s="105" t="e">
        <f>S31/'Alternative 2'!$M32</f>
        <v>#VALUE!</v>
      </c>
      <c r="V31" s="105" t="e">
        <f t="shared" si="2"/>
        <v>#VALUE!</v>
      </c>
      <c r="X31" s="105" t="e">
        <f>'Alternative 2'!$B$39*$B31*$C31*COS($K$13)-($N$12/3)*$E31*SIN($K$13)-($N$12/3)*$F31*SIN($K$13)-($N$12/3)*$G31*SIN($K$13)</f>
        <v>#VALUE!</v>
      </c>
      <c r="Y31" s="106" t="e">
        <f>IF(($A31&lt;'Alternative 2'!$B$27),(($H31*'Alternative 2'!$B$39)+(3*($N$12/3)*COS($K$13))),IF(($A31&lt;'Alternative 2'!$B$28),(($H31*'Alternative 2'!$B$39)+(2*(($N$12/3)*COS($K$13)))),IF(($A31&lt;'Alternative 2'!$B$29),(($H$3*'Alternative 2'!$B$39+(($N$12/3)*COS($K$13)))),($H31*'Alternative 2'!$B$39))))</f>
        <v>#VALUE!</v>
      </c>
      <c r="Z31" s="105" t="e">
        <f>X31*'Alternative 2'!$K32/'Alternative 2'!$L32</f>
        <v>#VALUE!</v>
      </c>
      <c r="AA31" s="105" t="e">
        <f>Y31/'Alternative 2'!$M32</f>
        <v>#VALUE!</v>
      </c>
      <c r="AB31" s="105" t="e">
        <f t="shared" si="3"/>
        <v>#VALUE!</v>
      </c>
      <c r="AD31" s="105" t="e">
        <f>'Alternative 2'!$B$39*$B31*$C31*COS($K$23)-($N$22/3)*$E31*SIN($K$23)-($N$22/3)*$F31*SIN($K$23)-($N$22/3)*$G31*SIN($K$23)</f>
        <v>#VALUE!</v>
      </c>
      <c r="AE31" s="106" t="e">
        <f>IF(($A31&lt;'Alternative 2'!$B$27),(($H31*'Alternative 2'!$B$39)+(3*($N$22/3)*COS($K$23))),IF(($A31&lt;'Alternative 2'!$B$28),(($H31*'Alternative 2'!$B$39)+(2*(($N$22/3)*COS($K$23)))),IF(($A31&lt;'Alternative 2'!$B$29),(($H$3*'Alternative 2'!$B$39+(($N$22/3)*COS($K$23)))),($H31*'Alternative 2'!$B$39))))</f>
        <v>#VALUE!</v>
      </c>
      <c r="AF31" s="105" t="e">
        <f>AD31*'Alternative 2'!$K32/'Alternative 2'!$L32</f>
        <v>#VALUE!</v>
      </c>
      <c r="AG31" s="105" t="e">
        <f>AE31/'Alternative 2'!$M32</f>
        <v>#VALUE!</v>
      </c>
      <c r="AH31" s="105" t="e">
        <f t="shared" si="4"/>
        <v>#VALUE!</v>
      </c>
      <c r="AJ31" s="105" t="e">
        <f>'Alternative 2'!$B$39*$B31*$C31*COS($K$33)-($N$32/3)*$E31*SIN($K$33)-($N$32/3)*$F31*SIN($K$33)-($N$32/3)*$G31*SIN($K$33)</f>
        <v>#VALUE!</v>
      </c>
      <c r="AK31" s="106" t="e">
        <f>IF(($A31&lt;'Alternative 2'!$B$27),(($H31*'Alternative 2'!$B$39)+(3*($N$32/3)*COS($K$33))),IF(($A31&lt;'Alternative 2'!$B$28),(($H31*'Alternative 2'!$B$39)+(2*(($N$32/3)*COS($K$33)))),IF(($A31&lt;'Alternative 2'!$B$29),(($H$3*'Alternative 2'!$B$39+(($N$32/3)*COS($K$33)))),($H31*'Alternative 2'!$B$39))))</f>
        <v>#VALUE!</v>
      </c>
      <c r="AL31" s="105" t="e">
        <f>AJ31*'Alternative 2'!$K32/'Alternative 2'!$L32</f>
        <v>#VALUE!</v>
      </c>
      <c r="AM31" s="105" t="e">
        <f>AK31/'Alternative 2'!$M32</f>
        <v>#VALUE!</v>
      </c>
      <c r="AN31" s="105" t="e">
        <f t="shared" si="5"/>
        <v>#VALUE!</v>
      </c>
      <c r="AP31" s="105" t="e">
        <f>'Alternative 2'!$B$39*$B31*$C31*COS($K$43)-($N$42/3)*$E31*SIN($K$43)-($N$42/3)*$F31*SIN($K$43)-($N$42/3)*$G31*SIN($K$43)</f>
        <v>#VALUE!</v>
      </c>
      <c r="AQ31" s="106" t="e">
        <f>IF(($A31&lt;'Alternative 2'!$B$27),(($H31*'Alternative 2'!$B$39)+(3*($N$42/3)*COS($K$43))),IF(($A31&lt;'Alternative 2'!$B$28),(($H31*'Alternative 2'!$B$39)+(2*(($N$42/3)*COS($K$43)))),IF(($A31&lt;'Alternative 2'!$B$29),(($H$3*'Alternative 2'!$B$39+(($N$42/3)*COS($K$43)))),($H31*'Alternative 2'!$B$39))))</f>
        <v>#VALUE!</v>
      </c>
      <c r="AR31" s="105" t="e">
        <f>AP31*'Alternative 2'!$K32/'Alternative 2'!$L32</f>
        <v>#VALUE!</v>
      </c>
      <c r="AS31" s="105" t="e">
        <f>AQ31/'Alternative 2'!$M32</f>
        <v>#VALUE!</v>
      </c>
      <c r="AT31" s="105" t="e">
        <f t="shared" si="6"/>
        <v>#VALUE!</v>
      </c>
      <c r="AV31" s="105" t="e">
        <f>'Alternative 2'!$B$39*$B31*$C31*COS($K$53)-($N$52/3)*$E31*SIN($K$53)-($N$52/3)*$F31*SIN($K$53)-($N$52/3)*$G31*SIN($K$53)</f>
        <v>#VALUE!</v>
      </c>
      <c r="AW31" s="106" t="e">
        <f>IF(($A31&lt;'Alternative 2'!$B$27),(($H31*'Alternative 2'!$B$39)+(3*($N$52/3)*COS($K$53))),IF(($A31&lt;'Alternative 2'!$B$28),(($H31*'Alternative 2'!$B$39)+(2*(($N$52/3)*COS($K$53)))),IF(($A31&lt;'Alternative 2'!$B$29),(($H$3*'Alternative 2'!$B$39+(($N$52/3)*COS($K$53)))),($H31*'Alternative 2'!$B$39))))</f>
        <v>#VALUE!</v>
      </c>
      <c r="AX31" s="105" t="e">
        <f>AV31*'Alternative 2'!$K32/'Alternative 2'!$L32</f>
        <v>#VALUE!</v>
      </c>
      <c r="AY31" s="105" t="e">
        <f>AW31/'Alternative 2'!$M32</f>
        <v>#VALUE!</v>
      </c>
      <c r="AZ31" s="105" t="e">
        <f t="shared" si="7"/>
        <v>#VALUE!</v>
      </c>
      <c r="BB31" s="105" t="e">
        <f>'Alternative 2'!$B$39*$B31*$C31*COS($K$63)-($N$62/3)*$E31*SIN($K$63)-($N$62/3)*$F31*SIN($K$63)-($N$62/3)*$G31*SIN($K$63)</f>
        <v>#VALUE!</v>
      </c>
      <c r="BC31" s="106" t="e">
        <f>IF(($A31&lt;'Alternative 2'!$B$27),(($H31*'Alternative 2'!$B$39)+(3*($N$62/3)*COS($K$63))),IF(($A31&lt;'Alternative 2'!$B$28),(($H31*'Alternative 2'!$B$39)+(2*(($N$62/3)*COS($K$63)))),IF(($A31&lt;'Alternative 2'!$B$29),(($H$3*'Alternative 2'!$B$39+(($N$62/3)*COS($K$63)))),($H31*'Alternative 2'!$B$39))))</f>
        <v>#VALUE!</v>
      </c>
      <c r="BD31" s="105" t="e">
        <f>BB31*'Alternative 2'!$K32/'Alternative 2'!$L32</f>
        <v>#VALUE!</v>
      </c>
      <c r="BE31" s="105" t="e">
        <f>BC31/'Alternative 2'!$M32</f>
        <v>#VALUE!</v>
      </c>
      <c r="BF31" s="105" t="e">
        <f t="shared" si="8"/>
        <v>#VALUE!</v>
      </c>
      <c r="BH31" s="105" t="e">
        <f>'Alternative 2'!$B$39*$B31*$C31*COS($K$73)-($N$72/3)*$E31*SIN($K$73)-($N$72/3)*$F31*SIN($K$73)-($N$72/3)*$G31*SIN($K$73)</f>
        <v>#VALUE!</v>
      </c>
      <c r="BI31" s="106" t="e">
        <f>IF(($A31&lt;'Alternative 2'!$B$27),(($H31*'Alternative 2'!$B$39)+(3*($N$72/3)*COS($K$73))),IF(($A31&lt;'Alternative 2'!$B$28),(($H31*'Alternative 2'!$B$39)+(2*(($N$72/3)*COS($K$73)))),IF(($A31&lt;'Alternative 2'!$B$29),(($H$3*'Alternative 2'!$B$39+(($N$72/3)*COS($K$73)))),($H31*'Alternative 2'!$B$39))))</f>
        <v>#VALUE!</v>
      </c>
      <c r="BJ31" s="105" t="e">
        <f>BH31*'Alternative 2'!$K32/'Alternative 2'!$L32</f>
        <v>#VALUE!</v>
      </c>
      <c r="BK31" s="105" t="e">
        <f>BI31/'Alternative 2'!$M32</f>
        <v>#VALUE!</v>
      </c>
      <c r="BL31" s="105" t="e">
        <f t="shared" si="9"/>
        <v>#VALUE!</v>
      </c>
      <c r="BN31" s="105" t="e">
        <f>'Alternative 2'!$B$39*$B31*$C31*COS($K$83)-($N$82/3)*$E31*SIN($K$83)-($N$82/3)*$F31*SIN($K$83)-($N$82/3)*$G31*SIN($K$83)</f>
        <v>#VALUE!</v>
      </c>
      <c r="BO31" s="106" t="e">
        <f>IF(($A31&lt;'Alternative 2'!$B$27),(($H31*'Alternative 2'!$B$39)+(3*($N$82/3)*COS($K$83))),IF(($A31&lt;'Alternative 2'!$B$28),(($H31*'Alternative 2'!$B$39)+(2*(($N$82/3)*COS($K$83)))),IF(($A31&lt;'Alternative 2'!$B$29),(($H$3*'Alternative 2'!$B$39+(($N$82/3)*COS($K$83)))),($H31*'Alternative 2'!$B$39))))</f>
        <v>#VALUE!</v>
      </c>
      <c r="BP31" s="105" t="e">
        <f>BN31*'Alternative 2'!$K32/'Alternative 2'!$L32</f>
        <v>#VALUE!</v>
      </c>
      <c r="BQ31" s="105" t="e">
        <f>BO31/'Alternative 2'!$M32</f>
        <v>#VALUE!</v>
      </c>
      <c r="BR31" s="105" t="e">
        <f t="shared" si="10"/>
        <v>#VALUE!</v>
      </c>
      <c r="BT31" s="105" t="e">
        <f>'Alternative 2'!$B$39*$B31*$C31*COS($K$93)-($K$92/3)*$E31*SIN($K$93)-($K$92/3)*$F31*SIN($K$93)-($K$92/3)*$G31*SIN($K$93)</f>
        <v>#VALUE!</v>
      </c>
      <c r="BU31" s="106" t="e">
        <f>IF(($A31&lt;'Alternative 2'!$B$27),(($H31*'Alternative 2'!$B$39)+(3*($N$92/3)*COS($K$93))),IF(($A31&lt;'Alternative 2'!$B$28),(($H31*'Alternative 2'!$B$39)+(2*(($N$92/3)*COS($K$93)))),IF(($A31&lt;'Alternative 2'!$B$29),(($H$3*'Alternative 2'!$B$39+(($N$92/3)*COS($K$93)))),($H31*'Alternative 2'!$B$39))))</f>
        <v>#VALUE!</v>
      </c>
      <c r="BV31" s="105" t="e">
        <f>BT31*'Alternative 2'!$K32/'Alternative 2'!$L32</f>
        <v>#VALUE!</v>
      </c>
      <c r="BW31" s="105" t="e">
        <f>BU31/'Alternative 2'!$M32</f>
        <v>#VALUE!</v>
      </c>
      <c r="BX31" s="105" t="e">
        <f t="shared" si="11"/>
        <v>#VALUE!</v>
      </c>
      <c r="BZ31" s="104">
        <v>150</v>
      </c>
      <c r="CA31" s="104">
        <v>-150</v>
      </c>
    </row>
    <row r="32" spans="1:79" ht="15" customHeight="1" x14ac:dyDescent="0.25">
      <c r="A32" s="18" t="str">
        <f>IF('Alternative 2'!F33&gt;0,'Alternative 2'!F33,"x")</f>
        <v>x</v>
      </c>
      <c r="B32" s="18" t="e">
        <f t="shared" si="17"/>
        <v>#VALUE!</v>
      </c>
      <c r="C32" s="18">
        <f t="shared" si="12"/>
        <v>0</v>
      </c>
      <c r="D32" s="18" t="str">
        <f t="shared" si="13"/>
        <v>x</v>
      </c>
      <c r="E32" s="101">
        <f>IF($A32&lt;='Alternative 2'!$B$27, IF($A32='Alternative 2'!$B$27,0,E33+1),0)</f>
        <v>0</v>
      </c>
      <c r="F32" s="101">
        <f>IF($A32&lt;=('Alternative 2'!$B$28), IF($A32=ROUNDDOWN('Alternative 2'!$B$28,0),0,F33+1),0)</f>
        <v>0</v>
      </c>
      <c r="G32" s="101">
        <f>IF($A32&lt;=('Alternative 2'!$B$29), IF($A32=ROUNDDOWN('Alternative 2'!$B$29,0),0,G33+1),0)</f>
        <v>0</v>
      </c>
      <c r="H32" s="18" t="e">
        <f t="shared" si="14"/>
        <v>#VALUE!</v>
      </c>
      <c r="J32" s="104">
        <f t="shared" si="15"/>
        <v>29</v>
      </c>
      <c r="K32" s="104">
        <f t="shared" si="16"/>
        <v>0.50614548307835561</v>
      </c>
      <c r="L32" s="105">
        <f>'Alternative 2'!$B$27*SIN(K32)+'Alternative 2'!$B$28*SIN(K32)+'Alternative 2'!$B$29*SIN(K32)</f>
        <v>20.841965574390031</v>
      </c>
      <c r="M32" s="104">
        <f>(('Alternative 2'!$B$27)*(((('Alternative 2'!$B$28-'Alternative 2'!$B$27)/2)+'Alternative 2'!$B$27)*'Alternative 2'!$B$39)*COS('Alternative 2-Tilt Up (3pt)'!K32))+(('Alternative 2'!$B$28)*((('Alternative 2'!$B$28-'Alternative 2'!$B$27)/2)+(('Alternative 2'!$B$29-'Alternative 2'!$B$28)/2))*('Alternative 2'!$B$39)*COS('Alternative 2-Tilt Up (3pt)'!K32))+(('Alternative 2'!$B$29)*((('Alternative 2'!$B$12-'Alternative 2'!$B$29+(('Alternative 2'!$B$29-'Alternative 2'!$B$28)/2)*('Alternative 2'!$B$39)*COS('Alternative 2-Tilt Up (3pt)'!K32)))))</f>
        <v>533353.96431279578</v>
      </c>
      <c r="N32" s="109">
        <f t="shared" si="0"/>
        <v>76771.160917015164</v>
      </c>
      <c r="O32" s="104">
        <f>(((('Alternative 2'!$B$28-'Alternative 2'!$B$27)/2)+'Alternative 2'!$B$27)*('Alternative 2'!$B$39)*COS('Alternative 2-Tilt Up (3pt)'!K32))+(((('Alternative 2'!$B$28-'Alternative 2'!$B$27)/2)+(('Alternative 2'!$B$29-'Alternative 2'!$B$28)/2))*('Alternative 2'!$B$39)*COS('Alternative 2-Tilt Up (3pt)'!K32))+(((('Alternative 2'!$B$12-'Alternative 2'!$B$29)+(('Alternative 2'!$B$29-'Alternative 2'!$B$28)/2))*('Alternative 2'!$B$39)*COS('Alternative 2-Tilt Up (3pt)'!K32)))</f>
        <v>54731.811459078584</v>
      </c>
      <c r="P32" s="104">
        <f t="shared" si="1"/>
        <v>67145.570277991224</v>
      </c>
      <c r="R32" s="105" t="e">
        <f>'Alternative 2'!$B$39*$B32*$C32*COS($K$5)-($N$5/3)*$E32*SIN($K$5)-($N$5/3)*$F32*SIN($K$5)-($N$5/3)*$G32*SIN($K$5)</f>
        <v>#VALUE!</v>
      </c>
      <c r="S32" s="106" t="e">
        <f>IF(($A32&lt;'Alternative 2'!$B$27),(($H32*'Alternative 2'!$B$39)+(3*($N$5/3)*COS($K$5))),IF(($A32&lt;'Alternative 2'!$B$28),(($H32*'Alternative 2'!$B$39)+(2*(($N$5/3)*COS($K$5)))),IF(($A32&lt;'Alternative 2'!$B$29),(($H$3*'Alternative 2'!$B$39+(($N$5/3)*COS($K$5)))),($H32*'Alternative 2'!$B$39))))</f>
        <v>#VALUE!</v>
      </c>
      <c r="T32" s="105" t="e">
        <f>R32*'Alternative 2'!$K33/'Alternative 2'!$L33</f>
        <v>#VALUE!</v>
      </c>
      <c r="U32" s="105" t="e">
        <f>S32/'Alternative 2'!$M33</f>
        <v>#VALUE!</v>
      </c>
      <c r="V32" s="105" t="e">
        <f t="shared" si="2"/>
        <v>#VALUE!</v>
      </c>
      <c r="X32" s="105" t="e">
        <f>'Alternative 2'!$B$39*$B32*$C32*COS($K$13)-($N$12/3)*$E32*SIN($K$13)-($N$12/3)*$F32*SIN($K$13)-($N$12/3)*$G32*SIN($K$13)</f>
        <v>#VALUE!</v>
      </c>
      <c r="Y32" s="106" t="e">
        <f>IF(($A32&lt;'Alternative 2'!$B$27),(($H32*'Alternative 2'!$B$39)+(3*($N$12/3)*COS($K$13))),IF(($A32&lt;'Alternative 2'!$B$28),(($H32*'Alternative 2'!$B$39)+(2*(($N$12/3)*COS($K$13)))),IF(($A32&lt;'Alternative 2'!$B$29),(($H$3*'Alternative 2'!$B$39+(($N$12/3)*COS($K$13)))),($H32*'Alternative 2'!$B$39))))</f>
        <v>#VALUE!</v>
      </c>
      <c r="Z32" s="105" t="e">
        <f>X32*'Alternative 2'!$K33/'Alternative 2'!$L33</f>
        <v>#VALUE!</v>
      </c>
      <c r="AA32" s="105" t="e">
        <f>Y32/'Alternative 2'!$M33</f>
        <v>#VALUE!</v>
      </c>
      <c r="AB32" s="105" t="e">
        <f t="shared" si="3"/>
        <v>#VALUE!</v>
      </c>
      <c r="AD32" s="105" t="e">
        <f>'Alternative 2'!$B$39*$B32*$C32*COS($K$23)-($N$22/3)*$E32*SIN($K$23)-($N$22/3)*$F32*SIN($K$23)-($N$22/3)*$G32*SIN($K$23)</f>
        <v>#VALUE!</v>
      </c>
      <c r="AE32" s="106" t="e">
        <f>IF(($A32&lt;'Alternative 2'!$B$27),(($H32*'Alternative 2'!$B$39)+(3*($N$22/3)*COS($K$23))),IF(($A32&lt;'Alternative 2'!$B$28),(($H32*'Alternative 2'!$B$39)+(2*(($N$22/3)*COS($K$23)))),IF(($A32&lt;'Alternative 2'!$B$29),(($H$3*'Alternative 2'!$B$39+(($N$22/3)*COS($K$23)))),($H32*'Alternative 2'!$B$39))))</f>
        <v>#VALUE!</v>
      </c>
      <c r="AF32" s="105" t="e">
        <f>AD32*'Alternative 2'!$K33/'Alternative 2'!$L33</f>
        <v>#VALUE!</v>
      </c>
      <c r="AG32" s="105" t="e">
        <f>AE32/'Alternative 2'!$M33</f>
        <v>#VALUE!</v>
      </c>
      <c r="AH32" s="105" t="e">
        <f t="shared" si="4"/>
        <v>#VALUE!</v>
      </c>
      <c r="AJ32" s="105" t="e">
        <f>'Alternative 2'!$B$39*$B32*$C32*COS($K$33)-($N$32/3)*$E32*SIN($K$33)-($N$32/3)*$F32*SIN($K$33)-($N$32/3)*$G32*SIN($K$33)</f>
        <v>#VALUE!</v>
      </c>
      <c r="AK32" s="106" t="e">
        <f>IF(($A32&lt;'Alternative 2'!$B$27),(($H32*'Alternative 2'!$B$39)+(3*($N$32/3)*COS($K$33))),IF(($A32&lt;'Alternative 2'!$B$28),(($H32*'Alternative 2'!$B$39)+(2*(($N$32/3)*COS($K$33)))),IF(($A32&lt;'Alternative 2'!$B$29),(($H$3*'Alternative 2'!$B$39+(($N$32/3)*COS($K$33)))),($H32*'Alternative 2'!$B$39))))</f>
        <v>#VALUE!</v>
      </c>
      <c r="AL32" s="105" t="e">
        <f>AJ32*'Alternative 2'!$K33/'Alternative 2'!$L33</f>
        <v>#VALUE!</v>
      </c>
      <c r="AM32" s="105" t="e">
        <f>AK32/'Alternative 2'!$M33</f>
        <v>#VALUE!</v>
      </c>
      <c r="AN32" s="105" t="e">
        <f t="shared" si="5"/>
        <v>#VALUE!</v>
      </c>
      <c r="AP32" s="105" t="e">
        <f>'Alternative 2'!$B$39*$B32*$C32*COS($K$43)-($N$42/3)*$E32*SIN($K$43)-($N$42/3)*$F32*SIN($K$43)-($N$42/3)*$G32*SIN($K$43)</f>
        <v>#VALUE!</v>
      </c>
      <c r="AQ32" s="106" t="e">
        <f>IF(($A32&lt;'Alternative 2'!$B$27),(($H32*'Alternative 2'!$B$39)+(3*($N$42/3)*COS($K$43))),IF(($A32&lt;'Alternative 2'!$B$28),(($H32*'Alternative 2'!$B$39)+(2*(($N$42/3)*COS($K$43)))),IF(($A32&lt;'Alternative 2'!$B$29),(($H$3*'Alternative 2'!$B$39+(($N$42/3)*COS($K$43)))),($H32*'Alternative 2'!$B$39))))</f>
        <v>#VALUE!</v>
      </c>
      <c r="AR32" s="105" t="e">
        <f>AP32*'Alternative 2'!$K33/'Alternative 2'!$L33</f>
        <v>#VALUE!</v>
      </c>
      <c r="AS32" s="105" t="e">
        <f>AQ32/'Alternative 2'!$M33</f>
        <v>#VALUE!</v>
      </c>
      <c r="AT32" s="105" t="e">
        <f t="shared" si="6"/>
        <v>#VALUE!</v>
      </c>
      <c r="AV32" s="105" t="e">
        <f>'Alternative 2'!$B$39*$B32*$C32*COS($K$53)-($N$52/3)*$E32*SIN($K$53)-($N$52/3)*$F32*SIN($K$53)-($N$52/3)*$G32*SIN($K$53)</f>
        <v>#VALUE!</v>
      </c>
      <c r="AW32" s="106" t="e">
        <f>IF(($A32&lt;'Alternative 2'!$B$27),(($H32*'Alternative 2'!$B$39)+(3*($N$52/3)*COS($K$53))),IF(($A32&lt;'Alternative 2'!$B$28),(($H32*'Alternative 2'!$B$39)+(2*(($N$52/3)*COS($K$53)))),IF(($A32&lt;'Alternative 2'!$B$29),(($H$3*'Alternative 2'!$B$39+(($N$52/3)*COS($K$53)))),($H32*'Alternative 2'!$B$39))))</f>
        <v>#VALUE!</v>
      </c>
      <c r="AX32" s="105" t="e">
        <f>AV32*'Alternative 2'!$K33/'Alternative 2'!$L33</f>
        <v>#VALUE!</v>
      </c>
      <c r="AY32" s="105" t="e">
        <f>AW32/'Alternative 2'!$M33</f>
        <v>#VALUE!</v>
      </c>
      <c r="AZ32" s="105" t="e">
        <f t="shared" si="7"/>
        <v>#VALUE!</v>
      </c>
      <c r="BB32" s="105" t="e">
        <f>'Alternative 2'!$B$39*$B32*$C32*COS($K$63)-($N$62/3)*$E32*SIN($K$63)-($N$62/3)*$F32*SIN($K$63)-($N$62/3)*$G32*SIN($K$63)</f>
        <v>#VALUE!</v>
      </c>
      <c r="BC32" s="106" t="e">
        <f>IF(($A32&lt;'Alternative 2'!$B$27),(($H32*'Alternative 2'!$B$39)+(3*($N$62/3)*COS($K$63))),IF(($A32&lt;'Alternative 2'!$B$28),(($H32*'Alternative 2'!$B$39)+(2*(($N$62/3)*COS($K$63)))),IF(($A32&lt;'Alternative 2'!$B$29),(($H$3*'Alternative 2'!$B$39+(($N$62/3)*COS($K$63)))),($H32*'Alternative 2'!$B$39))))</f>
        <v>#VALUE!</v>
      </c>
      <c r="BD32" s="105" t="e">
        <f>BB32*'Alternative 2'!$K33/'Alternative 2'!$L33</f>
        <v>#VALUE!</v>
      </c>
      <c r="BE32" s="105" t="e">
        <f>BC32/'Alternative 2'!$M33</f>
        <v>#VALUE!</v>
      </c>
      <c r="BF32" s="105" t="e">
        <f t="shared" si="8"/>
        <v>#VALUE!</v>
      </c>
      <c r="BH32" s="105" t="e">
        <f>'Alternative 2'!$B$39*$B32*$C32*COS($K$73)-($N$72/3)*$E32*SIN($K$73)-($N$72/3)*$F32*SIN($K$73)-($N$72/3)*$G32*SIN($K$73)</f>
        <v>#VALUE!</v>
      </c>
      <c r="BI32" s="106" t="e">
        <f>IF(($A32&lt;'Alternative 2'!$B$27),(($H32*'Alternative 2'!$B$39)+(3*($N$72/3)*COS($K$73))),IF(($A32&lt;'Alternative 2'!$B$28),(($H32*'Alternative 2'!$B$39)+(2*(($N$72/3)*COS($K$73)))),IF(($A32&lt;'Alternative 2'!$B$29),(($H$3*'Alternative 2'!$B$39+(($N$72/3)*COS($K$73)))),($H32*'Alternative 2'!$B$39))))</f>
        <v>#VALUE!</v>
      </c>
      <c r="BJ32" s="105" t="e">
        <f>BH32*'Alternative 2'!$K33/'Alternative 2'!$L33</f>
        <v>#VALUE!</v>
      </c>
      <c r="BK32" s="105" t="e">
        <f>BI32/'Alternative 2'!$M33</f>
        <v>#VALUE!</v>
      </c>
      <c r="BL32" s="105" t="e">
        <f t="shared" si="9"/>
        <v>#VALUE!</v>
      </c>
      <c r="BN32" s="105" t="e">
        <f>'Alternative 2'!$B$39*$B32*$C32*COS($K$83)-($N$82/3)*$E32*SIN($K$83)-($N$82/3)*$F32*SIN($K$83)-($N$82/3)*$G32*SIN($K$83)</f>
        <v>#VALUE!</v>
      </c>
      <c r="BO32" s="106" t="e">
        <f>IF(($A32&lt;'Alternative 2'!$B$27),(($H32*'Alternative 2'!$B$39)+(3*($N$82/3)*COS($K$83))),IF(($A32&lt;'Alternative 2'!$B$28),(($H32*'Alternative 2'!$B$39)+(2*(($N$82/3)*COS($K$83)))),IF(($A32&lt;'Alternative 2'!$B$29),(($H$3*'Alternative 2'!$B$39+(($N$82/3)*COS($K$83)))),($H32*'Alternative 2'!$B$39))))</f>
        <v>#VALUE!</v>
      </c>
      <c r="BP32" s="105" t="e">
        <f>BN32*'Alternative 2'!$K33/'Alternative 2'!$L33</f>
        <v>#VALUE!</v>
      </c>
      <c r="BQ32" s="105" t="e">
        <f>BO32/'Alternative 2'!$M33</f>
        <v>#VALUE!</v>
      </c>
      <c r="BR32" s="105" t="e">
        <f t="shared" si="10"/>
        <v>#VALUE!</v>
      </c>
      <c r="BT32" s="105" t="e">
        <f>'Alternative 2'!$B$39*$B32*$C32*COS($K$93)-($K$92/3)*$E32*SIN($K$93)-($K$92/3)*$F32*SIN($K$93)-($K$92/3)*$G32*SIN($K$93)</f>
        <v>#VALUE!</v>
      </c>
      <c r="BU32" s="106" t="e">
        <f>IF(($A32&lt;'Alternative 2'!$B$27),(($H32*'Alternative 2'!$B$39)+(3*($N$92/3)*COS($K$93))),IF(($A32&lt;'Alternative 2'!$B$28),(($H32*'Alternative 2'!$B$39)+(2*(($N$92/3)*COS($K$93)))),IF(($A32&lt;'Alternative 2'!$B$29),(($H$3*'Alternative 2'!$B$39+(($N$92/3)*COS($K$93)))),($H32*'Alternative 2'!$B$39))))</f>
        <v>#VALUE!</v>
      </c>
      <c r="BV32" s="105" t="e">
        <f>BT32*'Alternative 2'!$K33/'Alternative 2'!$L33</f>
        <v>#VALUE!</v>
      </c>
      <c r="BW32" s="105" t="e">
        <f>BU32/'Alternative 2'!$M33</f>
        <v>#VALUE!</v>
      </c>
      <c r="BX32" s="105" t="e">
        <f t="shared" si="11"/>
        <v>#VALUE!</v>
      </c>
      <c r="BZ32" s="104">
        <v>150</v>
      </c>
      <c r="CA32" s="104">
        <v>-150</v>
      </c>
    </row>
    <row r="33" spans="1:79" ht="15" customHeight="1" x14ac:dyDescent="0.25">
      <c r="A33" s="18" t="str">
        <f>IF('Alternative 2'!F34&gt;0,'Alternative 2'!F34,"x")</f>
        <v>x</v>
      </c>
      <c r="B33" s="18" t="e">
        <f t="shared" si="17"/>
        <v>#VALUE!</v>
      </c>
      <c r="C33" s="18">
        <f t="shared" si="12"/>
        <v>0</v>
      </c>
      <c r="D33" s="18" t="str">
        <f t="shared" si="13"/>
        <v>x</v>
      </c>
      <c r="E33" s="101">
        <f>IF($A33&lt;='Alternative 2'!$B$27, IF($A33='Alternative 2'!$B$27,0,E34+1),0)</f>
        <v>0</v>
      </c>
      <c r="F33" s="101">
        <f>IF($A33&lt;=('Alternative 2'!$B$28), IF($A33=ROUNDDOWN('Alternative 2'!$B$28,0),0,F34+1),0)</f>
        <v>0</v>
      </c>
      <c r="G33" s="101">
        <f>IF($A33&lt;=('Alternative 2'!$B$29), IF($A33=ROUNDDOWN('Alternative 2'!$B$29,0),0,G34+1),0)</f>
        <v>0</v>
      </c>
      <c r="H33" s="18" t="e">
        <f t="shared" si="14"/>
        <v>#VALUE!</v>
      </c>
      <c r="J33" s="104">
        <f t="shared" si="15"/>
        <v>30</v>
      </c>
      <c r="K33" s="109">
        <f t="shared" si="16"/>
        <v>0.52359877559829882</v>
      </c>
      <c r="L33" s="105">
        <f>'Alternative 2'!$B$27*SIN(K33)+'Alternative 2'!$B$28*SIN(K33)+'Alternative 2'!$B$29*SIN(K33)</f>
        <v>21.494999999999997</v>
      </c>
      <c r="M33" s="104">
        <f>(('Alternative 2'!$B$27)*(((('Alternative 2'!$B$28-'Alternative 2'!$B$27)/2)+'Alternative 2'!$B$27)*'Alternative 2'!$B$39)*COS('Alternative 2-Tilt Up (3pt)'!K33))+(('Alternative 2'!$B$28)*((('Alternative 2'!$B$28-'Alternative 2'!$B$27)/2)+(('Alternative 2'!$B$29-'Alternative 2'!$B$28)/2))*('Alternative 2'!$B$39)*COS('Alternative 2-Tilt Up (3pt)'!K33))+(('Alternative 2'!$B$29)*((('Alternative 2'!$B$12-'Alternative 2'!$B$29+(('Alternative 2'!$B$29-'Alternative 2'!$B$28)/2)*('Alternative 2'!$B$39)*COS('Alternative 2-Tilt Up (3pt)'!K33)))))</f>
        <v>528113.847124764</v>
      </c>
      <c r="N33" s="104">
        <f t="shared" si="0"/>
        <v>73707.445516366235</v>
      </c>
      <c r="O33" s="104">
        <f>(((('Alternative 2'!$B$28-'Alternative 2'!$B$27)/2)+'Alternative 2'!$B$27)*('Alternative 2'!$B$39)*COS('Alternative 2-Tilt Up (3pt)'!K33))+(((('Alternative 2'!$B$28-'Alternative 2'!$B$27)/2)+(('Alternative 2'!$B$29-'Alternative 2'!$B$28)/2))*('Alternative 2'!$B$39)*COS('Alternative 2-Tilt Up (3pt)'!K33))+(((('Alternative 2'!$B$12-'Alternative 2'!$B$29)+(('Alternative 2'!$B$29-'Alternative 2'!$B$28)/2))*('Alternative 2'!$B$39)*COS('Alternative 2-Tilt Up (3pt)'!K33)))</f>
        <v>54193.998525061696</v>
      </c>
      <c r="P33" s="109">
        <f t="shared" si="1"/>
        <v>63832.520265230582</v>
      </c>
      <c r="R33" s="105" t="e">
        <f>'Alternative 2'!$B$39*$B33*$C33*COS($K$5)-($N$5/3)*$E33*SIN($K$5)-($N$5/3)*$F33*SIN($K$5)-($N$5/3)*$G33*SIN($K$5)</f>
        <v>#VALUE!</v>
      </c>
      <c r="S33" s="106" t="e">
        <f>IF(($A33&lt;'Alternative 2'!$B$27),(($H33*'Alternative 2'!$B$39)+(3*($N$5/3)*COS($K$5))),IF(($A33&lt;'Alternative 2'!$B$28),(($H33*'Alternative 2'!$B$39)+(2*(($N$5/3)*COS($K$5)))),IF(($A33&lt;'Alternative 2'!$B$29),(($H$3*'Alternative 2'!$B$39+(($N$5/3)*COS($K$5)))),($H33*'Alternative 2'!$B$39))))</f>
        <v>#VALUE!</v>
      </c>
      <c r="T33" s="105" t="e">
        <f>R33*'Alternative 2'!$K34/'Alternative 2'!$L34</f>
        <v>#VALUE!</v>
      </c>
      <c r="U33" s="105" t="e">
        <f>S33/'Alternative 2'!$M34</f>
        <v>#VALUE!</v>
      </c>
      <c r="V33" s="105" t="e">
        <f t="shared" si="2"/>
        <v>#VALUE!</v>
      </c>
      <c r="X33" s="105" t="e">
        <f>'Alternative 2'!$B$39*$B33*$C33*COS($K$13)-($N$12/3)*$E33*SIN($K$13)-($N$12/3)*$F33*SIN($K$13)-($N$12/3)*$G33*SIN($K$13)</f>
        <v>#VALUE!</v>
      </c>
      <c r="Y33" s="106" t="e">
        <f>IF(($A33&lt;'Alternative 2'!$B$27),(($H33*'Alternative 2'!$B$39)+(3*($N$12/3)*COS($K$13))),IF(($A33&lt;'Alternative 2'!$B$28),(($H33*'Alternative 2'!$B$39)+(2*(($N$12/3)*COS($K$13)))),IF(($A33&lt;'Alternative 2'!$B$29),(($H$3*'Alternative 2'!$B$39+(($N$12/3)*COS($K$13)))),($H33*'Alternative 2'!$B$39))))</f>
        <v>#VALUE!</v>
      </c>
      <c r="Z33" s="105" t="e">
        <f>X33*'Alternative 2'!$K34/'Alternative 2'!$L34</f>
        <v>#VALUE!</v>
      </c>
      <c r="AA33" s="105" t="e">
        <f>Y33/'Alternative 2'!$M34</f>
        <v>#VALUE!</v>
      </c>
      <c r="AB33" s="105" t="e">
        <f t="shared" si="3"/>
        <v>#VALUE!</v>
      </c>
      <c r="AD33" s="105" t="e">
        <f>'Alternative 2'!$B$39*$B33*$C33*COS($K$23)-($N$22/3)*$E33*SIN($K$23)-($N$22/3)*$F33*SIN($K$23)-($N$22/3)*$G33*SIN($K$23)</f>
        <v>#VALUE!</v>
      </c>
      <c r="AE33" s="106" t="e">
        <f>IF(($A33&lt;'Alternative 2'!$B$27),(($H33*'Alternative 2'!$B$39)+(3*($N$22/3)*COS($K$23))),IF(($A33&lt;'Alternative 2'!$B$28),(($H33*'Alternative 2'!$B$39)+(2*(($N$22/3)*COS($K$23)))),IF(($A33&lt;'Alternative 2'!$B$29),(($H$3*'Alternative 2'!$B$39+(($N$22/3)*COS($K$23)))),($H33*'Alternative 2'!$B$39))))</f>
        <v>#VALUE!</v>
      </c>
      <c r="AF33" s="105" t="e">
        <f>AD33*'Alternative 2'!$K34/'Alternative 2'!$L34</f>
        <v>#VALUE!</v>
      </c>
      <c r="AG33" s="105" t="e">
        <f>AE33/'Alternative 2'!$M34</f>
        <v>#VALUE!</v>
      </c>
      <c r="AH33" s="105" t="e">
        <f t="shared" si="4"/>
        <v>#VALUE!</v>
      </c>
      <c r="AJ33" s="105" t="e">
        <f>'Alternative 2'!$B$39*$B33*$C33*COS($K$33)-($N$32/3)*$E33*SIN($K$33)-($N$32/3)*$F33*SIN($K$33)-($N$32/3)*$G33*SIN($K$33)</f>
        <v>#VALUE!</v>
      </c>
      <c r="AK33" s="106" t="e">
        <f>IF(($A33&lt;'Alternative 2'!$B$27),(($H33*'Alternative 2'!$B$39)+(3*($N$32/3)*COS($K$33))),IF(($A33&lt;'Alternative 2'!$B$28),(($H33*'Alternative 2'!$B$39)+(2*(($N$32/3)*COS($K$33)))),IF(($A33&lt;'Alternative 2'!$B$29),(($H$3*'Alternative 2'!$B$39+(($N$32/3)*COS($K$33)))),($H33*'Alternative 2'!$B$39))))</f>
        <v>#VALUE!</v>
      </c>
      <c r="AL33" s="105" t="e">
        <f>AJ33*'Alternative 2'!$K34/'Alternative 2'!$L34</f>
        <v>#VALUE!</v>
      </c>
      <c r="AM33" s="105" t="e">
        <f>AK33/'Alternative 2'!$M34</f>
        <v>#VALUE!</v>
      </c>
      <c r="AN33" s="105" t="e">
        <f t="shared" si="5"/>
        <v>#VALUE!</v>
      </c>
      <c r="AP33" s="105" t="e">
        <f>'Alternative 2'!$B$39*$B33*$C33*COS($K$43)-($N$42/3)*$E33*SIN($K$43)-($N$42/3)*$F33*SIN($K$43)-($N$42/3)*$G33*SIN($K$43)</f>
        <v>#VALUE!</v>
      </c>
      <c r="AQ33" s="106" t="e">
        <f>IF(($A33&lt;'Alternative 2'!$B$27),(($H33*'Alternative 2'!$B$39)+(3*($N$42/3)*COS($K$43))),IF(($A33&lt;'Alternative 2'!$B$28),(($H33*'Alternative 2'!$B$39)+(2*(($N$42/3)*COS($K$43)))),IF(($A33&lt;'Alternative 2'!$B$29),(($H$3*'Alternative 2'!$B$39+(($N$42/3)*COS($K$43)))),($H33*'Alternative 2'!$B$39))))</f>
        <v>#VALUE!</v>
      </c>
      <c r="AR33" s="105" t="e">
        <f>AP33*'Alternative 2'!$K34/'Alternative 2'!$L34</f>
        <v>#VALUE!</v>
      </c>
      <c r="AS33" s="105" t="e">
        <f>AQ33/'Alternative 2'!$M34</f>
        <v>#VALUE!</v>
      </c>
      <c r="AT33" s="105" t="e">
        <f t="shared" si="6"/>
        <v>#VALUE!</v>
      </c>
      <c r="AV33" s="105" t="e">
        <f>'Alternative 2'!$B$39*$B33*$C33*COS($K$53)-($N$52/3)*$E33*SIN($K$53)-($N$52/3)*$F33*SIN($K$53)-($N$52/3)*$G33*SIN($K$53)</f>
        <v>#VALUE!</v>
      </c>
      <c r="AW33" s="106" t="e">
        <f>IF(($A33&lt;'Alternative 2'!$B$27),(($H33*'Alternative 2'!$B$39)+(3*($N$52/3)*COS($K$53))),IF(($A33&lt;'Alternative 2'!$B$28),(($H33*'Alternative 2'!$B$39)+(2*(($N$52/3)*COS($K$53)))),IF(($A33&lt;'Alternative 2'!$B$29),(($H$3*'Alternative 2'!$B$39+(($N$52/3)*COS($K$53)))),($H33*'Alternative 2'!$B$39))))</f>
        <v>#VALUE!</v>
      </c>
      <c r="AX33" s="105" t="e">
        <f>AV33*'Alternative 2'!$K34/'Alternative 2'!$L34</f>
        <v>#VALUE!</v>
      </c>
      <c r="AY33" s="105" t="e">
        <f>AW33/'Alternative 2'!$M34</f>
        <v>#VALUE!</v>
      </c>
      <c r="AZ33" s="105" t="e">
        <f t="shared" si="7"/>
        <v>#VALUE!</v>
      </c>
      <c r="BB33" s="105" t="e">
        <f>'Alternative 2'!$B$39*$B33*$C33*COS($K$63)-($N$62/3)*$E33*SIN($K$63)-($N$62/3)*$F33*SIN($K$63)-($N$62/3)*$G33*SIN($K$63)</f>
        <v>#VALUE!</v>
      </c>
      <c r="BC33" s="106" t="e">
        <f>IF(($A33&lt;'Alternative 2'!$B$27),(($H33*'Alternative 2'!$B$39)+(3*($N$62/3)*COS($K$63))),IF(($A33&lt;'Alternative 2'!$B$28),(($H33*'Alternative 2'!$B$39)+(2*(($N$62/3)*COS($K$63)))),IF(($A33&lt;'Alternative 2'!$B$29),(($H$3*'Alternative 2'!$B$39+(($N$62/3)*COS($K$63)))),($H33*'Alternative 2'!$B$39))))</f>
        <v>#VALUE!</v>
      </c>
      <c r="BD33" s="105" t="e">
        <f>BB33*'Alternative 2'!$K34/'Alternative 2'!$L34</f>
        <v>#VALUE!</v>
      </c>
      <c r="BE33" s="105" t="e">
        <f>BC33/'Alternative 2'!$M34</f>
        <v>#VALUE!</v>
      </c>
      <c r="BF33" s="105" t="e">
        <f t="shared" si="8"/>
        <v>#VALUE!</v>
      </c>
      <c r="BH33" s="105" t="e">
        <f>'Alternative 2'!$B$39*$B33*$C33*COS($K$73)-($N$72/3)*$E33*SIN($K$73)-($N$72/3)*$F33*SIN($K$73)-($N$72/3)*$G33*SIN($K$73)</f>
        <v>#VALUE!</v>
      </c>
      <c r="BI33" s="106" t="e">
        <f>IF(($A33&lt;'Alternative 2'!$B$27),(($H33*'Alternative 2'!$B$39)+(3*($N$72/3)*COS($K$73))),IF(($A33&lt;'Alternative 2'!$B$28),(($H33*'Alternative 2'!$B$39)+(2*(($N$72/3)*COS($K$73)))),IF(($A33&lt;'Alternative 2'!$B$29),(($H$3*'Alternative 2'!$B$39+(($N$72/3)*COS($K$73)))),($H33*'Alternative 2'!$B$39))))</f>
        <v>#VALUE!</v>
      </c>
      <c r="BJ33" s="105" t="e">
        <f>BH33*'Alternative 2'!$K34/'Alternative 2'!$L34</f>
        <v>#VALUE!</v>
      </c>
      <c r="BK33" s="105" t="e">
        <f>BI33/'Alternative 2'!$M34</f>
        <v>#VALUE!</v>
      </c>
      <c r="BL33" s="105" t="e">
        <f t="shared" si="9"/>
        <v>#VALUE!</v>
      </c>
      <c r="BN33" s="105" t="e">
        <f>'Alternative 2'!$B$39*$B33*$C33*COS($K$83)-($N$82/3)*$E33*SIN($K$83)-($N$82/3)*$F33*SIN($K$83)-($N$82/3)*$G33*SIN($K$83)</f>
        <v>#VALUE!</v>
      </c>
      <c r="BO33" s="106" t="e">
        <f>IF(($A33&lt;'Alternative 2'!$B$27),(($H33*'Alternative 2'!$B$39)+(3*($N$82/3)*COS($K$83))),IF(($A33&lt;'Alternative 2'!$B$28),(($H33*'Alternative 2'!$B$39)+(2*(($N$82/3)*COS($K$83)))),IF(($A33&lt;'Alternative 2'!$B$29),(($H$3*'Alternative 2'!$B$39+(($N$82/3)*COS($K$83)))),($H33*'Alternative 2'!$B$39))))</f>
        <v>#VALUE!</v>
      </c>
      <c r="BP33" s="105" t="e">
        <f>BN33*'Alternative 2'!$K34/'Alternative 2'!$L34</f>
        <v>#VALUE!</v>
      </c>
      <c r="BQ33" s="105" t="e">
        <f>BO33/'Alternative 2'!$M34</f>
        <v>#VALUE!</v>
      </c>
      <c r="BR33" s="105" t="e">
        <f t="shared" si="10"/>
        <v>#VALUE!</v>
      </c>
      <c r="BT33" s="105" t="e">
        <f>'Alternative 2'!$B$39*$B33*$C33*COS($K$93)-($K$92/3)*$E33*SIN($K$93)-($K$92/3)*$F33*SIN($K$93)-($K$92/3)*$G33*SIN($K$93)</f>
        <v>#VALUE!</v>
      </c>
      <c r="BU33" s="106" t="e">
        <f>IF(($A33&lt;'Alternative 2'!$B$27),(($H33*'Alternative 2'!$B$39)+(3*($N$92/3)*COS($K$93))),IF(($A33&lt;'Alternative 2'!$B$28),(($H33*'Alternative 2'!$B$39)+(2*(($N$92/3)*COS($K$93)))),IF(($A33&lt;'Alternative 2'!$B$29),(($H$3*'Alternative 2'!$B$39+(($N$92/3)*COS($K$93)))),($H33*'Alternative 2'!$B$39))))</f>
        <v>#VALUE!</v>
      </c>
      <c r="BV33" s="105" t="e">
        <f>BT33*'Alternative 2'!$K34/'Alternative 2'!$L34</f>
        <v>#VALUE!</v>
      </c>
      <c r="BW33" s="105" t="e">
        <f>BU33/'Alternative 2'!$M34</f>
        <v>#VALUE!</v>
      </c>
      <c r="BX33" s="105" t="e">
        <f t="shared" si="11"/>
        <v>#VALUE!</v>
      </c>
      <c r="BZ33" s="104">
        <v>150</v>
      </c>
      <c r="CA33" s="104">
        <v>-150</v>
      </c>
    </row>
    <row r="34" spans="1:79" ht="15" customHeight="1" x14ac:dyDescent="0.25">
      <c r="A34" s="18" t="str">
        <f>IF('Alternative 2'!F35&gt;0,'Alternative 2'!F35,"x")</f>
        <v>x</v>
      </c>
      <c r="B34" s="18" t="e">
        <f t="shared" si="17"/>
        <v>#VALUE!</v>
      </c>
      <c r="C34" s="18">
        <f t="shared" si="12"/>
        <v>0</v>
      </c>
      <c r="D34" s="18" t="str">
        <f t="shared" si="13"/>
        <v>x</v>
      </c>
      <c r="E34" s="101">
        <f>IF($A34&lt;='Alternative 2'!$B$27, IF($A34='Alternative 2'!$B$27,0,E35+1),0)</f>
        <v>0</v>
      </c>
      <c r="F34" s="101">
        <f>IF($A34&lt;=('Alternative 2'!$B$28), IF($A34=ROUNDDOWN('Alternative 2'!$B$28,0),0,F35+1),0)</f>
        <v>0</v>
      </c>
      <c r="G34" s="101">
        <f>IF($A34&lt;=('Alternative 2'!$B$29), IF($A34=ROUNDDOWN('Alternative 2'!$B$29,0),0,G35+1),0)</f>
        <v>0</v>
      </c>
      <c r="H34" s="18" t="e">
        <f t="shared" si="14"/>
        <v>#VALUE!</v>
      </c>
      <c r="J34" s="104">
        <f t="shared" si="15"/>
        <v>31</v>
      </c>
      <c r="K34" s="104">
        <f t="shared" si="16"/>
        <v>0.54105206811824214</v>
      </c>
      <c r="L34" s="105">
        <f>'Alternative 2'!$B$27*SIN(K34)+'Alternative 2'!$B$28*SIN(K34)+'Alternative 2'!$B$29*SIN(K34)</f>
        <v>22.14148684038323</v>
      </c>
      <c r="M34" s="104">
        <f>(('Alternative 2'!$B$27)*(((('Alternative 2'!$B$28-'Alternative 2'!$B$27)/2)+'Alternative 2'!$B$27)*'Alternative 2'!$B$39)*COS('Alternative 2-Tilt Up (3pt)'!K34))+(('Alternative 2'!$B$28)*((('Alternative 2'!$B$28-'Alternative 2'!$B$27)/2)+(('Alternative 2'!$B$29-'Alternative 2'!$B$28)/2))*('Alternative 2'!$B$39)*COS('Alternative 2-Tilt Up (3pt)'!K34))+(('Alternative 2'!$B$29)*((('Alternative 2'!$B$12-'Alternative 2'!$B$29+(('Alternative 2'!$B$29-'Alternative 2'!$B$28)/2)*('Alternative 2'!$B$39)*COS('Alternative 2-Tilt Up (3pt)'!K34)))))</f>
        <v>522712.88601157698</v>
      </c>
      <c r="N34" s="104">
        <f t="shared" si="0"/>
        <v>70823.548090485376</v>
      </c>
      <c r="O34" s="104">
        <f>(((('Alternative 2'!$B$28-'Alternative 2'!$B$27)/2)+'Alternative 2'!$B$27)*('Alternative 2'!$B$39)*COS('Alternative 2-Tilt Up (3pt)'!K34))+(((('Alternative 2'!$B$28-'Alternative 2'!$B$27)/2)+(('Alternative 2'!$B$29-'Alternative 2'!$B$28)/2))*('Alternative 2'!$B$39)*COS('Alternative 2-Tilt Up (3pt)'!K34))+(((('Alternative 2'!$B$12-'Alternative 2'!$B$29)+(('Alternative 2'!$B$29-'Alternative 2'!$B$28)/2))*('Alternative 2'!$B$39)*COS('Alternative 2-Tilt Up (3pt)'!K34)))</f>
        <v>53639.677574105008</v>
      </c>
      <c r="P34" s="104">
        <f t="shared" si="1"/>
        <v>60707.629542867595</v>
      </c>
      <c r="R34" s="105" t="e">
        <f>'Alternative 2'!$B$39*$B34*$C34*COS($K$5)-($N$5/3)*$E34*SIN($K$5)-($N$5/3)*$F34*SIN($K$5)-($N$5/3)*$G34*SIN($K$5)</f>
        <v>#VALUE!</v>
      </c>
      <c r="S34" s="106" t="e">
        <f>IF(($A34&lt;'Alternative 2'!$B$27),(($H34*'Alternative 2'!$B$39)+(3*($N$5/3)*COS($K$5))),IF(($A34&lt;'Alternative 2'!$B$28),(($H34*'Alternative 2'!$B$39)+(2*(($N$5/3)*COS($K$5)))),IF(($A34&lt;'Alternative 2'!$B$29),(($H$3*'Alternative 2'!$B$39+(($N$5/3)*COS($K$5)))),($H34*'Alternative 2'!$B$39))))</f>
        <v>#VALUE!</v>
      </c>
      <c r="T34" s="105" t="e">
        <f>R34*'Alternative 2'!$K35/'Alternative 2'!$L35</f>
        <v>#VALUE!</v>
      </c>
      <c r="U34" s="105" t="e">
        <f>S34/'Alternative 2'!$M35</f>
        <v>#VALUE!</v>
      </c>
      <c r="V34" s="105" t="e">
        <f t="shared" si="2"/>
        <v>#VALUE!</v>
      </c>
      <c r="X34" s="105" t="e">
        <f>'Alternative 2'!$B$39*$B34*$C34*COS($K$13)-($N$12/3)*$E34*SIN($K$13)-($N$12/3)*$F34*SIN($K$13)-($N$12/3)*$G34*SIN($K$13)</f>
        <v>#VALUE!</v>
      </c>
      <c r="Y34" s="106" t="e">
        <f>IF(($A34&lt;'Alternative 2'!$B$27),(($H34*'Alternative 2'!$B$39)+(3*($N$12/3)*COS($K$13))),IF(($A34&lt;'Alternative 2'!$B$28),(($H34*'Alternative 2'!$B$39)+(2*(($N$12/3)*COS($K$13)))),IF(($A34&lt;'Alternative 2'!$B$29),(($H$3*'Alternative 2'!$B$39+(($N$12/3)*COS($K$13)))),($H34*'Alternative 2'!$B$39))))</f>
        <v>#VALUE!</v>
      </c>
      <c r="Z34" s="105" t="e">
        <f>X34*'Alternative 2'!$K35/'Alternative 2'!$L35</f>
        <v>#VALUE!</v>
      </c>
      <c r="AA34" s="105" t="e">
        <f>Y34/'Alternative 2'!$M35</f>
        <v>#VALUE!</v>
      </c>
      <c r="AB34" s="105" t="e">
        <f t="shared" si="3"/>
        <v>#VALUE!</v>
      </c>
      <c r="AD34" s="105" t="e">
        <f>'Alternative 2'!$B$39*$B34*$C34*COS($K$23)-($N$22/3)*$E34*SIN($K$23)-($N$22/3)*$F34*SIN($K$23)-($N$22/3)*$G34*SIN($K$23)</f>
        <v>#VALUE!</v>
      </c>
      <c r="AE34" s="106" t="e">
        <f>IF(($A34&lt;'Alternative 2'!$B$27),(($H34*'Alternative 2'!$B$39)+(3*($N$22/3)*COS($K$23))),IF(($A34&lt;'Alternative 2'!$B$28),(($H34*'Alternative 2'!$B$39)+(2*(($N$22/3)*COS($K$23)))),IF(($A34&lt;'Alternative 2'!$B$29),(($H$3*'Alternative 2'!$B$39+(($N$22/3)*COS($K$23)))),($H34*'Alternative 2'!$B$39))))</f>
        <v>#VALUE!</v>
      </c>
      <c r="AF34" s="105" t="e">
        <f>AD34*'Alternative 2'!$K35/'Alternative 2'!$L35</f>
        <v>#VALUE!</v>
      </c>
      <c r="AG34" s="105" t="e">
        <f>AE34/'Alternative 2'!$M35</f>
        <v>#VALUE!</v>
      </c>
      <c r="AH34" s="105" t="e">
        <f t="shared" si="4"/>
        <v>#VALUE!</v>
      </c>
      <c r="AJ34" s="105" t="e">
        <f>'Alternative 2'!$B$39*$B34*$C34*COS($K$33)-($N$32/3)*$E34*SIN($K$33)-($N$32/3)*$F34*SIN($K$33)-($N$32/3)*$G34*SIN($K$33)</f>
        <v>#VALUE!</v>
      </c>
      <c r="AK34" s="106" t="e">
        <f>IF(($A34&lt;'Alternative 2'!$B$27),(($H34*'Alternative 2'!$B$39)+(3*($N$32/3)*COS($K$33))),IF(($A34&lt;'Alternative 2'!$B$28),(($H34*'Alternative 2'!$B$39)+(2*(($N$32/3)*COS($K$33)))),IF(($A34&lt;'Alternative 2'!$B$29),(($H$3*'Alternative 2'!$B$39+(($N$32/3)*COS($K$33)))),($H34*'Alternative 2'!$B$39))))</f>
        <v>#VALUE!</v>
      </c>
      <c r="AL34" s="105" t="e">
        <f>AJ34*'Alternative 2'!$K35/'Alternative 2'!$L35</f>
        <v>#VALUE!</v>
      </c>
      <c r="AM34" s="105" t="e">
        <f>AK34/'Alternative 2'!$M35</f>
        <v>#VALUE!</v>
      </c>
      <c r="AN34" s="105" t="e">
        <f t="shared" si="5"/>
        <v>#VALUE!</v>
      </c>
      <c r="AP34" s="105" t="e">
        <f>'Alternative 2'!$B$39*$B34*$C34*COS($K$43)-($N$42/3)*$E34*SIN($K$43)-($N$42/3)*$F34*SIN($K$43)-($N$42/3)*$G34*SIN($K$43)</f>
        <v>#VALUE!</v>
      </c>
      <c r="AQ34" s="106" t="e">
        <f>IF(($A34&lt;'Alternative 2'!$B$27),(($H34*'Alternative 2'!$B$39)+(3*($N$42/3)*COS($K$43))),IF(($A34&lt;'Alternative 2'!$B$28),(($H34*'Alternative 2'!$B$39)+(2*(($N$42/3)*COS($K$43)))),IF(($A34&lt;'Alternative 2'!$B$29),(($H$3*'Alternative 2'!$B$39+(($N$42/3)*COS($K$43)))),($H34*'Alternative 2'!$B$39))))</f>
        <v>#VALUE!</v>
      </c>
      <c r="AR34" s="105" t="e">
        <f>AP34*'Alternative 2'!$K35/'Alternative 2'!$L35</f>
        <v>#VALUE!</v>
      </c>
      <c r="AS34" s="105" t="e">
        <f>AQ34/'Alternative 2'!$M35</f>
        <v>#VALUE!</v>
      </c>
      <c r="AT34" s="105" t="e">
        <f t="shared" si="6"/>
        <v>#VALUE!</v>
      </c>
      <c r="AV34" s="105" t="e">
        <f>'Alternative 2'!$B$39*$B34*$C34*COS($K$53)-($N$52/3)*$E34*SIN($K$53)-($N$52/3)*$F34*SIN($K$53)-($N$52/3)*$G34*SIN($K$53)</f>
        <v>#VALUE!</v>
      </c>
      <c r="AW34" s="106" t="e">
        <f>IF(($A34&lt;'Alternative 2'!$B$27),(($H34*'Alternative 2'!$B$39)+(3*($N$52/3)*COS($K$53))),IF(($A34&lt;'Alternative 2'!$B$28),(($H34*'Alternative 2'!$B$39)+(2*(($N$52/3)*COS($K$53)))),IF(($A34&lt;'Alternative 2'!$B$29),(($H$3*'Alternative 2'!$B$39+(($N$52/3)*COS($K$53)))),($H34*'Alternative 2'!$B$39))))</f>
        <v>#VALUE!</v>
      </c>
      <c r="AX34" s="105" t="e">
        <f>AV34*'Alternative 2'!$K35/'Alternative 2'!$L35</f>
        <v>#VALUE!</v>
      </c>
      <c r="AY34" s="105" t="e">
        <f>AW34/'Alternative 2'!$M35</f>
        <v>#VALUE!</v>
      </c>
      <c r="AZ34" s="105" t="e">
        <f t="shared" si="7"/>
        <v>#VALUE!</v>
      </c>
      <c r="BB34" s="105" t="e">
        <f>'Alternative 2'!$B$39*$B34*$C34*COS($K$63)-($N$62/3)*$E34*SIN($K$63)-($N$62/3)*$F34*SIN($K$63)-($N$62/3)*$G34*SIN($K$63)</f>
        <v>#VALUE!</v>
      </c>
      <c r="BC34" s="106" t="e">
        <f>IF(($A34&lt;'Alternative 2'!$B$27),(($H34*'Alternative 2'!$B$39)+(3*($N$62/3)*COS($K$63))),IF(($A34&lt;'Alternative 2'!$B$28),(($H34*'Alternative 2'!$B$39)+(2*(($N$62/3)*COS($K$63)))),IF(($A34&lt;'Alternative 2'!$B$29),(($H$3*'Alternative 2'!$B$39+(($N$62/3)*COS($K$63)))),($H34*'Alternative 2'!$B$39))))</f>
        <v>#VALUE!</v>
      </c>
      <c r="BD34" s="105" t="e">
        <f>BB34*'Alternative 2'!$K35/'Alternative 2'!$L35</f>
        <v>#VALUE!</v>
      </c>
      <c r="BE34" s="105" t="e">
        <f>BC34/'Alternative 2'!$M35</f>
        <v>#VALUE!</v>
      </c>
      <c r="BF34" s="105" t="e">
        <f t="shared" si="8"/>
        <v>#VALUE!</v>
      </c>
      <c r="BH34" s="105" t="e">
        <f>'Alternative 2'!$B$39*$B34*$C34*COS($K$73)-($N$72/3)*$E34*SIN($K$73)-($N$72/3)*$F34*SIN($K$73)-($N$72/3)*$G34*SIN($K$73)</f>
        <v>#VALUE!</v>
      </c>
      <c r="BI34" s="106" t="e">
        <f>IF(($A34&lt;'Alternative 2'!$B$27),(($H34*'Alternative 2'!$B$39)+(3*($N$72/3)*COS($K$73))),IF(($A34&lt;'Alternative 2'!$B$28),(($H34*'Alternative 2'!$B$39)+(2*(($N$72/3)*COS($K$73)))),IF(($A34&lt;'Alternative 2'!$B$29),(($H$3*'Alternative 2'!$B$39+(($N$72/3)*COS($K$73)))),($H34*'Alternative 2'!$B$39))))</f>
        <v>#VALUE!</v>
      </c>
      <c r="BJ34" s="105" t="e">
        <f>BH34*'Alternative 2'!$K35/'Alternative 2'!$L35</f>
        <v>#VALUE!</v>
      </c>
      <c r="BK34" s="105" t="e">
        <f>BI34/'Alternative 2'!$M35</f>
        <v>#VALUE!</v>
      </c>
      <c r="BL34" s="105" t="e">
        <f t="shared" si="9"/>
        <v>#VALUE!</v>
      </c>
      <c r="BN34" s="105" t="e">
        <f>'Alternative 2'!$B$39*$B34*$C34*COS($K$83)-($N$82/3)*$E34*SIN($K$83)-($N$82/3)*$F34*SIN($K$83)-($N$82/3)*$G34*SIN($K$83)</f>
        <v>#VALUE!</v>
      </c>
      <c r="BO34" s="106" t="e">
        <f>IF(($A34&lt;'Alternative 2'!$B$27),(($H34*'Alternative 2'!$B$39)+(3*($N$82/3)*COS($K$83))),IF(($A34&lt;'Alternative 2'!$B$28),(($H34*'Alternative 2'!$B$39)+(2*(($N$82/3)*COS($K$83)))),IF(($A34&lt;'Alternative 2'!$B$29),(($H$3*'Alternative 2'!$B$39+(($N$82/3)*COS($K$83)))),($H34*'Alternative 2'!$B$39))))</f>
        <v>#VALUE!</v>
      </c>
      <c r="BP34" s="105" t="e">
        <f>BN34*'Alternative 2'!$K35/'Alternative 2'!$L35</f>
        <v>#VALUE!</v>
      </c>
      <c r="BQ34" s="105" t="e">
        <f>BO34/'Alternative 2'!$M35</f>
        <v>#VALUE!</v>
      </c>
      <c r="BR34" s="105" t="e">
        <f t="shared" si="10"/>
        <v>#VALUE!</v>
      </c>
      <c r="BT34" s="105" t="e">
        <f>'Alternative 2'!$B$39*$B34*$C34*COS($K$93)-($K$92/3)*$E34*SIN($K$93)-($K$92/3)*$F34*SIN($K$93)-($K$92/3)*$G34*SIN($K$93)</f>
        <v>#VALUE!</v>
      </c>
      <c r="BU34" s="106" t="e">
        <f>IF(($A34&lt;'Alternative 2'!$B$27),(($H34*'Alternative 2'!$B$39)+(3*($N$92/3)*COS($K$93))),IF(($A34&lt;'Alternative 2'!$B$28),(($H34*'Alternative 2'!$B$39)+(2*(($N$92/3)*COS($K$93)))),IF(($A34&lt;'Alternative 2'!$B$29),(($H$3*'Alternative 2'!$B$39+(($N$92/3)*COS($K$93)))),($H34*'Alternative 2'!$B$39))))</f>
        <v>#VALUE!</v>
      </c>
      <c r="BV34" s="105" t="e">
        <f>BT34*'Alternative 2'!$K35/'Alternative 2'!$L35</f>
        <v>#VALUE!</v>
      </c>
      <c r="BW34" s="105" t="e">
        <f>BU34/'Alternative 2'!$M35</f>
        <v>#VALUE!</v>
      </c>
      <c r="BX34" s="105" t="e">
        <f t="shared" si="11"/>
        <v>#VALUE!</v>
      </c>
      <c r="BZ34" s="104">
        <v>150</v>
      </c>
      <c r="CA34" s="104">
        <v>-150</v>
      </c>
    </row>
    <row r="35" spans="1:79" ht="15" customHeight="1" x14ac:dyDescent="0.25">
      <c r="A35" s="18" t="str">
        <f>IF('Alternative 2'!F36&gt;0,'Alternative 2'!F36,"x")</f>
        <v>x</v>
      </c>
      <c r="B35" s="18" t="e">
        <f t="shared" si="17"/>
        <v>#VALUE!</v>
      </c>
      <c r="C35" s="18">
        <f t="shared" si="12"/>
        <v>0</v>
      </c>
      <c r="D35" s="18" t="str">
        <f t="shared" si="13"/>
        <v>x</v>
      </c>
      <c r="E35" s="101">
        <f>IF($A35&lt;='Alternative 2'!$B$27, IF($A35='Alternative 2'!$B$27,0,E36+1),0)</f>
        <v>0</v>
      </c>
      <c r="F35" s="101">
        <f>IF($A35&lt;=('Alternative 2'!$B$28), IF($A35=ROUNDDOWN('Alternative 2'!$B$28,0),0,F36+1),0)</f>
        <v>0</v>
      </c>
      <c r="G35" s="101">
        <f>IF($A35&lt;=('Alternative 2'!$B$29), IF($A35=ROUNDDOWN('Alternative 2'!$B$29,0),0,G36+1),0)</f>
        <v>0</v>
      </c>
      <c r="H35" s="18" t="e">
        <f t="shared" si="14"/>
        <v>#VALUE!</v>
      </c>
      <c r="J35" s="104">
        <f t="shared" si="15"/>
        <v>32</v>
      </c>
      <c r="K35" s="104">
        <f t="shared" si="16"/>
        <v>0.55850536063818546</v>
      </c>
      <c r="L35" s="105">
        <f>'Alternative 2'!$B$27*SIN(K35)+'Alternative 2'!$B$28*SIN(K35)+'Alternative 2'!$B$29*SIN(K35)</f>
        <v>22.781229169385476</v>
      </c>
      <c r="M35" s="104">
        <f>(('Alternative 2'!$B$27)*(((('Alternative 2'!$B$28-'Alternative 2'!$B$27)/2)+'Alternative 2'!$B$27)*'Alternative 2'!$B$39)*COS('Alternative 2-Tilt Up (3pt)'!K35))+(('Alternative 2'!$B$28)*((('Alternative 2'!$B$28-'Alternative 2'!$B$27)/2)+(('Alternative 2'!$B$29-'Alternative 2'!$B$28)/2))*('Alternative 2'!$B$39)*COS('Alternative 2-Tilt Up (3pt)'!K35))+(('Alternative 2'!$B$29)*((('Alternative 2'!$B$12-'Alternative 2'!$B$29+(('Alternative 2'!$B$29-'Alternative 2'!$B$28)/2)*('Alternative 2'!$B$39)*COS('Alternative 2-Tilt Up (3pt)'!K35)))))</f>
        <v>517152.72615831008</v>
      </c>
      <c r="N35" s="104">
        <f t="shared" si="0"/>
        <v>68102.478884671204</v>
      </c>
      <c r="O35" s="104">
        <f>(((('Alternative 2'!$B$28-'Alternative 2'!$B$27)/2)+'Alternative 2'!$B$27)*('Alternative 2'!$B$39)*COS('Alternative 2-Tilt Up (3pt)'!K35))+(((('Alternative 2'!$B$28-'Alternative 2'!$B$27)/2)+(('Alternative 2'!$B$29-'Alternative 2'!$B$28)/2))*('Alternative 2'!$B$39)*COS('Alternative 2-Tilt Up (3pt)'!K35))+(((('Alternative 2'!$B$12-'Alternative 2'!$B$29)+(('Alternative 2'!$B$29-'Alternative 2'!$B$28)/2))*('Alternative 2'!$B$39)*COS('Alternative 2-Tilt Up (3pt)'!K35)))</f>
        <v>53069.017457740018</v>
      </c>
      <c r="P35" s="104">
        <f t="shared" si="1"/>
        <v>57754.177561678611</v>
      </c>
      <c r="R35" s="105" t="e">
        <f>'Alternative 2'!$B$39*$B35*$C35*COS($K$5)-($N$5/3)*$E35*SIN($K$5)-($N$5/3)*$F35*SIN($K$5)-($N$5/3)*$G35*SIN($K$5)</f>
        <v>#VALUE!</v>
      </c>
      <c r="S35" s="106" t="e">
        <f>IF(($A35&lt;'Alternative 2'!$B$27),(($H35*'Alternative 2'!$B$39)+(3*($N$5/3)*COS($K$5))),IF(($A35&lt;'Alternative 2'!$B$28),(($H35*'Alternative 2'!$B$39)+(2*(($N$5/3)*COS($K$5)))),IF(($A35&lt;'Alternative 2'!$B$29),(($H$3*'Alternative 2'!$B$39+(($N$5/3)*COS($K$5)))),($H35*'Alternative 2'!$B$39))))</f>
        <v>#VALUE!</v>
      </c>
      <c r="T35" s="105" t="e">
        <f>R35*'Alternative 2'!$K36/'Alternative 2'!$L36</f>
        <v>#VALUE!</v>
      </c>
      <c r="U35" s="105" t="e">
        <f>S35/'Alternative 2'!$M36</f>
        <v>#VALUE!</v>
      </c>
      <c r="V35" s="105" t="e">
        <f t="shared" si="2"/>
        <v>#VALUE!</v>
      </c>
      <c r="X35" s="105" t="e">
        <f>'Alternative 2'!$B$39*$B35*$C35*COS($K$13)-($N$12/3)*$E35*SIN($K$13)-($N$12/3)*$F35*SIN($K$13)-($N$12/3)*$G35*SIN($K$13)</f>
        <v>#VALUE!</v>
      </c>
      <c r="Y35" s="106" t="e">
        <f>IF(($A35&lt;'Alternative 2'!$B$27),(($H35*'Alternative 2'!$B$39)+(3*($N$12/3)*COS($K$13))),IF(($A35&lt;'Alternative 2'!$B$28),(($H35*'Alternative 2'!$B$39)+(2*(($N$12/3)*COS($K$13)))),IF(($A35&lt;'Alternative 2'!$B$29),(($H$3*'Alternative 2'!$B$39+(($N$12/3)*COS($K$13)))),($H35*'Alternative 2'!$B$39))))</f>
        <v>#VALUE!</v>
      </c>
      <c r="Z35" s="105" t="e">
        <f>X35*'Alternative 2'!$K36/'Alternative 2'!$L36</f>
        <v>#VALUE!</v>
      </c>
      <c r="AA35" s="105" t="e">
        <f>Y35/'Alternative 2'!$M36</f>
        <v>#VALUE!</v>
      </c>
      <c r="AB35" s="105" t="e">
        <f t="shared" si="3"/>
        <v>#VALUE!</v>
      </c>
      <c r="AD35" s="105" t="e">
        <f>'Alternative 2'!$B$39*$B35*$C35*COS($K$23)-($N$22/3)*$E35*SIN($K$23)-($N$22/3)*$F35*SIN($K$23)-($N$22/3)*$G35*SIN($K$23)</f>
        <v>#VALUE!</v>
      </c>
      <c r="AE35" s="106" t="e">
        <f>IF(($A35&lt;'Alternative 2'!$B$27),(($H35*'Alternative 2'!$B$39)+(3*($N$22/3)*COS($K$23))),IF(($A35&lt;'Alternative 2'!$B$28),(($H35*'Alternative 2'!$B$39)+(2*(($N$22/3)*COS($K$23)))),IF(($A35&lt;'Alternative 2'!$B$29),(($H$3*'Alternative 2'!$B$39+(($N$22/3)*COS($K$23)))),($H35*'Alternative 2'!$B$39))))</f>
        <v>#VALUE!</v>
      </c>
      <c r="AF35" s="105" t="e">
        <f>AD35*'Alternative 2'!$K36/'Alternative 2'!$L36</f>
        <v>#VALUE!</v>
      </c>
      <c r="AG35" s="105" t="e">
        <f>AE35/'Alternative 2'!$M36</f>
        <v>#VALUE!</v>
      </c>
      <c r="AH35" s="105" t="e">
        <f t="shared" si="4"/>
        <v>#VALUE!</v>
      </c>
      <c r="AJ35" s="105" t="e">
        <f>'Alternative 2'!$B$39*$B35*$C35*COS($K$33)-($N$32/3)*$E35*SIN($K$33)-($N$32/3)*$F35*SIN($K$33)-($N$32/3)*$G35*SIN($K$33)</f>
        <v>#VALUE!</v>
      </c>
      <c r="AK35" s="106" t="e">
        <f>IF(($A35&lt;'Alternative 2'!$B$27),(($H35*'Alternative 2'!$B$39)+(3*($N$32/3)*COS($K$33))),IF(($A35&lt;'Alternative 2'!$B$28),(($H35*'Alternative 2'!$B$39)+(2*(($N$32/3)*COS($K$33)))),IF(($A35&lt;'Alternative 2'!$B$29),(($H$3*'Alternative 2'!$B$39+(($N$32/3)*COS($K$33)))),($H35*'Alternative 2'!$B$39))))</f>
        <v>#VALUE!</v>
      </c>
      <c r="AL35" s="105" t="e">
        <f>AJ35*'Alternative 2'!$K36/'Alternative 2'!$L36</f>
        <v>#VALUE!</v>
      </c>
      <c r="AM35" s="105" t="e">
        <f>AK35/'Alternative 2'!$M36</f>
        <v>#VALUE!</v>
      </c>
      <c r="AN35" s="105" t="e">
        <f t="shared" si="5"/>
        <v>#VALUE!</v>
      </c>
      <c r="AP35" s="105" t="e">
        <f>'Alternative 2'!$B$39*$B35*$C35*COS($K$43)-($N$42/3)*$E35*SIN($K$43)-($N$42/3)*$F35*SIN($K$43)-($N$42/3)*$G35*SIN($K$43)</f>
        <v>#VALUE!</v>
      </c>
      <c r="AQ35" s="106" t="e">
        <f>IF(($A35&lt;'Alternative 2'!$B$27),(($H35*'Alternative 2'!$B$39)+(3*($N$42/3)*COS($K$43))),IF(($A35&lt;'Alternative 2'!$B$28),(($H35*'Alternative 2'!$B$39)+(2*(($N$42/3)*COS($K$43)))),IF(($A35&lt;'Alternative 2'!$B$29),(($H$3*'Alternative 2'!$B$39+(($N$42/3)*COS($K$43)))),($H35*'Alternative 2'!$B$39))))</f>
        <v>#VALUE!</v>
      </c>
      <c r="AR35" s="105" t="e">
        <f>AP35*'Alternative 2'!$K36/'Alternative 2'!$L36</f>
        <v>#VALUE!</v>
      </c>
      <c r="AS35" s="105" t="e">
        <f>AQ35/'Alternative 2'!$M36</f>
        <v>#VALUE!</v>
      </c>
      <c r="AT35" s="105" t="e">
        <f t="shared" si="6"/>
        <v>#VALUE!</v>
      </c>
      <c r="AV35" s="105" t="e">
        <f>'Alternative 2'!$B$39*$B35*$C35*COS($K$53)-($N$52/3)*$E35*SIN($K$53)-($N$52/3)*$F35*SIN($K$53)-($N$52/3)*$G35*SIN($K$53)</f>
        <v>#VALUE!</v>
      </c>
      <c r="AW35" s="106" t="e">
        <f>IF(($A35&lt;'Alternative 2'!$B$27),(($H35*'Alternative 2'!$B$39)+(3*($N$52/3)*COS($K$53))),IF(($A35&lt;'Alternative 2'!$B$28),(($H35*'Alternative 2'!$B$39)+(2*(($N$52/3)*COS($K$53)))),IF(($A35&lt;'Alternative 2'!$B$29),(($H$3*'Alternative 2'!$B$39+(($N$52/3)*COS($K$53)))),($H35*'Alternative 2'!$B$39))))</f>
        <v>#VALUE!</v>
      </c>
      <c r="AX35" s="105" t="e">
        <f>AV35*'Alternative 2'!$K36/'Alternative 2'!$L36</f>
        <v>#VALUE!</v>
      </c>
      <c r="AY35" s="105" t="e">
        <f>AW35/'Alternative 2'!$M36</f>
        <v>#VALUE!</v>
      </c>
      <c r="AZ35" s="105" t="e">
        <f t="shared" si="7"/>
        <v>#VALUE!</v>
      </c>
      <c r="BB35" s="105" t="e">
        <f>'Alternative 2'!$B$39*$B35*$C35*COS($K$63)-($N$62/3)*$E35*SIN($K$63)-($N$62/3)*$F35*SIN($K$63)-($N$62/3)*$G35*SIN($K$63)</f>
        <v>#VALUE!</v>
      </c>
      <c r="BC35" s="106" t="e">
        <f>IF(($A35&lt;'Alternative 2'!$B$27),(($H35*'Alternative 2'!$B$39)+(3*($N$62/3)*COS($K$63))),IF(($A35&lt;'Alternative 2'!$B$28),(($H35*'Alternative 2'!$B$39)+(2*(($N$62/3)*COS($K$63)))),IF(($A35&lt;'Alternative 2'!$B$29),(($H$3*'Alternative 2'!$B$39+(($N$62/3)*COS($K$63)))),($H35*'Alternative 2'!$B$39))))</f>
        <v>#VALUE!</v>
      </c>
      <c r="BD35" s="105" t="e">
        <f>BB35*'Alternative 2'!$K36/'Alternative 2'!$L36</f>
        <v>#VALUE!</v>
      </c>
      <c r="BE35" s="105" t="e">
        <f>BC35/'Alternative 2'!$M36</f>
        <v>#VALUE!</v>
      </c>
      <c r="BF35" s="105" t="e">
        <f t="shared" si="8"/>
        <v>#VALUE!</v>
      </c>
      <c r="BH35" s="105" t="e">
        <f>'Alternative 2'!$B$39*$B35*$C35*COS($K$73)-($N$72/3)*$E35*SIN($K$73)-($N$72/3)*$F35*SIN($K$73)-($N$72/3)*$G35*SIN($K$73)</f>
        <v>#VALUE!</v>
      </c>
      <c r="BI35" s="106" t="e">
        <f>IF(($A35&lt;'Alternative 2'!$B$27),(($H35*'Alternative 2'!$B$39)+(3*($N$72/3)*COS($K$73))),IF(($A35&lt;'Alternative 2'!$B$28),(($H35*'Alternative 2'!$B$39)+(2*(($N$72/3)*COS($K$73)))),IF(($A35&lt;'Alternative 2'!$B$29),(($H$3*'Alternative 2'!$B$39+(($N$72/3)*COS($K$73)))),($H35*'Alternative 2'!$B$39))))</f>
        <v>#VALUE!</v>
      </c>
      <c r="BJ35" s="105" t="e">
        <f>BH35*'Alternative 2'!$K36/'Alternative 2'!$L36</f>
        <v>#VALUE!</v>
      </c>
      <c r="BK35" s="105" t="e">
        <f>BI35/'Alternative 2'!$M36</f>
        <v>#VALUE!</v>
      </c>
      <c r="BL35" s="105" t="e">
        <f t="shared" si="9"/>
        <v>#VALUE!</v>
      </c>
      <c r="BN35" s="105" t="e">
        <f>'Alternative 2'!$B$39*$B35*$C35*COS($K$83)-($N$82/3)*$E35*SIN($K$83)-($N$82/3)*$F35*SIN($K$83)-($N$82/3)*$G35*SIN($K$83)</f>
        <v>#VALUE!</v>
      </c>
      <c r="BO35" s="106" t="e">
        <f>IF(($A35&lt;'Alternative 2'!$B$27),(($H35*'Alternative 2'!$B$39)+(3*($N$82/3)*COS($K$83))),IF(($A35&lt;'Alternative 2'!$B$28),(($H35*'Alternative 2'!$B$39)+(2*(($N$82/3)*COS($K$83)))),IF(($A35&lt;'Alternative 2'!$B$29),(($H$3*'Alternative 2'!$B$39+(($N$82/3)*COS($K$83)))),($H35*'Alternative 2'!$B$39))))</f>
        <v>#VALUE!</v>
      </c>
      <c r="BP35" s="105" t="e">
        <f>BN35*'Alternative 2'!$K36/'Alternative 2'!$L36</f>
        <v>#VALUE!</v>
      </c>
      <c r="BQ35" s="105" t="e">
        <f>BO35/'Alternative 2'!$M36</f>
        <v>#VALUE!</v>
      </c>
      <c r="BR35" s="105" t="e">
        <f t="shared" si="10"/>
        <v>#VALUE!</v>
      </c>
      <c r="BT35" s="105" t="e">
        <f>'Alternative 2'!$B$39*$B35*$C35*COS($K$93)-($K$92/3)*$E35*SIN($K$93)-($K$92/3)*$F35*SIN($K$93)-($K$92/3)*$G35*SIN($K$93)</f>
        <v>#VALUE!</v>
      </c>
      <c r="BU35" s="106" t="e">
        <f>IF(($A35&lt;'Alternative 2'!$B$27),(($H35*'Alternative 2'!$B$39)+(3*($N$92/3)*COS($K$93))),IF(($A35&lt;'Alternative 2'!$B$28),(($H35*'Alternative 2'!$B$39)+(2*(($N$92/3)*COS($K$93)))),IF(($A35&lt;'Alternative 2'!$B$29),(($H$3*'Alternative 2'!$B$39+(($N$92/3)*COS($K$93)))),($H35*'Alternative 2'!$B$39))))</f>
        <v>#VALUE!</v>
      </c>
      <c r="BV35" s="105" t="e">
        <f>BT35*'Alternative 2'!$K36/'Alternative 2'!$L36</f>
        <v>#VALUE!</v>
      </c>
      <c r="BW35" s="105" t="e">
        <f>BU35/'Alternative 2'!$M36</f>
        <v>#VALUE!</v>
      </c>
      <c r="BX35" s="105" t="e">
        <f t="shared" si="11"/>
        <v>#VALUE!</v>
      </c>
      <c r="BZ35" s="104">
        <v>150</v>
      </c>
      <c r="CA35" s="104">
        <v>-150</v>
      </c>
    </row>
    <row r="36" spans="1:79" ht="15" customHeight="1" x14ac:dyDescent="0.25">
      <c r="A36" s="18" t="str">
        <f>IF('Alternative 2'!F37&gt;0,'Alternative 2'!F37,"x")</f>
        <v>x</v>
      </c>
      <c r="B36" s="18" t="e">
        <f t="shared" si="17"/>
        <v>#VALUE!</v>
      </c>
      <c r="C36" s="18">
        <f t="shared" si="12"/>
        <v>0</v>
      </c>
      <c r="D36" s="18" t="str">
        <f t="shared" si="13"/>
        <v>x</v>
      </c>
      <c r="E36" s="101">
        <f>IF($A36&lt;='Alternative 2'!$B$27, IF($A36='Alternative 2'!$B$27,0,E37+1),0)</f>
        <v>0</v>
      </c>
      <c r="F36" s="101">
        <f>IF($A36&lt;=('Alternative 2'!$B$28), IF($A36=ROUNDDOWN('Alternative 2'!$B$28,0),0,F37+1),0)</f>
        <v>0</v>
      </c>
      <c r="G36" s="101">
        <f>IF($A36&lt;=('Alternative 2'!$B$29), IF($A36=ROUNDDOWN('Alternative 2'!$B$29,0),0,G37+1),0)</f>
        <v>0</v>
      </c>
      <c r="H36" s="18" t="e">
        <f t="shared" si="14"/>
        <v>#VALUE!</v>
      </c>
      <c r="J36" s="104">
        <f t="shared" si="15"/>
        <v>33</v>
      </c>
      <c r="K36" s="104">
        <f t="shared" si="16"/>
        <v>0.57595865315812877</v>
      </c>
      <c r="L36" s="105">
        <f>'Alternative 2'!$B$27*SIN(K36)+'Alternative 2'!$B$28*SIN(K36)+'Alternative 2'!$B$29*SIN(K36)</f>
        <v>23.414032115296017</v>
      </c>
      <c r="M36" s="104">
        <f>(('Alternative 2'!$B$27)*(((('Alternative 2'!$B$28-'Alternative 2'!$B$27)/2)+'Alternative 2'!$B$27)*'Alternative 2'!$B$39)*COS('Alternative 2-Tilt Up (3pt)'!K36))+(('Alternative 2'!$B$28)*((('Alternative 2'!$B$28-'Alternative 2'!$B$27)/2)+(('Alternative 2'!$B$29-'Alternative 2'!$B$28)/2))*('Alternative 2'!$B$39)*COS('Alternative 2-Tilt Up (3pt)'!K36))+(('Alternative 2'!$B$29)*((('Alternative 2'!$B$12-'Alternative 2'!$B$29+(('Alternative 2'!$B$29-'Alternative 2'!$B$28)/2)*('Alternative 2'!$B$39)*COS('Alternative 2-Tilt Up (3pt)'!K36)))))</f>
        <v>511435.06124351721</v>
      </c>
      <c r="N36" s="104">
        <f t="shared" si="0"/>
        <v>65529.302094371611</v>
      </c>
      <c r="O36" s="104">
        <f>(((('Alternative 2'!$B$28-'Alternative 2'!$B$27)/2)+'Alternative 2'!$B$27)*('Alternative 2'!$B$39)*COS('Alternative 2-Tilt Up (3pt)'!K36))+(((('Alternative 2'!$B$28-'Alternative 2'!$B$27)/2)+(('Alternative 2'!$B$29-'Alternative 2'!$B$28)/2))*('Alternative 2'!$B$39)*COS('Alternative 2-Tilt Up (3pt)'!K36))+(((('Alternative 2'!$B$12-'Alternative 2'!$B$29)+(('Alternative 2'!$B$29-'Alternative 2'!$B$28)/2))*('Alternative 2'!$B$39)*COS('Alternative 2-Tilt Up (3pt)'!K36)))</f>
        <v>52482.192004566292</v>
      </c>
      <c r="P36" s="104">
        <f t="shared" si="1"/>
        <v>54957.497004553901</v>
      </c>
      <c r="R36" s="105" t="e">
        <f>'Alternative 2'!$B$39*$B36*$C36*COS($K$5)-($N$5/3)*$E36*SIN($K$5)-($N$5/3)*$F36*SIN($K$5)-($N$5/3)*$G36*SIN($K$5)</f>
        <v>#VALUE!</v>
      </c>
      <c r="S36" s="106" t="e">
        <f>IF(($A36&lt;'Alternative 2'!$B$27),(($H36*'Alternative 2'!$B$39)+(3*($N$5/3)*COS($K$5))),IF(($A36&lt;'Alternative 2'!$B$28),(($H36*'Alternative 2'!$B$39)+(2*(($N$5/3)*COS($K$5)))),IF(($A36&lt;'Alternative 2'!$B$29),(($H$3*'Alternative 2'!$B$39+(($N$5/3)*COS($K$5)))),($H36*'Alternative 2'!$B$39))))</f>
        <v>#VALUE!</v>
      </c>
      <c r="T36" s="105" t="e">
        <f>R36*'Alternative 2'!$K37/'Alternative 2'!$L37</f>
        <v>#VALUE!</v>
      </c>
      <c r="U36" s="105" t="e">
        <f>S36/'Alternative 2'!$M37</f>
        <v>#VALUE!</v>
      </c>
      <c r="V36" s="105" t="e">
        <f t="shared" si="2"/>
        <v>#VALUE!</v>
      </c>
      <c r="X36" s="105" t="e">
        <f>'Alternative 2'!$B$39*$B36*$C36*COS($K$13)-($N$12/3)*$E36*SIN($K$13)-($N$12/3)*$F36*SIN($K$13)-($N$12/3)*$G36*SIN($K$13)</f>
        <v>#VALUE!</v>
      </c>
      <c r="Y36" s="106" t="e">
        <f>IF(($A36&lt;'Alternative 2'!$B$27),(($H36*'Alternative 2'!$B$39)+(3*($N$12/3)*COS($K$13))),IF(($A36&lt;'Alternative 2'!$B$28),(($H36*'Alternative 2'!$B$39)+(2*(($N$12/3)*COS($K$13)))),IF(($A36&lt;'Alternative 2'!$B$29),(($H$3*'Alternative 2'!$B$39+(($N$12/3)*COS($K$13)))),($H36*'Alternative 2'!$B$39))))</f>
        <v>#VALUE!</v>
      </c>
      <c r="Z36" s="105" t="e">
        <f>X36*'Alternative 2'!$K37/'Alternative 2'!$L37</f>
        <v>#VALUE!</v>
      </c>
      <c r="AA36" s="105" t="e">
        <f>Y36/'Alternative 2'!$M37</f>
        <v>#VALUE!</v>
      </c>
      <c r="AB36" s="105" t="e">
        <f t="shared" si="3"/>
        <v>#VALUE!</v>
      </c>
      <c r="AD36" s="105" t="e">
        <f>'Alternative 2'!$B$39*$B36*$C36*COS($K$23)-($N$22/3)*$E36*SIN($K$23)-($N$22/3)*$F36*SIN($K$23)-($N$22/3)*$G36*SIN($K$23)</f>
        <v>#VALUE!</v>
      </c>
      <c r="AE36" s="106" t="e">
        <f>IF(($A36&lt;'Alternative 2'!$B$27),(($H36*'Alternative 2'!$B$39)+(3*($N$22/3)*COS($K$23))),IF(($A36&lt;'Alternative 2'!$B$28),(($H36*'Alternative 2'!$B$39)+(2*(($N$22/3)*COS($K$23)))),IF(($A36&lt;'Alternative 2'!$B$29),(($H$3*'Alternative 2'!$B$39+(($N$22/3)*COS($K$23)))),($H36*'Alternative 2'!$B$39))))</f>
        <v>#VALUE!</v>
      </c>
      <c r="AF36" s="105" t="e">
        <f>AD36*'Alternative 2'!$K37/'Alternative 2'!$L37</f>
        <v>#VALUE!</v>
      </c>
      <c r="AG36" s="105" t="e">
        <f>AE36/'Alternative 2'!$M37</f>
        <v>#VALUE!</v>
      </c>
      <c r="AH36" s="105" t="e">
        <f t="shared" si="4"/>
        <v>#VALUE!</v>
      </c>
      <c r="AJ36" s="105" t="e">
        <f>'Alternative 2'!$B$39*$B36*$C36*COS($K$33)-($N$32/3)*$E36*SIN($K$33)-($N$32/3)*$F36*SIN($K$33)-($N$32/3)*$G36*SIN($K$33)</f>
        <v>#VALUE!</v>
      </c>
      <c r="AK36" s="106" t="e">
        <f>IF(($A36&lt;'Alternative 2'!$B$27),(($H36*'Alternative 2'!$B$39)+(3*($N$32/3)*COS($K$33))),IF(($A36&lt;'Alternative 2'!$B$28),(($H36*'Alternative 2'!$B$39)+(2*(($N$32/3)*COS($K$33)))),IF(($A36&lt;'Alternative 2'!$B$29),(($H$3*'Alternative 2'!$B$39+(($N$32/3)*COS($K$33)))),($H36*'Alternative 2'!$B$39))))</f>
        <v>#VALUE!</v>
      </c>
      <c r="AL36" s="105" t="e">
        <f>AJ36*'Alternative 2'!$K37/'Alternative 2'!$L37</f>
        <v>#VALUE!</v>
      </c>
      <c r="AM36" s="105" t="e">
        <f>AK36/'Alternative 2'!$M37</f>
        <v>#VALUE!</v>
      </c>
      <c r="AN36" s="105" t="e">
        <f t="shared" si="5"/>
        <v>#VALUE!</v>
      </c>
      <c r="AP36" s="105" t="e">
        <f>'Alternative 2'!$B$39*$B36*$C36*COS($K$43)-($N$42/3)*$E36*SIN($K$43)-($N$42/3)*$F36*SIN($K$43)-($N$42/3)*$G36*SIN($K$43)</f>
        <v>#VALUE!</v>
      </c>
      <c r="AQ36" s="106" t="e">
        <f>IF(($A36&lt;'Alternative 2'!$B$27),(($H36*'Alternative 2'!$B$39)+(3*($N$42/3)*COS($K$43))),IF(($A36&lt;'Alternative 2'!$B$28),(($H36*'Alternative 2'!$B$39)+(2*(($N$42/3)*COS($K$43)))),IF(($A36&lt;'Alternative 2'!$B$29),(($H$3*'Alternative 2'!$B$39+(($N$42/3)*COS($K$43)))),($H36*'Alternative 2'!$B$39))))</f>
        <v>#VALUE!</v>
      </c>
      <c r="AR36" s="105" t="e">
        <f>AP36*'Alternative 2'!$K37/'Alternative 2'!$L37</f>
        <v>#VALUE!</v>
      </c>
      <c r="AS36" s="105" t="e">
        <f>AQ36/'Alternative 2'!$M37</f>
        <v>#VALUE!</v>
      </c>
      <c r="AT36" s="105" t="e">
        <f t="shared" si="6"/>
        <v>#VALUE!</v>
      </c>
      <c r="AV36" s="105" t="e">
        <f>'Alternative 2'!$B$39*$B36*$C36*COS($K$53)-($N$52/3)*$E36*SIN($K$53)-($N$52/3)*$F36*SIN($K$53)-($N$52/3)*$G36*SIN($K$53)</f>
        <v>#VALUE!</v>
      </c>
      <c r="AW36" s="106" t="e">
        <f>IF(($A36&lt;'Alternative 2'!$B$27),(($H36*'Alternative 2'!$B$39)+(3*($N$52/3)*COS($K$53))),IF(($A36&lt;'Alternative 2'!$B$28),(($H36*'Alternative 2'!$B$39)+(2*(($N$52/3)*COS($K$53)))),IF(($A36&lt;'Alternative 2'!$B$29),(($H$3*'Alternative 2'!$B$39+(($N$52/3)*COS($K$53)))),($H36*'Alternative 2'!$B$39))))</f>
        <v>#VALUE!</v>
      </c>
      <c r="AX36" s="105" t="e">
        <f>AV36*'Alternative 2'!$K37/'Alternative 2'!$L37</f>
        <v>#VALUE!</v>
      </c>
      <c r="AY36" s="105" t="e">
        <f>AW36/'Alternative 2'!$M37</f>
        <v>#VALUE!</v>
      </c>
      <c r="AZ36" s="105" t="e">
        <f t="shared" si="7"/>
        <v>#VALUE!</v>
      </c>
      <c r="BB36" s="105" t="e">
        <f>'Alternative 2'!$B$39*$B36*$C36*COS($K$63)-($N$62/3)*$E36*SIN($K$63)-($N$62/3)*$F36*SIN($K$63)-($N$62/3)*$G36*SIN($K$63)</f>
        <v>#VALUE!</v>
      </c>
      <c r="BC36" s="106" t="e">
        <f>IF(($A36&lt;'Alternative 2'!$B$27),(($H36*'Alternative 2'!$B$39)+(3*($N$62/3)*COS($K$63))),IF(($A36&lt;'Alternative 2'!$B$28),(($H36*'Alternative 2'!$B$39)+(2*(($N$62/3)*COS($K$63)))),IF(($A36&lt;'Alternative 2'!$B$29),(($H$3*'Alternative 2'!$B$39+(($N$62/3)*COS($K$63)))),($H36*'Alternative 2'!$B$39))))</f>
        <v>#VALUE!</v>
      </c>
      <c r="BD36" s="105" t="e">
        <f>BB36*'Alternative 2'!$K37/'Alternative 2'!$L37</f>
        <v>#VALUE!</v>
      </c>
      <c r="BE36" s="105" t="e">
        <f>BC36/'Alternative 2'!$M37</f>
        <v>#VALUE!</v>
      </c>
      <c r="BF36" s="105" t="e">
        <f t="shared" si="8"/>
        <v>#VALUE!</v>
      </c>
      <c r="BH36" s="105" t="e">
        <f>'Alternative 2'!$B$39*$B36*$C36*COS($K$73)-($N$72/3)*$E36*SIN($K$73)-($N$72/3)*$F36*SIN($K$73)-($N$72/3)*$G36*SIN($K$73)</f>
        <v>#VALUE!</v>
      </c>
      <c r="BI36" s="106" t="e">
        <f>IF(($A36&lt;'Alternative 2'!$B$27),(($H36*'Alternative 2'!$B$39)+(3*($N$72/3)*COS($K$73))),IF(($A36&lt;'Alternative 2'!$B$28),(($H36*'Alternative 2'!$B$39)+(2*(($N$72/3)*COS($K$73)))),IF(($A36&lt;'Alternative 2'!$B$29),(($H$3*'Alternative 2'!$B$39+(($N$72/3)*COS($K$73)))),($H36*'Alternative 2'!$B$39))))</f>
        <v>#VALUE!</v>
      </c>
      <c r="BJ36" s="105" t="e">
        <f>BH36*'Alternative 2'!$K37/'Alternative 2'!$L37</f>
        <v>#VALUE!</v>
      </c>
      <c r="BK36" s="105" t="e">
        <f>BI36/'Alternative 2'!$M37</f>
        <v>#VALUE!</v>
      </c>
      <c r="BL36" s="105" t="e">
        <f t="shared" si="9"/>
        <v>#VALUE!</v>
      </c>
      <c r="BN36" s="105" t="e">
        <f>'Alternative 2'!$B$39*$B36*$C36*COS($K$83)-($N$82/3)*$E36*SIN($K$83)-($N$82/3)*$F36*SIN($K$83)-($N$82/3)*$G36*SIN($K$83)</f>
        <v>#VALUE!</v>
      </c>
      <c r="BO36" s="106" t="e">
        <f>IF(($A36&lt;'Alternative 2'!$B$27),(($H36*'Alternative 2'!$B$39)+(3*($N$82/3)*COS($K$83))),IF(($A36&lt;'Alternative 2'!$B$28),(($H36*'Alternative 2'!$B$39)+(2*(($N$82/3)*COS($K$83)))),IF(($A36&lt;'Alternative 2'!$B$29),(($H$3*'Alternative 2'!$B$39+(($N$82/3)*COS($K$83)))),($H36*'Alternative 2'!$B$39))))</f>
        <v>#VALUE!</v>
      </c>
      <c r="BP36" s="105" t="e">
        <f>BN36*'Alternative 2'!$K37/'Alternative 2'!$L37</f>
        <v>#VALUE!</v>
      </c>
      <c r="BQ36" s="105" t="e">
        <f>BO36/'Alternative 2'!$M37</f>
        <v>#VALUE!</v>
      </c>
      <c r="BR36" s="105" t="e">
        <f t="shared" si="10"/>
        <v>#VALUE!</v>
      </c>
      <c r="BT36" s="105" t="e">
        <f>'Alternative 2'!$B$39*$B36*$C36*COS($K$93)-($K$92/3)*$E36*SIN($K$93)-($K$92/3)*$F36*SIN($K$93)-($K$92/3)*$G36*SIN($K$93)</f>
        <v>#VALUE!</v>
      </c>
      <c r="BU36" s="106" t="e">
        <f>IF(($A36&lt;'Alternative 2'!$B$27),(($H36*'Alternative 2'!$B$39)+(3*($N$92/3)*COS($K$93))),IF(($A36&lt;'Alternative 2'!$B$28),(($H36*'Alternative 2'!$B$39)+(2*(($N$92/3)*COS($K$93)))),IF(($A36&lt;'Alternative 2'!$B$29),(($H$3*'Alternative 2'!$B$39+(($N$92/3)*COS($K$93)))),($H36*'Alternative 2'!$B$39))))</f>
        <v>#VALUE!</v>
      </c>
      <c r="BV36" s="105" t="e">
        <f>BT36*'Alternative 2'!$K37/'Alternative 2'!$L37</f>
        <v>#VALUE!</v>
      </c>
      <c r="BW36" s="105" t="e">
        <f>BU36/'Alternative 2'!$M37</f>
        <v>#VALUE!</v>
      </c>
      <c r="BX36" s="105" t="e">
        <f t="shared" si="11"/>
        <v>#VALUE!</v>
      </c>
      <c r="BZ36" s="104">
        <v>150</v>
      </c>
      <c r="CA36" s="104">
        <v>-150</v>
      </c>
    </row>
    <row r="37" spans="1:79" ht="15" customHeight="1" x14ac:dyDescent="0.25">
      <c r="A37" s="18" t="str">
        <f>IF('Alternative 2'!F38&gt;0,'Alternative 2'!F38,"x")</f>
        <v>x</v>
      </c>
      <c r="B37" s="18" t="e">
        <f t="shared" si="17"/>
        <v>#VALUE!</v>
      </c>
      <c r="C37" s="18">
        <f t="shared" si="12"/>
        <v>0</v>
      </c>
      <c r="D37" s="18" t="str">
        <f t="shared" si="13"/>
        <v>x</v>
      </c>
      <c r="E37" s="101">
        <f>IF($A37&lt;='Alternative 2'!$B$27, IF($A37='Alternative 2'!$B$27,0,E38+1),0)</f>
        <v>0</v>
      </c>
      <c r="F37" s="101">
        <f>IF($A37&lt;=('Alternative 2'!$B$28), IF($A37=ROUNDDOWN('Alternative 2'!$B$28,0),0,F38+1),0)</f>
        <v>0</v>
      </c>
      <c r="G37" s="101">
        <f>IF($A37&lt;=('Alternative 2'!$B$29), IF($A37=ROUNDDOWN('Alternative 2'!$B$29,0),0,G38+1),0)</f>
        <v>0</v>
      </c>
      <c r="H37" s="18" t="e">
        <f t="shared" si="14"/>
        <v>#VALUE!</v>
      </c>
      <c r="J37" s="104">
        <f t="shared" si="15"/>
        <v>34</v>
      </c>
      <c r="K37" s="104">
        <f t="shared" si="16"/>
        <v>0.59341194567807209</v>
      </c>
      <c r="L37" s="105">
        <f>'Alternative 2'!$B$27*SIN(K37)+'Alternative 2'!$B$28*SIN(K37)+'Alternative 2'!$B$29*SIN(K37)</f>
        <v>24.039702920207411</v>
      </c>
      <c r="M37" s="104">
        <f>(('Alternative 2'!$B$27)*(((('Alternative 2'!$B$28-'Alternative 2'!$B$27)/2)+'Alternative 2'!$B$27)*'Alternative 2'!$B$39)*COS('Alternative 2-Tilt Up (3pt)'!K37))+(('Alternative 2'!$B$28)*((('Alternative 2'!$B$28-'Alternative 2'!$B$27)/2)+(('Alternative 2'!$B$29-'Alternative 2'!$B$28)/2))*('Alternative 2'!$B$39)*COS('Alternative 2-Tilt Up (3pt)'!K37))+(('Alternative 2'!$B$29)*((('Alternative 2'!$B$12-'Alternative 2'!$B$29+(('Alternative 2'!$B$29-'Alternative 2'!$B$28)/2)*('Alternative 2'!$B$39)*COS('Alternative 2-Tilt Up (3pt)'!K37)))))</f>
        <v>505561.63292331959</v>
      </c>
      <c r="N37" s="104">
        <f t="shared" si="0"/>
        <v>63090.833684764737</v>
      </c>
      <c r="O37" s="104">
        <f>(((('Alternative 2'!$B$28-'Alternative 2'!$B$27)/2)+'Alternative 2'!$B$27)*('Alternative 2'!$B$39)*COS('Alternative 2-Tilt Up (3pt)'!K37))+(((('Alternative 2'!$B$28-'Alternative 2'!$B$27)/2)+(('Alternative 2'!$B$29-'Alternative 2'!$B$28)/2))*('Alternative 2'!$B$39)*COS('Alternative 2-Tilt Up (3pt)'!K37))+(((('Alternative 2'!$B$12-'Alternative 2'!$B$29)+(('Alternative 2'!$B$29-'Alternative 2'!$B$28)/2))*('Alternative 2'!$B$39)*COS('Alternative 2-Tilt Up (3pt)'!K37)))</f>
        <v>51879.37996730156</v>
      </c>
      <c r="P37" s="104">
        <f t="shared" si="1"/>
        <v>52304.671608491211</v>
      </c>
      <c r="R37" s="105" t="e">
        <f>'Alternative 2'!$B$39*$B37*$C37*COS($K$5)-($N$5/3)*$E37*SIN($K$5)-($N$5/3)*$F37*SIN($K$5)-($N$5/3)*$G37*SIN($K$5)</f>
        <v>#VALUE!</v>
      </c>
      <c r="S37" s="106" t="e">
        <f>IF(($A37&lt;'Alternative 2'!$B$27),(($H37*'Alternative 2'!$B$39)+(3*($N$5/3)*COS($K$5))),IF(($A37&lt;'Alternative 2'!$B$28),(($H37*'Alternative 2'!$B$39)+(2*(($N$5/3)*COS($K$5)))),IF(($A37&lt;'Alternative 2'!$B$29),(($H$3*'Alternative 2'!$B$39+(($N$5/3)*COS($K$5)))),($H37*'Alternative 2'!$B$39))))</f>
        <v>#VALUE!</v>
      </c>
      <c r="T37" s="105" t="e">
        <f>R37*'Alternative 2'!$K38/'Alternative 2'!$L38</f>
        <v>#VALUE!</v>
      </c>
      <c r="U37" s="105" t="e">
        <f>S37/'Alternative 2'!$M38</f>
        <v>#VALUE!</v>
      </c>
      <c r="V37" s="105" t="e">
        <f t="shared" si="2"/>
        <v>#VALUE!</v>
      </c>
      <c r="X37" s="105" t="e">
        <f>'Alternative 2'!$B$39*$B37*$C37*COS($K$13)-($N$12/3)*$E37*SIN($K$13)-($N$12/3)*$F37*SIN($K$13)-($N$12/3)*$G37*SIN($K$13)</f>
        <v>#VALUE!</v>
      </c>
      <c r="Y37" s="106" t="e">
        <f>IF(($A37&lt;'Alternative 2'!$B$27),(($H37*'Alternative 2'!$B$39)+(3*($N$12/3)*COS($K$13))),IF(($A37&lt;'Alternative 2'!$B$28),(($H37*'Alternative 2'!$B$39)+(2*(($N$12/3)*COS($K$13)))),IF(($A37&lt;'Alternative 2'!$B$29),(($H$3*'Alternative 2'!$B$39+(($N$12/3)*COS($K$13)))),($H37*'Alternative 2'!$B$39))))</f>
        <v>#VALUE!</v>
      </c>
      <c r="Z37" s="105" t="e">
        <f>X37*'Alternative 2'!$K38/'Alternative 2'!$L38</f>
        <v>#VALUE!</v>
      </c>
      <c r="AA37" s="105" t="e">
        <f>Y37/'Alternative 2'!$M38</f>
        <v>#VALUE!</v>
      </c>
      <c r="AB37" s="105" t="e">
        <f t="shared" si="3"/>
        <v>#VALUE!</v>
      </c>
      <c r="AD37" s="105" t="e">
        <f>'Alternative 2'!$B$39*$B37*$C37*COS($K$23)-($N$22/3)*$E37*SIN($K$23)-($N$22/3)*$F37*SIN($K$23)-($N$22/3)*$G37*SIN($K$23)</f>
        <v>#VALUE!</v>
      </c>
      <c r="AE37" s="106" t="e">
        <f>IF(($A37&lt;'Alternative 2'!$B$27),(($H37*'Alternative 2'!$B$39)+(3*($N$22/3)*COS($K$23))),IF(($A37&lt;'Alternative 2'!$B$28),(($H37*'Alternative 2'!$B$39)+(2*(($N$22/3)*COS($K$23)))),IF(($A37&lt;'Alternative 2'!$B$29),(($H$3*'Alternative 2'!$B$39+(($N$22/3)*COS($K$23)))),($H37*'Alternative 2'!$B$39))))</f>
        <v>#VALUE!</v>
      </c>
      <c r="AF37" s="105" t="e">
        <f>AD37*'Alternative 2'!$K38/'Alternative 2'!$L38</f>
        <v>#VALUE!</v>
      </c>
      <c r="AG37" s="105" t="e">
        <f>AE37/'Alternative 2'!$M38</f>
        <v>#VALUE!</v>
      </c>
      <c r="AH37" s="105" t="e">
        <f t="shared" si="4"/>
        <v>#VALUE!</v>
      </c>
      <c r="AJ37" s="105" t="e">
        <f>'Alternative 2'!$B$39*$B37*$C37*COS($K$33)-($N$32/3)*$E37*SIN($K$33)-($N$32/3)*$F37*SIN($K$33)-($N$32/3)*$G37*SIN($K$33)</f>
        <v>#VALUE!</v>
      </c>
      <c r="AK37" s="106" t="e">
        <f>IF(($A37&lt;'Alternative 2'!$B$27),(($H37*'Alternative 2'!$B$39)+(3*($N$32/3)*COS($K$33))),IF(($A37&lt;'Alternative 2'!$B$28),(($H37*'Alternative 2'!$B$39)+(2*(($N$32/3)*COS($K$33)))),IF(($A37&lt;'Alternative 2'!$B$29),(($H$3*'Alternative 2'!$B$39+(($N$32/3)*COS($K$33)))),($H37*'Alternative 2'!$B$39))))</f>
        <v>#VALUE!</v>
      </c>
      <c r="AL37" s="105" t="e">
        <f>AJ37*'Alternative 2'!$K38/'Alternative 2'!$L38</f>
        <v>#VALUE!</v>
      </c>
      <c r="AM37" s="105" t="e">
        <f>AK37/'Alternative 2'!$M38</f>
        <v>#VALUE!</v>
      </c>
      <c r="AN37" s="105" t="e">
        <f t="shared" si="5"/>
        <v>#VALUE!</v>
      </c>
      <c r="AP37" s="105" t="e">
        <f>'Alternative 2'!$B$39*$B37*$C37*COS($K$43)-($N$42/3)*$E37*SIN($K$43)-($N$42/3)*$F37*SIN($K$43)-($N$42/3)*$G37*SIN($K$43)</f>
        <v>#VALUE!</v>
      </c>
      <c r="AQ37" s="106" t="e">
        <f>IF(($A37&lt;'Alternative 2'!$B$27),(($H37*'Alternative 2'!$B$39)+(3*($N$42/3)*COS($K$43))),IF(($A37&lt;'Alternative 2'!$B$28),(($H37*'Alternative 2'!$B$39)+(2*(($N$42/3)*COS($K$43)))),IF(($A37&lt;'Alternative 2'!$B$29),(($H$3*'Alternative 2'!$B$39+(($N$42/3)*COS($K$43)))),($H37*'Alternative 2'!$B$39))))</f>
        <v>#VALUE!</v>
      </c>
      <c r="AR37" s="105" t="e">
        <f>AP37*'Alternative 2'!$K38/'Alternative 2'!$L38</f>
        <v>#VALUE!</v>
      </c>
      <c r="AS37" s="105" t="e">
        <f>AQ37/'Alternative 2'!$M38</f>
        <v>#VALUE!</v>
      </c>
      <c r="AT37" s="105" t="e">
        <f t="shared" si="6"/>
        <v>#VALUE!</v>
      </c>
      <c r="AV37" s="105" t="e">
        <f>'Alternative 2'!$B$39*$B37*$C37*COS($K$53)-($N$52/3)*$E37*SIN($K$53)-($N$52/3)*$F37*SIN($K$53)-($N$52/3)*$G37*SIN($K$53)</f>
        <v>#VALUE!</v>
      </c>
      <c r="AW37" s="106" t="e">
        <f>IF(($A37&lt;'Alternative 2'!$B$27),(($H37*'Alternative 2'!$B$39)+(3*($N$52/3)*COS($K$53))),IF(($A37&lt;'Alternative 2'!$B$28),(($H37*'Alternative 2'!$B$39)+(2*(($N$52/3)*COS($K$53)))),IF(($A37&lt;'Alternative 2'!$B$29),(($H$3*'Alternative 2'!$B$39+(($N$52/3)*COS($K$53)))),($H37*'Alternative 2'!$B$39))))</f>
        <v>#VALUE!</v>
      </c>
      <c r="AX37" s="105" t="e">
        <f>AV37*'Alternative 2'!$K38/'Alternative 2'!$L38</f>
        <v>#VALUE!</v>
      </c>
      <c r="AY37" s="105" t="e">
        <f>AW37/'Alternative 2'!$M38</f>
        <v>#VALUE!</v>
      </c>
      <c r="AZ37" s="105" t="e">
        <f t="shared" si="7"/>
        <v>#VALUE!</v>
      </c>
      <c r="BB37" s="105" t="e">
        <f>'Alternative 2'!$B$39*$B37*$C37*COS($K$63)-($N$62/3)*$E37*SIN($K$63)-($N$62/3)*$F37*SIN($K$63)-($N$62/3)*$G37*SIN($K$63)</f>
        <v>#VALUE!</v>
      </c>
      <c r="BC37" s="106" t="e">
        <f>IF(($A37&lt;'Alternative 2'!$B$27),(($H37*'Alternative 2'!$B$39)+(3*($N$62/3)*COS($K$63))),IF(($A37&lt;'Alternative 2'!$B$28),(($H37*'Alternative 2'!$B$39)+(2*(($N$62/3)*COS($K$63)))),IF(($A37&lt;'Alternative 2'!$B$29),(($H$3*'Alternative 2'!$B$39+(($N$62/3)*COS($K$63)))),($H37*'Alternative 2'!$B$39))))</f>
        <v>#VALUE!</v>
      </c>
      <c r="BD37" s="105" t="e">
        <f>BB37*'Alternative 2'!$K38/'Alternative 2'!$L38</f>
        <v>#VALUE!</v>
      </c>
      <c r="BE37" s="105" t="e">
        <f>BC37/'Alternative 2'!$M38</f>
        <v>#VALUE!</v>
      </c>
      <c r="BF37" s="105" t="e">
        <f t="shared" si="8"/>
        <v>#VALUE!</v>
      </c>
      <c r="BH37" s="105" t="e">
        <f>'Alternative 2'!$B$39*$B37*$C37*COS($K$73)-($N$72/3)*$E37*SIN($K$73)-($N$72/3)*$F37*SIN($K$73)-($N$72/3)*$G37*SIN($K$73)</f>
        <v>#VALUE!</v>
      </c>
      <c r="BI37" s="106" t="e">
        <f>IF(($A37&lt;'Alternative 2'!$B$27),(($H37*'Alternative 2'!$B$39)+(3*($N$72/3)*COS($K$73))),IF(($A37&lt;'Alternative 2'!$B$28),(($H37*'Alternative 2'!$B$39)+(2*(($N$72/3)*COS($K$73)))),IF(($A37&lt;'Alternative 2'!$B$29),(($H$3*'Alternative 2'!$B$39+(($N$72/3)*COS($K$73)))),($H37*'Alternative 2'!$B$39))))</f>
        <v>#VALUE!</v>
      </c>
      <c r="BJ37" s="105" t="e">
        <f>BH37*'Alternative 2'!$K38/'Alternative 2'!$L38</f>
        <v>#VALUE!</v>
      </c>
      <c r="BK37" s="105" t="e">
        <f>BI37/'Alternative 2'!$M38</f>
        <v>#VALUE!</v>
      </c>
      <c r="BL37" s="105" t="e">
        <f t="shared" si="9"/>
        <v>#VALUE!</v>
      </c>
      <c r="BN37" s="105" t="e">
        <f>'Alternative 2'!$B$39*$B37*$C37*COS($K$83)-($N$82/3)*$E37*SIN($K$83)-($N$82/3)*$F37*SIN($K$83)-($N$82/3)*$G37*SIN($K$83)</f>
        <v>#VALUE!</v>
      </c>
      <c r="BO37" s="106" t="e">
        <f>IF(($A37&lt;'Alternative 2'!$B$27),(($H37*'Alternative 2'!$B$39)+(3*($N$82/3)*COS($K$83))),IF(($A37&lt;'Alternative 2'!$B$28),(($H37*'Alternative 2'!$B$39)+(2*(($N$82/3)*COS($K$83)))),IF(($A37&lt;'Alternative 2'!$B$29),(($H$3*'Alternative 2'!$B$39+(($N$82/3)*COS($K$83)))),($H37*'Alternative 2'!$B$39))))</f>
        <v>#VALUE!</v>
      </c>
      <c r="BP37" s="105" t="e">
        <f>BN37*'Alternative 2'!$K38/'Alternative 2'!$L38</f>
        <v>#VALUE!</v>
      </c>
      <c r="BQ37" s="105" t="e">
        <f>BO37/'Alternative 2'!$M38</f>
        <v>#VALUE!</v>
      </c>
      <c r="BR37" s="105" t="e">
        <f t="shared" si="10"/>
        <v>#VALUE!</v>
      </c>
      <c r="BT37" s="105" t="e">
        <f>'Alternative 2'!$B$39*$B37*$C37*COS($K$93)-($K$92/3)*$E37*SIN($K$93)-($K$92/3)*$F37*SIN($K$93)-($K$92/3)*$G37*SIN($K$93)</f>
        <v>#VALUE!</v>
      </c>
      <c r="BU37" s="106" t="e">
        <f>IF(($A37&lt;'Alternative 2'!$B$27),(($H37*'Alternative 2'!$B$39)+(3*($N$92/3)*COS($K$93))),IF(($A37&lt;'Alternative 2'!$B$28),(($H37*'Alternative 2'!$B$39)+(2*(($N$92/3)*COS($K$93)))),IF(($A37&lt;'Alternative 2'!$B$29),(($H$3*'Alternative 2'!$B$39+(($N$92/3)*COS($K$93)))),($H37*'Alternative 2'!$B$39))))</f>
        <v>#VALUE!</v>
      </c>
      <c r="BV37" s="105" t="e">
        <f>BT37*'Alternative 2'!$K38/'Alternative 2'!$L38</f>
        <v>#VALUE!</v>
      </c>
      <c r="BW37" s="105" t="e">
        <f>BU37/'Alternative 2'!$M38</f>
        <v>#VALUE!</v>
      </c>
      <c r="BX37" s="105" t="e">
        <f t="shared" si="11"/>
        <v>#VALUE!</v>
      </c>
      <c r="BZ37" s="104">
        <v>150</v>
      </c>
      <c r="CA37" s="104">
        <v>-150</v>
      </c>
    </row>
    <row r="38" spans="1:79" ht="15" customHeight="1" x14ac:dyDescent="0.25">
      <c r="A38" s="18" t="str">
        <f>IF('Alternative 2'!F39&gt;0,'Alternative 2'!F39,"x")</f>
        <v>x</v>
      </c>
      <c r="B38" s="18" t="e">
        <f t="shared" si="17"/>
        <v>#VALUE!</v>
      </c>
      <c r="C38" s="18">
        <f t="shared" si="12"/>
        <v>0</v>
      </c>
      <c r="D38" s="18" t="str">
        <f t="shared" si="13"/>
        <v>x</v>
      </c>
      <c r="E38" s="101">
        <f>IF($A38&lt;='Alternative 2'!$B$27, IF($A38='Alternative 2'!$B$27,0,E39+1),0)</f>
        <v>0</v>
      </c>
      <c r="F38" s="101">
        <f>IF($A38&lt;=('Alternative 2'!$B$28), IF($A38=ROUNDDOWN('Alternative 2'!$B$28,0),0,F39+1),0)</f>
        <v>0</v>
      </c>
      <c r="G38" s="101">
        <f>IF($A38&lt;=('Alternative 2'!$B$29), IF($A38=ROUNDDOWN('Alternative 2'!$B$29,0),0,G39+1),0)</f>
        <v>0</v>
      </c>
      <c r="H38" s="18" t="e">
        <f t="shared" si="14"/>
        <v>#VALUE!</v>
      </c>
      <c r="J38" s="104">
        <f t="shared" si="15"/>
        <v>35</v>
      </c>
      <c r="K38" s="104">
        <f t="shared" si="16"/>
        <v>0.6108652381980153</v>
      </c>
      <c r="L38" s="105">
        <f>'Alternative 2'!$B$27*SIN(K38)+'Alternative 2'!$B$28*SIN(K38)+'Alternative 2'!$B$29*SIN(K38)</f>
        <v>24.658050998731468</v>
      </c>
      <c r="M38" s="104">
        <f>(('Alternative 2'!$B$27)*(((('Alternative 2'!$B$28-'Alternative 2'!$B$27)/2)+'Alternative 2'!$B$27)*'Alternative 2'!$B$39)*COS('Alternative 2-Tilt Up (3pt)'!K38))+(('Alternative 2'!$B$28)*((('Alternative 2'!$B$28-'Alternative 2'!$B$27)/2)+(('Alternative 2'!$B$29-'Alternative 2'!$B$28)/2))*('Alternative 2'!$B$39)*COS('Alternative 2-Tilt Up (3pt)'!K38))+(('Alternative 2'!$B$29)*((('Alternative 2'!$B$12-'Alternative 2'!$B$29+(('Alternative 2'!$B$29-'Alternative 2'!$B$28)/2)*('Alternative 2'!$B$39)*COS('Alternative 2-Tilt Up (3pt)'!K38)))))</f>
        <v>499534.23030088091</v>
      </c>
      <c r="N38" s="104">
        <f t="shared" si="0"/>
        <v>60775.391006358863</v>
      </c>
      <c r="O38" s="104">
        <f>(((('Alternative 2'!$B$28-'Alternative 2'!$B$27)/2)+'Alternative 2'!$B$27)*('Alternative 2'!$B$39)*COS('Alternative 2-Tilt Up (3pt)'!K38))+(((('Alternative 2'!$B$28-'Alternative 2'!$B$27)/2)+(('Alternative 2'!$B$29-'Alternative 2'!$B$28)/2))*('Alternative 2'!$B$39)*COS('Alternative 2-Tilt Up (3pt)'!K38))+(((('Alternative 2'!$B$12-'Alternative 2'!$B$29)+(('Alternative 2'!$B$29-'Alternative 2'!$B$28)/2))*('Alternative 2'!$B$39)*COS('Alternative 2-Tilt Up (3pt)'!K38)))</f>
        <v>51260.764968331954</v>
      </c>
      <c r="P38" s="104">
        <f t="shared" si="1"/>
        <v>49784.28578532167</v>
      </c>
      <c r="R38" s="105" t="e">
        <f>'Alternative 2'!$B$39*$B38*$C38*COS($K$5)-($N$5/3)*$E38*SIN($K$5)-($N$5/3)*$F38*SIN($K$5)-($N$5/3)*$G38*SIN($K$5)</f>
        <v>#VALUE!</v>
      </c>
      <c r="S38" s="106" t="e">
        <f>IF(($A38&lt;'Alternative 2'!$B$27),(($H38*'Alternative 2'!$B$39)+(3*($N$5/3)*COS($K$5))),IF(($A38&lt;'Alternative 2'!$B$28),(($H38*'Alternative 2'!$B$39)+(2*(($N$5/3)*COS($K$5)))),IF(($A38&lt;'Alternative 2'!$B$29),(($H$3*'Alternative 2'!$B$39+(($N$5/3)*COS($K$5)))),($H38*'Alternative 2'!$B$39))))</f>
        <v>#VALUE!</v>
      </c>
      <c r="T38" s="105" t="e">
        <f>R38*'Alternative 2'!$K39/'Alternative 2'!$L39</f>
        <v>#VALUE!</v>
      </c>
      <c r="U38" s="105" t="e">
        <f>S38/'Alternative 2'!$M39</f>
        <v>#VALUE!</v>
      </c>
      <c r="V38" s="105" t="e">
        <f t="shared" si="2"/>
        <v>#VALUE!</v>
      </c>
      <c r="X38" s="105" t="e">
        <f>'Alternative 2'!$B$39*$B38*$C38*COS($K$13)-($N$12/3)*$E38*SIN($K$13)-($N$12/3)*$F38*SIN($K$13)-($N$12/3)*$G38*SIN($K$13)</f>
        <v>#VALUE!</v>
      </c>
      <c r="Y38" s="106" t="e">
        <f>IF(($A38&lt;'Alternative 2'!$B$27),(($H38*'Alternative 2'!$B$39)+(3*($N$12/3)*COS($K$13))),IF(($A38&lt;'Alternative 2'!$B$28),(($H38*'Alternative 2'!$B$39)+(2*(($N$12/3)*COS($K$13)))),IF(($A38&lt;'Alternative 2'!$B$29),(($H$3*'Alternative 2'!$B$39+(($N$12/3)*COS($K$13)))),($H38*'Alternative 2'!$B$39))))</f>
        <v>#VALUE!</v>
      </c>
      <c r="Z38" s="105" t="e">
        <f>X38*'Alternative 2'!$K39/'Alternative 2'!$L39</f>
        <v>#VALUE!</v>
      </c>
      <c r="AA38" s="105" t="e">
        <f>Y38/'Alternative 2'!$M39</f>
        <v>#VALUE!</v>
      </c>
      <c r="AB38" s="105" t="e">
        <f t="shared" si="3"/>
        <v>#VALUE!</v>
      </c>
      <c r="AD38" s="105" t="e">
        <f>'Alternative 2'!$B$39*$B38*$C38*COS($K$23)-($N$22/3)*$E38*SIN($K$23)-($N$22/3)*$F38*SIN($K$23)-($N$22/3)*$G38*SIN($K$23)</f>
        <v>#VALUE!</v>
      </c>
      <c r="AE38" s="106" t="e">
        <f>IF(($A38&lt;'Alternative 2'!$B$27),(($H38*'Alternative 2'!$B$39)+(3*($N$22/3)*COS($K$23))),IF(($A38&lt;'Alternative 2'!$B$28),(($H38*'Alternative 2'!$B$39)+(2*(($N$22/3)*COS($K$23)))),IF(($A38&lt;'Alternative 2'!$B$29),(($H$3*'Alternative 2'!$B$39+(($N$22/3)*COS($K$23)))),($H38*'Alternative 2'!$B$39))))</f>
        <v>#VALUE!</v>
      </c>
      <c r="AF38" s="105" t="e">
        <f>AD38*'Alternative 2'!$K39/'Alternative 2'!$L39</f>
        <v>#VALUE!</v>
      </c>
      <c r="AG38" s="105" t="e">
        <f>AE38/'Alternative 2'!$M39</f>
        <v>#VALUE!</v>
      </c>
      <c r="AH38" s="105" t="e">
        <f t="shared" si="4"/>
        <v>#VALUE!</v>
      </c>
      <c r="AJ38" s="105" t="e">
        <f>'Alternative 2'!$B$39*$B38*$C38*COS($K$33)-($N$32/3)*$E38*SIN($K$33)-($N$32/3)*$F38*SIN($K$33)-($N$32/3)*$G38*SIN($K$33)</f>
        <v>#VALUE!</v>
      </c>
      <c r="AK38" s="106" t="e">
        <f>IF(($A38&lt;'Alternative 2'!$B$27),(($H38*'Alternative 2'!$B$39)+(3*($N$32/3)*COS($K$33))),IF(($A38&lt;'Alternative 2'!$B$28),(($H38*'Alternative 2'!$B$39)+(2*(($N$32/3)*COS($K$33)))),IF(($A38&lt;'Alternative 2'!$B$29),(($H$3*'Alternative 2'!$B$39+(($N$32/3)*COS($K$33)))),($H38*'Alternative 2'!$B$39))))</f>
        <v>#VALUE!</v>
      </c>
      <c r="AL38" s="105" t="e">
        <f>AJ38*'Alternative 2'!$K39/'Alternative 2'!$L39</f>
        <v>#VALUE!</v>
      </c>
      <c r="AM38" s="105" t="e">
        <f>AK38/'Alternative 2'!$M39</f>
        <v>#VALUE!</v>
      </c>
      <c r="AN38" s="105" t="e">
        <f t="shared" si="5"/>
        <v>#VALUE!</v>
      </c>
      <c r="AP38" s="105" t="e">
        <f>'Alternative 2'!$B$39*$B38*$C38*COS($K$43)-($N$42/3)*$E38*SIN($K$43)-($N$42/3)*$F38*SIN($K$43)-($N$42/3)*$G38*SIN($K$43)</f>
        <v>#VALUE!</v>
      </c>
      <c r="AQ38" s="106" t="e">
        <f>IF(($A38&lt;'Alternative 2'!$B$27),(($H38*'Alternative 2'!$B$39)+(3*($N$42/3)*COS($K$43))),IF(($A38&lt;'Alternative 2'!$B$28),(($H38*'Alternative 2'!$B$39)+(2*(($N$42/3)*COS($K$43)))),IF(($A38&lt;'Alternative 2'!$B$29),(($H$3*'Alternative 2'!$B$39+(($N$42/3)*COS($K$43)))),($H38*'Alternative 2'!$B$39))))</f>
        <v>#VALUE!</v>
      </c>
      <c r="AR38" s="105" t="e">
        <f>AP38*'Alternative 2'!$K39/'Alternative 2'!$L39</f>
        <v>#VALUE!</v>
      </c>
      <c r="AS38" s="105" t="e">
        <f>AQ38/'Alternative 2'!$M39</f>
        <v>#VALUE!</v>
      </c>
      <c r="AT38" s="105" t="e">
        <f t="shared" si="6"/>
        <v>#VALUE!</v>
      </c>
      <c r="AV38" s="105" t="e">
        <f>'Alternative 2'!$B$39*$B38*$C38*COS($K$53)-($N$52/3)*$E38*SIN($K$53)-($N$52/3)*$F38*SIN($K$53)-($N$52/3)*$G38*SIN($K$53)</f>
        <v>#VALUE!</v>
      </c>
      <c r="AW38" s="106" t="e">
        <f>IF(($A38&lt;'Alternative 2'!$B$27),(($H38*'Alternative 2'!$B$39)+(3*($N$52/3)*COS($K$53))),IF(($A38&lt;'Alternative 2'!$B$28),(($H38*'Alternative 2'!$B$39)+(2*(($N$52/3)*COS($K$53)))),IF(($A38&lt;'Alternative 2'!$B$29),(($H$3*'Alternative 2'!$B$39+(($N$52/3)*COS($K$53)))),($H38*'Alternative 2'!$B$39))))</f>
        <v>#VALUE!</v>
      </c>
      <c r="AX38" s="105" t="e">
        <f>AV38*'Alternative 2'!$K39/'Alternative 2'!$L39</f>
        <v>#VALUE!</v>
      </c>
      <c r="AY38" s="105" t="e">
        <f>AW38/'Alternative 2'!$M39</f>
        <v>#VALUE!</v>
      </c>
      <c r="AZ38" s="105" t="e">
        <f t="shared" si="7"/>
        <v>#VALUE!</v>
      </c>
      <c r="BB38" s="105" t="e">
        <f>'Alternative 2'!$B$39*$B38*$C38*COS($K$63)-($N$62/3)*$E38*SIN($K$63)-($N$62/3)*$F38*SIN($K$63)-($N$62/3)*$G38*SIN($K$63)</f>
        <v>#VALUE!</v>
      </c>
      <c r="BC38" s="106" t="e">
        <f>IF(($A38&lt;'Alternative 2'!$B$27),(($H38*'Alternative 2'!$B$39)+(3*($N$62/3)*COS($K$63))),IF(($A38&lt;'Alternative 2'!$B$28),(($H38*'Alternative 2'!$B$39)+(2*(($N$62/3)*COS($K$63)))),IF(($A38&lt;'Alternative 2'!$B$29),(($H$3*'Alternative 2'!$B$39+(($N$62/3)*COS($K$63)))),($H38*'Alternative 2'!$B$39))))</f>
        <v>#VALUE!</v>
      </c>
      <c r="BD38" s="105" t="e">
        <f>BB38*'Alternative 2'!$K39/'Alternative 2'!$L39</f>
        <v>#VALUE!</v>
      </c>
      <c r="BE38" s="105" t="e">
        <f>BC38/'Alternative 2'!$M39</f>
        <v>#VALUE!</v>
      </c>
      <c r="BF38" s="105" t="e">
        <f t="shared" si="8"/>
        <v>#VALUE!</v>
      </c>
      <c r="BH38" s="105" t="e">
        <f>'Alternative 2'!$B$39*$B38*$C38*COS($K$73)-($N$72/3)*$E38*SIN($K$73)-($N$72/3)*$F38*SIN($K$73)-($N$72/3)*$G38*SIN($K$73)</f>
        <v>#VALUE!</v>
      </c>
      <c r="BI38" s="106" t="e">
        <f>IF(($A38&lt;'Alternative 2'!$B$27),(($H38*'Alternative 2'!$B$39)+(3*($N$72/3)*COS($K$73))),IF(($A38&lt;'Alternative 2'!$B$28),(($H38*'Alternative 2'!$B$39)+(2*(($N$72/3)*COS($K$73)))),IF(($A38&lt;'Alternative 2'!$B$29),(($H$3*'Alternative 2'!$B$39+(($N$72/3)*COS($K$73)))),($H38*'Alternative 2'!$B$39))))</f>
        <v>#VALUE!</v>
      </c>
      <c r="BJ38" s="105" t="e">
        <f>BH38*'Alternative 2'!$K39/'Alternative 2'!$L39</f>
        <v>#VALUE!</v>
      </c>
      <c r="BK38" s="105" t="e">
        <f>BI38/'Alternative 2'!$M39</f>
        <v>#VALUE!</v>
      </c>
      <c r="BL38" s="105" t="e">
        <f t="shared" si="9"/>
        <v>#VALUE!</v>
      </c>
      <c r="BN38" s="105" t="e">
        <f>'Alternative 2'!$B$39*$B38*$C38*COS($K$83)-($N$82/3)*$E38*SIN($K$83)-($N$82/3)*$F38*SIN($K$83)-($N$82/3)*$G38*SIN($K$83)</f>
        <v>#VALUE!</v>
      </c>
      <c r="BO38" s="106" t="e">
        <f>IF(($A38&lt;'Alternative 2'!$B$27),(($H38*'Alternative 2'!$B$39)+(3*($N$82/3)*COS($K$83))),IF(($A38&lt;'Alternative 2'!$B$28),(($H38*'Alternative 2'!$B$39)+(2*(($N$82/3)*COS($K$83)))),IF(($A38&lt;'Alternative 2'!$B$29),(($H$3*'Alternative 2'!$B$39+(($N$82/3)*COS($K$83)))),($H38*'Alternative 2'!$B$39))))</f>
        <v>#VALUE!</v>
      </c>
      <c r="BP38" s="105" t="e">
        <f>BN38*'Alternative 2'!$K39/'Alternative 2'!$L39</f>
        <v>#VALUE!</v>
      </c>
      <c r="BQ38" s="105" t="e">
        <f>BO38/'Alternative 2'!$M39</f>
        <v>#VALUE!</v>
      </c>
      <c r="BR38" s="105" t="e">
        <f t="shared" si="10"/>
        <v>#VALUE!</v>
      </c>
      <c r="BT38" s="105" t="e">
        <f>'Alternative 2'!$B$39*$B38*$C38*COS($K$93)-($K$92/3)*$E38*SIN($K$93)-($K$92/3)*$F38*SIN($K$93)-($K$92/3)*$G38*SIN($K$93)</f>
        <v>#VALUE!</v>
      </c>
      <c r="BU38" s="106" t="e">
        <f>IF(($A38&lt;'Alternative 2'!$B$27),(($H38*'Alternative 2'!$B$39)+(3*($N$92/3)*COS($K$93))),IF(($A38&lt;'Alternative 2'!$B$28),(($H38*'Alternative 2'!$B$39)+(2*(($N$92/3)*COS($K$93)))),IF(($A38&lt;'Alternative 2'!$B$29),(($H$3*'Alternative 2'!$B$39+(($N$92/3)*COS($K$93)))),($H38*'Alternative 2'!$B$39))))</f>
        <v>#VALUE!</v>
      </c>
      <c r="BV38" s="105" t="e">
        <f>BT38*'Alternative 2'!$K39/'Alternative 2'!$L39</f>
        <v>#VALUE!</v>
      </c>
      <c r="BW38" s="105" t="e">
        <f>BU38/'Alternative 2'!$M39</f>
        <v>#VALUE!</v>
      </c>
      <c r="BX38" s="105" t="e">
        <f t="shared" si="11"/>
        <v>#VALUE!</v>
      </c>
      <c r="BZ38" s="104">
        <v>150</v>
      </c>
      <c r="CA38" s="104">
        <v>-150</v>
      </c>
    </row>
    <row r="39" spans="1:79" ht="15" customHeight="1" x14ac:dyDescent="0.25">
      <c r="A39" s="18" t="str">
        <f>IF('Alternative 2'!F40&gt;0,'Alternative 2'!F40,"x")</f>
        <v>x</v>
      </c>
      <c r="B39" s="18" t="e">
        <f t="shared" si="17"/>
        <v>#VALUE!</v>
      </c>
      <c r="C39" s="18">
        <f t="shared" si="12"/>
        <v>0</v>
      </c>
      <c r="D39" s="18" t="str">
        <f t="shared" si="13"/>
        <v>x</v>
      </c>
      <c r="E39" s="101">
        <f>IF($A39&lt;='Alternative 2'!$B$27, IF($A39='Alternative 2'!$B$27,0,E40+1),0)</f>
        <v>0</v>
      </c>
      <c r="F39" s="101">
        <f>IF($A39&lt;=('Alternative 2'!$B$28), IF($A39=ROUNDDOWN('Alternative 2'!$B$28,0),0,F40+1),0)</f>
        <v>0</v>
      </c>
      <c r="G39" s="101">
        <f>IF($A39&lt;=('Alternative 2'!$B$29), IF($A39=ROUNDDOWN('Alternative 2'!$B$29,0),0,G40+1),0)</f>
        <v>0</v>
      </c>
      <c r="H39" s="18" t="e">
        <f t="shared" si="14"/>
        <v>#VALUE!</v>
      </c>
      <c r="J39" s="104">
        <f t="shared" si="15"/>
        <v>36</v>
      </c>
      <c r="K39" s="104">
        <f t="shared" si="16"/>
        <v>0.62831853071795862</v>
      </c>
      <c r="L39" s="105">
        <f>'Alternative 2'!$B$27*SIN(K39)+'Alternative 2'!$B$28*SIN(K39)+'Alternative 2'!$B$29*SIN(K39)</f>
        <v>25.268887996053422</v>
      </c>
      <c r="M39" s="104">
        <f>(('Alternative 2'!$B$27)*(((('Alternative 2'!$B$28-'Alternative 2'!$B$27)/2)+'Alternative 2'!$B$27)*'Alternative 2'!$B$39)*COS('Alternative 2-Tilt Up (3pt)'!K39))+(('Alternative 2'!$B$28)*((('Alternative 2'!$B$28-'Alternative 2'!$B$27)/2)+(('Alternative 2'!$B$29-'Alternative 2'!$B$28)/2))*('Alternative 2'!$B$39)*COS('Alternative 2-Tilt Up (3pt)'!K39))+(('Alternative 2'!$B$29)*((('Alternative 2'!$B$12-'Alternative 2'!$B$29+(('Alternative 2'!$B$29-'Alternative 2'!$B$28)/2)*('Alternative 2'!$B$39)*COS('Alternative 2-Tilt Up (3pt)'!K39)))))</f>
        <v>493354.68938142853</v>
      </c>
      <c r="N39" s="104">
        <f t="shared" si="0"/>
        <v>58572.584134903242</v>
      </c>
      <c r="O39" s="104">
        <f>(((('Alternative 2'!$B$28-'Alternative 2'!$B$27)/2)+'Alternative 2'!$B$27)*('Alternative 2'!$B$39)*COS('Alternative 2-Tilt Up (3pt)'!K39))+(((('Alternative 2'!$B$28-'Alternative 2'!$B$27)/2)+(('Alternative 2'!$B$29-'Alternative 2'!$B$28)/2))*('Alternative 2'!$B$39)*COS('Alternative 2-Tilt Up (3pt)'!K39))+(((('Alternative 2'!$B$12-'Alternative 2'!$B$29)+(('Alternative 2'!$B$29-'Alternative 2'!$B$28)/2))*('Alternative 2'!$B$39)*COS('Alternative 2-Tilt Up (3pt)'!K39)))</f>
        <v>50626.535443778819</v>
      </c>
      <c r="P39" s="104">
        <f t="shared" si="1"/>
        <v>47386.215969593155</v>
      </c>
      <c r="R39" s="105" t="e">
        <f>'Alternative 2'!$B$39*$B39*$C39*COS($K$5)-($N$5/3)*$E39*SIN($K$5)-($N$5/3)*$F39*SIN($K$5)-($N$5/3)*$G39*SIN($K$5)</f>
        <v>#VALUE!</v>
      </c>
      <c r="S39" s="106" t="e">
        <f>IF(($A39&lt;'Alternative 2'!$B$27),(($H39*'Alternative 2'!$B$39)+(3*($N$5/3)*COS($K$5))),IF(($A39&lt;'Alternative 2'!$B$28),(($H39*'Alternative 2'!$B$39)+(2*(($N$5/3)*COS($K$5)))),IF(($A39&lt;'Alternative 2'!$B$29),(($H$3*'Alternative 2'!$B$39+(($N$5/3)*COS($K$5)))),($H39*'Alternative 2'!$B$39))))</f>
        <v>#VALUE!</v>
      </c>
      <c r="T39" s="105" t="e">
        <f>R39*'Alternative 2'!$K40/'Alternative 2'!$L40</f>
        <v>#VALUE!</v>
      </c>
      <c r="U39" s="105" t="e">
        <f>S39/'Alternative 2'!$M40</f>
        <v>#VALUE!</v>
      </c>
      <c r="V39" s="105" t="e">
        <f t="shared" si="2"/>
        <v>#VALUE!</v>
      </c>
      <c r="X39" s="105" t="e">
        <f>'Alternative 2'!$B$39*$B39*$C39*COS($K$13)-($N$12/3)*$E39*SIN($K$13)-($N$12/3)*$F39*SIN($K$13)-($N$12/3)*$G39*SIN($K$13)</f>
        <v>#VALUE!</v>
      </c>
      <c r="Y39" s="106" t="e">
        <f>IF(($A39&lt;'Alternative 2'!$B$27),(($H39*'Alternative 2'!$B$39)+(3*($N$12/3)*COS($K$13))),IF(($A39&lt;'Alternative 2'!$B$28),(($H39*'Alternative 2'!$B$39)+(2*(($N$12/3)*COS($K$13)))),IF(($A39&lt;'Alternative 2'!$B$29),(($H$3*'Alternative 2'!$B$39+(($N$12/3)*COS($K$13)))),($H39*'Alternative 2'!$B$39))))</f>
        <v>#VALUE!</v>
      </c>
      <c r="Z39" s="105" t="e">
        <f>X39*'Alternative 2'!$K40/'Alternative 2'!$L40</f>
        <v>#VALUE!</v>
      </c>
      <c r="AA39" s="105" t="e">
        <f>Y39/'Alternative 2'!$M40</f>
        <v>#VALUE!</v>
      </c>
      <c r="AB39" s="105" t="e">
        <f t="shared" si="3"/>
        <v>#VALUE!</v>
      </c>
      <c r="AD39" s="105" t="e">
        <f>'Alternative 2'!$B$39*$B39*$C39*COS($K$23)-($N$22/3)*$E39*SIN($K$23)-($N$22/3)*$F39*SIN($K$23)-($N$22/3)*$G39*SIN($K$23)</f>
        <v>#VALUE!</v>
      </c>
      <c r="AE39" s="106" t="e">
        <f>IF(($A39&lt;'Alternative 2'!$B$27),(($H39*'Alternative 2'!$B$39)+(3*($N$22/3)*COS($K$23))),IF(($A39&lt;'Alternative 2'!$B$28),(($H39*'Alternative 2'!$B$39)+(2*(($N$22/3)*COS($K$23)))),IF(($A39&lt;'Alternative 2'!$B$29),(($H$3*'Alternative 2'!$B$39+(($N$22/3)*COS($K$23)))),($H39*'Alternative 2'!$B$39))))</f>
        <v>#VALUE!</v>
      </c>
      <c r="AF39" s="105" t="e">
        <f>AD39*'Alternative 2'!$K40/'Alternative 2'!$L40</f>
        <v>#VALUE!</v>
      </c>
      <c r="AG39" s="105" t="e">
        <f>AE39/'Alternative 2'!$M40</f>
        <v>#VALUE!</v>
      </c>
      <c r="AH39" s="105" t="e">
        <f t="shared" si="4"/>
        <v>#VALUE!</v>
      </c>
      <c r="AJ39" s="105" t="e">
        <f>'Alternative 2'!$B$39*$B39*$C39*COS($K$33)-($N$32/3)*$E39*SIN($K$33)-($N$32/3)*$F39*SIN($K$33)-($N$32/3)*$G39*SIN($K$33)</f>
        <v>#VALUE!</v>
      </c>
      <c r="AK39" s="106" t="e">
        <f>IF(($A39&lt;'Alternative 2'!$B$27),(($H39*'Alternative 2'!$B$39)+(3*($N$32/3)*COS($K$33))),IF(($A39&lt;'Alternative 2'!$B$28),(($H39*'Alternative 2'!$B$39)+(2*(($N$32/3)*COS($K$33)))),IF(($A39&lt;'Alternative 2'!$B$29),(($H$3*'Alternative 2'!$B$39+(($N$32/3)*COS($K$33)))),($H39*'Alternative 2'!$B$39))))</f>
        <v>#VALUE!</v>
      </c>
      <c r="AL39" s="105" t="e">
        <f>AJ39*'Alternative 2'!$K40/'Alternative 2'!$L40</f>
        <v>#VALUE!</v>
      </c>
      <c r="AM39" s="105" t="e">
        <f>AK39/'Alternative 2'!$M40</f>
        <v>#VALUE!</v>
      </c>
      <c r="AN39" s="105" t="e">
        <f t="shared" si="5"/>
        <v>#VALUE!</v>
      </c>
      <c r="AP39" s="105" t="e">
        <f>'Alternative 2'!$B$39*$B39*$C39*COS($K$43)-($N$42/3)*$E39*SIN($K$43)-($N$42/3)*$F39*SIN($K$43)-($N$42/3)*$G39*SIN($K$43)</f>
        <v>#VALUE!</v>
      </c>
      <c r="AQ39" s="106" t="e">
        <f>IF(($A39&lt;'Alternative 2'!$B$27),(($H39*'Alternative 2'!$B$39)+(3*($N$42/3)*COS($K$43))),IF(($A39&lt;'Alternative 2'!$B$28),(($H39*'Alternative 2'!$B$39)+(2*(($N$42/3)*COS($K$43)))),IF(($A39&lt;'Alternative 2'!$B$29),(($H$3*'Alternative 2'!$B$39+(($N$42/3)*COS($K$43)))),($H39*'Alternative 2'!$B$39))))</f>
        <v>#VALUE!</v>
      </c>
      <c r="AR39" s="105" t="e">
        <f>AP39*'Alternative 2'!$K40/'Alternative 2'!$L40</f>
        <v>#VALUE!</v>
      </c>
      <c r="AS39" s="105" t="e">
        <f>AQ39/'Alternative 2'!$M40</f>
        <v>#VALUE!</v>
      </c>
      <c r="AT39" s="105" t="e">
        <f t="shared" si="6"/>
        <v>#VALUE!</v>
      </c>
      <c r="AV39" s="105" t="e">
        <f>'Alternative 2'!$B$39*$B39*$C39*COS($K$53)-($N$52/3)*$E39*SIN($K$53)-($N$52/3)*$F39*SIN($K$53)-($N$52/3)*$G39*SIN($K$53)</f>
        <v>#VALUE!</v>
      </c>
      <c r="AW39" s="106" t="e">
        <f>IF(($A39&lt;'Alternative 2'!$B$27),(($H39*'Alternative 2'!$B$39)+(3*($N$52/3)*COS($K$53))),IF(($A39&lt;'Alternative 2'!$B$28),(($H39*'Alternative 2'!$B$39)+(2*(($N$52/3)*COS($K$53)))),IF(($A39&lt;'Alternative 2'!$B$29),(($H$3*'Alternative 2'!$B$39+(($N$52/3)*COS($K$53)))),($H39*'Alternative 2'!$B$39))))</f>
        <v>#VALUE!</v>
      </c>
      <c r="AX39" s="105" t="e">
        <f>AV39*'Alternative 2'!$K40/'Alternative 2'!$L40</f>
        <v>#VALUE!</v>
      </c>
      <c r="AY39" s="105" t="e">
        <f>AW39/'Alternative 2'!$M40</f>
        <v>#VALUE!</v>
      </c>
      <c r="AZ39" s="105" t="e">
        <f t="shared" si="7"/>
        <v>#VALUE!</v>
      </c>
      <c r="BB39" s="105" t="e">
        <f>'Alternative 2'!$B$39*$B39*$C39*COS($K$63)-($N$62/3)*$E39*SIN($K$63)-($N$62/3)*$F39*SIN($K$63)-($N$62/3)*$G39*SIN($K$63)</f>
        <v>#VALUE!</v>
      </c>
      <c r="BC39" s="106" t="e">
        <f>IF(($A39&lt;'Alternative 2'!$B$27),(($H39*'Alternative 2'!$B$39)+(3*($N$62/3)*COS($K$63))),IF(($A39&lt;'Alternative 2'!$B$28),(($H39*'Alternative 2'!$B$39)+(2*(($N$62/3)*COS($K$63)))),IF(($A39&lt;'Alternative 2'!$B$29),(($H$3*'Alternative 2'!$B$39+(($N$62/3)*COS($K$63)))),($H39*'Alternative 2'!$B$39))))</f>
        <v>#VALUE!</v>
      </c>
      <c r="BD39" s="105" t="e">
        <f>BB39*'Alternative 2'!$K40/'Alternative 2'!$L40</f>
        <v>#VALUE!</v>
      </c>
      <c r="BE39" s="105" t="e">
        <f>BC39/'Alternative 2'!$M40</f>
        <v>#VALUE!</v>
      </c>
      <c r="BF39" s="105" t="e">
        <f t="shared" si="8"/>
        <v>#VALUE!</v>
      </c>
      <c r="BH39" s="105" t="e">
        <f>'Alternative 2'!$B$39*$B39*$C39*COS($K$73)-($N$72/3)*$E39*SIN($K$73)-($N$72/3)*$F39*SIN($K$73)-($N$72/3)*$G39*SIN($K$73)</f>
        <v>#VALUE!</v>
      </c>
      <c r="BI39" s="106" t="e">
        <f>IF(($A39&lt;'Alternative 2'!$B$27),(($H39*'Alternative 2'!$B$39)+(3*($N$72/3)*COS($K$73))),IF(($A39&lt;'Alternative 2'!$B$28),(($H39*'Alternative 2'!$B$39)+(2*(($N$72/3)*COS($K$73)))),IF(($A39&lt;'Alternative 2'!$B$29),(($H$3*'Alternative 2'!$B$39+(($N$72/3)*COS($K$73)))),($H39*'Alternative 2'!$B$39))))</f>
        <v>#VALUE!</v>
      </c>
      <c r="BJ39" s="105" t="e">
        <f>BH39*'Alternative 2'!$K40/'Alternative 2'!$L40</f>
        <v>#VALUE!</v>
      </c>
      <c r="BK39" s="105" t="e">
        <f>BI39/'Alternative 2'!$M40</f>
        <v>#VALUE!</v>
      </c>
      <c r="BL39" s="105" t="e">
        <f t="shared" si="9"/>
        <v>#VALUE!</v>
      </c>
      <c r="BN39" s="105" t="e">
        <f>'Alternative 2'!$B$39*$B39*$C39*COS($K$83)-($N$82/3)*$E39*SIN($K$83)-($N$82/3)*$F39*SIN($K$83)-($N$82/3)*$G39*SIN($K$83)</f>
        <v>#VALUE!</v>
      </c>
      <c r="BO39" s="106" t="e">
        <f>IF(($A39&lt;'Alternative 2'!$B$27),(($H39*'Alternative 2'!$B$39)+(3*($N$82/3)*COS($K$83))),IF(($A39&lt;'Alternative 2'!$B$28),(($H39*'Alternative 2'!$B$39)+(2*(($N$82/3)*COS($K$83)))),IF(($A39&lt;'Alternative 2'!$B$29),(($H$3*'Alternative 2'!$B$39+(($N$82/3)*COS($K$83)))),($H39*'Alternative 2'!$B$39))))</f>
        <v>#VALUE!</v>
      </c>
      <c r="BP39" s="105" t="e">
        <f>BN39*'Alternative 2'!$K40/'Alternative 2'!$L40</f>
        <v>#VALUE!</v>
      </c>
      <c r="BQ39" s="105" t="e">
        <f>BO39/'Alternative 2'!$M40</f>
        <v>#VALUE!</v>
      </c>
      <c r="BR39" s="105" t="e">
        <f t="shared" si="10"/>
        <v>#VALUE!</v>
      </c>
      <c r="BT39" s="105" t="e">
        <f>'Alternative 2'!$B$39*$B39*$C39*COS($K$93)-($K$92/3)*$E39*SIN($K$93)-($K$92/3)*$F39*SIN($K$93)-($K$92/3)*$G39*SIN($K$93)</f>
        <v>#VALUE!</v>
      </c>
      <c r="BU39" s="106" t="e">
        <f>IF(($A39&lt;'Alternative 2'!$B$27),(($H39*'Alternative 2'!$B$39)+(3*($N$92/3)*COS($K$93))),IF(($A39&lt;'Alternative 2'!$B$28),(($H39*'Alternative 2'!$B$39)+(2*(($N$92/3)*COS($K$93)))),IF(($A39&lt;'Alternative 2'!$B$29),(($H$3*'Alternative 2'!$B$39+(($N$92/3)*COS($K$93)))),($H39*'Alternative 2'!$B$39))))</f>
        <v>#VALUE!</v>
      </c>
      <c r="BV39" s="105" t="e">
        <f>BT39*'Alternative 2'!$K40/'Alternative 2'!$L40</f>
        <v>#VALUE!</v>
      </c>
      <c r="BW39" s="105" t="e">
        <f>BU39/'Alternative 2'!$M40</f>
        <v>#VALUE!</v>
      </c>
      <c r="BX39" s="105" t="e">
        <f t="shared" si="11"/>
        <v>#VALUE!</v>
      </c>
      <c r="BZ39" s="104">
        <v>150</v>
      </c>
      <c r="CA39" s="104">
        <v>-150</v>
      </c>
    </row>
    <row r="40" spans="1:79" ht="15" customHeight="1" x14ac:dyDescent="0.25">
      <c r="A40" s="18" t="str">
        <f>IF('Alternative 2'!F41&gt;0,'Alternative 2'!F41,"x")</f>
        <v>x</v>
      </c>
      <c r="B40" s="18" t="e">
        <f t="shared" si="17"/>
        <v>#VALUE!</v>
      </c>
      <c r="C40" s="18">
        <f t="shared" si="12"/>
        <v>0</v>
      </c>
      <c r="D40" s="18" t="str">
        <f t="shared" si="13"/>
        <v>x</v>
      </c>
      <c r="E40" s="101">
        <f>IF($A40&lt;='Alternative 2'!$B$27, IF($A40='Alternative 2'!$B$27,0,E41+1),0)</f>
        <v>0</v>
      </c>
      <c r="F40" s="101">
        <f>IF($A40&lt;=('Alternative 2'!$B$28), IF($A40=ROUNDDOWN('Alternative 2'!$B$28,0),0,F41+1),0)</f>
        <v>0</v>
      </c>
      <c r="G40" s="101">
        <f>IF($A40&lt;=('Alternative 2'!$B$29), IF($A40=ROUNDDOWN('Alternative 2'!$B$29,0),0,G41+1),0)</f>
        <v>0</v>
      </c>
      <c r="H40" s="18" t="e">
        <f t="shared" si="14"/>
        <v>#VALUE!</v>
      </c>
      <c r="J40" s="104">
        <f t="shared" si="15"/>
        <v>37</v>
      </c>
      <c r="K40" s="104">
        <f t="shared" si="16"/>
        <v>0.64577182323790194</v>
      </c>
      <c r="L40" s="105">
        <f>'Alternative 2'!$B$27*SIN(K40)+'Alternative 2'!$B$28*SIN(K40)+'Alternative 2'!$B$29*SIN(K40)</f>
        <v>25.872027845306555</v>
      </c>
      <c r="M40" s="104">
        <f>(('Alternative 2'!$B$27)*(((('Alternative 2'!$B$28-'Alternative 2'!$B$27)/2)+'Alternative 2'!$B$27)*'Alternative 2'!$B$39)*COS('Alternative 2-Tilt Up (3pt)'!K40))+(('Alternative 2'!$B$28)*((('Alternative 2'!$B$28-'Alternative 2'!$B$27)/2)+(('Alternative 2'!$B$29-'Alternative 2'!$B$28)/2))*('Alternative 2'!$B$39)*COS('Alternative 2-Tilt Up (3pt)'!K40))+(('Alternative 2'!$B$29)*((('Alternative 2'!$B$12-'Alternative 2'!$B$29+(('Alternative 2'!$B$29-'Alternative 2'!$B$28)/2)*('Alternative 2'!$B$39)*COS('Alternative 2-Tilt Up (3pt)'!K40)))))</f>
        <v>487024.89251298917</v>
      </c>
      <c r="N40" s="104">
        <f t="shared" si="0"/>
        <v>56473.141041552379</v>
      </c>
      <c r="O40" s="104">
        <f>(((('Alternative 2'!$B$28-'Alternative 2'!$B$27)/2)+'Alternative 2'!$B$27)*('Alternative 2'!$B$39)*COS('Alternative 2-Tilt Up (3pt)'!K40))+(((('Alternative 2'!$B$28-'Alternative 2'!$B$27)/2)+(('Alternative 2'!$B$29-'Alternative 2'!$B$28)/2))*('Alternative 2'!$B$39)*COS('Alternative 2-Tilt Up (3pt)'!K40))+(((('Alternative 2'!$B$12-'Alternative 2'!$B$29)+(('Alternative 2'!$B$29-'Alternative 2'!$B$28)/2))*('Alternative 2'!$B$39)*COS('Alternative 2-Tilt Up (3pt)'!K40)))</f>
        <v>49976.88458609923</v>
      </c>
      <c r="P40" s="104">
        <f t="shared" si="1"/>
        <v>45101.455799692892</v>
      </c>
      <c r="R40" s="105" t="e">
        <f>'Alternative 2'!$B$39*$B40*$C40*COS($K$5)-($N$5/3)*$E40*SIN($K$5)-($N$5/3)*$F40*SIN($K$5)-($N$5/3)*$G40*SIN($K$5)</f>
        <v>#VALUE!</v>
      </c>
      <c r="S40" s="106" t="e">
        <f>IF(($A40&lt;'Alternative 2'!$B$27),(($H40*'Alternative 2'!$B$39)+(3*($N$5/3)*COS($K$5))),IF(($A40&lt;'Alternative 2'!$B$28),(($H40*'Alternative 2'!$B$39)+(2*(($N$5/3)*COS($K$5)))),IF(($A40&lt;'Alternative 2'!$B$29),(($H$3*'Alternative 2'!$B$39+(($N$5/3)*COS($K$5)))),($H40*'Alternative 2'!$B$39))))</f>
        <v>#VALUE!</v>
      </c>
      <c r="T40" s="105" t="e">
        <f>R40*'Alternative 2'!$K41/'Alternative 2'!$L41</f>
        <v>#VALUE!</v>
      </c>
      <c r="U40" s="105" t="e">
        <f>S40/'Alternative 2'!$M41</f>
        <v>#VALUE!</v>
      </c>
      <c r="V40" s="105" t="e">
        <f t="shared" si="2"/>
        <v>#VALUE!</v>
      </c>
      <c r="X40" s="105" t="e">
        <f>'Alternative 2'!$B$39*$B40*$C40*COS($K$13)-($N$12/3)*$E40*SIN($K$13)-($N$12/3)*$F40*SIN($K$13)-($N$12/3)*$G40*SIN($K$13)</f>
        <v>#VALUE!</v>
      </c>
      <c r="Y40" s="106" t="e">
        <f>IF(($A40&lt;'Alternative 2'!$B$27),(($H40*'Alternative 2'!$B$39)+(3*($N$12/3)*COS($K$13))),IF(($A40&lt;'Alternative 2'!$B$28),(($H40*'Alternative 2'!$B$39)+(2*(($N$12/3)*COS($K$13)))),IF(($A40&lt;'Alternative 2'!$B$29),(($H$3*'Alternative 2'!$B$39+(($N$12/3)*COS($K$13)))),($H40*'Alternative 2'!$B$39))))</f>
        <v>#VALUE!</v>
      </c>
      <c r="Z40" s="105" t="e">
        <f>X40*'Alternative 2'!$K41/'Alternative 2'!$L41</f>
        <v>#VALUE!</v>
      </c>
      <c r="AA40" s="105" t="e">
        <f>Y40/'Alternative 2'!$M41</f>
        <v>#VALUE!</v>
      </c>
      <c r="AB40" s="105" t="e">
        <f t="shared" si="3"/>
        <v>#VALUE!</v>
      </c>
      <c r="AD40" s="105" t="e">
        <f>'Alternative 2'!$B$39*$B40*$C40*COS($K$23)-($N$22/3)*$E40*SIN($K$23)-($N$22/3)*$F40*SIN($K$23)-($N$22/3)*$G40*SIN($K$23)</f>
        <v>#VALUE!</v>
      </c>
      <c r="AE40" s="106" t="e">
        <f>IF(($A40&lt;'Alternative 2'!$B$27),(($H40*'Alternative 2'!$B$39)+(3*($N$22/3)*COS($K$23))),IF(($A40&lt;'Alternative 2'!$B$28),(($H40*'Alternative 2'!$B$39)+(2*(($N$22/3)*COS($K$23)))),IF(($A40&lt;'Alternative 2'!$B$29),(($H$3*'Alternative 2'!$B$39+(($N$22/3)*COS($K$23)))),($H40*'Alternative 2'!$B$39))))</f>
        <v>#VALUE!</v>
      </c>
      <c r="AF40" s="105" t="e">
        <f>AD40*'Alternative 2'!$K41/'Alternative 2'!$L41</f>
        <v>#VALUE!</v>
      </c>
      <c r="AG40" s="105" t="e">
        <f>AE40/'Alternative 2'!$M41</f>
        <v>#VALUE!</v>
      </c>
      <c r="AH40" s="105" t="e">
        <f t="shared" si="4"/>
        <v>#VALUE!</v>
      </c>
      <c r="AJ40" s="105" t="e">
        <f>'Alternative 2'!$B$39*$B40*$C40*COS($K$33)-($N$32/3)*$E40*SIN($K$33)-($N$32/3)*$F40*SIN($K$33)-($N$32/3)*$G40*SIN($K$33)</f>
        <v>#VALUE!</v>
      </c>
      <c r="AK40" s="106" t="e">
        <f>IF(($A40&lt;'Alternative 2'!$B$27),(($H40*'Alternative 2'!$B$39)+(3*($N$32/3)*COS($K$33))),IF(($A40&lt;'Alternative 2'!$B$28),(($H40*'Alternative 2'!$B$39)+(2*(($N$32/3)*COS($K$33)))),IF(($A40&lt;'Alternative 2'!$B$29),(($H$3*'Alternative 2'!$B$39+(($N$32/3)*COS($K$33)))),($H40*'Alternative 2'!$B$39))))</f>
        <v>#VALUE!</v>
      </c>
      <c r="AL40" s="105" t="e">
        <f>AJ40*'Alternative 2'!$K41/'Alternative 2'!$L41</f>
        <v>#VALUE!</v>
      </c>
      <c r="AM40" s="105" t="e">
        <f>AK40/'Alternative 2'!$M41</f>
        <v>#VALUE!</v>
      </c>
      <c r="AN40" s="105" t="e">
        <f t="shared" si="5"/>
        <v>#VALUE!</v>
      </c>
      <c r="AP40" s="105" t="e">
        <f>'Alternative 2'!$B$39*$B40*$C40*COS($K$43)-($N$42/3)*$E40*SIN($K$43)-($N$42/3)*$F40*SIN($K$43)-($N$42/3)*$G40*SIN($K$43)</f>
        <v>#VALUE!</v>
      </c>
      <c r="AQ40" s="106" t="e">
        <f>IF(($A40&lt;'Alternative 2'!$B$27),(($H40*'Alternative 2'!$B$39)+(3*($N$42/3)*COS($K$43))),IF(($A40&lt;'Alternative 2'!$B$28),(($H40*'Alternative 2'!$B$39)+(2*(($N$42/3)*COS($K$43)))),IF(($A40&lt;'Alternative 2'!$B$29),(($H$3*'Alternative 2'!$B$39+(($N$42/3)*COS($K$43)))),($H40*'Alternative 2'!$B$39))))</f>
        <v>#VALUE!</v>
      </c>
      <c r="AR40" s="105" t="e">
        <f>AP40*'Alternative 2'!$K41/'Alternative 2'!$L41</f>
        <v>#VALUE!</v>
      </c>
      <c r="AS40" s="105" t="e">
        <f>AQ40/'Alternative 2'!$M41</f>
        <v>#VALUE!</v>
      </c>
      <c r="AT40" s="105" t="e">
        <f t="shared" si="6"/>
        <v>#VALUE!</v>
      </c>
      <c r="AV40" s="105" t="e">
        <f>'Alternative 2'!$B$39*$B40*$C40*COS($K$53)-($N$52/3)*$E40*SIN($K$53)-($N$52/3)*$F40*SIN($K$53)-($N$52/3)*$G40*SIN($K$53)</f>
        <v>#VALUE!</v>
      </c>
      <c r="AW40" s="106" t="e">
        <f>IF(($A40&lt;'Alternative 2'!$B$27),(($H40*'Alternative 2'!$B$39)+(3*($N$52/3)*COS($K$53))),IF(($A40&lt;'Alternative 2'!$B$28),(($H40*'Alternative 2'!$B$39)+(2*(($N$52/3)*COS($K$53)))),IF(($A40&lt;'Alternative 2'!$B$29),(($H$3*'Alternative 2'!$B$39+(($N$52/3)*COS($K$53)))),($H40*'Alternative 2'!$B$39))))</f>
        <v>#VALUE!</v>
      </c>
      <c r="AX40" s="105" t="e">
        <f>AV40*'Alternative 2'!$K41/'Alternative 2'!$L41</f>
        <v>#VALUE!</v>
      </c>
      <c r="AY40" s="105" t="e">
        <f>AW40/'Alternative 2'!$M41</f>
        <v>#VALUE!</v>
      </c>
      <c r="AZ40" s="105" t="e">
        <f t="shared" si="7"/>
        <v>#VALUE!</v>
      </c>
      <c r="BB40" s="105" t="e">
        <f>'Alternative 2'!$B$39*$B40*$C40*COS($K$63)-($N$62/3)*$E40*SIN($K$63)-($N$62/3)*$F40*SIN($K$63)-($N$62/3)*$G40*SIN($K$63)</f>
        <v>#VALUE!</v>
      </c>
      <c r="BC40" s="106" t="e">
        <f>IF(($A40&lt;'Alternative 2'!$B$27),(($H40*'Alternative 2'!$B$39)+(3*($N$62/3)*COS($K$63))),IF(($A40&lt;'Alternative 2'!$B$28),(($H40*'Alternative 2'!$B$39)+(2*(($N$62/3)*COS($K$63)))),IF(($A40&lt;'Alternative 2'!$B$29),(($H$3*'Alternative 2'!$B$39+(($N$62/3)*COS($K$63)))),($H40*'Alternative 2'!$B$39))))</f>
        <v>#VALUE!</v>
      </c>
      <c r="BD40" s="105" t="e">
        <f>BB40*'Alternative 2'!$K41/'Alternative 2'!$L41</f>
        <v>#VALUE!</v>
      </c>
      <c r="BE40" s="105" t="e">
        <f>BC40/'Alternative 2'!$M41</f>
        <v>#VALUE!</v>
      </c>
      <c r="BF40" s="105" t="e">
        <f t="shared" si="8"/>
        <v>#VALUE!</v>
      </c>
      <c r="BH40" s="105" t="e">
        <f>'Alternative 2'!$B$39*$B40*$C40*COS($K$73)-($N$72/3)*$E40*SIN($K$73)-($N$72/3)*$F40*SIN($K$73)-($N$72/3)*$G40*SIN($K$73)</f>
        <v>#VALUE!</v>
      </c>
      <c r="BI40" s="106" t="e">
        <f>IF(($A40&lt;'Alternative 2'!$B$27),(($H40*'Alternative 2'!$B$39)+(3*($N$72/3)*COS($K$73))),IF(($A40&lt;'Alternative 2'!$B$28),(($H40*'Alternative 2'!$B$39)+(2*(($N$72/3)*COS($K$73)))),IF(($A40&lt;'Alternative 2'!$B$29),(($H$3*'Alternative 2'!$B$39+(($N$72/3)*COS($K$73)))),($H40*'Alternative 2'!$B$39))))</f>
        <v>#VALUE!</v>
      </c>
      <c r="BJ40" s="105" t="e">
        <f>BH40*'Alternative 2'!$K41/'Alternative 2'!$L41</f>
        <v>#VALUE!</v>
      </c>
      <c r="BK40" s="105" t="e">
        <f>BI40/'Alternative 2'!$M41</f>
        <v>#VALUE!</v>
      </c>
      <c r="BL40" s="105" t="e">
        <f t="shared" si="9"/>
        <v>#VALUE!</v>
      </c>
      <c r="BN40" s="105" t="e">
        <f>'Alternative 2'!$B$39*$B40*$C40*COS($K$83)-($N$82/3)*$E40*SIN($K$83)-($N$82/3)*$F40*SIN($K$83)-($N$82/3)*$G40*SIN($K$83)</f>
        <v>#VALUE!</v>
      </c>
      <c r="BO40" s="106" t="e">
        <f>IF(($A40&lt;'Alternative 2'!$B$27),(($H40*'Alternative 2'!$B$39)+(3*($N$82/3)*COS($K$83))),IF(($A40&lt;'Alternative 2'!$B$28),(($H40*'Alternative 2'!$B$39)+(2*(($N$82/3)*COS($K$83)))),IF(($A40&lt;'Alternative 2'!$B$29),(($H$3*'Alternative 2'!$B$39+(($N$82/3)*COS($K$83)))),($H40*'Alternative 2'!$B$39))))</f>
        <v>#VALUE!</v>
      </c>
      <c r="BP40" s="105" t="e">
        <f>BN40*'Alternative 2'!$K41/'Alternative 2'!$L41</f>
        <v>#VALUE!</v>
      </c>
      <c r="BQ40" s="105" t="e">
        <f>BO40/'Alternative 2'!$M41</f>
        <v>#VALUE!</v>
      </c>
      <c r="BR40" s="105" t="e">
        <f t="shared" si="10"/>
        <v>#VALUE!</v>
      </c>
      <c r="BT40" s="105" t="e">
        <f>'Alternative 2'!$B$39*$B40*$C40*COS($K$93)-($K$92/3)*$E40*SIN($K$93)-($K$92/3)*$F40*SIN($K$93)-($K$92/3)*$G40*SIN($K$93)</f>
        <v>#VALUE!</v>
      </c>
      <c r="BU40" s="106" t="e">
        <f>IF(($A40&lt;'Alternative 2'!$B$27),(($H40*'Alternative 2'!$B$39)+(3*($N$92/3)*COS($K$93))),IF(($A40&lt;'Alternative 2'!$B$28),(($H40*'Alternative 2'!$B$39)+(2*(($N$92/3)*COS($K$93)))),IF(($A40&lt;'Alternative 2'!$B$29),(($H$3*'Alternative 2'!$B$39+(($N$92/3)*COS($K$93)))),($H40*'Alternative 2'!$B$39))))</f>
        <v>#VALUE!</v>
      </c>
      <c r="BV40" s="105" t="e">
        <f>BT40*'Alternative 2'!$K41/'Alternative 2'!$L41</f>
        <v>#VALUE!</v>
      </c>
      <c r="BW40" s="105" t="e">
        <f>BU40/'Alternative 2'!$M41</f>
        <v>#VALUE!</v>
      </c>
      <c r="BX40" s="105" t="e">
        <f t="shared" si="11"/>
        <v>#VALUE!</v>
      </c>
      <c r="BZ40" s="104">
        <v>150</v>
      </c>
      <c r="CA40" s="104">
        <v>-150</v>
      </c>
    </row>
    <row r="41" spans="1:79" ht="15" customHeight="1" x14ac:dyDescent="0.25">
      <c r="A41" s="18" t="str">
        <f>IF('Alternative 2'!F42&gt;0,'Alternative 2'!F42,"x")</f>
        <v>x</v>
      </c>
      <c r="B41" s="18" t="e">
        <f t="shared" si="17"/>
        <v>#VALUE!</v>
      </c>
      <c r="C41" s="18">
        <f t="shared" si="12"/>
        <v>0</v>
      </c>
      <c r="D41" s="18" t="str">
        <f t="shared" si="13"/>
        <v>x</v>
      </c>
      <c r="E41" s="101">
        <f>IF($A41&lt;='Alternative 2'!$B$27, IF($A41='Alternative 2'!$B$27,0,E42+1),0)</f>
        <v>0</v>
      </c>
      <c r="F41" s="101">
        <f>IF($A41&lt;=('Alternative 2'!$B$28), IF($A41=ROUNDDOWN('Alternative 2'!$B$28,0),0,F42+1),0)</f>
        <v>0</v>
      </c>
      <c r="G41" s="101">
        <f>IF($A41&lt;=('Alternative 2'!$B$29), IF($A41=ROUNDDOWN('Alternative 2'!$B$29,0),0,G42+1),0)</f>
        <v>0</v>
      </c>
      <c r="H41" s="18" t="e">
        <f t="shared" si="14"/>
        <v>#VALUE!</v>
      </c>
      <c r="J41" s="104">
        <f t="shared" si="15"/>
        <v>38</v>
      </c>
      <c r="K41" s="104">
        <f t="shared" si="16"/>
        <v>0.66322511575784515</v>
      </c>
      <c r="L41" s="105">
        <f>'Alternative 2'!$B$27*SIN(K41)+'Alternative 2'!$B$28*SIN(K41)+'Alternative 2'!$B$29*SIN(K41)</f>
        <v>26.467286824250046</v>
      </c>
      <c r="M41" s="104">
        <f>(('Alternative 2'!$B$27)*(((('Alternative 2'!$B$28-'Alternative 2'!$B$27)/2)+'Alternative 2'!$B$27)*'Alternative 2'!$B$39)*COS('Alternative 2-Tilt Up (3pt)'!K41))+(('Alternative 2'!$B$28)*((('Alternative 2'!$B$28-'Alternative 2'!$B$27)/2)+(('Alternative 2'!$B$29-'Alternative 2'!$B$28)/2))*('Alternative 2'!$B$39)*COS('Alternative 2-Tilt Up (3pt)'!K41))+(('Alternative 2'!$B$29)*((('Alternative 2'!$B$12-'Alternative 2'!$B$29+(('Alternative 2'!$B$29-'Alternative 2'!$B$28)/2)*('Alternative 2'!$B$39)*COS('Alternative 2-Tilt Up (3pt)'!K41)))))</f>
        <v>480546.767813007</v>
      </c>
      <c r="N41" s="104">
        <f t="shared" si="0"/>
        <v>54468.760361116845</v>
      </c>
      <c r="O41" s="104">
        <f>(((('Alternative 2'!$B$28-'Alternative 2'!$B$27)/2)+'Alternative 2'!$B$27)*('Alternative 2'!$B$39)*COS('Alternative 2-Tilt Up (3pt)'!K41))+(((('Alternative 2'!$B$28-'Alternative 2'!$B$27)/2)+(('Alternative 2'!$B$29-'Alternative 2'!$B$28)/2))*('Alternative 2'!$B$39)*COS('Alternative 2-Tilt Up (3pt)'!K41))+(((('Alternative 2'!$B$12-'Alternative 2'!$B$29)+(('Alternative 2'!$B$29-'Alternative 2'!$B$28)/2))*('Alternative 2'!$B$39)*COS('Alternative 2-Tilt Up (3pt)'!K41)))</f>
        <v>49312.01028523779</v>
      </c>
      <c r="P41" s="104">
        <f t="shared" si="1"/>
        <v>42921.968900187632</v>
      </c>
      <c r="R41" s="105" t="e">
        <f>'Alternative 2'!$B$39*$B41*$C41*COS($K$5)-($N$5/3)*$E41*SIN($K$5)-($N$5/3)*$F41*SIN($K$5)-($N$5/3)*$G41*SIN($K$5)</f>
        <v>#VALUE!</v>
      </c>
      <c r="S41" s="106" t="e">
        <f>IF(($A41&lt;'Alternative 2'!$B$27),(($H41*'Alternative 2'!$B$39)+(3*($N$5/3)*COS($K$5))),IF(($A41&lt;'Alternative 2'!$B$28),(($H41*'Alternative 2'!$B$39)+(2*(($N$5/3)*COS($K$5)))),IF(($A41&lt;'Alternative 2'!$B$29),(($H$3*'Alternative 2'!$B$39+(($N$5/3)*COS($K$5)))),($H41*'Alternative 2'!$B$39))))</f>
        <v>#VALUE!</v>
      </c>
      <c r="T41" s="105" t="e">
        <f>R41*'Alternative 2'!$K42/'Alternative 2'!$L42</f>
        <v>#VALUE!</v>
      </c>
      <c r="U41" s="105" t="e">
        <f>S41/'Alternative 2'!$M42</f>
        <v>#VALUE!</v>
      </c>
      <c r="V41" s="105" t="e">
        <f t="shared" si="2"/>
        <v>#VALUE!</v>
      </c>
      <c r="X41" s="105" t="e">
        <f>'Alternative 2'!$B$39*$B41*$C41*COS($K$13)-($N$12/3)*$E41*SIN($K$13)-($N$12/3)*$F41*SIN($K$13)-($N$12/3)*$G41*SIN($K$13)</f>
        <v>#VALUE!</v>
      </c>
      <c r="Y41" s="106" t="e">
        <f>IF(($A41&lt;'Alternative 2'!$B$27),(($H41*'Alternative 2'!$B$39)+(3*($N$12/3)*COS($K$13))),IF(($A41&lt;'Alternative 2'!$B$28),(($H41*'Alternative 2'!$B$39)+(2*(($N$12/3)*COS($K$13)))),IF(($A41&lt;'Alternative 2'!$B$29),(($H$3*'Alternative 2'!$B$39+(($N$12/3)*COS($K$13)))),($H41*'Alternative 2'!$B$39))))</f>
        <v>#VALUE!</v>
      </c>
      <c r="Z41" s="105" t="e">
        <f>X41*'Alternative 2'!$K42/'Alternative 2'!$L42</f>
        <v>#VALUE!</v>
      </c>
      <c r="AA41" s="105" t="e">
        <f>Y41/'Alternative 2'!$M42</f>
        <v>#VALUE!</v>
      </c>
      <c r="AB41" s="105" t="e">
        <f t="shared" si="3"/>
        <v>#VALUE!</v>
      </c>
      <c r="AD41" s="105" t="e">
        <f>'Alternative 2'!$B$39*$B41*$C41*COS($K$23)-($N$22/3)*$E41*SIN($K$23)-($N$22/3)*$F41*SIN($K$23)-($N$22/3)*$G41*SIN($K$23)</f>
        <v>#VALUE!</v>
      </c>
      <c r="AE41" s="106" t="e">
        <f>IF(($A41&lt;'Alternative 2'!$B$27),(($H41*'Alternative 2'!$B$39)+(3*($N$22/3)*COS($K$23))),IF(($A41&lt;'Alternative 2'!$B$28),(($H41*'Alternative 2'!$B$39)+(2*(($N$22/3)*COS($K$23)))),IF(($A41&lt;'Alternative 2'!$B$29),(($H$3*'Alternative 2'!$B$39+(($N$22/3)*COS($K$23)))),($H41*'Alternative 2'!$B$39))))</f>
        <v>#VALUE!</v>
      </c>
      <c r="AF41" s="105" t="e">
        <f>AD41*'Alternative 2'!$K42/'Alternative 2'!$L42</f>
        <v>#VALUE!</v>
      </c>
      <c r="AG41" s="105" t="e">
        <f>AE41/'Alternative 2'!$M42</f>
        <v>#VALUE!</v>
      </c>
      <c r="AH41" s="105" t="e">
        <f t="shared" si="4"/>
        <v>#VALUE!</v>
      </c>
      <c r="AJ41" s="105" t="e">
        <f>'Alternative 2'!$B$39*$B41*$C41*COS($K$33)-($N$32/3)*$E41*SIN($K$33)-($N$32/3)*$F41*SIN($K$33)-($N$32/3)*$G41*SIN($K$33)</f>
        <v>#VALUE!</v>
      </c>
      <c r="AK41" s="106" t="e">
        <f>IF(($A41&lt;'Alternative 2'!$B$27),(($H41*'Alternative 2'!$B$39)+(3*($N$32/3)*COS($K$33))),IF(($A41&lt;'Alternative 2'!$B$28),(($H41*'Alternative 2'!$B$39)+(2*(($N$32/3)*COS($K$33)))),IF(($A41&lt;'Alternative 2'!$B$29),(($H$3*'Alternative 2'!$B$39+(($N$32/3)*COS($K$33)))),($H41*'Alternative 2'!$B$39))))</f>
        <v>#VALUE!</v>
      </c>
      <c r="AL41" s="105" t="e">
        <f>AJ41*'Alternative 2'!$K42/'Alternative 2'!$L42</f>
        <v>#VALUE!</v>
      </c>
      <c r="AM41" s="105" t="e">
        <f>AK41/'Alternative 2'!$M42</f>
        <v>#VALUE!</v>
      </c>
      <c r="AN41" s="105" t="e">
        <f t="shared" si="5"/>
        <v>#VALUE!</v>
      </c>
      <c r="AP41" s="105" t="e">
        <f>'Alternative 2'!$B$39*$B41*$C41*COS($K$43)-($N$42/3)*$E41*SIN($K$43)-($N$42/3)*$F41*SIN($K$43)-($N$42/3)*$G41*SIN($K$43)</f>
        <v>#VALUE!</v>
      </c>
      <c r="AQ41" s="106" t="e">
        <f>IF(($A41&lt;'Alternative 2'!$B$27),(($H41*'Alternative 2'!$B$39)+(3*($N$42/3)*COS($K$43))),IF(($A41&lt;'Alternative 2'!$B$28),(($H41*'Alternative 2'!$B$39)+(2*(($N$42/3)*COS($K$43)))),IF(($A41&lt;'Alternative 2'!$B$29),(($H$3*'Alternative 2'!$B$39+(($N$42/3)*COS($K$43)))),($H41*'Alternative 2'!$B$39))))</f>
        <v>#VALUE!</v>
      </c>
      <c r="AR41" s="105" t="e">
        <f>AP41*'Alternative 2'!$K42/'Alternative 2'!$L42</f>
        <v>#VALUE!</v>
      </c>
      <c r="AS41" s="105" t="e">
        <f>AQ41/'Alternative 2'!$M42</f>
        <v>#VALUE!</v>
      </c>
      <c r="AT41" s="105" t="e">
        <f t="shared" si="6"/>
        <v>#VALUE!</v>
      </c>
      <c r="AV41" s="105" t="e">
        <f>'Alternative 2'!$B$39*$B41*$C41*COS($K$53)-($N$52/3)*$E41*SIN($K$53)-($N$52/3)*$F41*SIN($K$53)-($N$52/3)*$G41*SIN($K$53)</f>
        <v>#VALUE!</v>
      </c>
      <c r="AW41" s="106" t="e">
        <f>IF(($A41&lt;'Alternative 2'!$B$27),(($H41*'Alternative 2'!$B$39)+(3*($N$52/3)*COS($K$53))),IF(($A41&lt;'Alternative 2'!$B$28),(($H41*'Alternative 2'!$B$39)+(2*(($N$52/3)*COS($K$53)))),IF(($A41&lt;'Alternative 2'!$B$29),(($H$3*'Alternative 2'!$B$39+(($N$52/3)*COS($K$53)))),($H41*'Alternative 2'!$B$39))))</f>
        <v>#VALUE!</v>
      </c>
      <c r="AX41" s="105" t="e">
        <f>AV41*'Alternative 2'!$K42/'Alternative 2'!$L42</f>
        <v>#VALUE!</v>
      </c>
      <c r="AY41" s="105" t="e">
        <f>AW41/'Alternative 2'!$M42</f>
        <v>#VALUE!</v>
      </c>
      <c r="AZ41" s="105" t="e">
        <f t="shared" si="7"/>
        <v>#VALUE!</v>
      </c>
      <c r="BB41" s="105" t="e">
        <f>'Alternative 2'!$B$39*$B41*$C41*COS($K$63)-($N$62/3)*$E41*SIN($K$63)-($N$62/3)*$F41*SIN($K$63)-($N$62/3)*$G41*SIN($K$63)</f>
        <v>#VALUE!</v>
      </c>
      <c r="BC41" s="106" t="e">
        <f>IF(($A41&lt;'Alternative 2'!$B$27),(($H41*'Alternative 2'!$B$39)+(3*($N$62/3)*COS($K$63))),IF(($A41&lt;'Alternative 2'!$B$28),(($H41*'Alternative 2'!$B$39)+(2*(($N$62/3)*COS($K$63)))),IF(($A41&lt;'Alternative 2'!$B$29),(($H$3*'Alternative 2'!$B$39+(($N$62/3)*COS($K$63)))),($H41*'Alternative 2'!$B$39))))</f>
        <v>#VALUE!</v>
      </c>
      <c r="BD41" s="105" t="e">
        <f>BB41*'Alternative 2'!$K42/'Alternative 2'!$L42</f>
        <v>#VALUE!</v>
      </c>
      <c r="BE41" s="105" t="e">
        <f>BC41/'Alternative 2'!$M42</f>
        <v>#VALUE!</v>
      </c>
      <c r="BF41" s="105" t="e">
        <f t="shared" si="8"/>
        <v>#VALUE!</v>
      </c>
      <c r="BH41" s="105" t="e">
        <f>'Alternative 2'!$B$39*$B41*$C41*COS($K$73)-($N$72/3)*$E41*SIN($K$73)-($N$72/3)*$F41*SIN($K$73)-($N$72/3)*$G41*SIN($K$73)</f>
        <v>#VALUE!</v>
      </c>
      <c r="BI41" s="106" t="e">
        <f>IF(($A41&lt;'Alternative 2'!$B$27),(($H41*'Alternative 2'!$B$39)+(3*($N$72/3)*COS($K$73))),IF(($A41&lt;'Alternative 2'!$B$28),(($H41*'Alternative 2'!$B$39)+(2*(($N$72/3)*COS($K$73)))),IF(($A41&lt;'Alternative 2'!$B$29),(($H$3*'Alternative 2'!$B$39+(($N$72/3)*COS($K$73)))),($H41*'Alternative 2'!$B$39))))</f>
        <v>#VALUE!</v>
      </c>
      <c r="BJ41" s="105" t="e">
        <f>BH41*'Alternative 2'!$K42/'Alternative 2'!$L42</f>
        <v>#VALUE!</v>
      </c>
      <c r="BK41" s="105" t="e">
        <f>BI41/'Alternative 2'!$M42</f>
        <v>#VALUE!</v>
      </c>
      <c r="BL41" s="105" t="e">
        <f t="shared" si="9"/>
        <v>#VALUE!</v>
      </c>
      <c r="BN41" s="105" t="e">
        <f>'Alternative 2'!$B$39*$B41*$C41*COS($K$83)-($N$82/3)*$E41*SIN($K$83)-($N$82/3)*$F41*SIN($K$83)-($N$82/3)*$G41*SIN($K$83)</f>
        <v>#VALUE!</v>
      </c>
      <c r="BO41" s="106" t="e">
        <f>IF(($A41&lt;'Alternative 2'!$B$27),(($H41*'Alternative 2'!$B$39)+(3*($N$82/3)*COS($K$83))),IF(($A41&lt;'Alternative 2'!$B$28),(($H41*'Alternative 2'!$B$39)+(2*(($N$82/3)*COS($K$83)))),IF(($A41&lt;'Alternative 2'!$B$29),(($H$3*'Alternative 2'!$B$39+(($N$82/3)*COS($K$83)))),($H41*'Alternative 2'!$B$39))))</f>
        <v>#VALUE!</v>
      </c>
      <c r="BP41" s="105" t="e">
        <f>BN41*'Alternative 2'!$K42/'Alternative 2'!$L42</f>
        <v>#VALUE!</v>
      </c>
      <c r="BQ41" s="105" t="e">
        <f>BO41/'Alternative 2'!$M42</f>
        <v>#VALUE!</v>
      </c>
      <c r="BR41" s="105" t="e">
        <f t="shared" si="10"/>
        <v>#VALUE!</v>
      </c>
      <c r="BT41" s="105" t="e">
        <f>'Alternative 2'!$B$39*$B41*$C41*COS($K$93)-($K$92/3)*$E41*SIN($K$93)-($K$92/3)*$F41*SIN($K$93)-($K$92/3)*$G41*SIN($K$93)</f>
        <v>#VALUE!</v>
      </c>
      <c r="BU41" s="106" t="e">
        <f>IF(($A41&lt;'Alternative 2'!$B$27),(($H41*'Alternative 2'!$B$39)+(3*($N$92/3)*COS($K$93))),IF(($A41&lt;'Alternative 2'!$B$28),(($H41*'Alternative 2'!$B$39)+(2*(($N$92/3)*COS($K$93)))),IF(($A41&lt;'Alternative 2'!$B$29),(($H$3*'Alternative 2'!$B$39+(($N$92/3)*COS($K$93)))),($H41*'Alternative 2'!$B$39))))</f>
        <v>#VALUE!</v>
      </c>
      <c r="BV41" s="105" t="e">
        <f>BT41*'Alternative 2'!$K42/'Alternative 2'!$L42</f>
        <v>#VALUE!</v>
      </c>
      <c r="BW41" s="105" t="e">
        <f>BU41/'Alternative 2'!$M42</f>
        <v>#VALUE!</v>
      </c>
      <c r="BX41" s="105" t="e">
        <f t="shared" si="11"/>
        <v>#VALUE!</v>
      </c>
      <c r="BZ41" s="104">
        <v>150</v>
      </c>
      <c r="CA41" s="104">
        <v>-150</v>
      </c>
    </row>
    <row r="42" spans="1:79" ht="15" customHeight="1" x14ac:dyDescent="0.25">
      <c r="A42" s="18" t="str">
        <f>IF('Alternative 2'!F43&gt;0,'Alternative 2'!F43,"x")</f>
        <v>x</v>
      </c>
      <c r="B42" s="18" t="e">
        <f t="shared" si="17"/>
        <v>#VALUE!</v>
      </c>
      <c r="C42" s="18">
        <f t="shared" si="12"/>
        <v>0</v>
      </c>
      <c r="D42" s="18" t="str">
        <f t="shared" si="13"/>
        <v>x</v>
      </c>
      <c r="E42" s="101">
        <f>IF($A42&lt;='Alternative 2'!$B$27, IF($A42='Alternative 2'!$B$27,0,E43+1),0)</f>
        <v>0</v>
      </c>
      <c r="F42" s="101">
        <f>IF($A42&lt;=('Alternative 2'!$B$28), IF($A42=ROUNDDOWN('Alternative 2'!$B$28,0),0,F43+1),0)</f>
        <v>0</v>
      </c>
      <c r="G42" s="101">
        <f>IF($A42&lt;=('Alternative 2'!$B$29), IF($A42=ROUNDDOWN('Alternative 2'!$B$29,0),0,G43+1),0)</f>
        <v>0</v>
      </c>
      <c r="H42" s="18" t="e">
        <f t="shared" si="14"/>
        <v>#VALUE!</v>
      </c>
      <c r="J42" s="104">
        <f t="shared" si="15"/>
        <v>39</v>
      </c>
      <c r="K42" s="104">
        <f t="shared" si="16"/>
        <v>0.68067840827778847</v>
      </c>
      <c r="L42" s="105">
        <f>'Alternative 2'!$B$27*SIN(K42)+'Alternative 2'!$B$28*SIN(K42)+'Alternative 2'!$B$29*SIN(K42)</f>
        <v>27.054483611232509</v>
      </c>
      <c r="M42" s="104">
        <f>(('Alternative 2'!$B$27)*(((('Alternative 2'!$B$28-'Alternative 2'!$B$27)/2)+'Alternative 2'!$B$27)*'Alternative 2'!$B$39)*COS('Alternative 2-Tilt Up (3pt)'!K42))+(('Alternative 2'!$B$28)*((('Alternative 2'!$B$28-'Alternative 2'!$B$27)/2)+(('Alternative 2'!$B$29-'Alternative 2'!$B$28)/2))*('Alternative 2'!$B$39)*COS('Alternative 2-Tilt Up (3pt)'!K42))+(('Alternative 2'!$B$29)*((('Alternative 2'!$B$12-'Alternative 2'!$B$29+(('Alternative 2'!$B$29-'Alternative 2'!$B$28)/2)*('Alternative 2'!$B$39)*COS('Alternative 2-Tilt Up (3pt)'!K42)))))</f>
        <v>473922.28858102066</v>
      </c>
      <c r="N42" s="109">
        <f t="shared" si="0"/>
        <v>52551.986804611246</v>
      </c>
      <c r="O42" s="104">
        <f>(((('Alternative 2'!$B$28-'Alternative 2'!$B$27)/2)+'Alternative 2'!$B$27)*('Alternative 2'!$B$39)*COS('Alternative 2-Tilt Up (3pt)'!K42))+(((('Alternative 2'!$B$28-'Alternative 2'!$B$27)/2)+(('Alternative 2'!$B$29-'Alternative 2'!$B$28)/2))*('Alternative 2'!$B$39)*COS('Alternative 2-Tilt Up (3pt)'!K42))+(((('Alternative 2'!$B$12-'Alternative 2'!$B$29)+(('Alternative 2'!$B$29-'Alternative 2'!$B$28)/2))*('Alternative 2'!$B$39)*COS('Alternative 2-Tilt Up (3pt)'!K42)))</f>
        <v>48632.115068347281</v>
      </c>
      <c r="P42" s="104">
        <f t="shared" si="1"/>
        <v>40840.564311743656</v>
      </c>
      <c r="R42" s="105" t="e">
        <f>'Alternative 2'!$B$39*$B42*$C42*COS($K$5)-($N$5/3)*$E42*SIN($K$5)-($N$5/3)*$F42*SIN($K$5)-($N$5/3)*$G42*SIN($K$5)</f>
        <v>#VALUE!</v>
      </c>
      <c r="S42" s="106" t="e">
        <f>IF(($A42&lt;'Alternative 2'!$B$27),(($H42*'Alternative 2'!$B$39)+(3*($N$5/3)*COS($K$5))),IF(($A42&lt;'Alternative 2'!$B$28),(($H42*'Alternative 2'!$B$39)+(2*(($N$5/3)*COS($K$5)))),IF(($A42&lt;'Alternative 2'!$B$29),(($H$3*'Alternative 2'!$B$39+(($N$5/3)*COS($K$5)))),($H42*'Alternative 2'!$B$39))))</f>
        <v>#VALUE!</v>
      </c>
      <c r="T42" s="105" t="e">
        <f>R42*'Alternative 2'!$K43/'Alternative 2'!$L43</f>
        <v>#VALUE!</v>
      </c>
      <c r="U42" s="105" t="e">
        <f>S42/'Alternative 2'!$M43</f>
        <v>#VALUE!</v>
      </c>
      <c r="V42" s="105" t="e">
        <f t="shared" si="2"/>
        <v>#VALUE!</v>
      </c>
      <c r="X42" s="105" t="e">
        <f>'Alternative 2'!$B$39*$B42*$C42*COS($K$13)-($N$12/3)*$E42*SIN($K$13)-($N$12/3)*$F42*SIN($K$13)-($N$12/3)*$G42*SIN($K$13)</f>
        <v>#VALUE!</v>
      </c>
      <c r="Y42" s="106" t="e">
        <f>IF(($A42&lt;'Alternative 2'!$B$27),(($H42*'Alternative 2'!$B$39)+(3*($N$12/3)*COS($K$13))),IF(($A42&lt;'Alternative 2'!$B$28),(($H42*'Alternative 2'!$B$39)+(2*(($N$12/3)*COS($K$13)))),IF(($A42&lt;'Alternative 2'!$B$29),(($H$3*'Alternative 2'!$B$39+(($N$12/3)*COS($K$13)))),($H42*'Alternative 2'!$B$39))))</f>
        <v>#VALUE!</v>
      </c>
      <c r="Z42" s="105" t="e">
        <f>X42*'Alternative 2'!$K43/'Alternative 2'!$L43</f>
        <v>#VALUE!</v>
      </c>
      <c r="AA42" s="105" t="e">
        <f>Y42/'Alternative 2'!$M43</f>
        <v>#VALUE!</v>
      </c>
      <c r="AB42" s="105" t="e">
        <f t="shared" si="3"/>
        <v>#VALUE!</v>
      </c>
      <c r="AD42" s="105" t="e">
        <f>'Alternative 2'!$B$39*$B42*$C42*COS($K$23)-($N$22/3)*$E42*SIN($K$23)-($N$22/3)*$F42*SIN($K$23)-($N$22/3)*$G42*SIN($K$23)</f>
        <v>#VALUE!</v>
      </c>
      <c r="AE42" s="106" t="e">
        <f>IF(($A42&lt;'Alternative 2'!$B$27),(($H42*'Alternative 2'!$B$39)+(3*($N$22/3)*COS($K$23))),IF(($A42&lt;'Alternative 2'!$B$28),(($H42*'Alternative 2'!$B$39)+(2*(($N$22/3)*COS($K$23)))),IF(($A42&lt;'Alternative 2'!$B$29),(($H$3*'Alternative 2'!$B$39+(($N$22/3)*COS($K$23)))),($H42*'Alternative 2'!$B$39))))</f>
        <v>#VALUE!</v>
      </c>
      <c r="AF42" s="105" t="e">
        <f>AD42*'Alternative 2'!$K43/'Alternative 2'!$L43</f>
        <v>#VALUE!</v>
      </c>
      <c r="AG42" s="105" t="e">
        <f>AE42/'Alternative 2'!$M43</f>
        <v>#VALUE!</v>
      </c>
      <c r="AH42" s="105" t="e">
        <f t="shared" si="4"/>
        <v>#VALUE!</v>
      </c>
      <c r="AJ42" s="105" t="e">
        <f>'Alternative 2'!$B$39*$B42*$C42*COS($K$33)-($N$32/3)*$E42*SIN($K$33)-($N$32/3)*$F42*SIN($K$33)-($N$32/3)*$G42*SIN($K$33)</f>
        <v>#VALUE!</v>
      </c>
      <c r="AK42" s="106" t="e">
        <f>IF(($A42&lt;'Alternative 2'!$B$27),(($H42*'Alternative 2'!$B$39)+(3*($N$32/3)*COS($K$33))),IF(($A42&lt;'Alternative 2'!$B$28),(($H42*'Alternative 2'!$B$39)+(2*(($N$32/3)*COS($K$33)))),IF(($A42&lt;'Alternative 2'!$B$29),(($H$3*'Alternative 2'!$B$39+(($N$32/3)*COS($K$33)))),($H42*'Alternative 2'!$B$39))))</f>
        <v>#VALUE!</v>
      </c>
      <c r="AL42" s="105" t="e">
        <f>AJ42*'Alternative 2'!$K43/'Alternative 2'!$L43</f>
        <v>#VALUE!</v>
      </c>
      <c r="AM42" s="105" t="e">
        <f>AK42/'Alternative 2'!$M43</f>
        <v>#VALUE!</v>
      </c>
      <c r="AN42" s="105" t="e">
        <f t="shared" si="5"/>
        <v>#VALUE!</v>
      </c>
      <c r="AP42" s="105" t="e">
        <f>'Alternative 2'!$B$39*$B42*$C42*COS($K$43)-($N$42/3)*$E42*SIN($K$43)-($N$42/3)*$F42*SIN($K$43)-($N$42/3)*$G42*SIN($K$43)</f>
        <v>#VALUE!</v>
      </c>
      <c r="AQ42" s="106" t="e">
        <f>IF(($A42&lt;'Alternative 2'!$B$27),(($H42*'Alternative 2'!$B$39)+(3*($N$42/3)*COS($K$43))),IF(($A42&lt;'Alternative 2'!$B$28),(($H42*'Alternative 2'!$B$39)+(2*(($N$42/3)*COS($K$43)))),IF(($A42&lt;'Alternative 2'!$B$29),(($H$3*'Alternative 2'!$B$39+(($N$42/3)*COS($K$43)))),($H42*'Alternative 2'!$B$39))))</f>
        <v>#VALUE!</v>
      </c>
      <c r="AR42" s="105" t="e">
        <f>AP42*'Alternative 2'!$K43/'Alternative 2'!$L43</f>
        <v>#VALUE!</v>
      </c>
      <c r="AS42" s="105" t="e">
        <f>AQ42/'Alternative 2'!$M43</f>
        <v>#VALUE!</v>
      </c>
      <c r="AT42" s="105" t="e">
        <f t="shared" si="6"/>
        <v>#VALUE!</v>
      </c>
      <c r="AV42" s="105" t="e">
        <f>'Alternative 2'!$B$39*$B42*$C42*COS($K$53)-($N$52/3)*$E42*SIN($K$53)-($N$52/3)*$F42*SIN($K$53)-($N$52/3)*$G42*SIN($K$53)</f>
        <v>#VALUE!</v>
      </c>
      <c r="AW42" s="106" t="e">
        <f>IF(($A42&lt;'Alternative 2'!$B$27),(($H42*'Alternative 2'!$B$39)+(3*($N$52/3)*COS($K$53))),IF(($A42&lt;'Alternative 2'!$B$28),(($H42*'Alternative 2'!$B$39)+(2*(($N$52/3)*COS($K$53)))),IF(($A42&lt;'Alternative 2'!$B$29),(($H$3*'Alternative 2'!$B$39+(($N$52/3)*COS($K$53)))),($H42*'Alternative 2'!$B$39))))</f>
        <v>#VALUE!</v>
      </c>
      <c r="AX42" s="105" t="e">
        <f>AV42*'Alternative 2'!$K43/'Alternative 2'!$L43</f>
        <v>#VALUE!</v>
      </c>
      <c r="AY42" s="105" t="e">
        <f>AW42/'Alternative 2'!$M43</f>
        <v>#VALUE!</v>
      </c>
      <c r="AZ42" s="105" t="e">
        <f t="shared" si="7"/>
        <v>#VALUE!</v>
      </c>
      <c r="BB42" s="105" t="e">
        <f>'Alternative 2'!$B$39*$B42*$C42*COS($K$63)-($N$62/3)*$E42*SIN($K$63)-($N$62/3)*$F42*SIN($K$63)-($N$62/3)*$G42*SIN($K$63)</f>
        <v>#VALUE!</v>
      </c>
      <c r="BC42" s="106" t="e">
        <f>IF(($A42&lt;'Alternative 2'!$B$27),(($H42*'Alternative 2'!$B$39)+(3*($N$62/3)*COS($K$63))),IF(($A42&lt;'Alternative 2'!$B$28),(($H42*'Alternative 2'!$B$39)+(2*(($N$62/3)*COS($K$63)))),IF(($A42&lt;'Alternative 2'!$B$29),(($H$3*'Alternative 2'!$B$39+(($N$62/3)*COS($K$63)))),($H42*'Alternative 2'!$B$39))))</f>
        <v>#VALUE!</v>
      </c>
      <c r="BD42" s="105" t="e">
        <f>BB42*'Alternative 2'!$K43/'Alternative 2'!$L43</f>
        <v>#VALUE!</v>
      </c>
      <c r="BE42" s="105" t="e">
        <f>BC42/'Alternative 2'!$M43</f>
        <v>#VALUE!</v>
      </c>
      <c r="BF42" s="105" t="e">
        <f t="shared" si="8"/>
        <v>#VALUE!</v>
      </c>
      <c r="BH42" s="105" t="e">
        <f>'Alternative 2'!$B$39*$B42*$C42*COS($K$73)-($N$72/3)*$E42*SIN($K$73)-($N$72/3)*$F42*SIN($K$73)-($N$72/3)*$G42*SIN($K$73)</f>
        <v>#VALUE!</v>
      </c>
      <c r="BI42" s="106" t="e">
        <f>IF(($A42&lt;'Alternative 2'!$B$27),(($H42*'Alternative 2'!$B$39)+(3*($N$72/3)*COS($K$73))),IF(($A42&lt;'Alternative 2'!$B$28),(($H42*'Alternative 2'!$B$39)+(2*(($N$72/3)*COS($K$73)))),IF(($A42&lt;'Alternative 2'!$B$29),(($H$3*'Alternative 2'!$B$39+(($N$72/3)*COS($K$73)))),($H42*'Alternative 2'!$B$39))))</f>
        <v>#VALUE!</v>
      </c>
      <c r="BJ42" s="105" t="e">
        <f>BH42*'Alternative 2'!$K43/'Alternative 2'!$L43</f>
        <v>#VALUE!</v>
      </c>
      <c r="BK42" s="105" t="e">
        <f>BI42/'Alternative 2'!$M43</f>
        <v>#VALUE!</v>
      </c>
      <c r="BL42" s="105" t="e">
        <f t="shared" si="9"/>
        <v>#VALUE!</v>
      </c>
      <c r="BN42" s="105" t="e">
        <f>'Alternative 2'!$B$39*$B42*$C42*COS($K$83)-($N$82/3)*$E42*SIN($K$83)-($N$82/3)*$F42*SIN($K$83)-($N$82/3)*$G42*SIN($K$83)</f>
        <v>#VALUE!</v>
      </c>
      <c r="BO42" s="106" t="e">
        <f>IF(($A42&lt;'Alternative 2'!$B$27),(($H42*'Alternative 2'!$B$39)+(3*($N$82/3)*COS($K$83))),IF(($A42&lt;'Alternative 2'!$B$28),(($H42*'Alternative 2'!$B$39)+(2*(($N$82/3)*COS($K$83)))),IF(($A42&lt;'Alternative 2'!$B$29),(($H$3*'Alternative 2'!$B$39+(($N$82/3)*COS($K$83)))),($H42*'Alternative 2'!$B$39))))</f>
        <v>#VALUE!</v>
      </c>
      <c r="BP42" s="105" t="e">
        <f>BN42*'Alternative 2'!$K43/'Alternative 2'!$L43</f>
        <v>#VALUE!</v>
      </c>
      <c r="BQ42" s="105" t="e">
        <f>BO42/'Alternative 2'!$M43</f>
        <v>#VALUE!</v>
      </c>
      <c r="BR42" s="105" t="e">
        <f t="shared" si="10"/>
        <v>#VALUE!</v>
      </c>
      <c r="BT42" s="105" t="e">
        <f>'Alternative 2'!$B$39*$B42*$C42*COS($K$93)-($K$92/3)*$E42*SIN($K$93)-($K$92/3)*$F42*SIN($K$93)-($K$92/3)*$G42*SIN($K$93)</f>
        <v>#VALUE!</v>
      </c>
      <c r="BU42" s="106" t="e">
        <f>IF(($A42&lt;'Alternative 2'!$B$27),(($H42*'Alternative 2'!$B$39)+(3*($N$92/3)*COS($K$93))),IF(($A42&lt;'Alternative 2'!$B$28),(($H42*'Alternative 2'!$B$39)+(2*(($N$92/3)*COS($K$93)))),IF(($A42&lt;'Alternative 2'!$B$29),(($H$3*'Alternative 2'!$B$39+(($N$92/3)*COS($K$93)))),($H42*'Alternative 2'!$B$39))))</f>
        <v>#VALUE!</v>
      </c>
      <c r="BV42" s="105" t="e">
        <f>BT42*'Alternative 2'!$K43/'Alternative 2'!$L43</f>
        <v>#VALUE!</v>
      </c>
      <c r="BW42" s="105" t="e">
        <f>BU42/'Alternative 2'!$M43</f>
        <v>#VALUE!</v>
      </c>
      <c r="BX42" s="105" t="e">
        <f t="shared" si="11"/>
        <v>#VALUE!</v>
      </c>
      <c r="BZ42" s="104">
        <v>150</v>
      </c>
      <c r="CA42" s="104">
        <v>-150</v>
      </c>
    </row>
    <row r="43" spans="1:79" ht="15" customHeight="1" x14ac:dyDescent="0.25">
      <c r="A43" s="18" t="str">
        <f>IF('Alternative 2'!F44&gt;0,'Alternative 2'!F44,"x")</f>
        <v>x</v>
      </c>
      <c r="B43" s="18" t="e">
        <f t="shared" si="17"/>
        <v>#VALUE!</v>
      </c>
      <c r="C43" s="18">
        <f t="shared" si="12"/>
        <v>0</v>
      </c>
      <c r="D43" s="18" t="str">
        <f t="shared" si="13"/>
        <v>x</v>
      </c>
      <c r="E43" s="101">
        <f>IF($A43&lt;='Alternative 2'!$B$27, IF($A43='Alternative 2'!$B$27,0,E44+1),0)</f>
        <v>0</v>
      </c>
      <c r="F43" s="101">
        <f>IF($A43&lt;=('Alternative 2'!$B$28), IF($A43=ROUNDDOWN('Alternative 2'!$B$28,0),0,F44+1),0)</f>
        <v>0</v>
      </c>
      <c r="G43" s="101">
        <f>IF($A43&lt;=('Alternative 2'!$B$29), IF($A43=ROUNDDOWN('Alternative 2'!$B$29,0),0,G44+1),0)</f>
        <v>0</v>
      </c>
      <c r="H43" s="18" t="e">
        <f t="shared" si="14"/>
        <v>#VALUE!</v>
      </c>
      <c r="J43" s="104">
        <f t="shared" si="15"/>
        <v>40</v>
      </c>
      <c r="K43" s="109">
        <f t="shared" si="16"/>
        <v>0.69813170079773179</v>
      </c>
      <c r="L43" s="105">
        <f>'Alternative 2'!$B$27*SIN(K43)+'Alternative 2'!$B$28*SIN(K43)+'Alternative 2'!$B$29*SIN(K43)</f>
        <v>27.633439340424324</v>
      </c>
      <c r="M43" s="104">
        <f>(('Alternative 2'!$B$27)*(((('Alternative 2'!$B$28-'Alternative 2'!$B$27)/2)+'Alternative 2'!$B$27)*'Alternative 2'!$B$39)*COS('Alternative 2-Tilt Up (3pt)'!K43))+(('Alternative 2'!$B$28)*((('Alternative 2'!$B$28-'Alternative 2'!$B$27)/2)+(('Alternative 2'!$B$29-'Alternative 2'!$B$28)/2))*('Alternative 2'!$B$39)*COS('Alternative 2-Tilt Up (3pt)'!K43))+(('Alternative 2'!$B$29)*((('Alternative 2'!$B$12-'Alternative 2'!$B$29+(('Alternative 2'!$B$29-'Alternative 2'!$B$28)/2)*('Alternative 2'!$B$39)*COS('Alternative 2-Tilt Up (3pt)'!K43)))))</f>
        <v>467153.47269757692</v>
      </c>
      <c r="N43" s="104">
        <f t="shared" si="0"/>
        <v>50716.105253049929</v>
      </c>
      <c r="O43" s="104">
        <f>(((('Alternative 2'!$B$28-'Alternative 2'!$B$27)/2)+'Alternative 2'!$B$27)*('Alternative 2'!$B$39)*COS('Alternative 2-Tilt Up (3pt)'!K43))+(((('Alternative 2'!$B$28-'Alternative 2'!$B$27)/2)+(('Alternative 2'!$B$29-'Alternative 2'!$B$28)/2))*('Alternative 2'!$B$39)*COS('Alternative 2-Tilt Up (3pt)'!K43))+(((('Alternative 2'!$B$12-'Alternative 2'!$B$29)+(('Alternative 2'!$B$29-'Alternative 2'!$B$28)/2))*('Alternative 2'!$B$39)*COS('Alternative 2-Tilt Up (3pt)'!K43)))</f>
        <v>47937.406038097062</v>
      </c>
      <c r="P43" s="109">
        <f t="shared" si="1"/>
        <v>38850.790605736111</v>
      </c>
      <c r="R43" s="105" t="e">
        <f>'Alternative 2'!$B$39*$B43*$C43*COS($K$5)-($N$5/3)*$E43*SIN($K$5)-($N$5/3)*$F43*SIN($K$5)-($N$5/3)*$G43*SIN($K$5)</f>
        <v>#VALUE!</v>
      </c>
      <c r="S43" s="106" t="e">
        <f>IF(($A43&lt;'Alternative 2'!$B$27),(($H43*'Alternative 2'!$B$39)+(3*($N$5/3)*COS($K$5))),IF(($A43&lt;'Alternative 2'!$B$28),(($H43*'Alternative 2'!$B$39)+(2*(($N$5/3)*COS($K$5)))),IF(($A43&lt;'Alternative 2'!$B$29),(($H$3*'Alternative 2'!$B$39+(($N$5/3)*COS($K$5)))),($H43*'Alternative 2'!$B$39))))</f>
        <v>#VALUE!</v>
      </c>
      <c r="T43" s="105" t="e">
        <f>R43*'Alternative 2'!$K44/'Alternative 2'!$L44</f>
        <v>#VALUE!</v>
      </c>
      <c r="U43" s="105" t="e">
        <f>S43/'Alternative 2'!$M44</f>
        <v>#VALUE!</v>
      </c>
      <c r="V43" s="105" t="e">
        <f t="shared" si="2"/>
        <v>#VALUE!</v>
      </c>
      <c r="X43" s="105" t="e">
        <f>'Alternative 2'!$B$39*$B43*$C43*COS($K$13)-($N$12/3)*$E43*SIN($K$13)-($N$12/3)*$F43*SIN($K$13)-($N$12/3)*$G43*SIN($K$13)</f>
        <v>#VALUE!</v>
      </c>
      <c r="Y43" s="106" t="e">
        <f>IF(($A43&lt;'Alternative 2'!$B$27),(($H43*'Alternative 2'!$B$39)+(3*($N$12/3)*COS($K$13))),IF(($A43&lt;'Alternative 2'!$B$28),(($H43*'Alternative 2'!$B$39)+(2*(($N$12/3)*COS($K$13)))),IF(($A43&lt;'Alternative 2'!$B$29),(($H$3*'Alternative 2'!$B$39+(($N$12/3)*COS($K$13)))),($H43*'Alternative 2'!$B$39))))</f>
        <v>#VALUE!</v>
      </c>
      <c r="Z43" s="105" t="e">
        <f>X43*'Alternative 2'!$K44/'Alternative 2'!$L44</f>
        <v>#VALUE!</v>
      </c>
      <c r="AA43" s="105" t="e">
        <f>Y43/'Alternative 2'!$M44</f>
        <v>#VALUE!</v>
      </c>
      <c r="AB43" s="105" t="e">
        <f t="shared" si="3"/>
        <v>#VALUE!</v>
      </c>
      <c r="AD43" s="105" t="e">
        <f>'Alternative 2'!$B$39*$B43*$C43*COS($K$23)-($N$22/3)*$E43*SIN($K$23)-($N$22/3)*$F43*SIN($K$23)-($N$22/3)*$G43*SIN($K$23)</f>
        <v>#VALUE!</v>
      </c>
      <c r="AE43" s="106" t="e">
        <f>IF(($A43&lt;'Alternative 2'!$B$27),(($H43*'Alternative 2'!$B$39)+(3*($N$22/3)*COS($K$23))),IF(($A43&lt;'Alternative 2'!$B$28),(($H43*'Alternative 2'!$B$39)+(2*(($N$22/3)*COS($K$23)))),IF(($A43&lt;'Alternative 2'!$B$29),(($H$3*'Alternative 2'!$B$39+(($N$22/3)*COS($K$23)))),($H43*'Alternative 2'!$B$39))))</f>
        <v>#VALUE!</v>
      </c>
      <c r="AF43" s="105" t="e">
        <f>AD43*'Alternative 2'!$K44/'Alternative 2'!$L44</f>
        <v>#VALUE!</v>
      </c>
      <c r="AG43" s="105" t="e">
        <f>AE43/'Alternative 2'!$M44</f>
        <v>#VALUE!</v>
      </c>
      <c r="AH43" s="105" t="e">
        <f t="shared" si="4"/>
        <v>#VALUE!</v>
      </c>
      <c r="AJ43" s="105" t="e">
        <f>'Alternative 2'!$B$39*$B43*$C43*COS($K$33)-($N$32/3)*$E43*SIN($K$33)-($N$32/3)*$F43*SIN($K$33)-($N$32/3)*$G43*SIN($K$33)</f>
        <v>#VALUE!</v>
      </c>
      <c r="AK43" s="106" t="e">
        <f>IF(($A43&lt;'Alternative 2'!$B$27),(($H43*'Alternative 2'!$B$39)+(3*($N$32/3)*COS($K$33))),IF(($A43&lt;'Alternative 2'!$B$28),(($H43*'Alternative 2'!$B$39)+(2*(($N$32/3)*COS($K$33)))),IF(($A43&lt;'Alternative 2'!$B$29),(($H$3*'Alternative 2'!$B$39+(($N$32/3)*COS($K$33)))),($H43*'Alternative 2'!$B$39))))</f>
        <v>#VALUE!</v>
      </c>
      <c r="AL43" s="105" t="e">
        <f>AJ43*'Alternative 2'!$K44/'Alternative 2'!$L44</f>
        <v>#VALUE!</v>
      </c>
      <c r="AM43" s="105" t="e">
        <f>AK43/'Alternative 2'!$M44</f>
        <v>#VALUE!</v>
      </c>
      <c r="AN43" s="105" t="e">
        <f t="shared" si="5"/>
        <v>#VALUE!</v>
      </c>
      <c r="AP43" s="105" t="e">
        <f>'Alternative 2'!$B$39*$B43*$C43*COS($K$43)-($N$42/3)*$E43*SIN($K$43)-($N$42/3)*$F43*SIN($K$43)-($N$42/3)*$G43*SIN($K$43)</f>
        <v>#VALUE!</v>
      </c>
      <c r="AQ43" s="106" t="e">
        <f>IF(($A43&lt;'Alternative 2'!$B$27),(($H43*'Alternative 2'!$B$39)+(3*($N$42/3)*COS($K$43))),IF(($A43&lt;'Alternative 2'!$B$28),(($H43*'Alternative 2'!$B$39)+(2*(($N$42/3)*COS($K$43)))),IF(($A43&lt;'Alternative 2'!$B$29),(($H$3*'Alternative 2'!$B$39+(($N$42/3)*COS($K$43)))),($H43*'Alternative 2'!$B$39))))</f>
        <v>#VALUE!</v>
      </c>
      <c r="AR43" s="105" t="e">
        <f>AP43*'Alternative 2'!$K44/'Alternative 2'!$L44</f>
        <v>#VALUE!</v>
      </c>
      <c r="AS43" s="105" t="e">
        <f>AQ43/'Alternative 2'!$M44</f>
        <v>#VALUE!</v>
      </c>
      <c r="AT43" s="105" t="e">
        <f t="shared" si="6"/>
        <v>#VALUE!</v>
      </c>
      <c r="AV43" s="105" t="e">
        <f>'Alternative 2'!$B$39*$B43*$C43*COS($K$53)-($N$52/3)*$E43*SIN($K$53)-($N$52/3)*$F43*SIN($K$53)-($N$52/3)*$G43*SIN($K$53)</f>
        <v>#VALUE!</v>
      </c>
      <c r="AW43" s="106" t="e">
        <f>IF(($A43&lt;'Alternative 2'!$B$27),(($H43*'Alternative 2'!$B$39)+(3*($N$52/3)*COS($K$53))),IF(($A43&lt;'Alternative 2'!$B$28),(($H43*'Alternative 2'!$B$39)+(2*(($N$52/3)*COS($K$53)))),IF(($A43&lt;'Alternative 2'!$B$29),(($H$3*'Alternative 2'!$B$39+(($N$52/3)*COS($K$53)))),($H43*'Alternative 2'!$B$39))))</f>
        <v>#VALUE!</v>
      </c>
      <c r="AX43" s="105" t="e">
        <f>AV43*'Alternative 2'!$K44/'Alternative 2'!$L44</f>
        <v>#VALUE!</v>
      </c>
      <c r="AY43" s="105" t="e">
        <f>AW43/'Alternative 2'!$M44</f>
        <v>#VALUE!</v>
      </c>
      <c r="AZ43" s="105" t="e">
        <f t="shared" si="7"/>
        <v>#VALUE!</v>
      </c>
      <c r="BB43" s="105" t="e">
        <f>'Alternative 2'!$B$39*$B43*$C43*COS($K$63)-($N$62/3)*$E43*SIN($K$63)-($N$62/3)*$F43*SIN($K$63)-($N$62/3)*$G43*SIN($K$63)</f>
        <v>#VALUE!</v>
      </c>
      <c r="BC43" s="106" t="e">
        <f>IF(($A43&lt;'Alternative 2'!$B$27),(($H43*'Alternative 2'!$B$39)+(3*($N$62/3)*COS($K$63))),IF(($A43&lt;'Alternative 2'!$B$28),(($H43*'Alternative 2'!$B$39)+(2*(($N$62/3)*COS($K$63)))),IF(($A43&lt;'Alternative 2'!$B$29),(($H$3*'Alternative 2'!$B$39+(($N$62/3)*COS($K$63)))),($H43*'Alternative 2'!$B$39))))</f>
        <v>#VALUE!</v>
      </c>
      <c r="BD43" s="105" t="e">
        <f>BB43*'Alternative 2'!$K44/'Alternative 2'!$L44</f>
        <v>#VALUE!</v>
      </c>
      <c r="BE43" s="105" t="e">
        <f>BC43/'Alternative 2'!$M44</f>
        <v>#VALUE!</v>
      </c>
      <c r="BF43" s="105" t="e">
        <f t="shared" si="8"/>
        <v>#VALUE!</v>
      </c>
      <c r="BH43" s="105" t="e">
        <f>'Alternative 2'!$B$39*$B43*$C43*COS($K$73)-($N$72/3)*$E43*SIN($K$73)-($N$72/3)*$F43*SIN($K$73)-($N$72/3)*$G43*SIN($K$73)</f>
        <v>#VALUE!</v>
      </c>
      <c r="BI43" s="106" t="e">
        <f>IF(($A43&lt;'Alternative 2'!$B$27),(($H43*'Alternative 2'!$B$39)+(3*($N$72/3)*COS($K$73))),IF(($A43&lt;'Alternative 2'!$B$28),(($H43*'Alternative 2'!$B$39)+(2*(($N$72/3)*COS($K$73)))),IF(($A43&lt;'Alternative 2'!$B$29),(($H$3*'Alternative 2'!$B$39+(($N$72/3)*COS($K$73)))),($H43*'Alternative 2'!$B$39))))</f>
        <v>#VALUE!</v>
      </c>
      <c r="BJ43" s="105" t="e">
        <f>BH43*'Alternative 2'!$K44/'Alternative 2'!$L44</f>
        <v>#VALUE!</v>
      </c>
      <c r="BK43" s="105" t="e">
        <f>BI43/'Alternative 2'!$M44</f>
        <v>#VALUE!</v>
      </c>
      <c r="BL43" s="105" t="e">
        <f t="shared" si="9"/>
        <v>#VALUE!</v>
      </c>
      <c r="BN43" s="105" t="e">
        <f>'Alternative 2'!$B$39*$B43*$C43*COS($K$83)-($N$82/3)*$E43*SIN($K$83)-($N$82/3)*$F43*SIN($K$83)-($N$82/3)*$G43*SIN($K$83)</f>
        <v>#VALUE!</v>
      </c>
      <c r="BO43" s="106" t="e">
        <f>IF(($A43&lt;'Alternative 2'!$B$27),(($H43*'Alternative 2'!$B$39)+(3*($N$82/3)*COS($K$83))),IF(($A43&lt;'Alternative 2'!$B$28),(($H43*'Alternative 2'!$B$39)+(2*(($N$82/3)*COS($K$83)))),IF(($A43&lt;'Alternative 2'!$B$29),(($H$3*'Alternative 2'!$B$39+(($N$82/3)*COS($K$83)))),($H43*'Alternative 2'!$B$39))))</f>
        <v>#VALUE!</v>
      </c>
      <c r="BP43" s="105" t="e">
        <f>BN43*'Alternative 2'!$K44/'Alternative 2'!$L44</f>
        <v>#VALUE!</v>
      </c>
      <c r="BQ43" s="105" t="e">
        <f>BO43/'Alternative 2'!$M44</f>
        <v>#VALUE!</v>
      </c>
      <c r="BR43" s="105" t="e">
        <f t="shared" si="10"/>
        <v>#VALUE!</v>
      </c>
      <c r="BT43" s="105" t="e">
        <f>'Alternative 2'!$B$39*$B43*$C43*COS($K$93)-($K$92/3)*$E43*SIN($K$93)-($K$92/3)*$F43*SIN($K$93)-($K$92/3)*$G43*SIN($K$93)</f>
        <v>#VALUE!</v>
      </c>
      <c r="BU43" s="106" t="e">
        <f>IF(($A43&lt;'Alternative 2'!$B$27),(($H43*'Alternative 2'!$B$39)+(3*($N$92/3)*COS($K$93))),IF(($A43&lt;'Alternative 2'!$B$28),(($H43*'Alternative 2'!$B$39)+(2*(($N$92/3)*COS($K$93)))),IF(($A43&lt;'Alternative 2'!$B$29),(($H$3*'Alternative 2'!$B$39+(($N$92/3)*COS($K$93)))),($H43*'Alternative 2'!$B$39))))</f>
        <v>#VALUE!</v>
      </c>
      <c r="BV43" s="105" t="e">
        <f>BT43*'Alternative 2'!$K44/'Alternative 2'!$L44</f>
        <v>#VALUE!</v>
      </c>
      <c r="BW43" s="105" t="e">
        <f>BU43/'Alternative 2'!$M44</f>
        <v>#VALUE!</v>
      </c>
      <c r="BX43" s="105" t="e">
        <f t="shared" si="11"/>
        <v>#VALUE!</v>
      </c>
      <c r="BZ43" s="104">
        <v>150</v>
      </c>
      <c r="CA43" s="104">
        <v>-150</v>
      </c>
    </row>
    <row r="44" spans="1:79" ht="15" customHeight="1" x14ac:dyDescent="0.25">
      <c r="A44" s="18" t="str">
        <f>IF('Alternative 2'!F45&gt;0,'Alternative 2'!F45,"x")</f>
        <v>x</v>
      </c>
      <c r="B44" s="18" t="e">
        <f t="shared" si="17"/>
        <v>#VALUE!</v>
      </c>
      <c r="C44" s="18">
        <f t="shared" si="12"/>
        <v>0</v>
      </c>
      <c r="D44" s="18" t="str">
        <f t="shared" si="13"/>
        <v>x</v>
      </c>
      <c r="E44" s="101">
        <f>IF($A44&lt;='Alternative 2'!$B$27, IF($A44='Alternative 2'!$B$27,0,E45+1),0)</f>
        <v>0</v>
      </c>
      <c r="F44" s="101">
        <f>IF($A44&lt;=('Alternative 2'!$B$28), IF($A44=ROUNDDOWN('Alternative 2'!$B$28,0),0,F45+1),0)</f>
        <v>0</v>
      </c>
      <c r="G44" s="101">
        <f>IF($A44&lt;=('Alternative 2'!$B$29), IF($A44=ROUNDDOWN('Alternative 2'!$B$29,0),0,G45+1),0)</f>
        <v>0</v>
      </c>
      <c r="H44" s="18" t="e">
        <f t="shared" si="14"/>
        <v>#VALUE!</v>
      </c>
      <c r="J44" s="104">
        <f t="shared" si="15"/>
        <v>41</v>
      </c>
      <c r="K44" s="104">
        <f t="shared" si="16"/>
        <v>0.715584993317675</v>
      </c>
      <c r="L44" s="105">
        <f>'Alternative 2'!$B$27*SIN(K44)+'Alternative 2'!$B$28*SIN(K44)+'Alternative 2'!$B$29*SIN(K44)</f>
        <v>28.203977656301902</v>
      </c>
      <c r="M44" s="104">
        <f>(('Alternative 2'!$B$27)*(((('Alternative 2'!$B$28-'Alternative 2'!$B$27)/2)+'Alternative 2'!$B$27)*'Alternative 2'!$B$39)*COS('Alternative 2-Tilt Up (3pt)'!K44))+(('Alternative 2'!$B$28)*((('Alternative 2'!$B$28-'Alternative 2'!$B$27)/2)+(('Alternative 2'!$B$29-'Alternative 2'!$B$28)/2))*('Alternative 2'!$B$39)*COS('Alternative 2-Tilt Up (3pt)'!K44))+(('Alternative 2'!$B$29)*((('Alternative 2'!$B$12-'Alternative 2'!$B$29+(('Alternative 2'!$B$29-'Alternative 2'!$B$28)/2)*('Alternative 2'!$B$39)*COS('Alternative 2-Tilt Up (3pt)'!K44)))))</f>
        <v>460242.38200956513</v>
      </c>
      <c r="N44" s="104">
        <f t="shared" si="0"/>
        <v>48955.050342701768</v>
      </c>
      <c r="O44" s="104">
        <f>(((('Alternative 2'!$B$28-'Alternative 2'!$B$27)/2)+'Alternative 2'!$B$27)*('Alternative 2'!$B$39)*COS('Alternative 2-Tilt Up (3pt)'!K44))+(((('Alternative 2'!$B$28-'Alternative 2'!$B$27)/2)+(('Alternative 2'!$B$29-'Alternative 2'!$B$28)/2))*('Alternative 2'!$B$39)*COS('Alternative 2-Tilt Up (3pt)'!K44))+(((('Alternative 2'!$B$12-'Alternative 2'!$B$29)+(('Alternative 2'!$B$29-'Alternative 2'!$B$28)/2))*('Alternative 2'!$B$39)*COS('Alternative 2-Tilt Up (3pt)'!K44)))</f>
        <v>47228.094809587586</v>
      </c>
      <c r="P44" s="104">
        <f t="shared" si="1"/>
        <v>36946.845493925131</v>
      </c>
      <c r="R44" s="105" t="e">
        <f>'Alternative 2'!$B$39*$B44*$C44*COS($K$5)-($N$5/3)*$E44*SIN($K$5)-($N$5/3)*$F44*SIN($K$5)-($N$5/3)*$G44*SIN($K$5)</f>
        <v>#VALUE!</v>
      </c>
      <c r="S44" s="106" t="e">
        <f>IF(($A44&lt;'Alternative 2'!$B$27),(($H44*'Alternative 2'!$B$39)+(3*($N$5/3)*COS($K$5))),IF(($A44&lt;'Alternative 2'!$B$28),(($H44*'Alternative 2'!$B$39)+(2*(($N$5/3)*COS($K$5)))),IF(($A44&lt;'Alternative 2'!$B$29),(($H$3*'Alternative 2'!$B$39+(($N$5/3)*COS($K$5)))),($H44*'Alternative 2'!$B$39))))</f>
        <v>#VALUE!</v>
      </c>
      <c r="T44" s="105" t="e">
        <f>R44*'Alternative 2'!$K45/'Alternative 2'!$L45</f>
        <v>#VALUE!</v>
      </c>
      <c r="U44" s="105" t="e">
        <f>S44/'Alternative 2'!$M45</f>
        <v>#VALUE!</v>
      </c>
      <c r="V44" s="105" t="e">
        <f t="shared" si="2"/>
        <v>#VALUE!</v>
      </c>
      <c r="X44" s="105" t="e">
        <f>'Alternative 2'!$B$39*$B44*$C44*COS($K$13)-($N$12/3)*$E44*SIN($K$13)-($N$12/3)*$F44*SIN($K$13)-($N$12/3)*$G44*SIN($K$13)</f>
        <v>#VALUE!</v>
      </c>
      <c r="Y44" s="106" t="e">
        <f>IF(($A44&lt;'Alternative 2'!$B$27),(($H44*'Alternative 2'!$B$39)+(3*($N$12/3)*COS($K$13))),IF(($A44&lt;'Alternative 2'!$B$28),(($H44*'Alternative 2'!$B$39)+(2*(($N$12/3)*COS($K$13)))),IF(($A44&lt;'Alternative 2'!$B$29),(($H$3*'Alternative 2'!$B$39+(($N$12/3)*COS($K$13)))),($H44*'Alternative 2'!$B$39))))</f>
        <v>#VALUE!</v>
      </c>
      <c r="Z44" s="105" t="e">
        <f>X44*'Alternative 2'!$K45/'Alternative 2'!$L45</f>
        <v>#VALUE!</v>
      </c>
      <c r="AA44" s="105" t="e">
        <f>Y44/'Alternative 2'!$M45</f>
        <v>#VALUE!</v>
      </c>
      <c r="AB44" s="105" t="e">
        <f t="shared" si="3"/>
        <v>#VALUE!</v>
      </c>
      <c r="AD44" s="105" t="e">
        <f>'Alternative 2'!$B$39*$B44*$C44*COS($K$23)-($N$22/3)*$E44*SIN($K$23)-($N$22/3)*$F44*SIN($K$23)-($N$22/3)*$G44*SIN($K$23)</f>
        <v>#VALUE!</v>
      </c>
      <c r="AE44" s="106" t="e">
        <f>IF(($A44&lt;'Alternative 2'!$B$27),(($H44*'Alternative 2'!$B$39)+(3*($N$22/3)*COS($K$23))),IF(($A44&lt;'Alternative 2'!$B$28),(($H44*'Alternative 2'!$B$39)+(2*(($N$22/3)*COS($K$23)))),IF(($A44&lt;'Alternative 2'!$B$29),(($H$3*'Alternative 2'!$B$39+(($N$22/3)*COS($K$23)))),($H44*'Alternative 2'!$B$39))))</f>
        <v>#VALUE!</v>
      </c>
      <c r="AF44" s="105" t="e">
        <f>AD44*'Alternative 2'!$K45/'Alternative 2'!$L45</f>
        <v>#VALUE!</v>
      </c>
      <c r="AG44" s="105" t="e">
        <f>AE44/'Alternative 2'!$M45</f>
        <v>#VALUE!</v>
      </c>
      <c r="AH44" s="105" t="e">
        <f t="shared" si="4"/>
        <v>#VALUE!</v>
      </c>
      <c r="AJ44" s="105" t="e">
        <f>'Alternative 2'!$B$39*$B44*$C44*COS($K$33)-($N$32/3)*$E44*SIN($K$33)-($N$32/3)*$F44*SIN($K$33)-($N$32/3)*$G44*SIN($K$33)</f>
        <v>#VALUE!</v>
      </c>
      <c r="AK44" s="106" t="e">
        <f>IF(($A44&lt;'Alternative 2'!$B$27),(($H44*'Alternative 2'!$B$39)+(3*($N$32/3)*COS($K$33))),IF(($A44&lt;'Alternative 2'!$B$28),(($H44*'Alternative 2'!$B$39)+(2*(($N$32/3)*COS($K$33)))),IF(($A44&lt;'Alternative 2'!$B$29),(($H$3*'Alternative 2'!$B$39+(($N$32/3)*COS($K$33)))),($H44*'Alternative 2'!$B$39))))</f>
        <v>#VALUE!</v>
      </c>
      <c r="AL44" s="105" t="e">
        <f>AJ44*'Alternative 2'!$K45/'Alternative 2'!$L45</f>
        <v>#VALUE!</v>
      </c>
      <c r="AM44" s="105" t="e">
        <f>AK44/'Alternative 2'!$M45</f>
        <v>#VALUE!</v>
      </c>
      <c r="AN44" s="105" t="e">
        <f t="shared" si="5"/>
        <v>#VALUE!</v>
      </c>
      <c r="AP44" s="105" t="e">
        <f>'Alternative 2'!$B$39*$B44*$C44*COS($K$43)-($N$42/3)*$E44*SIN($K$43)-($N$42/3)*$F44*SIN($K$43)-($N$42/3)*$G44*SIN($K$43)</f>
        <v>#VALUE!</v>
      </c>
      <c r="AQ44" s="106" t="e">
        <f>IF(($A44&lt;'Alternative 2'!$B$27),(($H44*'Alternative 2'!$B$39)+(3*($N$42/3)*COS($K$43))),IF(($A44&lt;'Alternative 2'!$B$28),(($H44*'Alternative 2'!$B$39)+(2*(($N$42/3)*COS($K$43)))),IF(($A44&lt;'Alternative 2'!$B$29),(($H$3*'Alternative 2'!$B$39+(($N$42/3)*COS($K$43)))),($H44*'Alternative 2'!$B$39))))</f>
        <v>#VALUE!</v>
      </c>
      <c r="AR44" s="105" t="e">
        <f>AP44*'Alternative 2'!$K45/'Alternative 2'!$L45</f>
        <v>#VALUE!</v>
      </c>
      <c r="AS44" s="105" t="e">
        <f>AQ44/'Alternative 2'!$M45</f>
        <v>#VALUE!</v>
      </c>
      <c r="AT44" s="105" t="e">
        <f t="shared" si="6"/>
        <v>#VALUE!</v>
      </c>
      <c r="AV44" s="105" t="e">
        <f>'Alternative 2'!$B$39*$B44*$C44*COS($K$53)-($N$52/3)*$E44*SIN($K$53)-($N$52/3)*$F44*SIN($K$53)-($N$52/3)*$G44*SIN($K$53)</f>
        <v>#VALUE!</v>
      </c>
      <c r="AW44" s="106" t="e">
        <f>IF(($A44&lt;'Alternative 2'!$B$27),(($H44*'Alternative 2'!$B$39)+(3*($N$52/3)*COS($K$53))),IF(($A44&lt;'Alternative 2'!$B$28),(($H44*'Alternative 2'!$B$39)+(2*(($N$52/3)*COS($K$53)))),IF(($A44&lt;'Alternative 2'!$B$29),(($H$3*'Alternative 2'!$B$39+(($N$52/3)*COS($K$53)))),($H44*'Alternative 2'!$B$39))))</f>
        <v>#VALUE!</v>
      </c>
      <c r="AX44" s="105" t="e">
        <f>AV44*'Alternative 2'!$K45/'Alternative 2'!$L45</f>
        <v>#VALUE!</v>
      </c>
      <c r="AY44" s="105" t="e">
        <f>AW44/'Alternative 2'!$M45</f>
        <v>#VALUE!</v>
      </c>
      <c r="AZ44" s="105" t="e">
        <f t="shared" si="7"/>
        <v>#VALUE!</v>
      </c>
      <c r="BB44" s="105" t="e">
        <f>'Alternative 2'!$B$39*$B44*$C44*COS($K$63)-($N$62/3)*$E44*SIN($K$63)-($N$62/3)*$F44*SIN($K$63)-($N$62/3)*$G44*SIN($K$63)</f>
        <v>#VALUE!</v>
      </c>
      <c r="BC44" s="106" t="e">
        <f>IF(($A44&lt;'Alternative 2'!$B$27),(($H44*'Alternative 2'!$B$39)+(3*($N$62/3)*COS($K$63))),IF(($A44&lt;'Alternative 2'!$B$28),(($H44*'Alternative 2'!$B$39)+(2*(($N$62/3)*COS($K$63)))),IF(($A44&lt;'Alternative 2'!$B$29),(($H$3*'Alternative 2'!$B$39+(($N$62/3)*COS($K$63)))),($H44*'Alternative 2'!$B$39))))</f>
        <v>#VALUE!</v>
      </c>
      <c r="BD44" s="105" t="e">
        <f>BB44*'Alternative 2'!$K45/'Alternative 2'!$L45</f>
        <v>#VALUE!</v>
      </c>
      <c r="BE44" s="105" t="e">
        <f>BC44/'Alternative 2'!$M45</f>
        <v>#VALUE!</v>
      </c>
      <c r="BF44" s="105" t="e">
        <f t="shared" si="8"/>
        <v>#VALUE!</v>
      </c>
      <c r="BH44" s="105" t="e">
        <f>'Alternative 2'!$B$39*$B44*$C44*COS($K$73)-($N$72/3)*$E44*SIN($K$73)-($N$72/3)*$F44*SIN($K$73)-($N$72/3)*$G44*SIN($K$73)</f>
        <v>#VALUE!</v>
      </c>
      <c r="BI44" s="106" t="e">
        <f>IF(($A44&lt;'Alternative 2'!$B$27),(($H44*'Alternative 2'!$B$39)+(3*($N$72/3)*COS($K$73))),IF(($A44&lt;'Alternative 2'!$B$28),(($H44*'Alternative 2'!$B$39)+(2*(($N$72/3)*COS($K$73)))),IF(($A44&lt;'Alternative 2'!$B$29),(($H$3*'Alternative 2'!$B$39+(($N$72/3)*COS($K$73)))),($H44*'Alternative 2'!$B$39))))</f>
        <v>#VALUE!</v>
      </c>
      <c r="BJ44" s="105" t="e">
        <f>BH44*'Alternative 2'!$K45/'Alternative 2'!$L45</f>
        <v>#VALUE!</v>
      </c>
      <c r="BK44" s="105" t="e">
        <f>BI44/'Alternative 2'!$M45</f>
        <v>#VALUE!</v>
      </c>
      <c r="BL44" s="105" t="e">
        <f t="shared" si="9"/>
        <v>#VALUE!</v>
      </c>
      <c r="BN44" s="105" t="e">
        <f>'Alternative 2'!$B$39*$B44*$C44*COS($K$83)-($N$82/3)*$E44*SIN($K$83)-($N$82/3)*$F44*SIN($K$83)-($N$82/3)*$G44*SIN($K$83)</f>
        <v>#VALUE!</v>
      </c>
      <c r="BO44" s="106" t="e">
        <f>IF(($A44&lt;'Alternative 2'!$B$27),(($H44*'Alternative 2'!$B$39)+(3*($N$82/3)*COS($K$83))),IF(($A44&lt;'Alternative 2'!$B$28),(($H44*'Alternative 2'!$B$39)+(2*(($N$82/3)*COS($K$83)))),IF(($A44&lt;'Alternative 2'!$B$29),(($H$3*'Alternative 2'!$B$39+(($N$82/3)*COS($K$83)))),($H44*'Alternative 2'!$B$39))))</f>
        <v>#VALUE!</v>
      </c>
      <c r="BP44" s="105" t="e">
        <f>BN44*'Alternative 2'!$K45/'Alternative 2'!$L45</f>
        <v>#VALUE!</v>
      </c>
      <c r="BQ44" s="105" t="e">
        <f>BO44/'Alternative 2'!$M45</f>
        <v>#VALUE!</v>
      </c>
      <c r="BR44" s="105" t="e">
        <f t="shared" si="10"/>
        <v>#VALUE!</v>
      </c>
      <c r="BT44" s="105" t="e">
        <f>'Alternative 2'!$B$39*$B44*$C44*COS($K$93)-($K$92/3)*$E44*SIN($K$93)-($K$92/3)*$F44*SIN($K$93)-($K$92/3)*$G44*SIN($K$93)</f>
        <v>#VALUE!</v>
      </c>
      <c r="BU44" s="106" t="e">
        <f>IF(($A44&lt;'Alternative 2'!$B$27),(($H44*'Alternative 2'!$B$39)+(3*($N$92/3)*COS($K$93))),IF(($A44&lt;'Alternative 2'!$B$28),(($H44*'Alternative 2'!$B$39)+(2*(($N$92/3)*COS($K$93)))),IF(($A44&lt;'Alternative 2'!$B$29),(($H$3*'Alternative 2'!$B$39+(($N$92/3)*COS($K$93)))),($H44*'Alternative 2'!$B$39))))</f>
        <v>#VALUE!</v>
      </c>
      <c r="BV44" s="105" t="e">
        <f>BT44*'Alternative 2'!$K45/'Alternative 2'!$L45</f>
        <v>#VALUE!</v>
      </c>
      <c r="BW44" s="105" t="e">
        <f>BU44/'Alternative 2'!$M45</f>
        <v>#VALUE!</v>
      </c>
      <c r="BX44" s="105" t="e">
        <f t="shared" si="11"/>
        <v>#VALUE!</v>
      </c>
      <c r="BZ44" s="104">
        <v>150</v>
      </c>
      <c r="CA44" s="104">
        <v>-150</v>
      </c>
    </row>
    <row r="45" spans="1:79" ht="15" customHeight="1" x14ac:dyDescent="0.25">
      <c r="A45" s="18" t="str">
        <f>IF('Alternative 2'!F46&gt;0,'Alternative 2'!F46,"x")</f>
        <v>x</v>
      </c>
      <c r="B45" s="18" t="e">
        <f t="shared" si="17"/>
        <v>#VALUE!</v>
      </c>
      <c r="C45" s="18">
        <f t="shared" si="12"/>
        <v>0</v>
      </c>
      <c r="D45" s="18" t="str">
        <f t="shared" si="13"/>
        <v>x</v>
      </c>
      <c r="E45" s="101">
        <f>IF($A45&lt;='Alternative 2'!$B$27, IF($A45='Alternative 2'!$B$27,0,E46+1),0)</f>
        <v>0</v>
      </c>
      <c r="F45" s="101">
        <f>IF($A45&lt;=('Alternative 2'!$B$28), IF($A45=ROUNDDOWN('Alternative 2'!$B$28,0),0,F46+1),0)</f>
        <v>0</v>
      </c>
      <c r="G45" s="101">
        <f>IF($A45&lt;=('Alternative 2'!$B$29), IF($A45=ROUNDDOWN('Alternative 2'!$B$29,0),0,G46+1),0)</f>
        <v>0</v>
      </c>
      <c r="H45" s="18" t="e">
        <f t="shared" si="14"/>
        <v>#VALUE!</v>
      </c>
      <c r="J45" s="104">
        <f t="shared" si="15"/>
        <v>42</v>
      </c>
      <c r="K45" s="104">
        <f t="shared" si="16"/>
        <v>0.73303828583761843</v>
      </c>
      <c r="L45" s="105">
        <f>'Alternative 2'!$B$27*SIN(K45)+'Alternative 2'!$B$28*SIN(K45)+'Alternative 2'!$B$29*SIN(K45)</f>
        <v>28.765924767367316</v>
      </c>
      <c r="M45" s="104">
        <f>(('Alternative 2'!$B$27)*(((('Alternative 2'!$B$28-'Alternative 2'!$B$27)/2)+'Alternative 2'!$B$27)*'Alternative 2'!$B$39)*COS('Alternative 2-Tilt Up (3pt)'!K45))+(('Alternative 2'!$B$28)*((('Alternative 2'!$B$28-'Alternative 2'!$B$27)/2)+(('Alternative 2'!$B$29-'Alternative 2'!$B$28)/2))*('Alternative 2'!$B$39)*COS('Alternative 2-Tilt Up (3pt)'!K45))+(('Alternative 2'!$B$29)*((('Alternative 2'!$B$12-'Alternative 2'!$B$29+(('Alternative 2'!$B$29-'Alternative 2'!$B$28)/2)*('Alternative 2'!$B$39)*COS('Alternative 2-Tilt Up (3pt)'!K45)))))</f>
        <v>453191.12170215766</v>
      </c>
      <c r="N45" s="104">
        <f t="shared" si="0"/>
        <v>47263.328959575192</v>
      </c>
      <c r="O45" s="104">
        <f>(((('Alternative 2'!$B$28-'Alternative 2'!$B$27)/2)+'Alternative 2'!$B$27)*('Alternative 2'!$B$39)*COS('Alternative 2-Tilt Up (3pt)'!K45))+(((('Alternative 2'!$B$28-'Alternative 2'!$B$27)/2)+(('Alternative 2'!$B$29-'Alternative 2'!$B$28)/2))*('Alternative 2'!$B$39)*COS('Alternative 2-Tilt Up (3pt)'!K45))+(((('Alternative 2'!$B$12-'Alternative 2'!$B$29)+(('Alternative 2'!$B$29-'Alternative 2'!$B$28)/2))*('Alternative 2'!$B$39)*COS('Alternative 2-Tilt Up (3pt)'!K45)))</f>
        <v>46504.397445890259</v>
      </c>
      <c r="P45" s="104">
        <f t="shared" si="1"/>
        <v>35123.498351144182</v>
      </c>
      <c r="R45" s="105" t="e">
        <f>'Alternative 2'!$B$39*$B45*$C45*COS($K$5)-($N$5/3)*$E45*SIN($K$5)-($N$5/3)*$F45*SIN($K$5)-($N$5/3)*$G45*SIN($K$5)</f>
        <v>#VALUE!</v>
      </c>
      <c r="S45" s="106" t="e">
        <f>IF(($A45&lt;'Alternative 2'!$B$27),(($H45*'Alternative 2'!$B$39)+(3*($N$5/3)*COS($K$5))),IF(($A45&lt;'Alternative 2'!$B$28),(($H45*'Alternative 2'!$B$39)+(2*(($N$5/3)*COS($K$5)))),IF(($A45&lt;'Alternative 2'!$B$29),(($H$3*'Alternative 2'!$B$39+(($N$5/3)*COS($K$5)))),($H45*'Alternative 2'!$B$39))))</f>
        <v>#VALUE!</v>
      </c>
      <c r="T45" s="105" t="e">
        <f>R45*'Alternative 2'!$K46/'Alternative 2'!$L46</f>
        <v>#VALUE!</v>
      </c>
      <c r="U45" s="105" t="e">
        <f>S45/'Alternative 2'!$M46</f>
        <v>#VALUE!</v>
      </c>
      <c r="V45" s="105" t="e">
        <f t="shared" si="2"/>
        <v>#VALUE!</v>
      </c>
      <c r="X45" s="105" t="e">
        <f>'Alternative 2'!$B$39*$B45*$C45*COS($K$13)-($N$12/3)*$E45*SIN($K$13)-($N$12/3)*$F45*SIN($K$13)-($N$12/3)*$G45*SIN($K$13)</f>
        <v>#VALUE!</v>
      </c>
      <c r="Y45" s="106" t="e">
        <f>IF(($A45&lt;'Alternative 2'!$B$27),(($H45*'Alternative 2'!$B$39)+(3*($N$12/3)*COS($K$13))),IF(($A45&lt;'Alternative 2'!$B$28),(($H45*'Alternative 2'!$B$39)+(2*(($N$12/3)*COS($K$13)))),IF(($A45&lt;'Alternative 2'!$B$29),(($H$3*'Alternative 2'!$B$39+(($N$12/3)*COS($K$13)))),($H45*'Alternative 2'!$B$39))))</f>
        <v>#VALUE!</v>
      </c>
      <c r="Z45" s="105" t="e">
        <f>X45*'Alternative 2'!$K46/'Alternative 2'!$L46</f>
        <v>#VALUE!</v>
      </c>
      <c r="AA45" s="105" t="e">
        <f>Y45/'Alternative 2'!$M46</f>
        <v>#VALUE!</v>
      </c>
      <c r="AB45" s="105" t="e">
        <f t="shared" si="3"/>
        <v>#VALUE!</v>
      </c>
      <c r="AD45" s="105" t="e">
        <f>'Alternative 2'!$B$39*$B45*$C45*COS($K$23)-($N$22/3)*$E45*SIN($K$23)-($N$22/3)*$F45*SIN($K$23)-($N$22/3)*$G45*SIN($K$23)</f>
        <v>#VALUE!</v>
      </c>
      <c r="AE45" s="106" t="e">
        <f>IF(($A45&lt;'Alternative 2'!$B$27),(($H45*'Alternative 2'!$B$39)+(3*($N$22/3)*COS($K$23))),IF(($A45&lt;'Alternative 2'!$B$28),(($H45*'Alternative 2'!$B$39)+(2*(($N$22/3)*COS($K$23)))),IF(($A45&lt;'Alternative 2'!$B$29),(($H$3*'Alternative 2'!$B$39+(($N$22/3)*COS($K$23)))),($H45*'Alternative 2'!$B$39))))</f>
        <v>#VALUE!</v>
      </c>
      <c r="AF45" s="105" t="e">
        <f>AD45*'Alternative 2'!$K46/'Alternative 2'!$L46</f>
        <v>#VALUE!</v>
      </c>
      <c r="AG45" s="105" t="e">
        <f>AE45/'Alternative 2'!$M46</f>
        <v>#VALUE!</v>
      </c>
      <c r="AH45" s="105" t="e">
        <f t="shared" si="4"/>
        <v>#VALUE!</v>
      </c>
      <c r="AJ45" s="105" t="e">
        <f>'Alternative 2'!$B$39*$B45*$C45*COS($K$33)-($N$32/3)*$E45*SIN($K$33)-($N$32/3)*$F45*SIN($K$33)-($N$32/3)*$G45*SIN($K$33)</f>
        <v>#VALUE!</v>
      </c>
      <c r="AK45" s="106" t="e">
        <f>IF(($A45&lt;'Alternative 2'!$B$27),(($H45*'Alternative 2'!$B$39)+(3*($N$32/3)*COS($K$33))),IF(($A45&lt;'Alternative 2'!$B$28),(($H45*'Alternative 2'!$B$39)+(2*(($N$32/3)*COS($K$33)))),IF(($A45&lt;'Alternative 2'!$B$29),(($H$3*'Alternative 2'!$B$39+(($N$32/3)*COS($K$33)))),($H45*'Alternative 2'!$B$39))))</f>
        <v>#VALUE!</v>
      </c>
      <c r="AL45" s="105" t="e">
        <f>AJ45*'Alternative 2'!$K46/'Alternative 2'!$L46</f>
        <v>#VALUE!</v>
      </c>
      <c r="AM45" s="105" t="e">
        <f>AK45/'Alternative 2'!$M46</f>
        <v>#VALUE!</v>
      </c>
      <c r="AN45" s="105" t="e">
        <f t="shared" si="5"/>
        <v>#VALUE!</v>
      </c>
      <c r="AP45" s="105" t="e">
        <f>'Alternative 2'!$B$39*$B45*$C45*COS($K$43)-($N$42/3)*$E45*SIN($K$43)-($N$42/3)*$F45*SIN($K$43)-($N$42/3)*$G45*SIN($K$43)</f>
        <v>#VALUE!</v>
      </c>
      <c r="AQ45" s="106" t="e">
        <f>IF(($A45&lt;'Alternative 2'!$B$27),(($H45*'Alternative 2'!$B$39)+(3*($N$42/3)*COS($K$43))),IF(($A45&lt;'Alternative 2'!$B$28),(($H45*'Alternative 2'!$B$39)+(2*(($N$42/3)*COS($K$43)))),IF(($A45&lt;'Alternative 2'!$B$29),(($H$3*'Alternative 2'!$B$39+(($N$42/3)*COS($K$43)))),($H45*'Alternative 2'!$B$39))))</f>
        <v>#VALUE!</v>
      </c>
      <c r="AR45" s="105" t="e">
        <f>AP45*'Alternative 2'!$K46/'Alternative 2'!$L46</f>
        <v>#VALUE!</v>
      </c>
      <c r="AS45" s="105" t="e">
        <f>AQ45/'Alternative 2'!$M46</f>
        <v>#VALUE!</v>
      </c>
      <c r="AT45" s="105" t="e">
        <f t="shared" si="6"/>
        <v>#VALUE!</v>
      </c>
      <c r="AV45" s="105" t="e">
        <f>'Alternative 2'!$B$39*$B45*$C45*COS($K$53)-($N$52/3)*$E45*SIN($K$53)-($N$52/3)*$F45*SIN($K$53)-($N$52/3)*$G45*SIN($K$53)</f>
        <v>#VALUE!</v>
      </c>
      <c r="AW45" s="106" t="e">
        <f>IF(($A45&lt;'Alternative 2'!$B$27),(($H45*'Alternative 2'!$B$39)+(3*($N$52/3)*COS($K$53))),IF(($A45&lt;'Alternative 2'!$B$28),(($H45*'Alternative 2'!$B$39)+(2*(($N$52/3)*COS($K$53)))),IF(($A45&lt;'Alternative 2'!$B$29),(($H$3*'Alternative 2'!$B$39+(($N$52/3)*COS($K$53)))),($H45*'Alternative 2'!$B$39))))</f>
        <v>#VALUE!</v>
      </c>
      <c r="AX45" s="105" t="e">
        <f>AV45*'Alternative 2'!$K46/'Alternative 2'!$L46</f>
        <v>#VALUE!</v>
      </c>
      <c r="AY45" s="105" t="e">
        <f>AW45/'Alternative 2'!$M46</f>
        <v>#VALUE!</v>
      </c>
      <c r="AZ45" s="105" t="e">
        <f t="shared" si="7"/>
        <v>#VALUE!</v>
      </c>
      <c r="BB45" s="105" t="e">
        <f>'Alternative 2'!$B$39*$B45*$C45*COS($K$63)-($N$62/3)*$E45*SIN($K$63)-($N$62/3)*$F45*SIN($K$63)-($N$62/3)*$G45*SIN($K$63)</f>
        <v>#VALUE!</v>
      </c>
      <c r="BC45" s="106" t="e">
        <f>IF(($A45&lt;'Alternative 2'!$B$27),(($H45*'Alternative 2'!$B$39)+(3*($N$62/3)*COS($K$63))),IF(($A45&lt;'Alternative 2'!$B$28),(($H45*'Alternative 2'!$B$39)+(2*(($N$62/3)*COS($K$63)))),IF(($A45&lt;'Alternative 2'!$B$29),(($H$3*'Alternative 2'!$B$39+(($N$62/3)*COS($K$63)))),($H45*'Alternative 2'!$B$39))))</f>
        <v>#VALUE!</v>
      </c>
      <c r="BD45" s="105" t="e">
        <f>BB45*'Alternative 2'!$K46/'Alternative 2'!$L46</f>
        <v>#VALUE!</v>
      </c>
      <c r="BE45" s="105" t="e">
        <f>BC45/'Alternative 2'!$M46</f>
        <v>#VALUE!</v>
      </c>
      <c r="BF45" s="105" t="e">
        <f t="shared" si="8"/>
        <v>#VALUE!</v>
      </c>
      <c r="BH45" s="105" t="e">
        <f>'Alternative 2'!$B$39*$B45*$C45*COS($K$73)-($N$72/3)*$E45*SIN($K$73)-($N$72/3)*$F45*SIN($K$73)-($N$72/3)*$G45*SIN($K$73)</f>
        <v>#VALUE!</v>
      </c>
      <c r="BI45" s="106" t="e">
        <f>IF(($A45&lt;'Alternative 2'!$B$27),(($H45*'Alternative 2'!$B$39)+(3*($N$72/3)*COS($K$73))),IF(($A45&lt;'Alternative 2'!$B$28),(($H45*'Alternative 2'!$B$39)+(2*(($N$72/3)*COS($K$73)))),IF(($A45&lt;'Alternative 2'!$B$29),(($H$3*'Alternative 2'!$B$39+(($N$72/3)*COS($K$73)))),($H45*'Alternative 2'!$B$39))))</f>
        <v>#VALUE!</v>
      </c>
      <c r="BJ45" s="105" t="e">
        <f>BH45*'Alternative 2'!$K46/'Alternative 2'!$L46</f>
        <v>#VALUE!</v>
      </c>
      <c r="BK45" s="105" t="e">
        <f>BI45/'Alternative 2'!$M46</f>
        <v>#VALUE!</v>
      </c>
      <c r="BL45" s="105" t="e">
        <f t="shared" si="9"/>
        <v>#VALUE!</v>
      </c>
      <c r="BN45" s="105" t="e">
        <f>'Alternative 2'!$B$39*$B45*$C45*COS($K$83)-($N$82/3)*$E45*SIN($K$83)-($N$82/3)*$F45*SIN($K$83)-($N$82/3)*$G45*SIN($K$83)</f>
        <v>#VALUE!</v>
      </c>
      <c r="BO45" s="106" t="e">
        <f>IF(($A45&lt;'Alternative 2'!$B$27),(($H45*'Alternative 2'!$B$39)+(3*($N$82/3)*COS($K$83))),IF(($A45&lt;'Alternative 2'!$B$28),(($H45*'Alternative 2'!$B$39)+(2*(($N$82/3)*COS($K$83)))),IF(($A45&lt;'Alternative 2'!$B$29),(($H$3*'Alternative 2'!$B$39+(($N$82/3)*COS($K$83)))),($H45*'Alternative 2'!$B$39))))</f>
        <v>#VALUE!</v>
      </c>
      <c r="BP45" s="105" t="e">
        <f>BN45*'Alternative 2'!$K46/'Alternative 2'!$L46</f>
        <v>#VALUE!</v>
      </c>
      <c r="BQ45" s="105" t="e">
        <f>BO45/'Alternative 2'!$M46</f>
        <v>#VALUE!</v>
      </c>
      <c r="BR45" s="105" t="e">
        <f t="shared" si="10"/>
        <v>#VALUE!</v>
      </c>
      <c r="BT45" s="105" t="e">
        <f>'Alternative 2'!$B$39*$B45*$C45*COS($K$93)-($K$92/3)*$E45*SIN($K$93)-($K$92/3)*$F45*SIN($K$93)-($K$92/3)*$G45*SIN($K$93)</f>
        <v>#VALUE!</v>
      </c>
      <c r="BU45" s="106" t="e">
        <f>IF(($A45&lt;'Alternative 2'!$B$27),(($H45*'Alternative 2'!$B$39)+(3*($N$92/3)*COS($K$93))),IF(($A45&lt;'Alternative 2'!$B$28),(($H45*'Alternative 2'!$B$39)+(2*(($N$92/3)*COS($K$93)))),IF(($A45&lt;'Alternative 2'!$B$29),(($H$3*'Alternative 2'!$B$39+(($N$92/3)*COS($K$93)))),($H45*'Alternative 2'!$B$39))))</f>
        <v>#VALUE!</v>
      </c>
      <c r="BV45" s="105" t="e">
        <f>BT45*'Alternative 2'!$K46/'Alternative 2'!$L46</f>
        <v>#VALUE!</v>
      </c>
      <c r="BW45" s="105" t="e">
        <f>BU45/'Alternative 2'!$M46</f>
        <v>#VALUE!</v>
      </c>
      <c r="BX45" s="105" t="e">
        <f t="shared" si="11"/>
        <v>#VALUE!</v>
      </c>
      <c r="BZ45" s="104">
        <v>150</v>
      </c>
      <c r="CA45" s="104">
        <v>-150</v>
      </c>
    </row>
    <row r="46" spans="1:79" ht="15" customHeight="1" x14ac:dyDescent="0.25">
      <c r="A46" s="18" t="str">
        <f>IF('Alternative 2'!F47&gt;0,'Alternative 2'!F47,"x")</f>
        <v>x</v>
      </c>
      <c r="B46" s="18" t="e">
        <f t="shared" si="17"/>
        <v>#VALUE!</v>
      </c>
      <c r="C46" s="18">
        <f t="shared" si="12"/>
        <v>0</v>
      </c>
      <c r="D46" s="18" t="str">
        <f t="shared" si="13"/>
        <v>x</v>
      </c>
      <c r="E46" s="101">
        <f>IF($A46&lt;='Alternative 2'!$B$27, IF($A46='Alternative 2'!$B$27,0,E47+1),0)</f>
        <v>0</v>
      </c>
      <c r="F46" s="101">
        <f>IF($A46&lt;=('Alternative 2'!$B$28), IF($A46=ROUNDDOWN('Alternative 2'!$B$28,0),0,F47+1),0)</f>
        <v>0</v>
      </c>
      <c r="G46" s="101">
        <f>IF($A46&lt;=('Alternative 2'!$B$29), IF($A46=ROUNDDOWN('Alternative 2'!$B$29,0),0,G47+1),0)</f>
        <v>0</v>
      </c>
      <c r="H46" s="18" t="e">
        <f t="shared" si="14"/>
        <v>#VALUE!</v>
      </c>
      <c r="J46" s="104">
        <f t="shared" si="15"/>
        <v>43</v>
      </c>
      <c r="K46" s="104">
        <f t="shared" si="16"/>
        <v>0.75049157835756164</v>
      </c>
      <c r="L46" s="105">
        <f>'Alternative 2'!$B$27*SIN(K46)+'Alternative 2'!$B$28*SIN(K46)+'Alternative 2'!$B$29*SIN(K46)</f>
        <v>29.319109499086807</v>
      </c>
      <c r="M46" s="104">
        <f>(('Alternative 2'!$B$27)*(((('Alternative 2'!$B$28-'Alternative 2'!$B$27)/2)+'Alternative 2'!$B$27)*'Alternative 2'!$B$39)*COS('Alternative 2-Tilt Up (3pt)'!K46))+(('Alternative 2'!$B$28)*((('Alternative 2'!$B$28-'Alternative 2'!$B$27)/2)+(('Alternative 2'!$B$29-'Alternative 2'!$B$28)/2))*('Alternative 2'!$B$39)*COS('Alternative 2-Tilt Up (3pt)'!K46))+(('Alternative 2'!$B$29)*((('Alternative 2'!$B$12-'Alternative 2'!$B$29+(('Alternative 2'!$B$29-'Alternative 2'!$B$28)/2)*('Alternative 2'!$B$39)*COS('Alternative 2-Tilt Up (3pt)'!K46)))))</f>
        <v>446001.83965755173</v>
      </c>
      <c r="N46" s="104">
        <f t="shared" si="0"/>
        <v>45635.953541301438</v>
      </c>
      <c r="O46" s="104">
        <f>(((('Alternative 2'!$B$28-'Alternative 2'!$B$27)/2)+'Alternative 2'!$B$27)*('Alternative 2'!$B$39)*COS('Alternative 2-Tilt Up (3pt)'!K46))+(((('Alternative 2'!$B$28-'Alternative 2'!$B$27)/2)+(('Alternative 2'!$B$29-'Alternative 2'!$B$28)/2))*('Alternative 2'!$B$39)*COS('Alternative 2-Tilt Up (3pt)'!K46))+(((('Alternative 2'!$B$12-'Alternative 2'!$B$29)+(('Alternative 2'!$B$29-'Alternative 2'!$B$28)/2))*('Alternative 2'!$B$39)*COS('Alternative 2-Tilt Up (3pt)'!K46)))</f>
        <v>45766.534392232723</v>
      </c>
      <c r="P46" s="104">
        <f t="shared" si="1"/>
        <v>33376.023549351303</v>
      </c>
      <c r="R46" s="105" t="e">
        <f>'Alternative 2'!$B$39*$B46*$C46*COS($K$5)-($N$5/3)*$E46*SIN($K$5)-($N$5/3)*$F46*SIN($K$5)-($N$5/3)*$G46*SIN($K$5)</f>
        <v>#VALUE!</v>
      </c>
      <c r="S46" s="106" t="e">
        <f>IF(($A46&lt;'Alternative 2'!$B$27),(($H46*'Alternative 2'!$B$39)+(3*($N$5/3)*COS($K$5))),IF(($A46&lt;'Alternative 2'!$B$28),(($H46*'Alternative 2'!$B$39)+(2*(($N$5/3)*COS($K$5)))),IF(($A46&lt;'Alternative 2'!$B$29),(($H$3*'Alternative 2'!$B$39+(($N$5/3)*COS($K$5)))),($H46*'Alternative 2'!$B$39))))</f>
        <v>#VALUE!</v>
      </c>
      <c r="T46" s="105" t="e">
        <f>R46*'Alternative 2'!$K47/'Alternative 2'!$L47</f>
        <v>#VALUE!</v>
      </c>
      <c r="U46" s="105" t="e">
        <f>S46/'Alternative 2'!$M47</f>
        <v>#VALUE!</v>
      </c>
      <c r="V46" s="105" t="e">
        <f t="shared" si="2"/>
        <v>#VALUE!</v>
      </c>
      <c r="X46" s="105" t="e">
        <f>'Alternative 2'!$B$39*$B46*$C46*COS($K$13)-($N$12/3)*$E46*SIN($K$13)-($N$12/3)*$F46*SIN($K$13)-($N$12/3)*$G46*SIN($K$13)</f>
        <v>#VALUE!</v>
      </c>
      <c r="Y46" s="106" t="e">
        <f>IF(($A46&lt;'Alternative 2'!$B$27),(($H46*'Alternative 2'!$B$39)+(3*($N$12/3)*COS($K$13))),IF(($A46&lt;'Alternative 2'!$B$28),(($H46*'Alternative 2'!$B$39)+(2*(($N$12/3)*COS($K$13)))),IF(($A46&lt;'Alternative 2'!$B$29),(($H$3*'Alternative 2'!$B$39+(($N$12/3)*COS($K$13)))),($H46*'Alternative 2'!$B$39))))</f>
        <v>#VALUE!</v>
      </c>
      <c r="Z46" s="105" t="e">
        <f>X46*'Alternative 2'!$K47/'Alternative 2'!$L47</f>
        <v>#VALUE!</v>
      </c>
      <c r="AA46" s="105" t="e">
        <f>Y46/'Alternative 2'!$M47</f>
        <v>#VALUE!</v>
      </c>
      <c r="AB46" s="105" t="e">
        <f t="shared" si="3"/>
        <v>#VALUE!</v>
      </c>
      <c r="AD46" s="105" t="e">
        <f>'Alternative 2'!$B$39*$B46*$C46*COS($K$23)-($N$22/3)*$E46*SIN($K$23)-($N$22/3)*$F46*SIN($K$23)-($N$22/3)*$G46*SIN($K$23)</f>
        <v>#VALUE!</v>
      </c>
      <c r="AE46" s="106" t="e">
        <f>IF(($A46&lt;'Alternative 2'!$B$27),(($H46*'Alternative 2'!$B$39)+(3*($N$22/3)*COS($K$23))),IF(($A46&lt;'Alternative 2'!$B$28),(($H46*'Alternative 2'!$B$39)+(2*(($N$22/3)*COS($K$23)))),IF(($A46&lt;'Alternative 2'!$B$29),(($H$3*'Alternative 2'!$B$39+(($N$22/3)*COS($K$23)))),($H46*'Alternative 2'!$B$39))))</f>
        <v>#VALUE!</v>
      </c>
      <c r="AF46" s="105" t="e">
        <f>AD46*'Alternative 2'!$K47/'Alternative 2'!$L47</f>
        <v>#VALUE!</v>
      </c>
      <c r="AG46" s="105" t="e">
        <f>AE46/'Alternative 2'!$M47</f>
        <v>#VALUE!</v>
      </c>
      <c r="AH46" s="105" t="e">
        <f t="shared" si="4"/>
        <v>#VALUE!</v>
      </c>
      <c r="AJ46" s="105" t="e">
        <f>'Alternative 2'!$B$39*$B46*$C46*COS($K$33)-($N$32/3)*$E46*SIN($K$33)-($N$32/3)*$F46*SIN($K$33)-($N$32/3)*$G46*SIN($K$33)</f>
        <v>#VALUE!</v>
      </c>
      <c r="AK46" s="106" t="e">
        <f>IF(($A46&lt;'Alternative 2'!$B$27),(($H46*'Alternative 2'!$B$39)+(3*($N$32/3)*COS($K$33))),IF(($A46&lt;'Alternative 2'!$B$28),(($H46*'Alternative 2'!$B$39)+(2*(($N$32/3)*COS($K$33)))),IF(($A46&lt;'Alternative 2'!$B$29),(($H$3*'Alternative 2'!$B$39+(($N$32/3)*COS($K$33)))),($H46*'Alternative 2'!$B$39))))</f>
        <v>#VALUE!</v>
      </c>
      <c r="AL46" s="105" t="e">
        <f>AJ46*'Alternative 2'!$K47/'Alternative 2'!$L47</f>
        <v>#VALUE!</v>
      </c>
      <c r="AM46" s="105" t="e">
        <f>AK46/'Alternative 2'!$M47</f>
        <v>#VALUE!</v>
      </c>
      <c r="AN46" s="105" t="e">
        <f t="shared" si="5"/>
        <v>#VALUE!</v>
      </c>
      <c r="AP46" s="105" t="e">
        <f>'Alternative 2'!$B$39*$B46*$C46*COS($K$43)-($N$42/3)*$E46*SIN($K$43)-($N$42/3)*$F46*SIN($K$43)-($N$42/3)*$G46*SIN($K$43)</f>
        <v>#VALUE!</v>
      </c>
      <c r="AQ46" s="106" t="e">
        <f>IF(($A46&lt;'Alternative 2'!$B$27),(($H46*'Alternative 2'!$B$39)+(3*($N$42/3)*COS($K$43))),IF(($A46&lt;'Alternative 2'!$B$28),(($H46*'Alternative 2'!$B$39)+(2*(($N$42/3)*COS($K$43)))),IF(($A46&lt;'Alternative 2'!$B$29),(($H$3*'Alternative 2'!$B$39+(($N$42/3)*COS($K$43)))),($H46*'Alternative 2'!$B$39))))</f>
        <v>#VALUE!</v>
      </c>
      <c r="AR46" s="105" t="e">
        <f>AP46*'Alternative 2'!$K47/'Alternative 2'!$L47</f>
        <v>#VALUE!</v>
      </c>
      <c r="AS46" s="105" t="e">
        <f>AQ46/'Alternative 2'!$M47</f>
        <v>#VALUE!</v>
      </c>
      <c r="AT46" s="105" t="e">
        <f t="shared" si="6"/>
        <v>#VALUE!</v>
      </c>
      <c r="AV46" s="105" t="e">
        <f>'Alternative 2'!$B$39*$B46*$C46*COS($K$53)-($N$52/3)*$E46*SIN($K$53)-($N$52/3)*$F46*SIN($K$53)-($N$52/3)*$G46*SIN($K$53)</f>
        <v>#VALUE!</v>
      </c>
      <c r="AW46" s="106" t="e">
        <f>IF(($A46&lt;'Alternative 2'!$B$27),(($H46*'Alternative 2'!$B$39)+(3*($N$52/3)*COS($K$53))),IF(($A46&lt;'Alternative 2'!$B$28),(($H46*'Alternative 2'!$B$39)+(2*(($N$52/3)*COS($K$53)))),IF(($A46&lt;'Alternative 2'!$B$29),(($H$3*'Alternative 2'!$B$39+(($N$52/3)*COS($K$53)))),($H46*'Alternative 2'!$B$39))))</f>
        <v>#VALUE!</v>
      </c>
      <c r="AX46" s="105" t="e">
        <f>AV46*'Alternative 2'!$K47/'Alternative 2'!$L47</f>
        <v>#VALUE!</v>
      </c>
      <c r="AY46" s="105" t="e">
        <f>AW46/'Alternative 2'!$M47</f>
        <v>#VALUE!</v>
      </c>
      <c r="AZ46" s="105" t="e">
        <f t="shared" si="7"/>
        <v>#VALUE!</v>
      </c>
      <c r="BB46" s="105" t="e">
        <f>'Alternative 2'!$B$39*$B46*$C46*COS($K$63)-($N$62/3)*$E46*SIN($K$63)-($N$62/3)*$F46*SIN($K$63)-($N$62/3)*$G46*SIN($K$63)</f>
        <v>#VALUE!</v>
      </c>
      <c r="BC46" s="106" t="e">
        <f>IF(($A46&lt;'Alternative 2'!$B$27),(($H46*'Alternative 2'!$B$39)+(3*($N$62/3)*COS($K$63))),IF(($A46&lt;'Alternative 2'!$B$28),(($H46*'Alternative 2'!$B$39)+(2*(($N$62/3)*COS($K$63)))),IF(($A46&lt;'Alternative 2'!$B$29),(($H$3*'Alternative 2'!$B$39+(($N$62/3)*COS($K$63)))),($H46*'Alternative 2'!$B$39))))</f>
        <v>#VALUE!</v>
      </c>
      <c r="BD46" s="105" t="e">
        <f>BB46*'Alternative 2'!$K47/'Alternative 2'!$L47</f>
        <v>#VALUE!</v>
      </c>
      <c r="BE46" s="105" t="e">
        <f>BC46/'Alternative 2'!$M47</f>
        <v>#VALUE!</v>
      </c>
      <c r="BF46" s="105" t="e">
        <f t="shared" si="8"/>
        <v>#VALUE!</v>
      </c>
      <c r="BH46" s="105" t="e">
        <f>'Alternative 2'!$B$39*$B46*$C46*COS($K$73)-($N$72/3)*$E46*SIN($K$73)-($N$72/3)*$F46*SIN($K$73)-($N$72/3)*$G46*SIN($K$73)</f>
        <v>#VALUE!</v>
      </c>
      <c r="BI46" s="106" t="e">
        <f>IF(($A46&lt;'Alternative 2'!$B$27),(($H46*'Alternative 2'!$B$39)+(3*($N$72/3)*COS($K$73))),IF(($A46&lt;'Alternative 2'!$B$28),(($H46*'Alternative 2'!$B$39)+(2*(($N$72/3)*COS($K$73)))),IF(($A46&lt;'Alternative 2'!$B$29),(($H$3*'Alternative 2'!$B$39+(($N$72/3)*COS($K$73)))),($H46*'Alternative 2'!$B$39))))</f>
        <v>#VALUE!</v>
      </c>
      <c r="BJ46" s="105" t="e">
        <f>BH46*'Alternative 2'!$K47/'Alternative 2'!$L47</f>
        <v>#VALUE!</v>
      </c>
      <c r="BK46" s="105" t="e">
        <f>BI46/'Alternative 2'!$M47</f>
        <v>#VALUE!</v>
      </c>
      <c r="BL46" s="105" t="e">
        <f t="shared" si="9"/>
        <v>#VALUE!</v>
      </c>
      <c r="BN46" s="105" t="e">
        <f>'Alternative 2'!$B$39*$B46*$C46*COS($K$83)-($N$82/3)*$E46*SIN($K$83)-($N$82/3)*$F46*SIN($K$83)-($N$82/3)*$G46*SIN($K$83)</f>
        <v>#VALUE!</v>
      </c>
      <c r="BO46" s="106" t="e">
        <f>IF(($A46&lt;'Alternative 2'!$B$27),(($H46*'Alternative 2'!$B$39)+(3*($N$82/3)*COS($K$83))),IF(($A46&lt;'Alternative 2'!$B$28),(($H46*'Alternative 2'!$B$39)+(2*(($N$82/3)*COS($K$83)))),IF(($A46&lt;'Alternative 2'!$B$29),(($H$3*'Alternative 2'!$B$39+(($N$82/3)*COS($K$83)))),($H46*'Alternative 2'!$B$39))))</f>
        <v>#VALUE!</v>
      </c>
      <c r="BP46" s="105" t="e">
        <f>BN46*'Alternative 2'!$K47/'Alternative 2'!$L47</f>
        <v>#VALUE!</v>
      </c>
      <c r="BQ46" s="105" t="e">
        <f>BO46/'Alternative 2'!$M47</f>
        <v>#VALUE!</v>
      </c>
      <c r="BR46" s="105" t="e">
        <f t="shared" si="10"/>
        <v>#VALUE!</v>
      </c>
      <c r="BT46" s="105" t="e">
        <f>'Alternative 2'!$B$39*$B46*$C46*COS($K$93)-($K$92/3)*$E46*SIN($K$93)-($K$92/3)*$F46*SIN($K$93)-($K$92/3)*$G46*SIN($K$93)</f>
        <v>#VALUE!</v>
      </c>
      <c r="BU46" s="106" t="e">
        <f>IF(($A46&lt;'Alternative 2'!$B$27),(($H46*'Alternative 2'!$B$39)+(3*($N$92/3)*COS($K$93))),IF(($A46&lt;'Alternative 2'!$B$28),(($H46*'Alternative 2'!$B$39)+(2*(($N$92/3)*COS($K$93)))),IF(($A46&lt;'Alternative 2'!$B$29),(($H$3*'Alternative 2'!$B$39+(($N$92/3)*COS($K$93)))),($H46*'Alternative 2'!$B$39))))</f>
        <v>#VALUE!</v>
      </c>
      <c r="BV46" s="105" t="e">
        <f>BT46*'Alternative 2'!$K47/'Alternative 2'!$L47</f>
        <v>#VALUE!</v>
      </c>
      <c r="BW46" s="105" t="e">
        <f>BU46/'Alternative 2'!$M47</f>
        <v>#VALUE!</v>
      </c>
      <c r="BX46" s="105" t="e">
        <f t="shared" si="11"/>
        <v>#VALUE!</v>
      </c>
      <c r="BZ46" s="104">
        <v>150</v>
      </c>
      <c r="CA46" s="104">
        <v>-150</v>
      </c>
    </row>
    <row r="47" spans="1:79" ht="15" customHeight="1" x14ac:dyDescent="0.25">
      <c r="A47" s="18" t="str">
        <f>IF('Alternative 2'!F48&gt;0,'Alternative 2'!F48,"x")</f>
        <v>x</v>
      </c>
      <c r="B47" s="18" t="e">
        <f t="shared" si="17"/>
        <v>#VALUE!</v>
      </c>
      <c r="C47" s="18">
        <f t="shared" si="12"/>
        <v>0</v>
      </c>
      <c r="D47" s="18" t="str">
        <f t="shared" si="13"/>
        <v>x</v>
      </c>
      <c r="E47" s="101">
        <f>IF($A47&lt;='Alternative 2'!$B$27, IF($A47='Alternative 2'!$B$27,0,E48+1),0)</f>
        <v>0</v>
      </c>
      <c r="F47" s="101">
        <f>IF($A47&lt;=('Alternative 2'!$B$28), IF($A47=ROUNDDOWN('Alternative 2'!$B$28,0),0,F48+1),0)</f>
        <v>0</v>
      </c>
      <c r="G47" s="101">
        <f>IF($A47&lt;=('Alternative 2'!$B$29), IF($A47=ROUNDDOWN('Alternative 2'!$B$29,0),0,G48+1),0)</f>
        <v>0</v>
      </c>
      <c r="H47" s="18" t="e">
        <f t="shared" si="14"/>
        <v>#VALUE!</v>
      </c>
      <c r="J47" s="104">
        <f t="shared" si="15"/>
        <v>44</v>
      </c>
      <c r="K47" s="104">
        <f t="shared" si="16"/>
        <v>0.76794487087750496</v>
      </c>
      <c r="L47" s="105">
        <f>'Alternative 2'!$B$27*SIN(K47)+'Alternative 2'!$B$28*SIN(K47)+'Alternative 2'!$B$29*SIN(K47)</f>
        <v>29.863363346032294</v>
      </c>
      <c r="M47" s="104">
        <f>(('Alternative 2'!$B$27)*(((('Alternative 2'!$B$28-'Alternative 2'!$B$27)/2)+'Alternative 2'!$B$27)*'Alternative 2'!$B$39)*COS('Alternative 2-Tilt Up (3pt)'!K47))+(('Alternative 2'!$B$28)*((('Alternative 2'!$B$28-'Alternative 2'!$B$27)/2)+(('Alternative 2'!$B$29-'Alternative 2'!$B$28)/2))*('Alternative 2'!$B$39)*COS('Alternative 2-Tilt Up (3pt)'!K47))+(('Alternative 2'!$B$29)*((('Alternative 2'!$B$12-'Alternative 2'!$B$29+(('Alternative 2'!$B$29-'Alternative 2'!$B$28)/2)*('Alternative 2'!$B$39)*COS('Alternative 2-Tilt Up (3pt)'!K47)))))</f>
        <v>438676.72580070188</v>
      </c>
      <c r="N47" s="104">
        <f t="shared" si="0"/>
        <v>44068.384466713323</v>
      </c>
      <c r="O47" s="104">
        <f>(((('Alternative 2'!$B$28-'Alternative 2'!$B$27)/2)+'Alternative 2'!$B$27)*('Alternative 2'!$B$39)*COS('Alternative 2-Tilt Up (3pt)'!K47))+(((('Alternative 2'!$B$28-'Alternative 2'!$B$27)/2)+(('Alternative 2'!$B$29-'Alternative 2'!$B$28)/2))*('Alternative 2'!$B$39)*COS('Alternative 2-Tilt Up (3pt)'!K47))+(((('Alternative 2'!$B$12-'Alternative 2'!$B$29)+(('Alternative 2'!$B$29-'Alternative 2'!$B$28)/2))*('Alternative 2'!$B$39)*COS('Alternative 2-Tilt Up (3pt)'!K47)))</f>
        <v>45014.730408848918</v>
      </c>
      <c r="P47" s="104">
        <f t="shared" si="1"/>
        <v>31700.14288353248</v>
      </c>
      <c r="R47" s="105" t="e">
        <f>'Alternative 2'!$B$39*$B47*$C47*COS($K$5)-($N$5/3)*$E47*SIN($K$5)-($N$5/3)*$F47*SIN($K$5)-($N$5/3)*$G47*SIN($K$5)</f>
        <v>#VALUE!</v>
      </c>
      <c r="S47" s="106" t="e">
        <f>IF(($A47&lt;'Alternative 2'!$B$27),(($H47*'Alternative 2'!$B$39)+(3*($N$5/3)*COS($K$5))),IF(($A47&lt;'Alternative 2'!$B$28),(($H47*'Alternative 2'!$B$39)+(2*(($N$5/3)*COS($K$5)))),IF(($A47&lt;'Alternative 2'!$B$29),(($H$3*'Alternative 2'!$B$39+(($N$5/3)*COS($K$5)))),($H47*'Alternative 2'!$B$39))))</f>
        <v>#VALUE!</v>
      </c>
      <c r="T47" s="105" t="e">
        <f>R47*'Alternative 2'!$K48/'Alternative 2'!$L48</f>
        <v>#VALUE!</v>
      </c>
      <c r="U47" s="105" t="e">
        <f>S47/'Alternative 2'!$M48</f>
        <v>#VALUE!</v>
      </c>
      <c r="V47" s="105" t="e">
        <f t="shared" si="2"/>
        <v>#VALUE!</v>
      </c>
      <c r="X47" s="105" t="e">
        <f>'Alternative 2'!$B$39*$B47*$C47*COS($K$13)-($N$12/3)*$E47*SIN($K$13)-($N$12/3)*$F47*SIN($K$13)-($N$12/3)*$G47*SIN($K$13)</f>
        <v>#VALUE!</v>
      </c>
      <c r="Y47" s="106" t="e">
        <f>IF(($A47&lt;'Alternative 2'!$B$27),(($H47*'Alternative 2'!$B$39)+(3*($N$12/3)*COS($K$13))),IF(($A47&lt;'Alternative 2'!$B$28),(($H47*'Alternative 2'!$B$39)+(2*(($N$12/3)*COS($K$13)))),IF(($A47&lt;'Alternative 2'!$B$29),(($H$3*'Alternative 2'!$B$39+(($N$12/3)*COS($K$13)))),($H47*'Alternative 2'!$B$39))))</f>
        <v>#VALUE!</v>
      </c>
      <c r="Z47" s="105" t="e">
        <f>X47*'Alternative 2'!$K48/'Alternative 2'!$L48</f>
        <v>#VALUE!</v>
      </c>
      <c r="AA47" s="105" t="e">
        <f>Y47/'Alternative 2'!$M48</f>
        <v>#VALUE!</v>
      </c>
      <c r="AB47" s="105" t="e">
        <f t="shared" si="3"/>
        <v>#VALUE!</v>
      </c>
      <c r="AD47" s="105" t="e">
        <f>'Alternative 2'!$B$39*$B47*$C47*COS($K$23)-($N$22/3)*$E47*SIN($K$23)-($N$22/3)*$F47*SIN($K$23)-($N$22/3)*$G47*SIN($K$23)</f>
        <v>#VALUE!</v>
      </c>
      <c r="AE47" s="106" t="e">
        <f>IF(($A47&lt;'Alternative 2'!$B$27),(($H47*'Alternative 2'!$B$39)+(3*($N$22/3)*COS($K$23))),IF(($A47&lt;'Alternative 2'!$B$28),(($H47*'Alternative 2'!$B$39)+(2*(($N$22/3)*COS($K$23)))),IF(($A47&lt;'Alternative 2'!$B$29),(($H$3*'Alternative 2'!$B$39+(($N$22/3)*COS($K$23)))),($H47*'Alternative 2'!$B$39))))</f>
        <v>#VALUE!</v>
      </c>
      <c r="AF47" s="105" t="e">
        <f>AD47*'Alternative 2'!$K48/'Alternative 2'!$L48</f>
        <v>#VALUE!</v>
      </c>
      <c r="AG47" s="105" t="e">
        <f>AE47/'Alternative 2'!$M48</f>
        <v>#VALUE!</v>
      </c>
      <c r="AH47" s="105" t="e">
        <f t="shared" si="4"/>
        <v>#VALUE!</v>
      </c>
      <c r="AJ47" s="105" t="e">
        <f>'Alternative 2'!$B$39*$B47*$C47*COS($K$33)-($N$32/3)*$E47*SIN($K$33)-($N$32/3)*$F47*SIN($K$33)-($N$32/3)*$G47*SIN($K$33)</f>
        <v>#VALUE!</v>
      </c>
      <c r="AK47" s="106" t="e">
        <f>IF(($A47&lt;'Alternative 2'!$B$27),(($H47*'Alternative 2'!$B$39)+(3*($N$32/3)*COS($K$33))),IF(($A47&lt;'Alternative 2'!$B$28),(($H47*'Alternative 2'!$B$39)+(2*(($N$32/3)*COS($K$33)))),IF(($A47&lt;'Alternative 2'!$B$29),(($H$3*'Alternative 2'!$B$39+(($N$32/3)*COS($K$33)))),($H47*'Alternative 2'!$B$39))))</f>
        <v>#VALUE!</v>
      </c>
      <c r="AL47" s="105" t="e">
        <f>AJ47*'Alternative 2'!$K48/'Alternative 2'!$L48</f>
        <v>#VALUE!</v>
      </c>
      <c r="AM47" s="105" t="e">
        <f>AK47/'Alternative 2'!$M48</f>
        <v>#VALUE!</v>
      </c>
      <c r="AN47" s="105" t="e">
        <f t="shared" si="5"/>
        <v>#VALUE!</v>
      </c>
      <c r="AP47" s="105" t="e">
        <f>'Alternative 2'!$B$39*$B47*$C47*COS($K$43)-($N$42/3)*$E47*SIN($K$43)-($N$42/3)*$F47*SIN($K$43)-($N$42/3)*$G47*SIN($K$43)</f>
        <v>#VALUE!</v>
      </c>
      <c r="AQ47" s="106" t="e">
        <f>IF(($A47&lt;'Alternative 2'!$B$27),(($H47*'Alternative 2'!$B$39)+(3*($N$42/3)*COS($K$43))),IF(($A47&lt;'Alternative 2'!$B$28),(($H47*'Alternative 2'!$B$39)+(2*(($N$42/3)*COS($K$43)))),IF(($A47&lt;'Alternative 2'!$B$29),(($H$3*'Alternative 2'!$B$39+(($N$42/3)*COS($K$43)))),($H47*'Alternative 2'!$B$39))))</f>
        <v>#VALUE!</v>
      </c>
      <c r="AR47" s="105" t="e">
        <f>AP47*'Alternative 2'!$K48/'Alternative 2'!$L48</f>
        <v>#VALUE!</v>
      </c>
      <c r="AS47" s="105" t="e">
        <f>AQ47/'Alternative 2'!$M48</f>
        <v>#VALUE!</v>
      </c>
      <c r="AT47" s="105" t="e">
        <f t="shared" si="6"/>
        <v>#VALUE!</v>
      </c>
      <c r="AV47" s="105" t="e">
        <f>'Alternative 2'!$B$39*$B47*$C47*COS($K$53)-($N$52/3)*$E47*SIN($K$53)-($N$52/3)*$F47*SIN($K$53)-($N$52/3)*$G47*SIN($K$53)</f>
        <v>#VALUE!</v>
      </c>
      <c r="AW47" s="106" t="e">
        <f>IF(($A47&lt;'Alternative 2'!$B$27),(($H47*'Alternative 2'!$B$39)+(3*($N$52/3)*COS($K$53))),IF(($A47&lt;'Alternative 2'!$B$28),(($H47*'Alternative 2'!$B$39)+(2*(($N$52/3)*COS($K$53)))),IF(($A47&lt;'Alternative 2'!$B$29),(($H$3*'Alternative 2'!$B$39+(($N$52/3)*COS($K$53)))),($H47*'Alternative 2'!$B$39))))</f>
        <v>#VALUE!</v>
      </c>
      <c r="AX47" s="105" t="e">
        <f>AV47*'Alternative 2'!$K48/'Alternative 2'!$L48</f>
        <v>#VALUE!</v>
      </c>
      <c r="AY47" s="105" t="e">
        <f>AW47/'Alternative 2'!$M48</f>
        <v>#VALUE!</v>
      </c>
      <c r="AZ47" s="105" t="e">
        <f t="shared" si="7"/>
        <v>#VALUE!</v>
      </c>
      <c r="BB47" s="105" t="e">
        <f>'Alternative 2'!$B$39*$B47*$C47*COS($K$63)-($N$62/3)*$E47*SIN($K$63)-($N$62/3)*$F47*SIN($K$63)-($N$62/3)*$G47*SIN($K$63)</f>
        <v>#VALUE!</v>
      </c>
      <c r="BC47" s="106" t="e">
        <f>IF(($A47&lt;'Alternative 2'!$B$27),(($H47*'Alternative 2'!$B$39)+(3*($N$62/3)*COS($K$63))),IF(($A47&lt;'Alternative 2'!$B$28),(($H47*'Alternative 2'!$B$39)+(2*(($N$62/3)*COS($K$63)))),IF(($A47&lt;'Alternative 2'!$B$29),(($H$3*'Alternative 2'!$B$39+(($N$62/3)*COS($K$63)))),($H47*'Alternative 2'!$B$39))))</f>
        <v>#VALUE!</v>
      </c>
      <c r="BD47" s="105" t="e">
        <f>BB47*'Alternative 2'!$K48/'Alternative 2'!$L48</f>
        <v>#VALUE!</v>
      </c>
      <c r="BE47" s="105" t="e">
        <f>BC47/'Alternative 2'!$M48</f>
        <v>#VALUE!</v>
      </c>
      <c r="BF47" s="105" t="e">
        <f t="shared" si="8"/>
        <v>#VALUE!</v>
      </c>
      <c r="BH47" s="105" t="e">
        <f>'Alternative 2'!$B$39*$B47*$C47*COS($K$73)-($N$72/3)*$E47*SIN($K$73)-($N$72/3)*$F47*SIN($K$73)-($N$72/3)*$G47*SIN($K$73)</f>
        <v>#VALUE!</v>
      </c>
      <c r="BI47" s="106" t="e">
        <f>IF(($A47&lt;'Alternative 2'!$B$27),(($H47*'Alternative 2'!$B$39)+(3*($N$72/3)*COS($K$73))),IF(($A47&lt;'Alternative 2'!$B$28),(($H47*'Alternative 2'!$B$39)+(2*(($N$72/3)*COS($K$73)))),IF(($A47&lt;'Alternative 2'!$B$29),(($H$3*'Alternative 2'!$B$39+(($N$72/3)*COS($K$73)))),($H47*'Alternative 2'!$B$39))))</f>
        <v>#VALUE!</v>
      </c>
      <c r="BJ47" s="105" t="e">
        <f>BH47*'Alternative 2'!$K48/'Alternative 2'!$L48</f>
        <v>#VALUE!</v>
      </c>
      <c r="BK47" s="105" t="e">
        <f>BI47/'Alternative 2'!$M48</f>
        <v>#VALUE!</v>
      </c>
      <c r="BL47" s="105" t="e">
        <f t="shared" si="9"/>
        <v>#VALUE!</v>
      </c>
      <c r="BN47" s="105" t="e">
        <f>'Alternative 2'!$B$39*$B47*$C47*COS($K$83)-($N$82/3)*$E47*SIN($K$83)-($N$82/3)*$F47*SIN($K$83)-($N$82/3)*$G47*SIN($K$83)</f>
        <v>#VALUE!</v>
      </c>
      <c r="BO47" s="106" t="e">
        <f>IF(($A47&lt;'Alternative 2'!$B$27),(($H47*'Alternative 2'!$B$39)+(3*($N$82/3)*COS($K$83))),IF(($A47&lt;'Alternative 2'!$B$28),(($H47*'Alternative 2'!$B$39)+(2*(($N$82/3)*COS($K$83)))),IF(($A47&lt;'Alternative 2'!$B$29),(($H$3*'Alternative 2'!$B$39+(($N$82/3)*COS($K$83)))),($H47*'Alternative 2'!$B$39))))</f>
        <v>#VALUE!</v>
      </c>
      <c r="BP47" s="105" t="e">
        <f>BN47*'Alternative 2'!$K48/'Alternative 2'!$L48</f>
        <v>#VALUE!</v>
      </c>
      <c r="BQ47" s="105" t="e">
        <f>BO47/'Alternative 2'!$M48</f>
        <v>#VALUE!</v>
      </c>
      <c r="BR47" s="105" t="e">
        <f t="shared" si="10"/>
        <v>#VALUE!</v>
      </c>
      <c r="BT47" s="105" t="e">
        <f>'Alternative 2'!$B$39*$B47*$C47*COS($K$93)-($K$92/3)*$E47*SIN($K$93)-($K$92/3)*$F47*SIN($K$93)-($K$92/3)*$G47*SIN($K$93)</f>
        <v>#VALUE!</v>
      </c>
      <c r="BU47" s="106" t="e">
        <f>IF(($A47&lt;'Alternative 2'!$B$27),(($H47*'Alternative 2'!$B$39)+(3*($N$92/3)*COS($K$93))),IF(($A47&lt;'Alternative 2'!$B$28),(($H47*'Alternative 2'!$B$39)+(2*(($N$92/3)*COS($K$93)))),IF(($A47&lt;'Alternative 2'!$B$29),(($H$3*'Alternative 2'!$B$39+(($N$92/3)*COS($K$93)))),($H47*'Alternative 2'!$B$39))))</f>
        <v>#VALUE!</v>
      </c>
      <c r="BV47" s="105" t="e">
        <f>BT47*'Alternative 2'!$K48/'Alternative 2'!$L48</f>
        <v>#VALUE!</v>
      </c>
      <c r="BW47" s="105" t="e">
        <f>BU47/'Alternative 2'!$M48</f>
        <v>#VALUE!</v>
      </c>
      <c r="BX47" s="105" t="e">
        <f t="shared" si="11"/>
        <v>#VALUE!</v>
      </c>
      <c r="BZ47" s="104">
        <v>150</v>
      </c>
      <c r="CA47" s="104">
        <v>-150</v>
      </c>
    </row>
    <row r="48" spans="1:79" ht="15" customHeight="1" x14ac:dyDescent="0.25">
      <c r="A48" s="18" t="str">
        <f>IF('Alternative 2'!F49&gt;0,'Alternative 2'!F49,"x")</f>
        <v>x</v>
      </c>
      <c r="B48" s="18" t="e">
        <f t="shared" si="17"/>
        <v>#VALUE!</v>
      </c>
      <c r="C48" s="18">
        <f t="shared" si="12"/>
        <v>0</v>
      </c>
      <c r="D48" s="18" t="str">
        <f t="shared" si="13"/>
        <v>x</v>
      </c>
      <c r="E48" s="101">
        <f>IF($A48&lt;='Alternative 2'!$B$27, IF($A48='Alternative 2'!$B$27,0,E49+1),0)</f>
        <v>0</v>
      </c>
      <c r="F48" s="101">
        <f>IF($A48&lt;=('Alternative 2'!$B$28), IF($A48=ROUNDDOWN('Alternative 2'!$B$28,0),0,F49+1),0)</f>
        <v>0</v>
      </c>
      <c r="G48" s="101">
        <f>IF($A48&lt;=('Alternative 2'!$B$29), IF($A48=ROUNDDOWN('Alternative 2'!$B$29,0),0,G49+1),0)</f>
        <v>0</v>
      </c>
      <c r="H48" s="18" t="e">
        <f t="shared" si="14"/>
        <v>#VALUE!</v>
      </c>
      <c r="J48" s="104">
        <f t="shared" si="15"/>
        <v>45</v>
      </c>
      <c r="K48" s="104">
        <f t="shared" si="16"/>
        <v>0.78539816339744828</v>
      </c>
      <c r="L48" s="105">
        <f>'Alternative 2'!$B$27*SIN(K48)+'Alternative 2'!$B$28*SIN(K48)+'Alternative 2'!$B$29*SIN(K48)</f>
        <v>30.398520523209676</v>
      </c>
      <c r="M48" s="104">
        <f>(('Alternative 2'!$B$27)*(((('Alternative 2'!$B$28-'Alternative 2'!$B$27)/2)+'Alternative 2'!$B$27)*'Alternative 2'!$B$39)*COS('Alternative 2-Tilt Up (3pt)'!K48))+(('Alternative 2'!$B$28)*((('Alternative 2'!$B$28-'Alternative 2'!$B$27)/2)+(('Alternative 2'!$B$29-'Alternative 2'!$B$28)/2))*('Alternative 2'!$B$39)*COS('Alternative 2-Tilt Up (3pt)'!K48))+(('Alternative 2'!$B$29)*((('Alternative 2'!$B$12-'Alternative 2'!$B$29+(('Alternative 2'!$B$29-'Alternative 2'!$B$28)/2)*('Alternative 2'!$B$39)*COS('Alternative 2-Tilt Up (3pt)'!K48)))))</f>
        <v>431218.0114322491</v>
      </c>
      <c r="N48" s="104">
        <f t="shared" si="0"/>
        <v>42556.480119123727</v>
      </c>
      <c r="O48" s="104">
        <f>(((('Alternative 2'!$B$28-'Alternative 2'!$B$27)/2)+'Alternative 2'!$B$27)*('Alternative 2'!$B$39)*COS('Alternative 2-Tilt Up (3pt)'!K48))+(((('Alternative 2'!$B$28-'Alternative 2'!$B$27)/2)+(('Alternative 2'!$B$29-'Alternative 2'!$B$28)/2))*('Alternative 2'!$B$39)*COS('Alternative 2-Tilt Up (3pt)'!K48))+(((('Alternative 2'!$B$12-'Alternative 2'!$B$29)+(('Alternative 2'!$B$29-'Alternative 2'!$B$28)/2))*('Alternative 2'!$B$39)*COS('Alternative 2-Tilt Up (3pt)'!K48)))</f>
        <v>44249.214502515104</v>
      </c>
      <c r="P48" s="104">
        <f t="shared" si="1"/>
        <v>30091.975675662885</v>
      </c>
      <c r="R48" s="105" t="e">
        <f>'Alternative 2'!$B$39*$B48*$C48*COS($K$5)-($N$5/3)*$E48*SIN($K$5)-($N$5/3)*$F48*SIN($K$5)-($N$5/3)*$G48*SIN($K$5)</f>
        <v>#VALUE!</v>
      </c>
      <c r="S48" s="106" t="e">
        <f>IF(($A48&lt;'Alternative 2'!$B$27),(($H48*'Alternative 2'!$B$39)+(3*($N$5/3)*COS($K$5))),IF(($A48&lt;'Alternative 2'!$B$28),(($H48*'Alternative 2'!$B$39)+(2*(($N$5/3)*COS($K$5)))),IF(($A48&lt;'Alternative 2'!$B$29),(($H$3*'Alternative 2'!$B$39+(($N$5/3)*COS($K$5)))),($H48*'Alternative 2'!$B$39))))</f>
        <v>#VALUE!</v>
      </c>
      <c r="T48" s="105" t="e">
        <f>R48*'Alternative 2'!$K49/'Alternative 2'!$L49</f>
        <v>#VALUE!</v>
      </c>
      <c r="U48" s="105" t="e">
        <f>S48/'Alternative 2'!$M49</f>
        <v>#VALUE!</v>
      </c>
      <c r="V48" s="105" t="e">
        <f t="shared" si="2"/>
        <v>#VALUE!</v>
      </c>
      <c r="X48" s="105" t="e">
        <f>'Alternative 2'!$B$39*$B48*$C48*COS($K$13)-($N$12/3)*$E48*SIN($K$13)-($N$12/3)*$F48*SIN($K$13)-($N$12/3)*$G48*SIN($K$13)</f>
        <v>#VALUE!</v>
      </c>
      <c r="Y48" s="106" t="e">
        <f>IF(($A48&lt;'Alternative 2'!$B$27),(($H48*'Alternative 2'!$B$39)+(3*($N$12/3)*COS($K$13))),IF(($A48&lt;'Alternative 2'!$B$28),(($H48*'Alternative 2'!$B$39)+(2*(($N$12/3)*COS($K$13)))),IF(($A48&lt;'Alternative 2'!$B$29),(($H$3*'Alternative 2'!$B$39+(($N$12/3)*COS($K$13)))),($H48*'Alternative 2'!$B$39))))</f>
        <v>#VALUE!</v>
      </c>
      <c r="Z48" s="105" t="e">
        <f>X48*'Alternative 2'!$K49/'Alternative 2'!$L49</f>
        <v>#VALUE!</v>
      </c>
      <c r="AA48" s="105" t="e">
        <f>Y48/'Alternative 2'!$M49</f>
        <v>#VALUE!</v>
      </c>
      <c r="AB48" s="105" t="e">
        <f t="shared" si="3"/>
        <v>#VALUE!</v>
      </c>
      <c r="AD48" s="105" t="e">
        <f>'Alternative 2'!$B$39*$B48*$C48*COS($K$23)-($N$22/3)*$E48*SIN($K$23)-($N$22/3)*$F48*SIN($K$23)-($N$22/3)*$G48*SIN($K$23)</f>
        <v>#VALUE!</v>
      </c>
      <c r="AE48" s="106" t="e">
        <f>IF(($A48&lt;'Alternative 2'!$B$27),(($H48*'Alternative 2'!$B$39)+(3*($N$22/3)*COS($K$23))),IF(($A48&lt;'Alternative 2'!$B$28),(($H48*'Alternative 2'!$B$39)+(2*(($N$22/3)*COS($K$23)))),IF(($A48&lt;'Alternative 2'!$B$29),(($H$3*'Alternative 2'!$B$39+(($N$22/3)*COS($K$23)))),($H48*'Alternative 2'!$B$39))))</f>
        <v>#VALUE!</v>
      </c>
      <c r="AF48" s="105" t="e">
        <f>AD48*'Alternative 2'!$K49/'Alternative 2'!$L49</f>
        <v>#VALUE!</v>
      </c>
      <c r="AG48" s="105" t="e">
        <f>AE48/'Alternative 2'!$M49</f>
        <v>#VALUE!</v>
      </c>
      <c r="AH48" s="105" t="e">
        <f t="shared" si="4"/>
        <v>#VALUE!</v>
      </c>
      <c r="AJ48" s="105" t="e">
        <f>'Alternative 2'!$B$39*$B48*$C48*COS($K$33)-($N$32/3)*$E48*SIN($K$33)-($N$32/3)*$F48*SIN($K$33)-($N$32/3)*$G48*SIN($K$33)</f>
        <v>#VALUE!</v>
      </c>
      <c r="AK48" s="106" t="e">
        <f>IF(($A48&lt;'Alternative 2'!$B$27),(($H48*'Alternative 2'!$B$39)+(3*($N$32/3)*COS($K$33))),IF(($A48&lt;'Alternative 2'!$B$28),(($H48*'Alternative 2'!$B$39)+(2*(($N$32/3)*COS($K$33)))),IF(($A48&lt;'Alternative 2'!$B$29),(($H$3*'Alternative 2'!$B$39+(($N$32/3)*COS($K$33)))),($H48*'Alternative 2'!$B$39))))</f>
        <v>#VALUE!</v>
      </c>
      <c r="AL48" s="105" t="e">
        <f>AJ48*'Alternative 2'!$K49/'Alternative 2'!$L49</f>
        <v>#VALUE!</v>
      </c>
      <c r="AM48" s="105" t="e">
        <f>AK48/'Alternative 2'!$M49</f>
        <v>#VALUE!</v>
      </c>
      <c r="AN48" s="105" t="e">
        <f t="shared" si="5"/>
        <v>#VALUE!</v>
      </c>
      <c r="AP48" s="105" t="e">
        <f>'Alternative 2'!$B$39*$B48*$C48*COS($K$43)-($N$42/3)*$E48*SIN($K$43)-($N$42/3)*$F48*SIN($K$43)-($N$42/3)*$G48*SIN($K$43)</f>
        <v>#VALUE!</v>
      </c>
      <c r="AQ48" s="106" t="e">
        <f>IF(($A48&lt;'Alternative 2'!$B$27),(($H48*'Alternative 2'!$B$39)+(3*($N$42/3)*COS($K$43))),IF(($A48&lt;'Alternative 2'!$B$28),(($H48*'Alternative 2'!$B$39)+(2*(($N$42/3)*COS($K$43)))),IF(($A48&lt;'Alternative 2'!$B$29),(($H$3*'Alternative 2'!$B$39+(($N$42/3)*COS($K$43)))),($H48*'Alternative 2'!$B$39))))</f>
        <v>#VALUE!</v>
      </c>
      <c r="AR48" s="105" t="e">
        <f>AP48*'Alternative 2'!$K49/'Alternative 2'!$L49</f>
        <v>#VALUE!</v>
      </c>
      <c r="AS48" s="105" t="e">
        <f>AQ48/'Alternative 2'!$M49</f>
        <v>#VALUE!</v>
      </c>
      <c r="AT48" s="105" t="e">
        <f t="shared" si="6"/>
        <v>#VALUE!</v>
      </c>
      <c r="AV48" s="105" t="e">
        <f>'Alternative 2'!$B$39*$B48*$C48*COS($K$53)-($N$52/3)*$E48*SIN($K$53)-($N$52/3)*$F48*SIN($K$53)-($N$52/3)*$G48*SIN($K$53)</f>
        <v>#VALUE!</v>
      </c>
      <c r="AW48" s="106" t="e">
        <f>IF(($A48&lt;'Alternative 2'!$B$27),(($H48*'Alternative 2'!$B$39)+(3*($N$52/3)*COS($K$53))),IF(($A48&lt;'Alternative 2'!$B$28),(($H48*'Alternative 2'!$B$39)+(2*(($N$52/3)*COS($K$53)))),IF(($A48&lt;'Alternative 2'!$B$29),(($H$3*'Alternative 2'!$B$39+(($N$52/3)*COS($K$53)))),($H48*'Alternative 2'!$B$39))))</f>
        <v>#VALUE!</v>
      </c>
      <c r="AX48" s="105" t="e">
        <f>AV48*'Alternative 2'!$K49/'Alternative 2'!$L49</f>
        <v>#VALUE!</v>
      </c>
      <c r="AY48" s="105" t="e">
        <f>AW48/'Alternative 2'!$M49</f>
        <v>#VALUE!</v>
      </c>
      <c r="AZ48" s="105" t="e">
        <f t="shared" si="7"/>
        <v>#VALUE!</v>
      </c>
      <c r="BB48" s="105" t="e">
        <f>'Alternative 2'!$B$39*$B48*$C48*COS($K$63)-($N$62/3)*$E48*SIN($K$63)-($N$62/3)*$F48*SIN($K$63)-($N$62/3)*$G48*SIN($K$63)</f>
        <v>#VALUE!</v>
      </c>
      <c r="BC48" s="106" t="e">
        <f>IF(($A48&lt;'Alternative 2'!$B$27),(($H48*'Alternative 2'!$B$39)+(3*($N$62/3)*COS($K$63))),IF(($A48&lt;'Alternative 2'!$B$28),(($H48*'Alternative 2'!$B$39)+(2*(($N$62/3)*COS($K$63)))),IF(($A48&lt;'Alternative 2'!$B$29),(($H$3*'Alternative 2'!$B$39+(($N$62/3)*COS($K$63)))),($H48*'Alternative 2'!$B$39))))</f>
        <v>#VALUE!</v>
      </c>
      <c r="BD48" s="105" t="e">
        <f>BB48*'Alternative 2'!$K49/'Alternative 2'!$L49</f>
        <v>#VALUE!</v>
      </c>
      <c r="BE48" s="105" t="e">
        <f>BC48/'Alternative 2'!$M49</f>
        <v>#VALUE!</v>
      </c>
      <c r="BF48" s="105" t="e">
        <f t="shared" si="8"/>
        <v>#VALUE!</v>
      </c>
      <c r="BH48" s="105" t="e">
        <f>'Alternative 2'!$B$39*$B48*$C48*COS($K$73)-($N$72/3)*$E48*SIN($K$73)-($N$72/3)*$F48*SIN($K$73)-($N$72/3)*$G48*SIN($K$73)</f>
        <v>#VALUE!</v>
      </c>
      <c r="BI48" s="106" t="e">
        <f>IF(($A48&lt;'Alternative 2'!$B$27),(($H48*'Alternative 2'!$B$39)+(3*($N$72/3)*COS($K$73))),IF(($A48&lt;'Alternative 2'!$B$28),(($H48*'Alternative 2'!$B$39)+(2*(($N$72/3)*COS($K$73)))),IF(($A48&lt;'Alternative 2'!$B$29),(($H$3*'Alternative 2'!$B$39+(($N$72/3)*COS($K$73)))),($H48*'Alternative 2'!$B$39))))</f>
        <v>#VALUE!</v>
      </c>
      <c r="BJ48" s="105" t="e">
        <f>BH48*'Alternative 2'!$K49/'Alternative 2'!$L49</f>
        <v>#VALUE!</v>
      </c>
      <c r="BK48" s="105" t="e">
        <f>BI48/'Alternative 2'!$M49</f>
        <v>#VALUE!</v>
      </c>
      <c r="BL48" s="105" t="e">
        <f t="shared" si="9"/>
        <v>#VALUE!</v>
      </c>
      <c r="BN48" s="105" t="e">
        <f>'Alternative 2'!$B$39*$B48*$C48*COS($K$83)-($N$82/3)*$E48*SIN($K$83)-($N$82/3)*$F48*SIN($K$83)-($N$82/3)*$G48*SIN($K$83)</f>
        <v>#VALUE!</v>
      </c>
      <c r="BO48" s="106" t="e">
        <f>IF(($A48&lt;'Alternative 2'!$B$27),(($H48*'Alternative 2'!$B$39)+(3*($N$82/3)*COS($K$83))),IF(($A48&lt;'Alternative 2'!$B$28),(($H48*'Alternative 2'!$B$39)+(2*(($N$82/3)*COS($K$83)))),IF(($A48&lt;'Alternative 2'!$B$29),(($H$3*'Alternative 2'!$B$39+(($N$82/3)*COS($K$83)))),($H48*'Alternative 2'!$B$39))))</f>
        <v>#VALUE!</v>
      </c>
      <c r="BP48" s="105" t="e">
        <f>BN48*'Alternative 2'!$K49/'Alternative 2'!$L49</f>
        <v>#VALUE!</v>
      </c>
      <c r="BQ48" s="105" t="e">
        <f>BO48/'Alternative 2'!$M49</f>
        <v>#VALUE!</v>
      </c>
      <c r="BR48" s="105" t="e">
        <f t="shared" si="10"/>
        <v>#VALUE!</v>
      </c>
      <c r="BT48" s="105" t="e">
        <f>'Alternative 2'!$B$39*$B48*$C48*COS($K$93)-($K$92/3)*$E48*SIN($K$93)-($K$92/3)*$F48*SIN($K$93)-($K$92/3)*$G48*SIN($K$93)</f>
        <v>#VALUE!</v>
      </c>
      <c r="BU48" s="106" t="e">
        <f>IF(($A48&lt;'Alternative 2'!$B$27),(($H48*'Alternative 2'!$B$39)+(3*($N$92/3)*COS($K$93))),IF(($A48&lt;'Alternative 2'!$B$28),(($H48*'Alternative 2'!$B$39)+(2*(($N$92/3)*COS($K$93)))),IF(($A48&lt;'Alternative 2'!$B$29),(($H$3*'Alternative 2'!$B$39+(($N$92/3)*COS($K$93)))),($H48*'Alternative 2'!$B$39))))</f>
        <v>#VALUE!</v>
      </c>
      <c r="BV48" s="105" t="e">
        <f>BT48*'Alternative 2'!$K49/'Alternative 2'!$L49</f>
        <v>#VALUE!</v>
      </c>
      <c r="BW48" s="105" t="e">
        <f>BU48/'Alternative 2'!$M49</f>
        <v>#VALUE!</v>
      </c>
      <c r="BX48" s="105" t="e">
        <f t="shared" si="11"/>
        <v>#VALUE!</v>
      </c>
      <c r="BZ48" s="104">
        <v>150</v>
      </c>
      <c r="CA48" s="104">
        <v>-150</v>
      </c>
    </row>
    <row r="49" spans="1:79" ht="15" customHeight="1" x14ac:dyDescent="0.25">
      <c r="A49" s="18" t="str">
        <f>IF('Alternative 2'!F50&gt;0,'Alternative 2'!F50,"x")</f>
        <v>x</v>
      </c>
      <c r="B49" s="18" t="e">
        <f t="shared" si="17"/>
        <v>#VALUE!</v>
      </c>
      <c r="C49" s="18">
        <f t="shared" si="12"/>
        <v>0</v>
      </c>
      <c r="D49" s="18" t="str">
        <f t="shared" si="13"/>
        <v>x</v>
      </c>
      <c r="E49" s="101">
        <f>IF($A49&lt;='Alternative 2'!$B$27, IF($A49='Alternative 2'!$B$27,0,E50+1),0)</f>
        <v>0</v>
      </c>
      <c r="F49" s="101">
        <f>IF($A49&lt;=('Alternative 2'!$B$28), IF($A49=ROUNDDOWN('Alternative 2'!$B$28,0),0,F50+1),0)</f>
        <v>0</v>
      </c>
      <c r="G49" s="101">
        <f>IF($A49&lt;=('Alternative 2'!$B$29), IF($A49=ROUNDDOWN('Alternative 2'!$B$29,0),0,G50+1),0)</f>
        <v>0</v>
      </c>
      <c r="H49" s="18" t="e">
        <f t="shared" si="14"/>
        <v>#VALUE!</v>
      </c>
      <c r="J49" s="104">
        <f t="shared" si="15"/>
        <v>46</v>
      </c>
      <c r="K49" s="104">
        <f t="shared" si="16"/>
        <v>0.80285145591739149</v>
      </c>
      <c r="L49" s="105">
        <f>'Alternative 2'!$B$27*SIN(K49)+'Alternative 2'!$B$28*SIN(K49)+'Alternative 2'!$B$29*SIN(K49)</f>
        <v>30.924418016558612</v>
      </c>
      <c r="M49" s="104">
        <f>(('Alternative 2'!$B$27)*(((('Alternative 2'!$B$28-'Alternative 2'!$B$27)/2)+'Alternative 2'!$B$27)*'Alternative 2'!$B$39)*COS('Alternative 2-Tilt Up (3pt)'!K49))+(('Alternative 2'!$B$28)*((('Alternative 2'!$B$28-'Alternative 2'!$B$27)/2)+(('Alternative 2'!$B$29-'Alternative 2'!$B$28)/2))*('Alternative 2'!$B$39)*COS('Alternative 2-Tilt Up (3pt)'!K49))+(('Alternative 2'!$B$29)*((('Alternative 2'!$B$12-'Alternative 2'!$B$29+(('Alternative 2'!$B$29-'Alternative 2'!$B$28)/2)*('Alternative 2'!$B$39)*COS('Alternative 2-Tilt Up (3pt)'!K49)))))</f>
        <v>423627.9685488441</v>
      </c>
      <c r="N49" s="104">
        <f t="shared" si="0"/>
        <v>41096.453455196221</v>
      </c>
      <c r="O49" s="104">
        <f>(((('Alternative 2'!$B$28-'Alternative 2'!$B$27)/2)+'Alternative 2'!$B$27)*('Alternative 2'!$B$39)*COS('Alternative 2-Tilt Up (3pt)'!K49))+(((('Alternative 2'!$B$28-'Alternative 2'!$B$27)/2)+(('Alternative 2'!$B$29-'Alternative 2'!$B$28)/2))*('Alternative 2'!$B$39)*COS('Alternative 2-Tilt Up (3pt)'!K49))+(((('Alternative 2'!$B$12-'Alternative 2'!$B$29)+(('Alternative 2'!$B$29-'Alternative 2'!$B$28)/2))*('Alternative 2'!$B$39)*COS('Alternative 2-Tilt Up (3pt)'!K49)))</f>
        <v>43470.219856792057</v>
      </c>
      <c r="P49" s="104">
        <f t="shared" si="1"/>
        <v>28547.995388830637</v>
      </c>
      <c r="R49" s="105" t="e">
        <f>'Alternative 2'!$B$39*$B49*$C49*COS($K$5)-($N$5/3)*$E49*SIN($K$5)-($N$5/3)*$F49*SIN($K$5)-($N$5/3)*$G49*SIN($K$5)</f>
        <v>#VALUE!</v>
      </c>
      <c r="S49" s="106" t="e">
        <f>IF(($A49&lt;'Alternative 2'!$B$27),(($H49*'Alternative 2'!$B$39)+(3*($N$5/3)*COS($K$5))),IF(($A49&lt;'Alternative 2'!$B$28),(($H49*'Alternative 2'!$B$39)+(2*(($N$5/3)*COS($K$5)))),IF(($A49&lt;'Alternative 2'!$B$29),(($H$3*'Alternative 2'!$B$39+(($N$5/3)*COS($K$5)))),($H49*'Alternative 2'!$B$39))))</f>
        <v>#VALUE!</v>
      </c>
      <c r="T49" s="105" t="e">
        <f>R49*'Alternative 2'!$K50/'Alternative 2'!$L50</f>
        <v>#VALUE!</v>
      </c>
      <c r="U49" s="105" t="e">
        <f>S49/'Alternative 2'!$M50</f>
        <v>#VALUE!</v>
      </c>
      <c r="V49" s="105" t="e">
        <f t="shared" si="2"/>
        <v>#VALUE!</v>
      </c>
      <c r="X49" s="105" t="e">
        <f>'Alternative 2'!$B$39*$B49*$C49*COS($K$13)-($N$12/3)*$E49*SIN($K$13)-($N$12/3)*$F49*SIN($K$13)-($N$12/3)*$G49*SIN($K$13)</f>
        <v>#VALUE!</v>
      </c>
      <c r="Y49" s="106" t="e">
        <f>IF(($A49&lt;'Alternative 2'!$B$27),(($H49*'Alternative 2'!$B$39)+(3*($N$12/3)*COS($K$13))),IF(($A49&lt;'Alternative 2'!$B$28),(($H49*'Alternative 2'!$B$39)+(2*(($N$12/3)*COS($K$13)))),IF(($A49&lt;'Alternative 2'!$B$29),(($H$3*'Alternative 2'!$B$39+(($N$12/3)*COS($K$13)))),($H49*'Alternative 2'!$B$39))))</f>
        <v>#VALUE!</v>
      </c>
      <c r="Z49" s="105" t="e">
        <f>X49*'Alternative 2'!$K50/'Alternative 2'!$L50</f>
        <v>#VALUE!</v>
      </c>
      <c r="AA49" s="105" t="e">
        <f>Y49/'Alternative 2'!$M50</f>
        <v>#VALUE!</v>
      </c>
      <c r="AB49" s="105" t="e">
        <f t="shared" si="3"/>
        <v>#VALUE!</v>
      </c>
      <c r="AD49" s="105" t="e">
        <f>'Alternative 2'!$B$39*$B49*$C49*COS($K$23)-($N$22/3)*$E49*SIN($K$23)-($N$22/3)*$F49*SIN($K$23)-($N$22/3)*$G49*SIN($K$23)</f>
        <v>#VALUE!</v>
      </c>
      <c r="AE49" s="106" t="e">
        <f>IF(($A49&lt;'Alternative 2'!$B$27),(($H49*'Alternative 2'!$B$39)+(3*($N$22/3)*COS($K$23))),IF(($A49&lt;'Alternative 2'!$B$28),(($H49*'Alternative 2'!$B$39)+(2*(($N$22/3)*COS($K$23)))),IF(($A49&lt;'Alternative 2'!$B$29),(($H$3*'Alternative 2'!$B$39+(($N$22/3)*COS($K$23)))),($H49*'Alternative 2'!$B$39))))</f>
        <v>#VALUE!</v>
      </c>
      <c r="AF49" s="105" t="e">
        <f>AD49*'Alternative 2'!$K50/'Alternative 2'!$L50</f>
        <v>#VALUE!</v>
      </c>
      <c r="AG49" s="105" t="e">
        <f>AE49/'Alternative 2'!$M50</f>
        <v>#VALUE!</v>
      </c>
      <c r="AH49" s="105" t="e">
        <f t="shared" si="4"/>
        <v>#VALUE!</v>
      </c>
      <c r="AJ49" s="105" t="e">
        <f>'Alternative 2'!$B$39*$B49*$C49*COS($K$33)-($N$32/3)*$E49*SIN($K$33)-($N$32/3)*$F49*SIN($K$33)-($N$32/3)*$G49*SIN($K$33)</f>
        <v>#VALUE!</v>
      </c>
      <c r="AK49" s="106" t="e">
        <f>IF(($A49&lt;'Alternative 2'!$B$27),(($H49*'Alternative 2'!$B$39)+(3*($N$32/3)*COS($K$33))),IF(($A49&lt;'Alternative 2'!$B$28),(($H49*'Alternative 2'!$B$39)+(2*(($N$32/3)*COS($K$33)))),IF(($A49&lt;'Alternative 2'!$B$29),(($H$3*'Alternative 2'!$B$39+(($N$32/3)*COS($K$33)))),($H49*'Alternative 2'!$B$39))))</f>
        <v>#VALUE!</v>
      </c>
      <c r="AL49" s="105" t="e">
        <f>AJ49*'Alternative 2'!$K50/'Alternative 2'!$L50</f>
        <v>#VALUE!</v>
      </c>
      <c r="AM49" s="105" t="e">
        <f>AK49/'Alternative 2'!$M50</f>
        <v>#VALUE!</v>
      </c>
      <c r="AN49" s="105" t="e">
        <f t="shared" si="5"/>
        <v>#VALUE!</v>
      </c>
      <c r="AP49" s="105" t="e">
        <f>'Alternative 2'!$B$39*$B49*$C49*COS($K$43)-($N$42/3)*$E49*SIN($K$43)-($N$42/3)*$F49*SIN($K$43)-($N$42/3)*$G49*SIN($K$43)</f>
        <v>#VALUE!</v>
      </c>
      <c r="AQ49" s="106" t="e">
        <f>IF(($A49&lt;'Alternative 2'!$B$27),(($H49*'Alternative 2'!$B$39)+(3*($N$42/3)*COS($K$43))),IF(($A49&lt;'Alternative 2'!$B$28),(($H49*'Alternative 2'!$B$39)+(2*(($N$42/3)*COS($K$43)))),IF(($A49&lt;'Alternative 2'!$B$29),(($H$3*'Alternative 2'!$B$39+(($N$42/3)*COS($K$43)))),($H49*'Alternative 2'!$B$39))))</f>
        <v>#VALUE!</v>
      </c>
      <c r="AR49" s="105" t="e">
        <f>AP49*'Alternative 2'!$K50/'Alternative 2'!$L50</f>
        <v>#VALUE!</v>
      </c>
      <c r="AS49" s="105" t="e">
        <f>AQ49/'Alternative 2'!$M50</f>
        <v>#VALUE!</v>
      </c>
      <c r="AT49" s="105" t="e">
        <f t="shared" si="6"/>
        <v>#VALUE!</v>
      </c>
      <c r="AV49" s="105" t="e">
        <f>'Alternative 2'!$B$39*$B49*$C49*COS($K$53)-($N$52/3)*$E49*SIN($K$53)-($N$52/3)*$F49*SIN($K$53)-($N$52/3)*$G49*SIN($K$53)</f>
        <v>#VALUE!</v>
      </c>
      <c r="AW49" s="106" t="e">
        <f>IF(($A49&lt;'Alternative 2'!$B$27),(($H49*'Alternative 2'!$B$39)+(3*($N$52/3)*COS($K$53))),IF(($A49&lt;'Alternative 2'!$B$28),(($H49*'Alternative 2'!$B$39)+(2*(($N$52/3)*COS($K$53)))),IF(($A49&lt;'Alternative 2'!$B$29),(($H$3*'Alternative 2'!$B$39+(($N$52/3)*COS($K$53)))),($H49*'Alternative 2'!$B$39))))</f>
        <v>#VALUE!</v>
      </c>
      <c r="AX49" s="105" t="e">
        <f>AV49*'Alternative 2'!$K50/'Alternative 2'!$L50</f>
        <v>#VALUE!</v>
      </c>
      <c r="AY49" s="105" t="e">
        <f>AW49/'Alternative 2'!$M50</f>
        <v>#VALUE!</v>
      </c>
      <c r="AZ49" s="105" t="e">
        <f t="shared" si="7"/>
        <v>#VALUE!</v>
      </c>
      <c r="BB49" s="105" t="e">
        <f>'Alternative 2'!$B$39*$B49*$C49*COS($K$63)-($N$62/3)*$E49*SIN($K$63)-($N$62/3)*$F49*SIN($K$63)-($N$62/3)*$G49*SIN($K$63)</f>
        <v>#VALUE!</v>
      </c>
      <c r="BC49" s="106" t="e">
        <f>IF(($A49&lt;'Alternative 2'!$B$27),(($H49*'Alternative 2'!$B$39)+(3*($N$62/3)*COS($K$63))),IF(($A49&lt;'Alternative 2'!$B$28),(($H49*'Alternative 2'!$B$39)+(2*(($N$62/3)*COS($K$63)))),IF(($A49&lt;'Alternative 2'!$B$29),(($H$3*'Alternative 2'!$B$39+(($N$62/3)*COS($K$63)))),($H49*'Alternative 2'!$B$39))))</f>
        <v>#VALUE!</v>
      </c>
      <c r="BD49" s="105" t="e">
        <f>BB49*'Alternative 2'!$K50/'Alternative 2'!$L50</f>
        <v>#VALUE!</v>
      </c>
      <c r="BE49" s="105" t="e">
        <f>BC49/'Alternative 2'!$M50</f>
        <v>#VALUE!</v>
      </c>
      <c r="BF49" s="105" t="e">
        <f t="shared" si="8"/>
        <v>#VALUE!</v>
      </c>
      <c r="BH49" s="105" t="e">
        <f>'Alternative 2'!$B$39*$B49*$C49*COS($K$73)-($N$72/3)*$E49*SIN($K$73)-($N$72/3)*$F49*SIN($K$73)-($N$72/3)*$G49*SIN($K$73)</f>
        <v>#VALUE!</v>
      </c>
      <c r="BI49" s="106" t="e">
        <f>IF(($A49&lt;'Alternative 2'!$B$27),(($H49*'Alternative 2'!$B$39)+(3*($N$72/3)*COS($K$73))),IF(($A49&lt;'Alternative 2'!$B$28),(($H49*'Alternative 2'!$B$39)+(2*(($N$72/3)*COS($K$73)))),IF(($A49&lt;'Alternative 2'!$B$29),(($H$3*'Alternative 2'!$B$39+(($N$72/3)*COS($K$73)))),($H49*'Alternative 2'!$B$39))))</f>
        <v>#VALUE!</v>
      </c>
      <c r="BJ49" s="105" t="e">
        <f>BH49*'Alternative 2'!$K50/'Alternative 2'!$L50</f>
        <v>#VALUE!</v>
      </c>
      <c r="BK49" s="105" t="e">
        <f>BI49/'Alternative 2'!$M50</f>
        <v>#VALUE!</v>
      </c>
      <c r="BL49" s="105" t="e">
        <f t="shared" si="9"/>
        <v>#VALUE!</v>
      </c>
      <c r="BN49" s="105" t="e">
        <f>'Alternative 2'!$B$39*$B49*$C49*COS($K$83)-($N$82/3)*$E49*SIN($K$83)-($N$82/3)*$F49*SIN($K$83)-($N$82/3)*$G49*SIN($K$83)</f>
        <v>#VALUE!</v>
      </c>
      <c r="BO49" s="106" t="e">
        <f>IF(($A49&lt;'Alternative 2'!$B$27),(($H49*'Alternative 2'!$B$39)+(3*($N$82/3)*COS($K$83))),IF(($A49&lt;'Alternative 2'!$B$28),(($H49*'Alternative 2'!$B$39)+(2*(($N$82/3)*COS($K$83)))),IF(($A49&lt;'Alternative 2'!$B$29),(($H$3*'Alternative 2'!$B$39+(($N$82/3)*COS($K$83)))),($H49*'Alternative 2'!$B$39))))</f>
        <v>#VALUE!</v>
      </c>
      <c r="BP49" s="105" t="e">
        <f>BN49*'Alternative 2'!$K50/'Alternative 2'!$L50</f>
        <v>#VALUE!</v>
      </c>
      <c r="BQ49" s="105" t="e">
        <f>BO49/'Alternative 2'!$M50</f>
        <v>#VALUE!</v>
      </c>
      <c r="BR49" s="105" t="e">
        <f t="shared" si="10"/>
        <v>#VALUE!</v>
      </c>
      <c r="BT49" s="105" t="e">
        <f>'Alternative 2'!$B$39*$B49*$C49*COS($K$93)-($K$92/3)*$E49*SIN($K$93)-($K$92/3)*$F49*SIN($K$93)-($K$92/3)*$G49*SIN($K$93)</f>
        <v>#VALUE!</v>
      </c>
      <c r="BU49" s="106" t="e">
        <f>IF(($A49&lt;'Alternative 2'!$B$27),(($H49*'Alternative 2'!$B$39)+(3*($N$92/3)*COS($K$93))),IF(($A49&lt;'Alternative 2'!$B$28),(($H49*'Alternative 2'!$B$39)+(2*(($N$92/3)*COS($K$93)))),IF(($A49&lt;'Alternative 2'!$B$29),(($H$3*'Alternative 2'!$B$39+(($N$92/3)*COS($K$93)))),($H49*'Alternative 2'!$B$39))))</f>
        <v>#VALUE!</v>
      </c>
      <c r="BV49" s="105" t="e">
        <f>BT49*'Alternative 2'!$K50/'Alternative 2'!$L50</f>
        <v>#VALUE!</v>
      </c>
      <c r="BW49" s="105" t="e">
        <f>BU49/'Alternative 2'!$M50</f>
        <v>#VALUE!</v>
      </c>
      <c r="BX49" s="105" t="e">
        <f t="shared" si="11"/>
        <v>#VALUE!</v>
      </c>
      <c r="BZ49" s="104">
        <v>150</v>
      </c>
      <c r="CA49" s="104">
        <v>-150</v>
      </c>
    </row>
    <row r="50" spans="1:79" ht="15" customHeight="1" x14ac:dyDescent="0.25">
      <c r="A50" s="18" t="str">
        <f>IF('Alternative 2'!F51&gt;0,'Alternative 2'!F51,"x")</f>
        <v>x</v>
      </c>
      <c r="B50" s="18" t="e">
        <f t="shared" si="17"/>
        <v>#VALUE!</v>
      </c>
      <c r="C50" s="18">
        <f t="shared" si="12"/>
        <v>0</v>
      </c>
      <c r="D50" s="18" t="str">
        <f t="shared" si="13"/>
        <v>x</v>
      </c>
      <c r="E50" s="101">
        <f>IF($A50&lt;='Alternative 2'!$B$27, IF($A50='Alternative 2'!$B$27,0,E51+1),0)</f>
        <v>0</v>
      </c>
      <c r="F50" s="101">
        <f>IF($A50&lt;=('Alternative 2'!$B$28), IF($A50=ROUNDDOWN('Alternative 2'!$B$28,0),0,F51+1),0)</f>
        <v>0</v>
      </c>
      <c r="G50" s="101">
        <f>IF($A50&lt;=('Alternative 2'!$B$29), IF($A50=ROUNDDOWN('Alternative 2'!$B$29,0),0,G51+1),0)</f>
        <v>0</v>
      </c>
      <c r="H50" s="18" t="e">
        <f t="shared" si="14"/>
        <v>#VALUE!</v>
      </c>
      <c r="J50" s="104">
        <f t="shared" si="15"/>
        <v>47</v>
      </c>
      <c r="K50" s="104">
        <f t="shared" si="16"/>
        <v>0.82030474843733492</v>
      </c>
      <c r="L50" s="105">
        <f>'Alternative 2'!$B$27*SIN(K50)+'Alternative 2'!$B$28*SIN(K50)+'Alternative 2'!$B$29*SIN(K50)</f>
        <v>31.440895632608139</v>
      </c>
      <c r="M50" s="104">
        <f>(('Alternative 2'!$B$27)*(((('Alternative 2'!$B$28-'Alternative 2'!$B$27)/2)+'Alternative 2'!$B$27)*'Alternative 2'!$B$39)*COS('Alternative 2-Tilt Up (3pt)'!K50))+(('Alternative 2'!$B$28)*((('Alternative 2'!$B$28-'Alternative 2'!$B$27)/2)+(('Alternative 2'!$B$29-'Alternative 2'!$B$28)/2))*('Alternative 2'!$B$39)*COS('Alternative 2-Tilt Up (3pt)'!K50))+(('Alternative 2'!$B$29)*((('Alternative 2'!$B$12-'Alternative 2'!$B$29+(('Alternative 2'!$B$29-'Alternative 2'!$B$28)/2)*('Alternative 2'!$B$39)*COS('Alternative 2-Tilt Up (3pt)'!K50)))))</f>
        <v>415908.90915107558</v>
      </c>
      <c r="N50" s="104">
        <f t="shared" si="0"/>
        <v>39684.834110106523</v>
      </c>
      <c r="O50" s="104">
        <f>(((('Alternative 2'!$B$28-'Alternative 2'!$B$27)/2)+'Alternative 2'!$B$27)*('Alternative 2'!$B$39)*COS('Alternative 2-Tilt Up (3pt)'!K50))+(((('Alternative 2'!$B$28-'Alternative 2'!$B$27)/2)+(('Alternative 2'!$B$29-'Alternative 2'!$B$28)/2))*('Alternative 2'!$B$39)*COS('Alternative 2-Tilt Up (3pt)'!K50))+(((('Alternative 2'!$B$12-'Alternative 2'!$B$29)+(('Alternative 2'!$B$29-'Alternative 2'!$B$28)/2))*('Alternative 2'!$B$39)*COS('Alternative 2-Tilt Up (3pt)'!K50)))</f>
        <v>42677.98376099515</v>
      </c>
      <c r="P50" s="104">
        <f t="shared" si="1"/>
        <v>27064.991782444951</v>
      </c>
      <c r="R50" s="105" t="e">
        <f>'Alternative 2'!$B$39*$B50*$C50*COS($K$5)-($N$5/3)*$E50*SIN($K$5)-($N$5/3)*$F50*SIN($K$5)-($N$5/3)*$G50*SIN($K$5)</f>
        <v>#VALUE!</v>
      </c>
      <c r="S50" s="106" t="e">
        <f>IF(($A50&lt;'Alternative 2'!$B$27),(($H50*'Alternative 2'!$B$39)+(3*($N$5/3)*COS($K$5))),IF(($A50&lt;'Alternative 2'!$B$28),(($H50*'Alternative 2'!$B$39)+(2*(($N$5/3)*COS($K$5)))),IF(($A50&lt;'Alternative 2'!$B$29),(($H$3*'Alternative 2'!$B$39+(($N$5/3)*COS($K$5)))),($H50*'Alternative 2'!$B$39))))</f>
        <v>#VALUE!</v>
      </c>
      <c r="T50" s="105" t="e">
        <f>R50*'Alternative 2'!$K51/'Alternative 2'!$L51</f>
        <v>#VALUE!</v>
      </c>
      <c r="U50" s="105" t="e">
        <f>S50/'Alternative 2'!$M51</f>
        <v>#VALUE!</v>
      </c>
      <c r="V50" s="105" t="e">
        <f t="shared" si="2"/>
        <v>#VALUE!</v>
      </c>
      <c r="X50" s="105" t="e">
        <f>'Alternative 2'!$B$39*$B50*$C50*COS($K$13)-($N$12/3)*$E50*SIN($K$13)-($N$12/3)*$F50*SIN($K$13)-($N$12/3)*$G50*SIN($K$13)</f>
        <v>#VALUE!</v>
      </c>
      <c r="Y50" s="106" t="e">
        <f>IF(($A50&lt;'Alternative 2'!$B$27),(($H50*'Alternative 2'!$B$39)+(3*($N$12/3)*COS($K$13))),IF(($A50&lt;'Alternative 2'!$B$28),(($H50*'Alternative 2'!$B$39)+(2*(($N$12/3)*COS($K$13)))),IF(($A50&lt;'Alternative 2'!$B$29),(($H$3*'Alternative 2'!$B$39+(($N$12/3)*COS($K$13)))),($H50*'Alternative 2'!$B$39))))</f>
        <v>#VALUE!</v>
      </c>
      <c r="Z50" s="105" t="e">
        <f>X50*'Alternative 2'!$K51/'Alternative 2'!$L51</f>
        <v>#VALUE!</v>
      </c>
      <c r="AA50" s="105" t="e">
        <f>Y50/'Alternative 2'!$M51</f>
        <v>#VALUE!</v>
      </c>
      <c r="AB50" s="105" t="e">
        <f t="shared" si="3"/>
        <v>#VALUE!</v>
      </c>
      <c r="AD50" s="105" t="e">
        <f>'Alternative 2'!$B$39*$B50*$C50*COS($K$23)-($N$22/3)*$E50*SIN($K$23)-($N$22/3)*$F50*SIN($K$23)-($N$22/3)*$G50*SIN($K$23)</f>
        <v>#VALUE!</v>
      </c>
      <c r="AE50" s="106" t="e">
        <f>IF(($A50&lt;'Alternative 2'!$B$27),(($H50*'Alternative 2'!$B$39)+(3*($N$22/3)*COS($K$23))),IF(($A50&lt;'Alternative 2'!$B$28),(($H50*'Alternative 2'!$B$39)+(2*(($N$22/3)*COS($K$23)))),IF(($A50&lt;'Alternative 2'!$B$29),(($H$3*'Alternative 2'!$B$39+(($N$22/3)*COS($K$23)))),($H50*'Alternative 2'!$B$39))))</f>
        <v>#VALUE!</v>
      </c>
      <c r="AF50" s="105" t="e">
        <f>AD50*'Alternative 2'!$K51/'Alternative 2'!$L51</f>
        <v>#VALUE!</v>
      </c>
      <c r="AG50" s="105" t="e">
        <f>AE50/'Alternative 2'!$M51</f>
        <v>#VALUE!</v>
      </c>
      <c r="AH50" s="105" t="e">
        <f t="shared" si="4"/>
        <v>#VALUE!</v>
      </c>
      <c r="AJ50" s="105" t="e">
        <f>'Alternative 2'!$B$39*$B50*$C50*COS($K$33)-($N$32/3)*$E50*SIN($K$33)-($N$32/3)*$F50*SIN($K$33)-($N$32/3)*$G50*SIN($K$33)</f>
        <v>#VALUE!</v>
      </c>
      <c r="AK50" s="106" t="e">
        <f>IF(($A50&lt;'Alternative 2'!$B$27),(($H50*'Alternative 2'!$B$39)+(3*($N$32/3)*COS($K$33))),IF(($A50&lt;'Alternative 2'!$B$28),(($H50*'Alternative 2'!$B$39)+(2*(($N$32/3)*COS($K$33)))),IF(($A50&lt;'Alternative 2'!$B$29),(($H$3*'Alternative 2'!$B$39+(($N$32/3)*COS($K$33)))),($H50*'Alternative 2'!$B$39))))</f>
        <v>#VALUE!</v>
      </c>
      <c r="AL50" s="105" t="e">
        <f>AJ50*'Alternative 2'!$K51/'Alternative 2'!$L51</f>
        <v>#VALUE!</v>
      </c>
      <c r="AM50" s="105" t="e">
        <f>AK50/'Alternative 2'!$M51</f>
        <v>#VALUE!</v>
      </c>
      <c r="AN50" s="105" t="e">
        <f t="shared" si="5"/>
        <v>#VALUE!</v>
      </c>
      <c r="AP50" s="105" t="e">
        <f>'Alternative 2'!$B$39*$B50*$C50*COS($K$43)-($N$42/3)*$E50*SIN($K$43)-($N$42/3)*$F50*SIN($K$43)-($N$42/3)*$G50*SIN($K$43)</f>
        <v>#VALUE!</v>
      </c>
      <c r="AQ50" s="106" t="e">
        <f>IF(($A50&lt;'Alternative 2'!$B$27),(($H50*'Alternative 2'!$B$39)+(3*($N$42/3)*COS($K$43))),IF(($A50&lt;'Alternative 2'!$B$28),(($H50*'Alternative 2'!$B$39)+(2*(($N$42/3)*COS($K$43)))),IF(($A50&lt;'Alternative 2'!$B$29),(($H$3*'Alternative 2'!$B$39+(($N$42/3)*COS($K$43)))),($H50*'Alternative 2'!$B$39))))</f>
        <v>#VALUE!</v>
      </c>
      <c r="AR50" s="105" t="e">
        <f>AP50*'Alternative 2'!$K51/'Alternative 2'!$L51</f>
        <v>#VALUE!</v>
      </c>
      <c r="AS50" s="105" t="e">
        <f>AQ50/'Alternative 2'!$M51</f>
        <v>#VALUE!</v>
      </c>
      <c r="AT50" s="105" t="e">
        <f t="shared" si="6"/>
        <v>#VALUE!</v>
      </c>
      <c r="AV50" s="105" t="e">
        <f>'Alternative 2'!$B$39*$B50*$C50*COS($K$53)-($N$52/3)*$E50*SIN($K$53)-($N$52/3)*$F50*SIN($K$53)-($N$52/3)*$G50*SIN($K$53)</f>
        <v>#VALUE!</v>
      </c>
      <c r="AW50" s="106" t="e">
        <f>IF(($A50&lt;'Alternative 2'!$B$27),(($H50*'Alternative 2'!$B$39)+(3*($N$52/3)*COS($K$53))),IF(($A50&lt;'Alternative 2'!$B$28),(($H50*'Alternative 2'!$B$39)+(2*(($N$52/3)*COS($K$53)))),IF(($A50&lt;'Alternative 2'!$B$29),(($H$3*'Alternative 2'!$B$39+(($N$52/3)*COS($K$53)))),($H50*'Alternative 2'!$B$39))))</f>
        <v>#VALUE!</v>
      </c>
      <c r="AX50" s="105" t="e">
        <f>AV50*'Alternative 2'!$K51/'Alternative 2'!$L51</f>
        <v>#VALUE!</v>
      </c>
      <c r="AY50" s="105" t="e">
        <f>AW50/'Alternative 2'!$M51</f>
        <v>#VALUE!</v>
      </c>
      <c r="AZ50" s="105" t="e">
        <f t="shared" si="7"/>
        <v>#VALUE!</v>
      </c>
      <c r="BB50" s="105" t="e">
        <f>'Alternative 2'!$B$39*$B50*$C50*COS($K$63)-($N$62/3)*$E50*SIN($K$63)-($N$62/3)*$F50*SIN($K$63)-($N$62/3)*$G50*SIN($K$63)</f>
        <v>#VALUE!</v>
      </c>
      <c r="BC50" s="106" t="e">
        <f>IF(($A50&lt;'Alternative 2'!$B$27),(($H50*'Alternative 2'!$B$39)+(3*($N$62/3)*COS($K$63))),IF(($A50&lt;'Alternative 2'!$B$28),(($H50*'Alternative 2'!$B$39)+(2*(($N$62/3)*COS($K$63)))),IF(($A50&lt;'Alternative 2'!$B$29),(($H$3*'Alternative 2'!$B$39+(($N$62/3)*COS($K$63)))),($H50*'Alternative 2'!$B$39))))</f>
        <v>#VALUE!</v>
      </c>
      <c r="BD50" s="105" t="e">
        <f>BB50*'Alternative 2'!$K51/'Alternative 2'!$L51</f>
        <v>#VALUE!</v>
      </c>
      <c r="BE50" s="105" t="e">
        <f>BC50/'Alternative 2'!$M51</f>
        <v>#VALUE!</v>
      </c>
      <c r="BF50" s="105" t="e">
        <f t="shared" si="8"/>
        <v>#VALUE!</v>
      </c>
      <c r="BH50" s="105" t="e">
        <f>'Alternative 2'!$B$39*$B50*$C50*COS($K$73)-($N$72/3)*$E50*SIN($K$73)-($N$72/3)*$F50*SIN($K$73)-($N$72/3)*$G50*SIN($K$73)</f>
        <v>#VALUE!</v>
      </c>
      <c r="BI50" s="106" t="e">
        <f>IF(($A50&lt;'Alternative 2'!$B$27),(($H50*'Alternative 2'!$B$39)+(3*($N$72/3)*COS($K$73))),IF(($A50&lt;'Alternative 2'!$B$28),(($H50*'Alternative 2'!$B$39)+(2*(($N$72/3)*COS($K$73)))),IF(($A50&lt;'Alternative 2'!$B$29),(($H$3*'Alternative 2'!$B$39+(($N$72/3)*COS($K$73)))),($H50*'Alternative 2'!$B$39))))</f>
        <v>#VALUE!</v>
      </c>
      <c r="BJ50" s="105" t="e">
        <f>BH50*'Alternative 2'!$K51/'Alternative 2'!$L51</f>
        <v>#VALUE!</v>
      </c>
      <c r="BK50" s="105" t="e">
        <f>BI50/'Alternative 2'!$M51</f>
        <v>#VALUE!</v>
      </c>
      <c r="BL50" s="105" t="e">
        <f t="shared" si="9"/>
        <v>#VALUE!</v>
      </c>
      <c r="BN50" s="105" t="e">
        <f>'Alternative 2'!$B$39*$B50*$C50*COS($K$83)-($N$82/3)*$E50*SIN($K$83)-($N$82/3)*$F50*SIN($K$83)-($N$82/3)*$G50*SIN($K$83)</f>
        <v>#VALUE!</v>
      </c>
      <c r="BO50" s="106" t="e">
        <f>IF(($A50&lt;'Alternative 2'!$B$27),(($H50*'Alternative 2'!$B$39)+(3*($N$82/3)*COS($K$83))),IF(($A50&lt;'Alternative 2'!$B$28),(($H50*'Alternative 2'!$B$39)+(2*(($N$82/3)*COS($K$83)))),IF(($A50&lt;'Alternative 2'!$B$29),(($H$3*'Alternative 2'!$B$39+(($N$82/3)*COS($K$83)))),($H50*'Alternative 2'!$B$39))))</f>
        <v>#VALUE!</v>
      </c>
      <c r="BP50" s="105" t="e">
        <f>BN50*'Alternative 2'!$K51/'Alternative 2'!$L51</f>
        <v>#VALUE!</v>
      </c>
      <c r="BQ50" s="105" t="e">
        <f>BO50/'Alternative 2'!$M51</f>
        <v>#VALUE!</v>
      </c>
      <c r="BR50" s="105" t="e">
        <f t="shared" si="10"/>
        <v>#VALUE!</v>
      </c>
      <c r="BT50" s="105" t="e">
        <f>'Alternative 2'!$B$39*$B50*$C50*COS($K$93)-($K$92/3)*$E50*SIN($K$93)-($K$92/3)*$F50*SIN($K$93)-($K$92/3)*$G50*SIN($K$93)</f>
        <v>#VALUE!</v>
      </c>
      <c r="BU50" s="106" t="e">
        <f>IF(($A50&lt;'Alternative 2'!$B$27),(($H50*'Alternative 2'!$B$39)+(3*($N$92/3)*COS($K$93))),IF(($A50&lt;'Alternative 2'!$B$28),(($H50*'Alternative 2'!$B$39)+(2*(($N$92/3)*COS($K$93)))),IF(($A50&lt;'Alternative 2'!$B$29),(($H$3*'Alternative 2'!$B$39+(($N$92/3)*COS($K$93)))),($H50*'Alternative 2'!$B$39))))</f>
        <v>#VALUE!</v>
      </c>
      <c r="BV50" s="105" t="e">
        <f>BT50*'Alternative 2'!$K51/'Alternative 2'!$L51</f>
        <v>#VALUE!</v>
      </c>
      <c r="BW50" s="105" t="e">
        <f>BU50/'Alternative 2'!$M51</f>
        <v>#VALUE!</v>
      </c>
      <c r="BX50" s="105" t="e">
        <f t="shared" si="11"/>
        <v>#VALUE!</v>
      </c>
      <c r="BZ50" s="104">
        <v>150</v>
      </c>
      <c r="CA50" s="104">
        <v>-150</v>
      </c>
    </row>
    <row r="51" spans="1:79" ht="15" customHeight="1" x14ac:dyDescent="0.25">
      <c r="A51" s="18" t="str">
        <f>IF('Alternative 2'!F52&gt;0,'Alternative 2'!F52,"x")</f>
        <v>x</v>
      </c>
      <c r="B51" s="18" t="e">
        <f t="shared" si="17"/>
        <v>#VALUE!</v>
      </c>
      <c r="C51" s="18">
        <f t="shared" si="12"/>
        <v>0</v>
      </c>
      <c r="D51" s="18" t="str">
        <f t="shared" si="13"/>
        <v>x</v>
      </c>
      <c r="E51" s="101">
        <f>IF($A51&lt;='Alternative 2'!$B$27, IF($A51='Alternative 2'!$B$27,0,E52+1),0)</f>
        <v>0</v>
      </c>
      <c r="F51" s="101">
        <f>IF($A51&lt;=('Alternative 2'!$B$28), IF($A51=ROUNDDOWN('Alternative 2'!$B$28,0),0,F52+1),0)</f>
        <v>0</v>
      </c>
      <c r="G51" s="101">
        <f>IF($A51&lt;=('Alternative 2'!$B$29), IF($A51=ROUNDDOWN('Alternative 2'!$B$29,0),0,G52+1),0)</f>
        <v>0</v>
      </c>
      <c r="H51" s="18" t="e">
        <f t="shared" si="14"/>
        <v>#VALUE!</v>
      </c>
      <c r="J51" s="104">
        <f t="shared" si="15"/>
        <v>48</v>
      </c>
      <c r="K51" s="104">
        <f t="shared" si="16"/>
        <v>0.83775804095727813</v>
      </c>
      <c r="L51" s="105">
        <f>'Alternative 2'!$B$27*SIN(K51)+'Alternative 2'!$B$28*SIN(K51)+'Alternative 2'!$B$29*SIN(K51)</f>
        <v>31.947796047273172</v>
      </c>
      <c r="M51" s="104">
        <f>(('Alternative 2'!$B$27)*(((('Alternative 2'!$B$28-'Alternative 2'!$B$27)/2)+'Alternative 2'!$B$27)*'Alternative 2'!$B$39)*COS('Alternative 2-Tilt Up (3pt)'!K51))+(('Alternative 2'!$B$28)*((('Alternative 2'!$B$28-'Alternative 2'!$B$27)/2)+(('Alternative 2'!$B$29-'Alternative 2'!$B$28)/2))*('Alternative 2'!$B$39)*COS('Alternative 2-Tilt Up (3pt)'!K51))+(('Alternative 2'!$B$29)*((('Alternative 2'!$B$12-'Alternative 2'!$B$29+(('Alternative 2'!$B$29-'Alternative 2'!$B$28)/2)*('Alternative 2'!$B$39)*COS('Alternative 2-Tilt Up (3pt)'!K51)))))</f>
        <v>408063.18453921238</v>
      </c>
      <c r="N51" s="104">
        <f t="shared" si="0"/>
        <v>38318.435231219177</v>
      </c>
      <c r="O51" s="104">
        <f>(((('Alternative 2'!$B$28-'Alternative 2'!$B$27)/2)+'Alternative 2'!$B$27)*('Alternative 2'!$B$39)*COS('Alternative 2-Tilt Up (3pt)'!K51))+(((('Alternative 2'!$B$28-'Alternative 2'!$B$27)/2)+(('Alternative 2'!$B$29-'Alternative 2'!$B$28)/2))*('Alternative 2'!$B$39)*COS('Alternative 2-Tilt Up (3pt)'!K51))+(((('Alternative 2'!$B$12-'Alternative 2'!$B$29)+(('Alternative 2'!$B$29-'Alternative 2'!$B$28)/2))*('Alternative 2'!$B$39)*COS('Alternative 2-Tilt Up (3pt)'!K51)))</f>
        <v>41872.747537913732</v>
      </c>
      <c r="P51" s="104">
        <f t="shared" si="1"/>
        <v>25640.037800988324</v>
      </c>
      <c r="R51" s="105" t="e">
        <f>'Alternative 2'!$B$39*$B51*$C51*COS($K$5)-($N$5/3)*$E51*SIN($K$5)-($N$5/3)*$F51*SIN($K$5)-($N$5/3)*$G51*SIN($K$5)</f>
        <v>#VALUE!</v>
      </c>
      <c r="S51" s="106" t="e">
        <f>IF(($A51&lt;'Alternative 2'!$B$27),(($H51*'Alternative 2'!$B$39)+(3*($N$5/3)*COS($K$5))),IF(($A51&lt;'Alternative 2'!$B$28),(($H51*'Alternative 2'!$B$39)+(2*(($N$5/3)*COS($K$5)))),IF(($A51&lt;'Alternative 2'!$B$29),(($H$3*'Alternative 2'!$B$39+(($N$5/3)*COS($K$5)))),($H51*'Alternative 2'!$B$39))))</f>
        <v>#VALUE!</v>
      </c>
      <c r="T51" s="105" t="e">
        <f>R51*'Alternative 2'!$K52/'Alternative 2'!$L52</f>
        <v>#VALUE!</v>
      </c>
      <c r="U51" s="105" t="e">
        <f>S51/'Alternative 2'!$M52</f>
        <v>#VALUE!</v>
      </c>
      <c r="V51" s="105" t="e">
        <f t="shared" si="2"/>
        <v>#VALUE!</v>
      </c>
      <c r="X51" s="105" t="e">
        <f>'Alternative 2'!$B$39*$B51*$C51*COS($K$13)-($N$12/3)*$E51*SIN($K$13)-($N$12/3)*$F51*SIN($K$13)-($N$12/3)*$G51*SIN($K$13)</f>
        <v>#VALUE!</v>
      </c>
      <c r="Y51" s="106" t="e">
        <f>IF(($A51&lt;'Alternative 2'!$B$27),(($H51*'Alternative 2'!$B$39)+(3*($N$12/3)*COS($K$13))),IF(($A51&lt;'Alternative 2'!$B$28),(($H51*'Alternative 2'!$B$39)+(2*(($N$12/3)*COS($K$13)))),IF(($A51&lt;'Alternative 2'!$B$29),(($H$3*'Alternative 2'!$B$39+(($N$12/3)*COS($K$13)))),($H51*'Alternative 2'!$B$39))))</f>
        <v>#VALUE!</v>
      </c>
      <c r="Z51" s="105" t="e">
        <f>X51*'Alternative 2'!$K52/'Alternative 2'!$L52</f>
        <v>#VALUE!</v>
      </c>
      <c r="AA51" s="105" t="e">
        <f>Y51/'Alternative 2'!$M52</f>
        <v>#VALUE!</v>
      </c>
      <c r="AB51" s="105" t="e">
        <f t="shared" si="3"/>
        <v>#VALUE!</v>
      </c>
      <c r="AD51" s="105" t="e">
        <f>'Alternative 2'!$B$39*$B51*$C51*COS($K$23)-($N$22/3)*$E51*SIN($K$23)-($N$22/3)*$F51*SIN($K$23)-($N$22/3)*$G51*SIN($K$23)</f>
        <v>#VALUE!</v>
      </c>
      <c r="AE51" s="106" t="e">
        <f>IF(($A51&lt;'Alternative 2'!$B$27),(($H51*'Alternative 2'!$B$39)+(3*($N$22/3)*COS($K$23))),IF(($A51&lt;'Alternative 2'!$B$28),(($H51*'Alternative 2'!$B$39)+(2*(($N$22/3)*COS($K$23)))),IF(($A51&lt;'Alternative 2'!$B$29),(($H$3*'Alternative 2'!$B$39+(($N$22/3)*COS($K$23)))),($H51*'Alternative 2'!$B$39))))</f>
        <v>#VALUE!</v>
      </c>
      <c r="AF51" s="105" t="e">
        <f>AD51*'Alternative 2'!$K52/'Alternative 2'!$L52</f>
        <v>#VALUE!</v>
      </c>
      <c r="AG51" s="105" t="e">
        <f>AE51/'Alternative 2'!$M52</f>
        <v>#VALUE!</v>
      </c>
      <c r="AH51" s="105" t="e">
        <f t="shared" si="4"/>
        <v>#VALUE!</v>
      </c>
      <c r="AJ51" s="105" t="e">
        <f>'Alternative 2'!$B$39*$B51*$C51*COS($K$33)-($N$32/3)*$E51*SIN($K$33)-($N$32/3)*$F51*SIN($K$33)-($N$32/3)*$G51*SIN($K$33)</f>
        <v>#VALUE!</v>
      </c>
      <c r="AK51" s="106" t="e">
        <f>IF(($A51&lt;'Alternative 2'!$B$27),(($H51*'Alternative 2'!$B$39)+(3*($N$32/3)*COS($K$33))),IF(($A51&lt;'Alternative 2'!$B$28),(($H51*'Alternative 2'!$B$39)+(2*(($N$32/3)*COS($K$33)))),IF(($A51&lt;'Alternative 2'!$B$29),(($H$3*'Alternative 2'!$B$39+(($N$32/3)*COS($K$33)))),($H51*'Alternative 2'!$B$39))))</f>
        <v>#VALUE!</v>
      </c>
      <c r="AL51" s="105" t="e">
        <f>AJ51*'Alternative 2'!$K52/'Alternative 2'!$L52</f>
        <v>#VALUE!</v>
      </c>
      <c r="AM51" s="105" t="e">
        <f>AK51/'Alternative 2'!$M52</f>
        <v>#VALUE!</v>
      </c>
      <c r="AN51" s="105" t="e">
        <f t="shared" si="5"/>
        <v>#VALUE!</v>
      </c>
      <c r="AP51" s="105" t="e">
        <f>'Alternative 2'!$B$39*$B51*$C51*COS($K$43)-($N$42/3)*$E51*SIN($K$43)-($N$42/3)*$F51*SIN($K$43)-($N$42/3)*$G51*SIN($K$43)</f>
        <v>#VALUE!</v>
      </c>
      <c r="AQ51" s="106" t="e">
        <f>IF(($A51&lt;'Alternative 2'!$B$27),(($H51*'Alternative 2'!$B$39)+(3*($N$42/3)*COS($K$43))),IF(($A51&lt;'Alternative 2'!$B$28),(($H51*'Alternative 2'!$B$39)+(2*(($N$42/3)*COS($K$43)))),IF(($A51&lt;'Alternative 2'!$B$29),(($H$3*'Alternative 2'!$B$39+(($N$42/3)*COS($K$43)))),($H51*'Alternative 2'!$B$39))))</f>
        <v>#VALUE!</v>
      </c>
      <c r="AR51" s="105" t="e">
        <f>AP51*'Alternative 2'!$K52/'Alternative 2'!$L52</f>
        <v>#VALUE!</v>
      </c>
      <c r="AS51" s="105" t="e">
        <f>AQ51/'Alternative 2'!$M52</f>
        <v>#VALUE!</v>
      </c>
      <c r="AT51" s="105" t="e">
        <f t="shared" si="6"/>
        <v>#VALUE!</v>
      </c>
      <c r="AV51" s="105" t="e">
        <f>'Alternative 2'!$B$39*$B51*$C51*COS($K$53)-($N$52/3)*$E51*SIN($K$53)-($N$52/3)*$F51*SIN($K$53)-($N$52/3)*$G51*SIN($K$53)</f>
        <v>#VALUE!</v>
      </c>
      <c r="AW51" s="106" t="e">
        <f>IF(($A51&lt;'Alternative 2'!$B$27),(($H51*'Alternative 2'!$B$39)+(3*($N$52/3)*COS($K$53))),IF(($A51&lt;'Alternative 2'!$B$28),(($H51*'Alternative 2'!$B$39)+(2*(($N$52/3)*COS($K$53)))),IF(($A51&lt;'Alternative 2'!$B$29),(($H$3*'Alternative 2'!$B$39+(($N$52/3)*COS($K$53)))),($H51*'Alternative 2'!$B$39))))</f>
        <v>#VALUE!</v>
      </c>
      <c r="AX51" s="105" t="e">
        <f>AV51*'Alternative 2'!$K52/'Alternative 2'!$L52</f>
        <v>#VALUE!</v>
      </c>
      <c r="AY51" s="105" t="e">
        <f>AW51/'Alternative 2'!$M52</f>
        <v>#VALUE!</v>
      </c>
      <c r="AZ51" s="105" t="e">
        <f t="shared" si="7"/>
        <v>#VALUE!</v>
      </c>
      <c r="BB51" s="105" t="e">
        <f>'Alternative 2'!$B$39*$B51*$C51*COS($K$63)-($N$62/3)*$E51*SIN($K$63)-($N$62/3)*$F51*SIN($K$63)-($N$62/3)*$G51*SIN($K$63)</f>
        <v>#VALUE!</v>
      </c>
      <c r="BC51" s="106" t="e">
        <f>IF(($A51&lt;'Alternative 2'!$B$27),(($H51*'Alternative 2'!$B$39)+(3*($N$62/3)*COS($K$63))),IF(($A51&lt;'Alternative 2'!$B$28),(($H51*'Alternative 2'!$B$39)+(2*(($N$62/3)*COS($K$63)))),IF(($A51&lt;'Alternative 2'!$B$29),(($H$3*'Alternative 2'!$B$39+(($N$62/3)*COS($K$63)))),($H51*'Alternative 2'!$B$39))))</f>
        <v>#VALUE!</v>
      </c>
      <c r="BD51" s="105" t="e">
        <f>BB51*'Alternative 2'!$K52/'Alternative 2'!$L52</f>
        <v>#VALUE!</v>
      </c>
      <c r="BE51" s="105" t="e">
        <f>BC51/'Alternative 2'!$M52</f>
        <v>#VALUE!</v>
      </c>
      <c r="BF51" s="105" t="e">
        <f t="shared" si="8"/>
        <v>#VALUE!</v>
      </c>
      <c r="BH51" s="105" t="e">
        <f>'Alternative 2'!$B$39*$B51*$C51*COS($K$73)-($N$72/3)*$E51*SIN($K$73)-($N$72/3)*$F51*SIN($K$73)-($N$72/3)*$G51*SIN($K$73)</f>
        <v>#VALUE!</v>
      </c>
      <c r="BI51" s="106" t="e">
        <f>IF(($A51&lt;'Alternative 2'!$B$27),(($H51*'Alternative 2'!$B$39)+(3*($N$72/3)*COS($K$73))),IF(($A51&lt;'Alternative 2'!$B$28),(($H51*'Alternative 2'!$B$39)+(2*(($N$72/3)*COS($K$73)))),IF(($A51&lt;'Alternative 2'!$B$29),(($H$3*'Alternative 2'!$B$39+(($N$72/3)*COS($K$73)))),($H51*'Alternative 2'!$B$39))))</f>
        <v>#VALUE!</v>
      </c>
      <c r="BJ51" s="105" t="e">
        <f>BH51*'Alternative 2'!$K52/'Alternative 2'!$L52</f>
        <v>#VALUE!</v>
      </c>
      <c r="BK51" s="105" t="e">
        <f>BI51/'Alternative 2'!$M52</f>
        <v>#VALUE!</v>
      </c>
      <c r="BL51" s="105" t="e">
        <f t="shared" si="9"/>
        <v>#VALUE!</v>
      </c>
      <c r="BN51" s="105" t="e">
        <f>'Alternative 2'!$B$39*$B51*$C51*COS($K$83)-($N$82/3)*$E51*SIN($K$83)-($N$82/3)*$F51*SIN($K$83)-($N$82/3)*$G51*SIN($K$83)</f>
        <v>#VALUE!</v>
      </c>
      <c r="BO51" s="106" t="e">
        <f>IF(($A51&lt;'Alternative 2'!$B$27),(($H51*'Alternative 2'!$B$39)+(3*($N$82/3)*COS($K$83))),IF(($A51&lt;'Alternative 2'!$B$28),(($H51*'Alternative 2'!$B$39)+(2*(($N$82/3)*COS($K$83)))),IF(($A51&lt;'Alternative 2'!$B$29),(($H$3*'Alternative 2'!$B$39+(($N$82/3)*COS($K$83)))),($H51*'Alternative 2'!$B$39))))</f>
        <v>#VALUE!</v>
      </c>
      <c r="BP51" s="105" t="e">
        <f>BN51*'Alternative 2'!$K52/'Alternative 2'!$L52</f>
        <v>#VALUE!</v>
      </c>
      <c r="BQ51" s="105" t="e">
        <f>BO51/'Alternative 2'!$M52</f>
        <v>#VALUE!</v>
      </c>
      <c r="BR51" s="105" t="e">
        <f t="shared" si="10"/>
        <v>#VALUE!</v>
      </c>
      <c r="BT51" s="105" t="e">
        <f>'Alternative 2'!$B$39*$B51*$C51*COS($K$93)-($K$92/3)*$E51*SIN($K$93)-($K$92/3)*$F51*SIN($K$93)-($K$92/3)*$G51*SIN($K$93)</f>
        <v>#VALUE!</v>
      </c>
      <c r="BU51" s="106" t="e">
        <f>IF(($A51&lt;'Alternative 2'!$B$27),(($H51*'Alternative 2'!$B$39)+(3*($N$92/3)*COS($K$93))),IF(($A51&lt;'Alternative 2'!$B$28),(($H51*'Alternative 2'!$B$39)+(2*(($N$92/3)*COS($K$93)))),IF(($A51&lt;'Alternative 2'!$B$29),(($H$3*'Alternative 2'!$B$39+(($N$92/3)*COS($K$93)))),($H51*'Alternative 2'!$B$39))))</f>
        <v>#VALUE!</v>
      </c>
      <c r="BV51" s="105" t="e">
        <f>BT51*'Alternative 2'!$K52/'Alternative 2'!$L52</f>
        <v>#VALUE!</v>
      </c>
      <c r="BW51" s="105" t="e">
        <f>BU51/'Alternative 2'!$M52</f>
        <v>#VALUE!</v>
      </c>
      <c r="BX51" s="105" t="e">
        <f t="shared" si="11"/>
        <v>#VALUE!</v>
      </c>
      <c r="BZ51" s="104">
        <v>150</v>
      </c>
      <c r="CA51" s="104">
        <v>-150</v>
      </c>
    </row>
    <row r="52" spans="1:79" ht="15" customHeight="1" x14ac:dyDescent="0.25">
      <c r="A52" s="18" t="str">
        <f>IF('Alternative 2'!F53&gt;0,'Alternative 2'!F53,"x")</f>
        <v>x</v>
      </c>
      <c r="B52" s="18" t="e">
        <f t="shared" si="17"/>
        <v>#VALUE!</v>
      </c>
      <c r="C52" s="18">
        <f t="shared" si="12"/>
        <v>0</v>
      </c>
      <c r="D52" s="18" t="str">
        <f t="shared" si="13"/>
        <v>x</v>
      </c>
      <c r="E52" s="101">
        <f>IF($A52&lt;='Alternative 2'!$B$27, IF($A52='Alternative 2'!$B$27,0,E53+1),0)</f>
        <v>0</v>
      </c>
      <c r="F52" s="101">
        <f>IF($A52&lt;=('Alternative 2'!$B$28), IF($A52=ROUNDDOWN('Alternative 2'!$B$28,0),0,F53+1),0)</f>
        <v>0</v>
      </c>
      <c r="G52" s="101">
        <f>IF($A52&lt;=('Alternative 2'!$B$29), IF($A52=ROUNDDOWN('Alternative 2'!$B$29,0),0,G53+1),0)</f>
        <v>0</v>
      </c>
      <c r="H52" s="18" t="e">
        <f t="shared" si="14"/>
        <v>#VALUE!</v>
      </c>
      <c r="J52" s="104">
        <f t="shared" si="15"/>
        <v>49</v>
      </c>
      <c r="K52" s="104">
        <f t="shared" si="16"/>
        <v>0.85521133347722145</v>
      </c>
      <c r="L52" s="105">
        <f>'Alternative 2'!$B$27*SIN(K52)+'Alternative 2'!$B$28*SIN(K52)+'Alternative 2'!$B$29*SIN(K52)</f>
        <v>32.444964853776966</v>
      </c>
      <c r="M52" s="104">
        <f>(('Alternative 2'!$B$27)*(((('Alternative 2'!$B$28-'Alternative 2'!$B$27)/2)+'Alternative 2'!$B$27)*'Alternative 2'!$B$39)*COS('Alternative 2-Tilt Up (3pt)'!K52))+(('Alternative 2'!$B$28)*((('Alternative 2'!$B$28-'Alternative 2'!$B$27)/2)+(('Alternative 2'!$B$29-'Alternative 2'!$B$28)/2))*('Alternative 2'!$B$39)*COS('Alternative 2-Tilt Up (3pt)'!K52))+(('Alternative 2'!$B$29)*((('Alternative 2'!$B$12-'Alternative 2'!$B$29+(('Alternative 2'!$B$29-'Alternative 2'!$B$28)/2)*('Alternative 2'!$B$39)*COS('Alternative 2-Tilt Up (3pt)'!K52)))))</f>
        <v>400093.1845969744</v>
      </c>
      <c r="N52" s="109">
        <f t="shared" si="0"/>
        <v>36994.324364361171</v>
      </c>
      <c r="O52" s="104">
        <f>(((('Alternative 2'!$B$28-'Alternative 2'!$B$27)/2)+'Alternative 2'!$B$27)*('Alternative 2'!$B$39)*COS('Alternative 2-Tilt Up (3pt)'!K52))+(((('Alternative 2'!$B$28-'Alternative 2'!$B$27)/2)+(('Alternative 2'!$B$29-'Alternative 2'!$B$28)/2))*('Alternative 2'!$B$39)*COS('Alternative 2-Tilt Up (3pt)'!K52))+(((('Alternative 2'!$B$12-'Alternative 2'!$B$29)+(('Alternative 2'!$B$29-'Alternative 2'!$B$28)/2))*('Alternative 2'!$B$39)*COS('Alternative 2-Tilt Up (3pt)'!K52)))</f>
        <v>41054.756470301851</v>
      </c>
      <c r="P52" s="104">
        <f t="shared" si="1"/>
        <v>24270.460520642657</v>
      </c>
      <c r="R52" s="105" t="e">
        <f>'Alternative 2'!$B$39*$B52*$C52*COS($K$5)-($N$5/3)*$E52*SIN($K$5)-($N$5/3)*$F52*SIN($K$5)-($N$5/3)*$G52*SIN($K$5)</f>
        <v>#VALUE!</v>
      </c>
      <c r="S52" s="106" t="e">
        <f>IF(($A52&lt;'Alternative 2'!$B$27),(($H52*'Alternative 2'!$B$39)+(3*($N$5/3)*COS($K$5))),IF(($A52&lt;'Alternative 2'!$B$28),(($H52*'Alternative 2'!$B$39)+(2*(($N$5/3)*COS($K$5)))),IF(($A52&lt;'Alternative 2'!$B$29),(($H$3*'Alternative 2'!$B$39+(($N$5/3)*COS($K$5)))),($H52*'Alternative 2'!$B$39))))</f>
        <v>#VALUE!</v>
      </c>
      <c r="T52" s="105" t="e">
        <f>R52*'Alternative 2'!$K53/'Alternative 2'!$L53</f>
        <v>#VALUE!</v>
      </c>
      <c r="U52" s="105" t="e">
        <f>S52/'Alternative 2'!$M53</f>
        <v>#VALUE!</v>
      </c>
      <c r="V52" s="105" t="e">
        <f t="shared" si="2"/>
        <v>#VALUE!</v>
      </c>
      <c r="X52" s="105" t="e">
        <f>'Alternative 2'!$B$39*$B52*$C52*COS($K$13)-($N$12/3)*$E52*SIN($K$13)-($N$12/3)*$F52*SIN($K$13)-($N$12/3)*$G52*SIN($K$13)</f>
        <v>#VALUE!</v>
      </c>
      <c r="Y52" s="106" t="e">
        <f>IF(($A52&lt;'Alternative 2'!$B$27),(($H52*'Alternative 2'!$B$39)+(3*($N$12/3)*COS($K$13))),IF(($A52&lt;'Alternative 2'!$B$28),(($H52*'Alternative 2'!$B$39)+(2*(($N$12/3)*COS($K$13)))),IF(($A52&lt;'Alternative 2'!$B$29),(($H$3*'Alternative 2'!$B$39+(($N$12/3)*COS($K$13)))),($H52*'Alternative 2'!$B$39))))</f>
        <v>#VALUE!</v>
      </c>
      <c r="Z52" s="105" t="e">
        <f>X52*'Alternative 2'!$K53/'Alternative 2'!$L53</f>
        <v>#VALUE!</v>
      </c>
      <c r="AA52" s="105" t="e">
        <f>Y52/'Alternative 2'!$M53</f>
        <v>#VALUE!</v>
      </c>
      <c r="AB52" s="105" t="e">
        <f t="shared" si="3"/>
        <v>#VALUE!</v>
      </c>
      <c r="AD52" s="105" t="e">
        <f>'Alternative 2'!$B$39*$B52*$C52*COS($K$23)-($N$22/3)*$E52*SIN($K$23)-($N$22/3)*$F52*SIN($K$23)-($N$22/3)*$G52*SIN($K$23)</f>
        <v>#VALUE!</v>
      </c>
      <c r="AE52" s="106" t="e">
        <f>IF(($A52&lt;'Alternative 2'!$B$27),(($H52*'Alternative 2'!$B$39)+(3*($N$22/3)*COS($K$23))),IF(($A52&lt;'Alternative 2'!$B$28),(($H52*'Alternative 2'!$B$39)+(2*(($N$22/3)*COS($K$23)))),IF(($A52&lt;'Alternative 2'!$B$29),(($H$3*'Alternative 2'!$B$39+(($N$22/3)*COS($K$23)))),($H52*'Alternative 2'!$B$39))))</f>
        <v>#VALUE!</v>
      </c>
      <c r="AF52" s="105" t="e">
        <f>AD52*'Alternative 2'!$K53/'Alternative 2'!$L53</f>
        <v>#VALUE!</v>
      </c>
      <c r="AG52" s="105" t="e">
        <f>AE52/'Alternative 2'!$M53</f>
        <v>#VALUE!</v>
      </c>
      <c r="AH52" s="105" t="e">
        <f t="shared" si="4"/>
        <v>#VALUE!</v>
      </c>
      <c r="AJ52" s="105" t="e">
        <f>'Alternative 2'!$B$39*$B52*$C52*COS($K$33)-($N$32/3)*$E52*SIN($K$33)-($N$32/3)*$F52*SIN($K$33)-($N$32/3)*$G52*SIN($K$33)</f>
        <v>#VALUE!</v>
      </c>
      <c r="AK52" s="106" t="e">
        <f>IF(($A52&lt;'Alternative 2'!$B$27),(($H52*'Alternative 2'!$B$39)+(3*($N$32/3)*COS($K$33))),IF(($A52&lt;'Alternative 2'!$B$28),(($H52*'Alternative 2'!$B$39)+(2*(($N$32/3)*COS($K$33)))),IF(($A52&lt;'Alternative 2'!$B$29),(($H$3*'Alternative 2'!$B$39+(($N$32/3)*COS($K$33)))),($H52*'Alternative 2'!$B$39))))</f>
        <v>#VALUE!</v>
      </c>
      <c r="AL52" s="105" t="e">
        <f>AJ52*'Alternative 2'!$K53/'Alternative 2'!$L53</f>
        <v>#VALUE!</v>
      </c>
      <c r="AM52" s="105" t="e">
        <f>AK52/'Alternative 2'!$M53</f>
        <v>#VALUE!</v>
      </c>
      <c r="AN52" s="105" t="e">
        <f t="shared" si="5"/>
        <v>#VALUE!</v>
      </c>
      <c r="AP52" s="105" t="e">
        <f>'Alternative 2'!$B$39*$B52*$C52*COS($K$43)-($N$42/3)*$E52*SIN($K$43)-($N$42/3)*$F52*SIN($K$43)-($N$42/3)*$G52*SIN($K$43)</f>
        <v>#VALUE!</v>
      </c>
      <c r="AQ52" s="106" t="e">
        <f>IF(($A52&lt;'Alternative 2'!$B$27),(($H52*'Alternative 2'!$B$39)+(3*($N$42/3)*COS($K$43))),IF(($A52&lt;'Alternative 2'!$B$28),(($H52*'Alternative 2'!$B$39)+(2*(($N$42/3)*COS($K$43)))),IF(($A52&lt;'Alternative 2'!$B$29),(($H$3*'Alternative 2'!$B$39+(($N$42/3)*COS($K$43)))),($H52*'Alternative 2'!$B$39))))</f>
        <v>#VALUE!</v>
      </c>
      <c r="AR52" s="105" t="e">
        <f>AP52*'Alternative 2'!$K53/'Alternative 2'!$L53</f>
        <v>#VALUE!</v>
      </c>
      <c r="AS52" s="105" t="e">
        <f>AQ52/'Alternative 2'!$M53</f>
        <v>#VALUE!</v>
      </c>
      <c r="AT52" s="105" t="e">
        <f t="shared" si="6"/>
        <v>#VALUE!</v>
      </c>
      <c r="AV52" s="105" t="e">
        <f>'Alternative 2'!$B$39*$B52*$C52*COS($K$53)-($N$52/3)*$E52*SIN($K$53)-($N$52/3)*$F52*SIN($K$53)-($N$52/3)*$G52*SIN($K$53)</f>
        <v>#VALUE!</v>
      </c>
      <c r="AW52" s="106" t="e">
        <f>IF(($A52&lt;'Alternative 2'!$B$27),(($H52*'Alternative 2'!$B$39)+(3*($N$52/3)*COS($K$53))),IF(($A52&lt;'Alternative 2'!$B$28),(($H52*'Alternative 2'!$B$39)+(2*(($N$52/3)*COS($K$53)))),IF(($A52&lt;'Alternative 2'!$B$29),(($H$3*'Alternative 2'!$B$39+(($N$52/3)*COS($K$53)))),($H52*'Alternative 2'!$B$39))))</f>
        <v>#VALUE!</v>
      </c>
      <c r="AX52" s="105" t="e">
        <f>AV52*'Alternative 2'!$K53/'Alternative 2'!$L53</f>
        <v>#VALUE!</v>
      </c>
      <c r="AY52" s="105" t="e">
        <f>AW52/'Alternative 2'!$M53</f>
        <v>#VALUE!</v>
      </c>
      <c r="AZ52" s="105" t="e">
        <f t="shared" si="7"/>
        <v>#VALUE!</v>
      </c>
      <c r="BB52" s="105" t="e">
        <f>'Alternative 2'!$B$39*$B52*$C52*COS($K$63)-($N$62/3)*$E52*SIN($K$63)-($N$62/3)*$F52*SIN($K$63)-($N$62/3)*$G52*SIN($K$63)</f>
        <v>#VALUE!</v>
      </c>
      <c r="BC52" s="106" t="e">
        <f>IF(($A52&lt;'Alternative 2'!$B$27),(($H52*'Alternative 2'!$B$39)+(3*($N$62/3)*COS($K$63))),IF(($A52&lt;'Alternative 2'!$B$28),(($H52*'Alternative 2'!$B$39)+(2*(($N$62/3)*COS($K$63)))),IF(($A52&lt;'Alternative 2'!$B$29),(($H$3*'Alternative 2'!$B$39+(($N$62/3)*COS($K$63)))),($H52*'Alternative 2'!$B$39))))</f>
        <v>#VALUE!</v>
      </c>
      <c r="BD52" s="105" t="e">
        <f>BB52*'Alternative 2'!$K53/'Alternative 2'!$L53</f>
        <v>#VALUE!</v>
      </c>
      <c r="BE52" s="105" t="e">
        <f>BC52/'Alternative 2'!$M53</f>
        <v>#VALUE!</v>
      </c>
      <c r="BF52" s="105" t="e">
        <f t="shared" si="8"/>
        <v>#VALUE!</v>
      </c>
      <c r="BH52" s="105" t="e">
        <f>'Alternative 2'!$B$39*$B52*$C52*COS($K$73)-($N$72/3)*$E52*SIN($K$73)-($N$72/3)*$F52*SIN($K$73)-($N$72/3)*$G52*SIN($K$73)</f>
        <v>#VALUE!</v>
      </c>
      <c r="BI52" s="106" t="e">
        <f>IF(($A52&lt;'Alternative 2'!$B$27),(($H52*'Alternative 2'!$B$39)+(3*($N$72/3)*COS($K$73))),IF(($A52&lt;'Alternative 2'!$B$28),(($H52*'Alternative 2'!$B$39)+(2*(($N$72/3)*COS($K$73)))),IF(($A52&lt;'Alternative 2'!$B$29),(($H$3*'Alternative 2'!$B$39+(($N$72/3)*COS($K$73)))),($H52*'Alternative 2'!$B$39))))</f>
        <v>#VALUE!</v>
      </c>
      <c r="BJ52" s="105" t="e">
        <f>BH52*'Alternative 2'!$K53/'Alternative 2'!$L53</f>
        <v>#VALUE!</v>
      </c>
      <c r="BK52" s="105" t="e">
        <f>BI52/'Alternative 2'!$M53</f>
        <v>#VALUE!</v>
      </c>
      <c r="BL52" s="105" t="e">
        <f t="shared" si="9"/>
        <v>#VALUE!</v>
      </c>
      <c r="BN52" s="105" t="e">
        <f>'Alternative 2'!$B$39*$B52*$C52*COS($K$83)-($N$82/3)*$E52*SIN($K$83)-($N$82/3)*$F52*SIN($K$83)-($N$82/3)*$G52*SIN($K$83)</f>
        <v>#VALUE!</v>
      </c>
      <c r="BO52" s="106" t="e">
        <f>IF(($A52&lt;'Alternative 2'!$B$27),(($H52*'Alternative 2'!$B$39)+(3*($N$82/3)*COS($K$83))),IF(($A52&lt;'Alternative 2'!$B$28),(($H52*'Alternative 2'!$B$39)+(2*(($N$82/3)*COS($K$83)))),IF(($A52&lt;'Alternative 2'!$B$29),(($H$3*'Alternative 2'!$B$39+(($N$82/3)*COS($K$83)))),($H52*'Alternative 2'!$B$39))))</f>
        <v>#VALUE!</v>
      </c>
      <c r="BP52" s="105" t="e">
        <f>BN52*'Alternative 2'!$K53/'Alternative 2'!$L53</f>
        <v>#VALUE!</v>
      </c>
      <c r="BQ52" s="105" t="e">
        <f>BO52/'Alternative 2'!$M53</f>
        <v>#VALUE!</v>
      </c>
      <c r="BR52" s="105" t="e">
        <f t="shared" si="10"/>
        <v>#VALUE!</v>
      </c>
      <c r="BT52" s="105" t="e">
        <f>'Alternative 2'!$B$39*$B52*$C52*COS($K$93)-($K$92/3)*$E52*SIN($K$93)-($K$92/3)*$F52*SIN($K$93)-($K$92/3)*$G52*SIN($K$93)</f>
        <v>#VALUE!</v>
      </c>
      <c r="BU52" s="106" t="e">
        <f>IF(($A52&lt;'Alternative 2'!$B$27),(($H52*'Alternative 2'!$B$39)+(3*($N$92/3)*COS($K$93))),IF(($A52&lt;'Alternative 2'!$B$28),(($H52*'Alternative 2'!$B$39)+(2*(($N$92/3)*COS($K$93)))),IF(($A52&lt;'Alternative 2'!$B$29),(($H$3*'Alternative 2'!$B$39+(($N$92/3)*COS($K$93)))),($H52*'Alternative 2'!$B$39))))</f>
        <v>#VALUE!</v>
      </c>
      <c r="BV52" s="105" t="e">
        <f>BT52*'Alternative 2'!$K53/'Alternative 2'!$L53</f>
        <v>#VALUE!</v>
      </c>
      <c r="BW52" s="105" t="e">
        <f>BU52/'Alternative 2'!$M53</f>
        <v>#VALUE!</v>
      </c>
      <c r="BX52" s="105" t="e">
        <f t="shared" si="11"/>
        <v>#VALUE!</v>
      </c>
      <c r="BZ52" s="104">
        <v>150</v>
      </c>
      <c r="CA52" s="104">
        <v>-150</v>
      </c>
    </row>
    <row r="53" spans="1:79" ht="15" customHeight="1" x14ac:dyDescent="0.25">
      <c r="A53" s="18" t="str">
        <f>IF('Alternative 2'!F54&gt;0,'Alternative 2'!F54,"x")</f>
        <v>x</v>
      </c>
      <c r="B53" s="18" t="e">
        <f t="shared" si="17"/>
        <v>#VALUE!</v>
      </c>
      <c r="C53" s="18">
        <f t="shared" si="12"/>
        <v>0</v>
      </c>
      <c r="D53" s="18" t="str">
        <f t="shared" si="13"/>
        <v>x</v>
      </c>
      <c r="E53" s="101">
        <f>IF($A53&lt;='Alternative 2'!$B$27, IF($A53='Alternative 2'!$B$27,0,E54+1),0)</f>
        <v>0</v>
      </c>
      <c r="F53" s="101">
        <f>IF($A53&lt;=('Alternative 2'!$B$28), IF($A53=ROUNDDOWN('Alternative 2'!$B$28,0),0,F54+1),0)</f>
        <v>0</v>
      </c>
      <c r="G53" s="101">
        <f>IF($A53&lt;=('Alternative 2'!$B$29), IF($A53=ROUNDDOWN('Alternative 2'!$B$29,0),0,G54+1),0)</f>
        <v>0</v>
      </c>
      <c r="H53" s="18" t="e">
        <f t="shared" si="14"/>
        <v>#VALUE!</v>
      </c>
      <c r="J53" s="104">
        <f t="shared" si="15"/>
        <v>50</v>
      </c>
      <c r="K53" s="109">
        <f t="shared" si="16"/>
        <v>0.87266462599716477</v>
      </c>
      <c r="L53" s="105">
        <f>'Alternative 2'!$B$27*SIN(K53)+'Alternative 2'!$B$28*SIN(K53)+'Alternative 2'!$B$29*SIN(K53)</f>
        <v>32.932250609684864</v>
      </c>
      <c r="M53" s="104">
        <f>(('Alternative 2'!$B$27)*(((('Alternative 2'!$B$28-'Alternative 2'!$B$27)/2)+'Alternative 2'!$B$27)*'Alternative 2'!$B$39)*COS('Alternative 2-Tilt Up (3pt)'!K53))+(('Alternative 2'!$B$28)*((('Alternative 2'!$B$28-'Alternative 2'!$B$27)/2)+(('Alternative 2'!$B$29-'Alternative 2'!$B$28)/2))*('Alternative 2'!$B$39)*COS('Alternative 2-Tilt Up (3pt)'!K53))+(('Alternative 2'!$B$29)*((('Alternative 2'!$B$12-'Alternative 2'!$B$29+(('Alternative 2'!$B$29-'Alternative 2'!$B$28)/2)*('Alternative 2'!$B$39)*COS('Alternative 2-Tilt Up (3pt)'!K53)))))</f>
        <v>392001.33706355124</v>
      </c>
      <c r="N53" s="104">
        <f t="shared" si="0"/>
        <v>35709.797824895977</v>
      </c>
      <c r="O53" s="104">
        <f>(((('Alternative 2'!$B$28-'Alternative 2'!$B$27)/2)+'Alternative 2'!$B$27)*('Alternative 2'!$B$39)*COS('Alternative 2-Tilt Up (3pt)'!K53))+(((('Alternative 2'!$B$28-'Alternative 2'!$B$27)/2)+(('Alternative 2'!$B$29-'Alternative 2'!$B$28)/2))*('Alternative 2'!$B$39)*COS('Alternative 2-Tilt Up (3pt)'!K53))+(((('Alternative 2'!$B$12-'Alternative 2'!$B$29)+(('Alternative 2'!$B$29-'Alternative 2'!$B$28)/2))*('Alternative 2'!$B$39)*COS('Alternative 2-Tilt Up (3pt)'!K53)))</f>
        <v>40224.259726162767</v>
      </c>
      <c r="P53" s="109">
        <f t="shared" si="1"/>
        <v>22953.815586254466</v>
      </c>
      <c r="R53" s="105" t="e">
        <f>'Alternative 2'!$B$39*$B53*$C53*COS($K$5)-($N$5/3)*$E53*SIN($K$5)-($N$5/3)*$F53*SIN($K$5)-($N$5/3)*$G53*SIN($K$5)</f>
        <v>#VALUE!</v>
      </c>
      <c r="S53" s="106" t="e">
        <f>IF(($A53&lt;'Alternative 2'!$B$27),(($H53*'Alternative 2'!$B$39)+(3*($N$5/3)*COS($K$5))),IF(($A53&lt;'Alternative 2'!$B$28),(($H53*'Alternative 2'!$B$39)+(2*(($N$5/3)*COS($K$5)))),IF(($A53&lt;'Alternative 2'!$B$29),(($H$3*'Alternative 2'!$B$39+(($N$5/3)*COS($K$5)))),($H53*'Alternative 2'!$B$39))))</f>
        <v>#VALUE!</v>
      </c>
      <c r="T53" s="105" t="e">
        <f>R53*'Alternative 2'!$K54/'Alternative 2'!$L54</f>
        <v>#VALUE!</v>
      </c>
      <c r="U53" s="105" t="e">
        <f>S53/'Alternative 2'!$M54</f>
        <v>#VALUE!</v>
      </c>
      <c r="V53" s="105" t="e">
        <f t="shared" si="2"/>
        <v>#VALUE!</v>
      </c>
      <c r="X53" s="105" t="e">
        <f>'Alternative 2'!$B$39*$B53*$C53*COS($K$13)-($N$12/3)*$E53*SIN($K$13)-($N$12/3)*$F53*SIN($K$13)-($N$12/3)*$G53*SIN($K$13)</f>
        <v>#VALUE!</v>
      </c>
      <c r="Y53" s="106" t="e">
        <f>IF(($A53&lt;'Alternative 2'!$B$27),(($H53*'Alternative 2'!$B$39)+(3*($N$12/3)*COS($K$13))),IF(($A53&lt;'Alternative 2'!$B$28),(($H53*'Alternative 2'!$B$39)+(2*(($N$12/3)*COS($K$13)))),IF(($A53&lt;'Alternative 2'!$B$29),(($H$3*'Alternative 2'!$B$39+(($N$12/3)*COS($K$13)))),($H53*'Alternative 2'!$B$39))))</f>
        <v>#VALUE!</v>
      </c>
      <c r="Z53" s="105" t="e">
        <f>X53*'Alternative 2'!$K54/'Alternative 2'!$L54</f>
        <v>#VALUE!</v>
      </c>
      <c r="AA53" s="105" t="e">
        <f>Y53/'Alternative 2'!$M54</f>
        <v>#VALUE!</v>
      </c>
      <c r="AB53" s="105" t="e">
        <f t="shared" si="3"/>
        <v>#VALUE!</v>
      </c>
      <c r="AD53" s="105" t="e">
        <f>'Alternative 2'!$B$39*$B53*$C53*COS($K$23)-($N$22/3)*$E53*SIN($K$23)-($N$22/3)*$F53*SIN($K$23)-($N$22/3)*$G53*SIN($K$23)</f>
        <v>#VALUE!</v>
      </c>
      <c r="AE53" s="106" t="e">
        <f>IF(($A53&lt;'Alternative 2'!$B$27),(($H53*'Alternative 2'!$B$39)+(3*($N$22/3)*COS($K$23))),IF(($A53&lt;'Alternative 2'!$B$28),(($H53*'Alternative 2'!$B$39)+(2*(($N$22/3)*COS($K$23)))),IF(($A53&lt;'Alternative 2'!$B$29),(($H$3*'Alternative 2'!$B$39+(($N$22/3)*COS($K$23)))),($H53*'Alternative 2'!$B$39))))</f>
        <v>#VALUE!</v>
      </c>
      <c r="AF53" s="105" t="e">
        <f>AD53*'Alternative 2'!$K54/'Alternative 2'!$L54</f>
        <v>#VALUE!</v>
      </c>
      <c r="AG53" s="105" t="e">
        <f>AE53/'Alternative 2'!$M54</f>
        <v>#VALUE!</v>
      </c>
      <c r="AH53" s="105" t="e">
        <f t="shared" si="4"/>
        <v>#VALUE!</v>
      </c>
      <c r="AJ53" s="105" t="e">
        <f>'Alternative 2'!$B$39*$B53*$C53*COS($K$33)-($N$32/3)*$E53*SIN($K$33)-($N$32/3)*$F53*SIN($K$33)-($N$32/3)*$G53*SIN($K$33)</f>
        <v>#VALUE!</v>
      </c>
      <c r="AK53" s="106" t="e">
        <f>IF(($A53&lt;'Alternative 2'!$B$27),(($H53*'Alternative 2'!$B$39)+(3*($N$32/3)*COS($K$33))),IF(($A53&lt;'Alternative 2'!$B$28),(($H53*'Alternative 2'!$B$39)+(2*(($N$32/3)*COS($K$33)))),IF(($A53&lt;'Alternative 2'!$B$29),(($H$3*'Alternative 2'!$B$39+(($N$32/3)*COS($K$33)))),($H53*'Alternative 2'!$B$39))))</f>
        <v>#VALUE!</v>
      </c>
      <c r="AL53" s="105" t="e">
        <f>AJ53*'Alternative 2'!$K54/'Alternative 2'!$L54</f>
        <v>#VALUE!</v>
      </c>
      <c r="AM53" s="105" t="e">
        <f>AK53/'Alternative 2'!$M54</f>
        <v>#VALUE!</v>
      </c>
      <c r="AN53" s="105" t="e">
        <f t="shared" si="5"/>
        <v>#VALUE!</v>
      </c>
      <c r="AP53" s="105" t="e">
        <f>'Alternative 2'!$B$39*$B53*$C53*COS($K$43)-($N$42/3)*$E53*SIN($K$43)-($N$42/3)*$F53*SIN($K$43)-($N$42/3)*$G53*SIN($K$43)</f>
        <v>#VALUE!</v>
      </c>
      <c r="AQ53" s="106" t="e">
        <f>IF(($A53&lt;'Alternative 2'!$B$27),(($H53*'Alternative 2'!$B$39)+(3*($N$42/3)*COS($K$43))),IF(($A53&lt;'Alternative 2'!$B$28),(($H53*'Alternative 2'!$B$39)+(2*(($N$42/3)*COS($K$43)))),IF(($A53&lt;'Alternative 2'!$B$29),(($H$3*'Alternative 2'!$B$39+(($N$42/3)*COS($K$43)))),($H53*'Alternative 2'!$B$39))))</f>
        <v>#VALUE!</v>
      </c>
      <c r="AR53" s="105" t="e">
        <f>AP53*'Alternative 2'!$K54/'Alternative 2'!$L54</f>
        <v>#VALUE!</v>
      </c>
      <c r="AS53" s="105" t="e">
        <f>AQ53/'Alternative 2'!$M54</f>
        <v>#VALUE!</v>
      </c>
      <c r="AT53" s="105" t="e">
        <f t="shared" si="6"/>
        <v>#VALUE!</v>
      </c>
      <c r="AV53" s="105" t="e">
        <f>'Alternative 2'!$B$39*$B53*$C53*COS($K$53)-($N$52/3)*$E53*SIN($K$53)-($N$52/3)*$F53*SIN($K$53)-($N$52/3)*$G53*SIN($K$53)</f>
        <v>#VALUE!</v>
      </c>
      <c r="AW53" s="106" t="e">
        <f>IF(($A53&lt;'Alternative 2'!$B$27),(($H53*'Alternative 2'!$B$39)+(3*($N$52/3)*COS($K$53))),IF(($A53&lt;'Alternative 2'!$B$28),(($H53*'Alternative 2'!$B$39)+(2*(($N$52/3)*COS($K$53)))),IF(($A53&lt;'Alternative 2'!$B$29),(($H$3*'Alternative 2'!$B$39+(($N$52/3)*COS($K$53)))),($H53*'Alternative 2'!$B$39))))</f>
        <v>#VALUE!</v>
      </c>
      <c r="AX53" s="105" t="e">
        <f>AV53*'Alternative 2'!$K54/'Alternative 2'!$L54</f>
        <v>#VALUE!</v>
      </c>
      <c r="AY53" s="105" t="e">
        <f>AW53/'Alternative 2'!$M54</f>
        <v>#VALUE!</v>
      </c>
      <c r="AZ53" s="105" t="e">
        <f t="shared" si="7"/>
        <v>#VALUE!</v>
      </c>
      <c r="BB53" s="105" t="e">
        <f>'Alternative 2'!$B$39*$B53*$C53*COS($K$63)-($N$62/3)*$E53*SIN($K$63)-($N$62/3)*$F53*SIN($K$63)-($N$62/3)*$G53*SIN($K$63)</f>
        <v>#VALUE!</v>
      </c>
      <c r="BC53" s="106" t="e">
        <f>IF(($A53&lt;'Alternative 2'!$B$27),(($H53*'Alternative 2'!$B$39)+(3*($N$62/3)*COS($K$63))),IF(($A53&lt;'Alternative 2'!$B$28),(($H53*'Alternative 2'!$B$39)+(2*(($N$62/3)*COS($K$63)))),IF(($A53&lt;'Alternative 2'!$B$29),(($H$3*'Alternative 2'!$B$39+(($N$62/3)*COS($K$63)))),($H53*'Alternative 2'!$B$39))))</f>
        <v>#VALUE!</v>
      </c>
      <c r="BD53" s="105" t="e">
        <f>BB53*'Alternative 2'!$K54/'Alternative 2'!$L54</f>
        <v>#VALUE!</v>
      </c>
      <c r="BE53" s="105" t="e">
        <f>BC53/'Alternative 2'!$M54</f>
        <v>#VALUE!</v>
      </c>
      <c r="BF53" s="105" t="e">
        <f t="shared" si="8"/>
        <v>#VALUE!</v>
      </c>
      <c r="BH53" s="105" t="e">
        <f>'Alternative 2'!$B$39*$B53*$C53*COS($K$73)-($N$72/3)*$E53*SIN($K$73)-($N$72/3)*$F53*SIN($K$73)-($N$72/3)*$G53*SIN($K$73)</f>
        <v>#VALUE!</v>
      </c>
      <c r="BI53" s="106" t="e">
        <f>IF(($A53&lt;'Alternative 2'!$B$27),(($H53*'Alternative 2'!$B$39)+(3*($N$72/3)*COS($K$73))),IF(($A53&lt;'Alternative 2'!$B$28),(($H53*'Alternative 2'!$B$39)+(2*(($N$72/3)*COS($K$73)))),IF(($A53&lt;'Alternative 2'!$B$29),(($H$3*'Alternative 2'!$B$39+(($N$72/3)*COS($K$73)))),($H53*'Alternative 2'!$B$39))))</f>
        <v>#VALUE!</v>
      </c>
      <c r="BJ53" s="105" t="e">
        <f>BH53*'Alternative 2'!$K54/'Alternative 2'!$L54</f>
        <v>#VALUE!</v>
      </c>
      <c r="BK53" s="105" t="e">
        <f>BI53/'Alternative 2'!$M54</f>
        <v>#VALUE!</v>
      </c>
      <c r="BL53" s="105" t="e">
        <f t="shared" si="9"/>
        <v>#VALUE!</v>
      </c>
      <c r="BN53" s="105" t="e">
        <f>'Alternative 2'!$B$39*$B53*$C53*COS($K$83)-($N$82/3)*$E53*SIN($K$83)-($N$82/3)*$F53*SIN($K$83)-($N$82/3)*$G53*SIN($K$83)</f>
        <v>#VALUE!</v>
      </c>
      <c r="BO53" s="106" t="e">
        <f>IF(($A53&lt;'Alternative 2'!$B$27),(($H53*'Alternative 2'!$B$39)+(3*($N$82/3)*COS($K$83))),IF(($A53&lt;'Alternative 2'!$B$28),(($H53*'Alternative 2'!$B$39)+(2*(($N$82/3)*COS($K$83)))),IF(($A53&lt;'Alternative 2'!$B$29),(($H$3*'Alternative 2'!$B$39+(($N$82/3)*COS($K$83)))),($H53*'Alternative 2'!$B$39))))</f>
        <v>#VALUE!</v>
      </c>
      <c r="BP53" s="105" t="e">
        <f>BN53*'Alternative 2'!$K54/'Alternative 2'!$L54</f>
        <v>#VALUE!</v>
      </c>
      <c r="BQ53" s="105" t="e">
        <f>BO53/'Alternative 2'!$M54</f>
        <v>#VALUE!</v>
      </c>
      <c r="BR53" s="105" t="e">
        <f t="shared" si="10"/>
        <v>#VALUE!</v>
      </c>
      <c r="BT53" s="105" t="e">
        <f>'Alternative 2'!$B$39*$B53*$C53*COS($K$93)-($K$92/3)*$E53*SIN($K$93)-($K$92/3)*$F53*SIN($K$93)-($K$92/3)*$G53*SIN($K$93)</f>
        <v>#VALUE!</v>
      </c>
      <c r="BU53" s="106" t="e">
        <f>IF(($A53&lt;'Alternative 2'!$B$27),(($H53*'Alternative 2'!$B$39)+(3*($N$92/3)*COS($K$93))),IF(($A53&lt;'Alternative 2'!$B$28),(($H53*'Alternative 2'!$B$39)+(2*(($N$92/3)*COS($K$93)))),IF(($A53&lt;'Alternative 2'!$B$29),(($H$3*'Alternative 2'!$B$39+(($N$92/3)*COS($K$93)))),($H53*'Alternative 2'!$B$39))))</f>
        <v>#VALUE!</v>
      </c>
      <c r="BV53" s="105" t="e">
        <f>BT53*'Alternative 2'!$K54/'Alternative 2'!$L54</f>
        <v>#VALUE!</v>
      </c>
      <c r="BW53" s="105" t="e">
        <f>BU53/'Alternative 2'!$M54</f>
        <v>#VALUE!</v>
      </c>
      <c r="BX53" s="105" t="e">
        <f t="shared" si="11"/>
        <v>#VALUE!</v>
      </c>
      <c r="BZ53" s="104">
        <v>150</v>
      </c>
      <c r="CA53" s="104">
        <v>-150</v>
      </c>
    </row>
    <row r="54" spans="1:79" ht="15" customHeight="1" x14ac:dyDescent="0.25">
      <c r="A54" s="18" t="str">
        <f>IF('Alternative 2'!F55&gt;0,'Alternative 2'!F55,"x")</f>
        <v>x</v>
      </c>
      <c r="B54" s="18" t="e">
        <f t="shared" si="17"/>
        <v>#VALUE!</v>
      </c>
      <c r="C54" s="18">
        <f t="shared" si="12"/>
        <v>0</v>
      </c>
      <c r="D54" s="18" t="str">
        <f t="shared" si="13"/>
        <v>x</v>
      </c>
      <c r="E54" s="101">
        <f>IF($A54&lt;='Alternative 2'!$B$27, IF($A54='Alternative 2'!$B$27,0,E55+1),0)</f>
        <v>0</v>
      </c>
      <c r="F54" s="101">
        <f>IF($A54&lt;=('Alternative 2'!$B$28), IF($A54=ROUNDDOWN('Alternative 2'!$B$28,0),0,F55+1),0)</f>
        <v>0</v>
      </c>
      <c r="G54" s="101">
        <f>IF($A54&lt;=('Alternative 2'!$B$29), IF($A54=ROUNDDOWN('Alternative 2'!$B$29,0),0,G55+1),0)</f>
        <v>0</v>
      </c>
      <c r="H54" s="18" t="e">
        <f t="shared" si="14"/>
        <v>#VALUE!</v>
      </c>
      <c r="J54" s="104">
        <f t="shared" si="15"/>
        <v>51</v>
      </c>
      <c r="K54" s="104">
        <f t="shared" si="16"/>
        <v>0.89011791851710798</v>
      </c>
      <c r="L54" s="105">
        <f>'Alternative 2'!$B$27*SIN(K54)+'Alternative 2'!$B$28*SIN(K54)+'Alternative 2'!$B$29*SIN(K54)</f>
        <v>33.409504883035176</v>
      </c>
      <c r="M54" s="104">
        <f>(('Alternative 2'!$B$27)*(((('Alternative 2'!$B$28-'Alternative 2'!$B$27)/2)+'Alternative 2'!$B$27)*'Alternative 2'!$B$39)*COS('Alternative 2-Tilt Up (3pt)'!K54))+(('Alternative 2'!$B$28)*((('Alternative 2'!$B$28-'Alternative 2'!$B$27)/2)+(('Alternative 2'!$B$29-'Alternative 2'!$B$28)/2))*('Alternative 2'!$B$39)*COS('Alternative 2-Tilt Up (3pt)'!K54))+(('Alternative 2'!$B$29)*((('Alternative 2'!$B$12-'Alternative 2'!$B$29+(('Alternative 2'!$B$29-'Alternative 2'!$B$28)/2)*('Alternative 2'!$B$39)*COS('Alternative 2-Tilt Up (3pt)'!K54)))))</f>
        <v>383790.10679408908</v>
      </c>
      <c r="N54" s="104">
        <f t="shared" si="0"/>
        <v>34462.358074839809</v>
      </c>
      <c r="O54" s="104">
        <f>(((('Alternative 2'!$B$28-'Alternative 2'!$B$27)/2)+'Alternative 2'!$B$27)*('Alternative 2'!$B$39)*COS('Alternative 2-Tilt Up (3pt)'!K54))+(((('Alternative 2'!$B$28-'Alternative 2'!$B$27)/2)+(('Alternative 2'!$B$29-'Alternative 2'!$B$28)/2))*('Alternative 2'!$B$39)*COS('Alternative 2-Tilt Up (3pt)'!K54))+(((('Alternative 2'!$B$12-'Alternative 2'!$B$29)+(('Alternative 2'!$B$29-'Alternative 2'!$B$28)/2))*('Alternative 2'!$B$39)*COS('Alternative 2-Tilt Up (3pt)'!K54)))</f>
        <v>39381.510282849937</v>
      </c>
      <c r="P54" s="104">
        <f t="shared" si="1"/>
        <v>21687.864660157713</v>
      </c>
      <c r="R54" s="105" t="e">
        <f>'Alternative 2'!$B$39*$B54*$C54*COS($K$5)-($N$5/3)*$E54*SIN($K$5)-($N$5/3)*$F54*SIN($K$5)-($N$5/3)*$G54*SIN($K$5)</f>
        <v>#VALUE!</v>
      </c>
      <c r="S54" s="106" t="e">
        <f>IF(($A54&lt;'Alternative 2'!$B$27),(($H54*'Alternative 2'!$B$39)+(3*($N$5/3)*COS($K$5))),IF(($A54&lt;'Alternative 2'!$B$28),(($H54*'Alternative 2'!$B$39)+(2*(($N$5/3)*COS($K$5)))),IF(($A54&lt;'Alternative 2'!$B$29),(($H$3*'Alternative 2'!$B$39+(($N$5/3)*COS($K$5)))),($H54*'Alternative 2'!$B$39))))</f>
        <v>#VALUE!</v>
      </c>
      <c r="T54" s="105" t="e">
        <f>R54*'Alternative 2'!$K55/'Alternative 2'!$L55</f>
        <v>#VALUE!</v>
      </c>
      <c r="U54" s="105" t="e">
        <f>S54/'Alternative 2'!$M55</f>
        <v>#VALUE!</v>
      </c>
      <c r="V54" s="105" t="e">
        <f t="shared" si="2"/>
        <v>#VALUE!</v>
      </c>
      <c r="X54" s="105" t="e">
        <f>'Alternative 2'!$B$39*$B54*$C54*COS($K$13)-($N$12/3)*$E54*SIN($K$13)-($N$12/3)*$F54*SIN($K$13)-($N$12/3)*$G54*SIN($K$13)</f>
        <v>#VALUE!</v>
      </c>
      <c r="Y54" s="106" t="e">
        <f>IF(($A54&lt;'Alternative 2'!$B$27),(($H54*'Alternative 2'!$B$39)+(3*($N$12/3)*COS($K$13))),IF(($A54&lt;'Alternative 2'!$B$28),(($H54*'Alternative 2'!$B$39)+(2*(($N$12/3)*COS($K$13)))),IF(($A54&lt;'Alternative 2'!$B$29),(($H$3*'Alternative 2'!$B$39+(($N$12/3)*COS($K$13)))),($H54*'Alternative 2'!$B$39))))</f>
        <v>#VALUE!</v>
      </c>
      <c r="Z54" s="105" t="e">
        <f>X54*'Alternative 2'!$K55/'Alternative 2'!$L55</f>
        <v>#VALUE!</v>
      </c>
      <c r="AA54" s="105" t="e">
        <f>Y54/'Alternative 2'!$M55</f>
        <v>#VALUE!</v>
      </c>
      <c r="AB54" s="105" t="e">
        <f t="shared" si="3"/>
        <v>#VALUE!</v>
      </c>
      <c r="AD54" s="105" t="e">
        <f>'Alternative 2'!$B$39*$B54*$C54*COS($K$23)-($N$22/3)*$E54*SIN($K$23)-($N$22/3)*$F54*SIN($K$23)-($N$22/3)*$G54*SIN($K$23)</f>
        <v>#VALUE!</v>
      </c>
      <c r="AE54" s="106" t="e">
        <f>IF(($A54&lt;'Alternative 2'!$B$27),(($H54*'Alternative 2'!$B$39)+(3*($N$22/3)*COS($K$23))),IF(($A54&lt;'Alternative 2'!$B$28),(($H54*'Alternative 2'!$B$39)+(2*(($N$22/3)*COS($K$23)))),IF(($A54&lt;'Alternative 2'!$B$29),(($H$3*'Alternative 2'!$B$39+(($N$22/3)*COS($K$23)))),($H54*'Alternative 2'!$B$39))))</f>
        <v>#VALUE!</v>
      </c>
      <c r="AF54" s="105" t="e">
        <f>AD54*'Alternative 2'!$K55/'Alternative 2'!$L55</f>
        <v>#VALUE!</v>
      </c>
      <c r="AG54" s="105" t="e">
        <f>AE54/'Alternative 2'!$M55</f>
        <v>#VALUE!</v>
      </c>
      <c r="AH54" s="105" t="e">
        <f t="shared" si="4"/>
        <v>#VALUE!</v>
      </c>
      <c r="AJ54" s="105" t="e">
        <f>'Alternative 2'!$B$39*$B54*$C54*COS($K$33)-($N$32/3)*$E54*SIN($K$33)-($N$32/3)*$F54*SIN($K$33)-($N$32/3)*$G54*SIN($K$33)</f>
        <v>#VALUE!</v>
      </c>
      <c r="AK54" s="106" t="e">
        <f>IF(($A54&lt;'Alternative 2'!$B$27),(($H54*'Alternative 2'!$B$39)+(3*($N$32/3)*COS($K$33))),IF(($A54&lt;'Alternative 2'!$B$28),(($H54*'Alternative 2'!$B$39)+(2*(($N$32/3)*COS($K$33)))),IF(($A54&lt;'Alternative 2'!$B$29),(($H$3*'Alternative 2'!$B$39+(($N$32/3)*COS($K$33)))),($H54*'Alternative 2'!$B$39))))</f>
        <v>#VALUE!</v>
      </c>
      <c r="AL54" s="105" t="e">
        <f>AJ54*'Alternative 2'!$K55/'Alternative 2'!$L55</f>
        <v>#VALUE!</v>
      </c>
      <c r="AM54" s="105" t="e">
        <f>AK54/'Alternative 2'!$M55</f>
        <v>#VALUE!</v>
      </c>
      <c r="AN54" s="105" t="e">
        <f t="shared" si="5"/>
        <v>#VALUE!</v>
      </c>
      <c r="AP54" s="105" t="e">
        <f>'Alternative 2'!$B$39*$B54*$C54*COS($K$43)-($N$42/3)*$E54*SIN($K$43)-($N$42/3)*$F54*SIN($K$43)-($N$42/3)*$G54*SIN($K$43)</f>
        <v>#VALUE!</v>
      </c>
      <c r="AQ54" s="106" t="e">
        <f>IF(($A54&lt;'Alternative 2'!$B$27),(($H54*'Alternative 2'!$B$39)+(3*($N$42/3)*COS($K$43))),IF(($A54&lt;'Alternative 2'!$B$28),(($H54*'Alternative 2'!$B$39)+(2*(($N$42/3)*COS($K$43)))),IF(($A54&lt;'Alternative 2'!$B$29),(($H$3*'Alternative 2'!$B$39+(($N$42/3)*COS($K$43)))),($H54*'Alternative 2'!$B$39))))</f>
        <v>#VALUE!</v>
      </c>
      <c r="AR54" s="105" t="e">
        <f>AP54*'Alternative 2'!$K55/'Alternative 2'!$L55</f>
        <v>#VALUE!</v>
      </c>
      <c r="AS54" s="105" t="e">
        <f>AQ54/'Alternative 2'!$M55</f>
        <v>#VALUE!</v>
      </c>
      <c r="AT54" s="105" t="e">
        <f t="shared" si="6"/>
        <v>#VALUE!</v>
      </c>
      <c r="AV54" s="105" t="e">
        <f>'Alternative 2'!$B$39*$B54*$C54*COS($K$53)-($N$52/3)*$E54*SIN($K$53)-($N$52/3)*$F54*SIN($K$53)-($N$52/3)*$G54*SIN($K$53)</f>
        <v>#VALUE!</v>
      </c>
      <c r="AW54" s="106" t="e">
        <f>IF(($A54&lt;'Alternative 2'!$B$27),(($H54*'Alternative 2'!$B$39)+(3*($N$52/3)*COS($K$53))),IF(($A54&lt;'Alternative 2'!$B$28),(($H54*'Alternative 2'!$B$39)+(2*(($N$52/3)*COS($K$53)))),IF(($A54&lt;'Alternative 2'!$B$29),(($H$3*'Alternative 2'!$B$39+(($N$52/3)*COS($K$53)))),($H54*'Alternative 2'!$B$39))))</f>
        <v>#VALUE!</v>
      </c>
      <c r="AX54" s="105" t="e">
        <f>AV54*'Alternative 2'!$K55/'Alternative 2'!$L55</f>
        <v>#VALUE!</v>
      </c>
      <c r="AY54" s="105" t="e">
        <f>AW54/'Alternative 2'!$M55</f>
        <v>#VALUE!</v>
      </c>
      <c r="AZ54" s="105" t="e">
        <f t="shared" si="7"/>
        <v>#VALUE!</v>
      </c>
      <c r="BB54" s="105" t="e">
        <f>'Alternative 2'!$B$39*$B54*$C54*COS($K$63)-($N$62/3)*$E54*SIN($K$63)-($N$62/3)*$F54*SIN($K$63)-($N$62/3)*$G54*SIN($K$63)</f>
        <v>#VALUE!</v>
      </c>
      <c r="BC54" s="106" t="e">
        <f>IF(($A54&lt;'Alternative 2'!$B$27),(($H54*'Alternative 2'!$B$39)+(3*($N$62/3)*COS($K$63))),IF(($A54&lt;'Alternative 2'!$B$28),(($H54*'Alternative 2'!$B$39)+(2*(($N$62/3)*COS($K$63)))),IF(($A54&lt;'Alternative 2'!$B$29),(($H$3*'Alternative 2'!$B$39+(($N$62/3)*COS($K$63)))),($H54*'Alternative 2'!$B$39))))</f>
        <v>#VALUE!</v>
      </c>
      <c r="BD54" s="105" t="e">
        <f>BB54*'Alternative 2'!$K55/'Alternative 2'!$L55</f>
        <v>#VALUE!</v>
      </c>
      <c r="BE54" s="105" t="e">
        <f>BC54/'Alternative 2'!$M55</f>
        <v>#VALUE!</v>
      </c>
      <c r="BF54" s="105" t="e">
        <f t="shared" si="8"/>
        <v>#VALUE!</v>
      </c>
      <c r="BH54" s="105" t="e">
        <f>'Alternative 2'!$B$39*$B54*$C54*COS($K$73)-($N$72/3)*$E54*SIN($K$73)-($N$72/3)*$F54*SIN($K$73)-($N$72/3)*$G54*SIN($K$73)</f>
        <v>#VALUE!</v>
      </c>
      <c r="BI54" s="106" t="e">
        <f>IF(($A54&lt;'Alternative 2'!$B$27),(($H54*'Alternative 2'!$B$39)+(3*($N$72/3)*COS($K$73))),IF(($A54&lt;'Alternative 2'!$B$28),(($H54*'Alternative 2'!$B$39)+(2*(($N$72/3)*COS($K$73)))),IF(($A54&lt;'Alternative 2'!$B$29),(($H$3*'Alternative 2'!$B$39+(($N$72/3)*COS($K$73)))),($H54*'Alternative 2'!$B$39))))</f>
        <v>#VALUE!</v>
      </c>
      <c r="BJ54" s="105" t="e">
        <f>BH54*'Alternative 2'!$K55/'Alternative 2'!$L55</f>
        <v>#VALUE!</v>
      </c>
      <c r="BK54" s="105" t="e">
        <f>BI54/'Alternative 2'!$M55</f>
        <v>#VALUE!</v>
      </c>
      <c r="BL54" s="105" t="e">
        <f t="shared" si="9"/>
        <v>#VALUE!</v>
      </c>
      <c r="BN54" s="105" t="e">
        <f>'Alternative 2'!$B$39*$B54*$C54*COS($K$83)-($N$82/3)*$E54*SIN($K$83)-($N$82/3)*$F54*SIN($K$83)-($N$82/3)*$G54*SIN($K$83)</f>
        <v>#VALUE!</v>
      </c>
      <c r="BO54" s="106" t="e">
        <f>IF(($A54&lt;'Alternative 2'!$B$27),(($H54*'Alternative 2'!$B$39)+(3*($N$82/3)*COS($K$83))),IF(($A54&lt;'Alternative 2'!$B$28),(($H54*'Alternative 2'!$B$39)+(2*(($N$82/3)*COS($K$83)))),IF(($A54&lt;'Alternative 2'!$B$29),(($H$3*'Alternative 2'!$B$39+(($N$82/3)*COS($K$83)))),($H54*'Alternative 2'!$B$39))))</f>
        <v>#VALUE!</v>
      </c>
      <c r="BP54" s="105" t="e">
        <f>BN54*'Alternative 2'!$K55/'Alternative 2'!$L55</f>
        <v>#VALUE!</v>
      </c>
      <c r="BQ54" s="105" t="e">
        <f>BO54/'Alternative 2'!$M55</f>
        <v>#VALUE!</v>
      </c>
      <c r="BR54" s="105" t="e">
        <f t="shared" si="10"/>
        <v>#VALUE!</v>
      </c>
      <c r="BT54" s="105" t="e">
        <f>'Alternative 2'!$B$39*$B54*$C54*COS($K$93)-($K$92/3)*$E54*SIN($K$93)-($K$92/3)*$F54*SIN($K$93)-($K$92/3)*$G54*SIN($K$93)</f>
        <v>#VALUE!</v>
      </c>
      <c r="BU54" s="106" t="e">
        <f>IF(($A54&lt;'Alternative 2'!$B$27),(($H54*'Alternative 2'!$B$39)+(3*($N$92/3)*COS($K$93))),IF(($A54&lt;'Alternative 2'!$B$28),(($H54*'Alternative 2'!$B$39)+(2*(($N$92/3)*COS($K$93)))),IF(($A54&lt;'Alternative 2'!$B$29),(($H$3*'Alternative 2'!$B$39+(($N$92/3)*COS($K$93)))),($H54*'Alternative 2'!$B$39))))</f>
        <v>#VALUE!</v>
      </c>
      <c r="BV54" s="105" t="e">
        <f>BT54*'Alternative 2'!$K55/'Alternative 2'!$L55</f>
        <v>#VALUE!</v>
      </c>
      <c r="BW54" s="105" t="e">
        <f>BU54/'Alternative 2'!$M55</f>
        <v>#VALUE!</v>
      </c>
      <c r="BX54" s="105" t="e">
        <f t="shared" si="11"/>
        <v>#VALUE!</v>
      </c>
      <c r="BZ54" s="104">
        <v>150</v>
      </c>
      <c r="CA54" s="104">
        <v>-150</v>
      </c>
    </row>
    <row r="55" spans="1:79" ht="15" customHeight="1" x14ac:dyDescent="0.25">
      <c r="A55" s="18" t="str">
        <f>IF('Alternative 2'!F56&gt;0,'Alternative 2'!F56,"x")</f>
        <v>x</v>
      </c>
      <c r="B55" s="18" t="e">
        <f t="shared" si="17"/>
        <v>#VALUE!</v>
      </c>
      <c r="C55" s="18">
        <f t="shared" si="12"/>
        <v>0</v>
      </c>
      <c r="D55" s="18" t="str">
        <f t="shared" si="13"/>
        <v>x</v>
      </c>
      <c r="E55" s="101">
        <f>IF($A55&lt;='Alternative 2'!$B$27, IF($A55='Alternative 2'!$B$27,0,E56+1),0)</f>
        <v>0</v>
      </c>
      <c r="F55" s="101">
        <f>IF($A55&lt;=('Alternative 2'!$B$28), IF($A55=ROUNDDOWN('Alternative 2'!$B$28,0),0,F56+1),0)</f>
        <v>0</v>
      </c>
      <c r="G55" s="101">
        <f>IF($A55&lt;=('Alternative 2'!$B$29), IF($A55=ROUNDDOWN('Alternative 2'!$B$29,0),0,G56+1),0)</f>
        <v>0</v>
      </c>
      <c r="H55" s="18" t="e">
        <f t="shared" si="14"/>
        <v>#VALUE!</v>
      </c>
      <c r="J55" s="104">
        <f t="shared" si="15"/>
        <v>52</v>
      </c>
      <c r="K55" s="104">
        <f t="shared" si="16"/>
        <v>0.90757121103705141</v>
      </c>
      <c r="L55" s="105">
        <f>'Alternative 2'!$B$27*SIN(K55)+'Alternative 2'!$B$28*SIN(K55)+'Alternative 2'!$B$29*SIN(K55)</f>
        <v>33.876582297552979</v>
      </c>
      <c r="M55" s="104">
        <f>(('Alternative 2'!$B$27)*(((('Alternative 2'!$B$28-'Alternative 2'!$B$27)/2)+'Alternative 2'!$B$27)*'Alternative 2'!$B$39)*COS('Alternative 2-Tilt Up (3pt)'!K55))+(('Alternative 2'!$B$28)*((('Alternative 2'!$B$28-'Alternative 2'!$B$27)/2)+(('Alternative 2'!$B$29-'Alternative 2'!$B$28)/2))*('Alternative 2'!$B$39)*COS('Alternative 2-Tilt Up (3pt)'!K55))+(('Alternative 2'!$B$29)*((('Alternative 2'!$B$12-'Alternative 2'!$B$29+(('Alternative 2'!$B$29-'Alternative 2'!$B$28)/2)*('Alternative 2'!$B$39)*COS('Alternative 2-Tilt Up (3pt)'!K55)))))</f>
        <v>375461.99500887195</v>
      </c>
      <c r="N55" s="104">
        <f t="shared" si="0"/>
        <v>33249.693700889613</v>
      </c>
      <c r="O55" s="104">
        <f>(((('Alternative 2'!$B$28-'Alternative 2'!$B$27)/2)+'Alternative 2'!$B$27)*('Alternative 2'!$B$39)*COS('Alternative 2-Tilt Up (3pt)'!K55))+(((('Alternative 2'!$B$28-'Alternative 2'!$B$27)/2)+(('Alternative 2'!$B$29-'Alternative 2'!$B$28)/2))*('Alternative 2'!$B$39)*COS('Alternative 2-Tilt Up (3pt)'!K55))+(((('Alternative 2'!$B$12-'Alternative 2'!$B$29)+(('Alternative 2'!$B$29-'Alternative 2'!$B$28)/2))*('Alternative 2'!$B$39)*COS('Alternative 2-Tilt Up (3pt)'!K55)))</f>
        <v>38526.76485000769</v>
      </c>
      <c r="P55" s="104">
        <f t="shared" si="1"/>
        <v>20470.555478015947</v>
      </c>
      <c r="R55" s="105" t="e">
        <f>'Alternative 2'!$B$39*$B55*$C55*COS($K$5)-($N$5/3)*$E55*SIN($K$5)-($N$5/3)*$F55*SIN($K$5)-($N$5/3)*$G55*SIN($K$5)</f>
        <v>#VALUE!</v>
      </c>
      <c r="S55" s="106" t="e">
        <f>IF(($A55&lt;'Alternative 2'!$B$27),(($H55*'Alternative 2'!$B$39)+(3*($N$5/3)*COS($K$5))),IF(($A55&lt;'Alternative 2'!$B$28),(($H55*'Alternative 2'!$B$39)+(2*(($N$5/3)*COS($K$5)))),IF(($A55&lt;'Alternative 2'!$B$29),(($H$3*'Alternative 2'!$B$39+(($N$5/3)*COS($K$5)))),($H55*'Alternative 2'!$B$39))))</f>
        <v>#VALUE!</v>
      </c>
      <c r="T55" s="105" t="e">
        <f>R55*'Alternative 2'!$K56/'Alternative 2'!$L56</f>
        <v>#VALUE!</v>
      </c>
      <c r="U55" s="105" t="e">
        <f>S55/'Alternative 2'!$M56</f>
        <v>#VALUE!</v>
      </c>
      <c r="V55" s="105" t="e">
        <f t="shared" si="2"/>
        <v>#VALUE!</v>
      </c>
      <c r="X55" s="105" t="e">
        <f>'Alternative 2'!$B$39*$B55*$C55*COS($K$13)-($N$12/3)*$E55*SIN($K$13)-($N$12/3)*$F55*SIN($K$13)-($N$12/3)*$G55*SIN($K$13)</f>
        <v>#VALUE!</v>
      </c>
      <c r="Y55" s="106" t="e">
        <f>IF(($A55&lt;'Alternative 2'!$B$27),(($H55*'Alternative 2'!$B$39)+(3*($N$12/3)*COS($K$13))),IF(($A55&lt;'Alternative 2'!$B$28),(($H55*'Alternative 2'!$B$39)+(2*(($N$12/3)*COS($K$13)))),IF(($A55&lt;'Alternative 2'!$B$29),(($H$3*'Alternative 2'!$B$39+(($N$12/3)*COS($K$13)))),($H55*'Alternative 2'!$B$39))))</f>
        <v>#VALUE!</v>
      </c>
      <c r="Z55" s="105" t="e">
        <f>X55*'Alternative 2'!$K56/'Alternative 2'!$L56</f>
        <v>#VALUE!</v>
      </c>
      <c r="AA55" s="105" t="e">
        <f>Y55/'Alternative 2'!$M56</f>
        <v>#VALUE!</v>
      </c>
      <c r="AB55" s="105" t="e">
        <f t="shared" si="3"/>
        <v>#VALUE!</v>
      </c>
      <c r="AD55" s="105" t="e">
        <f>'Alternative 2'!$B$39*$B55*$C55*COS($K$23)-($N$22/3)*$E55*SIN($K$23)-($N$22/3)*$F55*SIN($K$23)-($N$22/3)*$G55*SIN($K$23)</f>
        <v>#VALUE!</v>
      </c>
      <c r="AE55" s="106" t="e">
        <f>IF(($A55&lt;'Alternative 2'!$B$27),(($H55*'Alternative 2'!$B$39)+(3*($N$22/3)*COS($K$23))),IF(($A55&lt;'Alternative 2'!$B$28),(($H55*'Alternative 2'!$B$39)+(2*(($N$22/3)*COS($K$23)))),IF(($A55&lt;'Alternative 2'!$B$29),(($H$3*'Alternative 2'!$B$39+(($N$22/3)*COS($K$23)))),($H55*'Alternative 2'!$B$39))))</f>
        <v>#VALUE!</v>
      </c>
      <c r="AF55" s="105" t="e">
        <f>AD55*'Alternative 2'!$K56/'Alternative 2'!$L56</f>
        <v>#VALUE!</v>
      </c>
      <c r="AG55" s="105" t="e">
        <f>AE55/'Alternative 2'!$M56</f>
        <v>#VALUE!</v>
      </c>
      <c r="AH55" s="105" t="e">
        <f t="shared" si="4"/>
        <v>#VALUE!</v>
      </c>
      <c r="AJ55" s="105" t="e">
        <f>'Alternative 2'!$B$39*$B55*$C55*COS($K$33)-($N$32/3)*$E55*SIN($K$33)-($N$32/3)*$F55*SIN($K$33)-($N$32/3)*$G55*SIN($K$33)</f>
        <v>#VALUE!</v>
      </c>
      <c r="AK55" s="106" t="e">
        <f>IF(($A55&lt;'Alternative 2'!$B$27),(($H55*'Alternative 2'!$B$39)+(3*($N$32/3)*COS($K$33))),IF(($A55&lt;'Alternative 2'!$B$28),(($H55*'Alternative 2'!$B$39)+(2*(($N$32/3)*COS($K$33)))),IF(($A55&lt;'Alternative 2'!$B$29),(($H$3*'Alternative 2'!$B$39+(($N$32/3)*COS($K$33)))),($H55*'Alternative 2'!$B$39))))</f>
        <v>#VALUE!</v>
      </c>
      <c r="AL55" s="105" t="e">
        <f>AJ55*'Alternative 2'!$K56/'Alternative 2'!$L56</f>
        <v>#VALUE!</v>
      </c>
      <c r="AM55" s="105" t="e">
        <f>AK55/'Alternative 2'!$M56</f>
        <v>#VALUE!</v>
      </c>
      <c r="AN55" s="105" t="e">
        <f t="shared" si="5"/>
        <v>#VALUE!</v>
      </c>
      <c r="AP55" s="105" t="e">
        <f>'Alternative 2'!$B$39*$B55*$C55*COS($K$43)-($N$42/3)*$E55*SIN($K$43)-($N$42/3)*$F55*SIN($K$43)-($N$42/3)*$G55*SIN($K$43)</f>
        <v>#VALUE!</v>
      </c>
      <c r="AQ55" s="106" t="e">
        <f>IF(($A55&lt;'Alternative 2'!$B$27),(($H55*'Alternative 2'!$B$39)+(3*($N$42/3)*COS($K$43))),IF(($A55&lt;'Alternative 2'!$B$28),(($H55*'Alternative 2'!$B$39)+(2*(($N$42/3)*COS($K$43)))),IF(($A55&lt;'Alternative 2'!$B$29),(($H$3*'Alternative 2'!$B$39+(($N$42/3)*COS($K$43)))),($H55*'Alternative 2'!$B$39))))</f>
        <v>#VALUE!</v>
      </c>
      <c r="AR55" s="105" t="e">
        <f>AP55*'Alternative 2'!$K56/'Alternative 2'!$L56</f>
        <v>#VALUE!</v>
      </c>
      <c r="AS55" s="105" t="e">
        <f>AQ55/'Alternative 2'!$M56</f>
        <v>#VALUE!</v>
      </c>
      <c r="AT55" s="105" t="e">
        <f t="shared" si="6"/>
        <v>#VALUE!</v>
      </c>
      <c r="AV55" s="105" t="e">
        <f>'Alternative 2'!$B$39*$B55*$C55*COS($K$53)-($N$52/3)*$E55*SIN($K$53)-($N$52/3)*$F55*SIN($K$53)-($N$52/3)*$G55*SIN($K$53)</f>
        <v>#VALUE!</v>
      </c>
      <c r="AW55" s="106" t="e">
        <f>IF(($A55&lt;'Alternative 2'!$B$27),(($H55*'Alternative 2'!$B$39)+(3*($N$52/3)*COS($K$53))),IF(($A55&lt;'Alternative 2'!$B$28),(($H55*'Alternative 2'!$B$39)+(2*(($N$52/3)*COS($K$53)))),IF(($A55&lt;'Alternative 2'!$B$29),(($H$3*'Alternative 2'!$B$39+(($N$52/3)*COS($K$53)))),($H55*'Alternative 2'!$B$39))))</f>
        <v>#VALUE!</v>
      </c>
      <c r="AX55" s="105" t="e">
        <f>AV55*'Alternative 2'!$K56/'Alternative 2'!$L56</f>
        <v>#VALUE!</v>
      </c>
      <c r="AY55" s="105" t="e">
        <f>AW55/'Alternative 2'!$M56</f>
        <v>#VALUE!</v>
      </c>
      <c r="AZ55" s="105" t="e">
        <f t="shared" si="7"/>
        <v>#VALUE!</v>
      </c>
      <c r="BB55" s="105" t="e">
        <f>'Alternative 2'!$B$39*$B55*$C55*COS($K$63)-($N$62/3)*$E55*SIN($K$63)-($N$62/3)*$F55*SIN($K$63)-($N$62/3)*$G55*SIN($K$63)</f>
        <v>#VALUE!</v>
      </c>
      <c r="BC55" s="106" t="e">
        <f>IF(($A55&lt;'Alternative 2'!$B$27),(($H55*'Alternative 2'!$B$39)+(3*($N$62/3)*COS($K$63))),IF(($A55&lt;'Alternative 2'!$B$28),(($H55*'Alternative 2'!$B$39)+(2*(($N$62/3)*COS($K$63)))),IF(($A55&lt;'Alternative 2'!$B$29),(($H$3*'Alternative 2'!$B$39+(($N$62/3)*COS($K$63)))),($H55*'Alternative 2'!$B$39))))</f>
        <v>#VALUE!</v>
      </c>
      <c r="BD55" s="105" t="e">
        <f>BB55*'Alternative 2'!$K56/'Alternative 2'!$L56</f>
        <v>#VALUE!</v>
      </c>
      <c r="BE55" s="105" t="e">
        <f>BC55/'Alternative 2'!$M56</f>
        <v>#VALUE!</v>
      </c>
      <c r="BF55" s="105" t="e">
        <f t="shared" si="8"/>
        <v>#VALUE!</v>
      </c>
      <c r="BH55" s="105" t="e">
        <f>'Alternative 2'!$B$39*$B55*$C55*COS($K$73)-($N$72/3)*$E55*SIN($K$73)-($N$72/3)*$F55*SIN($K$73)-($N$72/3)*$G55*SIN($K$73)</f>
        <v>#VALUE!</v>
      </c>
      <c r="BI55" s="106" t="e">
        <f>IF(($A55&lt;'Alternative 2'!$B$27),(($H55*'Alternative 2'!$B$39)+(3*($N$72/3)*COS($K$73))),IF(($A55&lt;'Alternative 2'!$B$28),(($H55*'Alternative 2'!$B$39)+(2*(($N$72/3)*COS($K$73)))),IF(($A55&lt;'Alternative 2'!$B$29),(($H$3*'Alternative 2'!$B$39+(($N$72/3)*COS($K$73)))),($H55*'Alternative 2'!$B$39))))</f>
        <v>#VALUE!</v>
      </c>
      <c r="BJ55" s="105" t="e">
        <f>BH55*'Alternative 2'!$K56/'Alternative 2'!$L56</f>
        <v>#VALUE!</v>
      </c>
      <c r="BK55" s="105" t="e">
        <f>BI55/'Alternative 2'!$M56</f>
        <v>#VALUE!</v>
      </c>
      <c r="BL55" s="105" t="e">
        <f t="shared" si="9"/>
        <v>#VALUE!</v>
      </c>
      <c r="BN55" s="105" t="e">
        <f>'Alternative 2'!$B$39*$B55*$C55*COS($K$83)-($N$82/3)*$E55*SIN($K$83)-($N$82/3)*$F55*SIN($K$83)-($N$82/3)*$G55*SIN($K$83)</f>
        <v>#VALUE!</v>
      </c>
      <c r="BO55" s="106" t="e">
        <f>IF(($A55&lt;'Alternative 2'!$B$27),(($H55*'Alternative 2'!$B$39)+(3*($N$82/3)*COS($K$83))),IF(($A55&lt;'Alternative 2'!$B$28),(($H55*'Alternative 2'!$B$39)+(2*(($N$82/3)*COS($K$83)))),IF(($A55&lt;'Alternative 2'!$B$29),(($H$3*'Alternative 2'!$B$39+(($N$82/3)*COS($K$83)))),($H55*'Alternative 2'!$B$39))))</f>
        <v>#VALUE!</v>
      </c>
      <c r="BP55" s="105" t="e">
        <f>BN55*'Alternative 2'!$K56/'Alternative 2'!$L56</f>
        <v>#VALUE!</v>
      </c>
      <c r="BQ55" s="105" t="e">
        <f>BO55/'Alternative 2'!$M56</f>
        <v>#VALUE!</v>
      </c>
      <c r="BR55" s="105" t="e">
        <f t="shared" si="10"/>
        <v>#VALUE!</v>
      </c>
      <c r="BT55" s="105" t="e">
        <f>'Alternative 2'!$B$39*$B55*$C55*COS($K$93)-($K$92/3)*$E55*SIN($K$93)-($K$92/3)*$F55*SIN($K$93)-($K$92/3)*$G55*SIN($K$93)</f>
        <v>#VALUE!</v>
      </c>
      <c r="BU55" s="106" t="e">
        <f>IF(($A55&lt;'Alternative 2'!$B$27),(($H55*'Alternative 2'!$B$39)+(3*($N$92/3)*COS($K$93))),IF(($A55&lt;'Alternative 2'!$B$28),(($H55*'Alternative 2'!$B$39)+(2*(($N$92/3)*COS($K$93)))),IF(($A55&lt;'Alternative 2'!$B$29),(($H$3*'Alternative 2'!$B$39+(($N$92/3)*COS($K$93)))),($H55*'Alternative 2'!$B$39))))</f>
        <v>#VALUE!</v>
      </c>
      <c r="BV55" s="105" t="e">
        <f>BT55*'Alternative 2'!$K56/'Alternative 2'!$L56</f>
        <v>#VALUE!</v>
      </c>
      <c r="BW55" s="105" t="e">
        <f>BU55/'Alternative 2'!$M56</f>
        <v>#VALUE!</v>
      </c>
      <c r="BX55" s="105" t="e">
        <f t="shared" si="11"/>
        <v>#VALUE!</v>
      </c>
      <c r="BZ55" s="104">
        <v>150</v>
      </c>
      <c r="CA55" s="104">
        <v>-150</v>
      </c>
    </row>
    <row r="56" spans="1:79" ht="15" customHeight="1" x14ac:dyDescent="0.25">
      <c r="A56" s="18" t="str">
        <f>IF('Alternative 2'!F57&gt;0,'Alternative 2'!F57,"x")</f>
        <v>x</v>
      </c>
      <c r="B56" s="18" t="e">
        <f t="shared" si="17"/>
        <v>#VALUE!</v>
      </c>
      <c r="C56" s="18">
        <f t="shared" si="12"/>
        <v>0</v>
      </c>
      <c r="D56" s="18" t="str">
        <f t="shared" si="13"/>
        <v>x</v>
      </c>
      <c r="E56" s="101">
        <f>IF($A56&lt;='Alternative 2'!$B$27, IF($A56='Alternative 2'!$B$27,0,E57+1),0)</f>
        <v>0</v>
      </c>
      <c r="F56" s="101">
        <f>IF($A56&lt;=('Alternative 2'!$B$28), IF($A56=ROUNDDOWN('Alternative 2'!$B$28,0),0,F57+1),0)</f>
        <v>0</v>
      </c>
      <c r="G56" s="101">
        <f>IF($A56&lt;=('Alternative 2'!$B$29), IF($A56=ROUNDDOWN('Alternative 2'!$B$29,0),0,G57+1),0)</f>
        <v>0</v>
      </c>
      <c r="H56" s="18" t="e">
        <f t="shared" si="14"/>
        <v>#VALUE!</v>
      </c>
      <c r="J56" s="104">
        <f t="shared" si="15"/>
        <v>53</v>
      </c>
      <c r="K56" s="104">
        <f t="shared" si="16"/>
        <v>0.92502450355699462</v>
      </c>
      <c r="L56" s="105">
        <f>'Alternative 2'!$B$27*SIN(K56)+'Alternative 2'!$B$28*SIN(K56)+'Alternative 2'!$B$29*SIN(K56)</f>
        <v>34.333340576933118</v>
      </c>
      <c r="M56" s="104">
        <f>(('Alternative 2'!$B$27)*(((('Alternative 2'!$B$28-'Alternative 2'!$B$27)/2)+'Alternative 2'!$B$27)*'Alternative 2'!$B$39)*COS('Alternative 2-Tilt Up (3pt)'!K56))+(('Alternative 2'!$B$28)*((('Alternative 2'!$B$28-'Alternative 2'!$B$27)/2)+(('Alternative 2'!$B$29-'Alternative 2'!$B$28)/2))*('Alternative 2'!$B$39)*COS('Alternative 2-Tilt Up (3pt)'!K56))+(('Alternative 2'!$B$29)*((('Alternative 2'!$B$12-'Alternative 2'!$B$29+(('Alternative 2'!$B$29-'Alternative 2'!$B$28)/2)*('Alternative 2'!$B$39)*COS('Alternative 2-Tilt Up (3pt)'!K56)))))</f>
        <v>367019.53853142587</v>
      </c>
      <c r="N56" s="104">
        <f t="shared" si="0"/>
        <v>32069.661649353886</v>
      </c>
      <c r="O56" s="104">
        <f>(((('Alternative 2'!$B$28-'Alternative 2'!$B$27)/2)+'Alternative 2'!$B$27)*('Alternative 2'!$B$39)*COS('Alternative 2-Tilt Up (3pt)'!K56))+(((('Alternative 2'!$B$28-'Alternative 2'!$B$27)/2)+(('Alternative 2'!$B$29-'Alternative 2'!$B$28)/2))*('Alternative 2'!$B$39)*COS('Alternative 2-Tilt Up (3pt)'!K56))+(((('Alternative 2'!$B$12-'Alternative 2'!$B$29)+(('Alternative 2'!$B$29-'Alternative 2'!$B$28)/2))*('Alternative 2'!$B$39)*COS('Alternative 2-Tilt Up (3pt)'!K56)))</f>
        <v>37660.283791374997</v>
      </c>
      <c r="P56" s="104">
        <f t="shared" si="1"/>
        <v>19300.004167984265</v>
      </c>
      <c r="R56" s="105" t="e">
        <f>'Alternative 2'!$B$39*$B56*$C56*COS($K$5)-($N$5/3)*$E56*SIN($K$5)-($N$5/3)*$F56*SIN($K$5)-($N$5/3)*$G56*SIN($K$5)</f>
        <v>#VALUE!</v>
      </c>
      <c r="S56" s="106" t="e">
        <f>IF(($A56&lt;'Alternative 2'!$B$27),(($H56*'Alternative 2'!$B$39)+(3*($N$5/3)*COS($K$5))),IF(($A56&lt;'Alternative 2'!$B$28),(($H56*'Alternative 2'!$B$39)+(2*(($N$5/3)*COS($K$5)))),IF(($A56&lt;'Alternative 2'!$B$29),(($H$3*'Alternative 2'!$B$39+(($N$5/3)*COS($K$5)))),($H56*'Alternative 2'!$B$39))))</f>
        <v>#VALUE!</v>
      </c>
      <c r="T56" s="105" t="e">
        <f>R56*'Alternative 2'!$K57/'Alternative 2'!$L57</f>
        <v>#VALUE!</v>
      </c>
      <c r="U56" s="105" t="e">
        <f>S56/'Alternative 2'!$M57</f>
        <v>#VALUE!</v>
      </c>
      <c r="V56" s="105" t="e">
        <f t="shared" si="2"/>
        <v>#VALUE!</v>
      </c>
      <c r="X56" s="105" t="e">
        <f>'Alternative 2'!$B$39*$B56*$C56*COS($K$13)-($N$12/3)*$E56*SIN($K$13)-($N$12/3)*$F56*SIN($K$13)-($N$12/3)*$G56*SIN($K$13)</f>
        <v>#VALUE!</v>
      </c>
      <c r="Y56" s="106" t="e">
        <f>IF(($A56&lt;'Alternative 2'!$B$27),(($H56*'Alternative 2'!$B$39)+(3*($N$12/3)*COS($K$13))),IF(($A56&lt;'Alternative 2'!$B$28),(($H56*'Alternative 2'!$B$39)+(2*(($N$12/3)*COS($K$13)))),IF(($A56&lt;'Alternative 2'!$B$29),(($H$3*'Alternative 2'!$B$39+(($N$12/3)*COS($K$13)))),($H56*'Alternative 2'!$B$39))))</f>
        <v>#VALUE!</v>
      </c>
      <c r="Z56" s="105" t="e">
        <f>X56*'Alternative 2'!$K57/'Alternative 2'!$L57</f>
        <v>#VALUE!</v>
      </c>
      <c r="AA56" s="105" t="e">
        <f>Y56/'Alternative 2'!$M57</f>
        <v>#VALUE!</v>
      </c>
      <c r="AB56" s="105" t="e">
        <f t="shared" si="3"/>
        <v>#VALUE!</v>
      </c>
      <c r="AD56" s="105" t="e">
        <f>'Alternative 2'!$B$39*$B56*$C56*COS($K$23)-($N$22/3)*$E56*SIN($K$23)-($N$22/3)*$F56*SIN($K$23)-($N$22/3)*$G56*SIN($K$23)</f>
        <v>#VALUE!</v>
      </c>
      <c r="AE56" s="106" t="e">
        <f>IF(($A56&lt;'Alternative 2'!$B$27),(($H56*'Alternative 2'!$B$39)+(3*($N$22/3)*COS($K$23))),IF(($A56&lt;'Alternative 2'!$B$28),(($H56*'Alternative 2'!$B$39)+(2*(($N$22/3)*COS($K$23)))),IF(($A56&lt;'Alternative 2'!$B$29),(($H$3*'Alternative 2'!$B$39+(($N$22/3)*COS($K$23)))),($H56*'Alternative 2'!$B$39))))</f>
        <v>#VALUE!</v>
      </c>
      <c r="AF56" s="105" t="e">
        <f>AD56*'Alternative 2'!$K57/'Alternative 2'!$L57</f>
        <v>#VALUE!</v>
      </c>
      <c r="AG56" s="105" t="e">
        <f>AE56/'Alternative 2'!$M57</f>
        <v>#VALUE!</v>
      </c>
      <c r="AH56" s="105" t="e">
        <f t="shared" si="4"/>
        <v>#VALUE!</v>
      </c>
      <c r="AJ56" s="105" t="e">
        <f>'Alternative 2'!$B$39*$B56*$C56*COS($K$33)-($N$32/3)*$E56*SIN($K$33)-($N$32/3)*$F56*SIN($K$33)-($N$32/3)*$G56*SIN($K$33)</f>
        <v>#VALUE!</v>
      </c>
      <c r="AK56" s="106" t="e">
        <f>IF(($A56&lt;'Alternative 2'!$B$27),(($H56*'Alternative 2'!$B$39)+(3*($N$32/3)*COS($K$33))),IF(($A56&lt;'Alternative 2'!$B$28),(($H56*'Alternative 2'!$B$39)+(2*(($N$32/3)*COS($K$33)))),IF(($A56&lt;'Alternative 2'!$B$29),(($H$3*'Alternative 2'!$B$39+(($N$32/3)*COS($K$33)))),($H56*'Alternative 2'!$B$39))))</f>
        <v>#VALUE!</v>
      </c>
      <c r="AL56" s="105" t="e">
        <f>AJ56*'Alternative 2'!$K57/'Alternative 2'!$L57</f>
        <v>#VALUE!</v>
      </c>
      <c r="AM56" s="105" t="e">
        <f>AK56/'Alternative 2'!$M57</f>
        <v>#VALUE!</v>
      </c>
      <c r="AN56" s="105" t="e">
        <f t="shared" si="5"/>
        <v>#VALUE!</v>
      </c>
      <c r="AP56" s="105" t="e">
        <f>'Alternative 2'!$B$39*$B56*$C56*COS($K$43)-($N$42/3)*$E56*SIN($K$43)-($N$42/3)*$F56*SIN($K$43)-($N$42/3)*$G56*SIN($K$43)</f>
        <v>#VALUE!</v>
      </c>
      <c r="AQ56" s="106" t="e">
        <f>IF(($A56&lt;'Alternative 2'!$B$27),(($H56*'Alternative 2'!$B$39)+(3*($N$42/3)*COS($K$43))),IF(($A56&lt;'Alternative 2'!$B$28),(($H56*'Alternative 2'!$B$39)+(2*(($N$42/3)*COS($K$43)))),IF(($A56&lt;'Alternative 2'!$B$29),(($H$3*'Alternative 2'!$B$39+(($N$42/3)*COS($K$43)))),($H56*'Alternative 2'!$B$39))))</f>
        <v>#VALUE!</v>
      </c>
      <c r="AR56" s="105" t="e">
        <f>AP56*'Alternative 2'!$K57/'Alternative 2'!$L57</f>
        <v>#VALUE!</v>
      </c>
      <c r="AS56" s="105" t="e">
        <f>AQ56/'Alternative 2'!$M57</f>
        <v>#VALUE!</v>
      </c>
      <c r="AT56" s="105" t="e">
        <f t="shared" si="6"/>
        <v>#VALUE!</v>
      </c>
      <c r="AV56" s="105" t="e">
        <f>'Alternative 2'!$B$39*$B56*$C56*COS($K$53)-($N$52/3)*$E56*SIN($K$53)-($N$52/3)*$F56*SIN($K$53)-($N$52/3)*$G56*SIN($K$53)</f>
        <v>#VALUE!</v>
      </c>
      <c r="AW56" s="106" t="e">
        <f>IF(($A56&lt;'Alternative 2'!$B$27),(($H56*'Alternative 2'!$B$39)+(3*($N$52/3)*COS($K$53))),IF(($A56&lt;'Alternative 2'!$B$28),(($H56*'Alternative 2'!$B$39)+(2*(($N$52/3)*COS($K$53)))),IF(($A56&lt;'Alternative 2'!$B$29),(($H$3*'Alternative 2'!$B$39+(($N$52/3)*COS($K$53)))),($H56*'Alternative 2'!$B$39))))</f>
        <v>#VALUE!</v>
      </c>
      <c r="AX56" s="105" t="e">
        <f>AV56*'Alternative 2'!$K57/'Alternative 2'!$L57</f>
        <v>#VALUE!</v>
      </c>
      <c r="AY56" s="105" t="e">
        <f>AW56/'Alternative 2'!$M57</f>
        <v>#VALUE!</v>
      </c>
      <c r="AZ56" s="105" t="e">
        <f t="shared" si="7"/>
        <v>#VALUE!</v>
      </c>
      <c r="BB56" s="105" t="e">
        <f>'Alternative 2'!$B$39*$B56*$C56*COS($K$63)-($N$62/3)*$E56*SIN($K$63)-($N$62/3)*$F56*SIN($K$63)-($N$62/3)*$G56*SIN($K$63)</f>
        <v>#VALUE!</v>
      </c>
      <c r="BC56" s="106" t="e">
        <f>IF(($A56&lt;'Alternative 2'!$B$27),(($H56*'Alternative 2'!$B$39)+(3*($N$62/3)*COS($K$63))),IF(($A56&lt;'Alternative 2'!$B$28),(($H56*'Alternative 2'!$B$39)+(2*(($N$62/3)*COS($K$63)))),IF(($A56&lt;'Alternative 2'!$B$29),(($H$3*'Alternative 2'!$B$39+(($N$62/3)*COS($K$63)))),($H56*'Alternative 2'!$B$39))))</f>
        <v>#VALUE!</v>
      </c>
      <c r="BD56" s="105" t="e">
        <f>BB56*'Alternative 2'!$K57/'Alternative 2'!$L57</f>
        <v>#VALUE!</v>
      </c>
      <c r="BE56" s="105" t="e">
        <f>BC56/'Alternative 2'!$M57</f>
        <v>#VALUE!</v>
      </c>
      <c r="BF56" s="105" t="e">
        <f t="shared" si="8"/>
        <v>#VALUE!</v>
      </c>
      <c r="BH56" s="105" t="e">
        <f>'Alternative 2'!$B$39*$B56*$C56*COS($K$73)-($N$72/3)*$E56*SIN($K$73)-($N$72/3)*$F56*SIN($K$73)-($N$72/3)*$G56*SIN($K$73)</f>
        <v>#VALUE!</v>
      </c>
      <c r="BI56" s="106" t="e">
        <f>IF(($A56&lt;'Alternative 2'!$B$27),(($H56*'Alternative 2'!$B$39)+(3*($N$72/3)*COS($K$73))),IF(($A56&lt;'Alternative 2'!$B$28),(($H56*'Alternative 2'!$B$39)+(2*(($N$72/3)*COS($K$73)))),IF(($A56&lt;'Alternative 2'!$B$29),(($H$3*'Alternative 2'!$B$39+(($N$72/3)*COS($K$73)))),($H56*'Alternative 2'!$B$39))))</f>
        <v>#VALUE!</v>
      </c>
      <c r="BJ56" s="105" t="e">
        <f>BH56*'Alternative 2'!$K57/'Alternative 2'!$L57</f>
        <v>#VALUE!</v>
      </c>
      <c r="BK56" s="105" t="e">
        <f>BI56/'Alternative 2'!$M57</f>
        <v>#VALUE!</v>
      </c>
      <c r="BL56" s="105" t="e">
        <f t="shared" si="9"/>
        <v>#VALUE!</v>
      </c>
      <c r="BN56" s="105" t="e">
        <f>'Alternative 2'!$B$39*$B56*$C56*COS($K$83)-($N$82/3)*$E56*SIN($K$83)-($N$82/3)*$F56*SIN($K$83)-($N$82/3)*$G56*SIN($K$83)</f>
        <v>#VALUE!</v>
      </c>
      <c r="BO56" s="106" t="e">
        <f>IF(($A56&lt;'Alternative 2'!$B$27),(($H56*'Alternative 2'!$B$39)+(3*($N$82/3)*COS($K$83))),IF(($A56&lt;'Alternative 2'!$B$28),(($H56*'Alternative 2'!$B$39)+(2*(($N$82/3)*COS($K$83)))),IF(($A56&lt;'Alternative 2'!$B$29),(($H$3*'Alternative 2'!$B$39+(($N$82/3)*COS($K$83)))),($H56*'Alternative 2'!$B$39))))</f>
        <v>#VALUE!</v>
      </c>
      <c r="BP56" s="105" t="e">
        <f>BN56*'Alternative 2'!$K57/'Alternative 2'!$L57</f>
        <v>#VALUE!</v>
      </c>
      <c r="BQ56" s="105" t="e">
        <f>BO56/'Alternative 2'!$M57</f>
        <v>#VALUE!</v>
      </c>
      <c r="BR56" s="105" t="e">
        <f t="shared" si="10"/>
        <v>#VALUE!</v>
      </c>
      <c r="BT56" s="105" t="e">
        <f>'Alternative 2'!$B$39*$B56*$C56*COS($K$93)-($K$92/3)*$E56*SIN($K$93)-($K$92/3)*$F56*SIN($K$93)-($K$92/3)*$G56*SIN($K$93)</f>
        <v>#VALUE!</v>
      </c>
      <c r="BU56" s="106" t="e">
        <f>IF(($A56&lt;'Alternative 2'!$B$27),(($H56*'Alternative 2'!$B$39)+(3*($N$92/3)*COS($K$93))),IF(($A56&lt;'Alternative 2'!$B$28),(($H56*'Alternative 2'!$B$39)+(2*(($N$92/3)*COS($K$93)))),IF(($A56&lt;'Alternative 2'!$B$29),(($H$3*'Alternative 2'!$B$39+(($N$92/3)*COS($K$93)))),($H56*'Alternative 2'!$B$39))))</f>
        <v>#VALUE!</v>
      </c>
      <c r="BV56" s="105" t="e">
        <f>BT56*'Alternative 2'!$K57/'Alternative 2'!$L57</f>
        <v>#VALUE!</v>
      </c>
      <c r="BW56" s="105" t="e">
        <f>BU56/'Alternative 2'!$M57</f>
        <v>#VALUE!</v>
      </c>
      <c r="BX56" s="105" t="e">
        <f t="shared" si="11"/>
        <v>#VALUE!</v>
      </c>
      <c r="BZ56" s="104">
        <v>150</v>
      </c>
      <c r="CA56" s="104">
        <v>-150</v>
      </c>
    </row>
    <row r="57" spans="1:79" ht="15" customHeight="1" x14ac:dyDescent="0.25">
      <c r="A57" s="18" t="str">
        <f>IF('Alternative 2'!F58&gt;0,'Alternative 2'!F58,"x")</f>
        <v>x</v>
      </c>
      <c r="B57" s="18" t="e">
        <f t="shared" si="17"/>
        <v>#VALUE!</v>
      </c>
      <c r="C57" s="18">
        <f t="shared" si="12"/>
        <v>0</v>
      </c>
      <c r="D57" s="18" t="str">
        <f t="shared" si="13"/>
        <v>x</v>
      </c>
      <c r="E57" s="101">
        <f>IF($A57&lt;='Alternative 2'!$B$27, IF($A57='Alternative 2'!$B$27,0,E58+1),0)</f>
        <v>0</v>
      </c>
      <c r="F57" s="101">
        <f>IF($A57&lt;=('Alternative 2'!$B$28), IF($A57=ROUNDDOWN('Alternative 2'!$B$28,0),0,F58+1),0)</f>
        <v>0</v>
      </c>
      <c r="G57" s="101">
        <f>IF($A57&lt;=('Alternative 2'!$B$29), IF($A57=ROUNDDOWN('Alternative 2'!$B$29,0),0,G58+1),0)</f>
        <v>0</v>
      </c>
      <c r="H57" s="18" t="e">
        <f t="shared" si="14"/>
        <v>#VALUE!</v>
      </c>
      <c r="J57" s="104">
        <f t="shared" si="15"/>
        <v>54</v>
      </c>
      <c r="K57" s="104">
        <f t="shared" si="16"/>
        <v>0.94247779607693793</v>
      </c>
      <c r="L57" s="105">
        <f>'Alternative 2'!$B$27*SIN(K57)+'Alternative 2'!$B$28*SIN(K57)+'Alternative 2'!$B$29*SIN(K57)</f>
        <v>34.779640588178992</v>
      </c>
      <c r="M57" s="104">
        <f>(('Alternative 2'!$B$27)*(((('Alternative 2'!$B$28-'Alternative 2'!$B$27)/2)+'Alternative 2'!$B$27)*'Alternative 2'!$B$39)*COS('Alternative 2-Tilt Up (3pt)'!K57))+(('Alternative 2'!$B$28)*((('Alternative 2'!$B$28-'Alternative 2'!$B$27)/2)+(('Alternative 2'!$B$29-'Alternative 2'!$B$28)/2))*('Alternative 2'!$B$39)*COS('Alternative 2-Tilt Up (3pt)'!K57))+(('Alternative 2'!$B$29)*((('Alternative 2'!$B$12-'Alternative 2'!$B$29+(('Alternative 2'!$B$29-'Alternative 2'!$B$28)/2)*('Alternative 2'!$B$39)*COS('Alternative 2-Tilt Up (3pt)'!K57)))))</f>
        <v>358465.30901577766</v>
      </c>
      <c r="N57" s="104">
        <f t="shared" si="0"/>
        <v>30920.271424910636</v>
      </c>
      <c r="O57" s="104">
        <f>(((('Alternative 2'!$B$28-'Alternative 2'!$B$27)/2)+'Alternative 2'!$B$27)*('Alternative 2'!$B$39)*COS('Alternative 2-Tilt Up (3pt)'!K57))+(((('Alternative 2'!$B$28-'Alternative 2'!$B$27)/2)+(('Alternative 2'!$B$29-'Alternative 2'!$B$28)/2))*('Alternative 2'!$B$39)*COS('Alternative 2-Tilt Up (3pt)'!K57))+(((('Alternative 2'!$B$12-'Alternative 2'!$B$29)+(('Alternative 2'!$B$29-'Alternative 2'!$B$28)/2))*('Alternative 2'!$B$39)*COS('Alternative 2-Tilt Up (3pt)'!K57)))</f>
        <v>36782.331045476065</v>
      </c>
      <c r="P57" s="104">
        <f t="shared" si="1"/>
        <v>18174.479540442844</v>
      </c>
      <c r="R57" s="105" t="e">
        <f>'Alternative 2'!$B$39*$B57*$C57*COS($K$5)-($N$5/3)*$E57*SIN($K$5)-($N$5/3)*$F57*SIN($K$5)-($N$5/3)*$G57*SIN($K$5)</f>
        <v>#VALUE!</v>
      </c>
      <c r="S57" s="106" t="e">
        <f>IF(($A57&lt;'Alternative 2'!$B$27),(($H57*'Alternative 2'!$B$39)+(3*($N$5/3)*COS($K$5))),IF(($A57&lt;'Alternative 2'!$B$28),(($H57*'Alternative 2'!$B$39)+(2*(($N$5/3)*COS($K$5)))),IF(($A57&lt;'Alternative 2'!$B$29),(($H$3*'Alternative 2'!$B$39+(($N$5/3)*COS($K$5)))),($H57*'Alternative 2'!$B$39))))</f>
        <v>#VALUE!</v>
      </c>
      <c r="T57" s="105" t="e">
        <f>R57*'Alternative 2'!$K58/'Alternative 2'!$L58</f>
        <v>#VALUE!</v>
      </c>
      <c r="U57" s="105" t="e">
        <f>S57/'Alternative 2'!$M58</f>
        <v>#VALUE!</v>
      </c>
      <c r="V57" s="105" t="e">
        <f t="shared" si="2"/>
        <v>#VALUE!</v>
      </c>
      <c r="X57" s="105" t="e">
        <f>'Alternative 2'!$B$39*$B57*$C57*COS($K$13)-($N$12/3)*$E57*SIN($K$13)-($N$12/3)*$F57*SIN($K$13)-($N$12/3)*$G57*SIN($K$13)</f>
        <v>#VALUE!</v>
      </c>
      <c r="Y57" s="106" t="e">
        <f>IF(($A57&lt;'Alternative 2'!$B$27),(($H57*'Alternative 2'!$B$39)+(3*($N$12/3)*COS($K$13))),IF(($A57&lt;'Alternative 2'!$B$28),(($H57*'Alternative 2'!$B$39)+(2*(($N$12/3)*COS($K$13)))),IF(($A57&lt;'Alternative 2'!$B$29),(($H$3*'Alternative 2'!$B$39+(($N$12/3)*COS($K$13)))),($H57*'Alternative 2'!$B$39))))</f>
        <v>#VALUE!</v>
      </c>
      <c r="Z57" s="105" t="e">
        <f>X57*'Alternative 2'!$K58/'Alternative 2'!$L58</f>
        <v>#VALUE!</v>
      </c>
      <c r="AA57" s="105" t="e">
        <f>Y57/'Alternative 2'!$M58</f>
        <v>#VALUE!</v>
      </c>
      <c r="AB57" s="105" t="e">
        <f t="shared" si="3"/>
        <v>#VALUE!</v>
      </c>
      <c r="AD57" s="105" t="e">
        <f>'Alternative 2'!$B$39*$B57*$C57*COS($K$23)-($N$22/3)*$E57*SIN($K$23)-($N$22/3)*$F57*SIN($K$23)-($N$22/3)*$G57*SIN($K$23)</f>
        <v>#VALUE!</v>
      </c>
      <c r="AE57" s="106" t="e">
        <f>IF(($A57&lt;'Alternative 2'!$B$27),(($H57*'Alternative 2'!$B$39)+(3*($N$22/3)*COS($K$23))),IF(($A57&lt;'Alternative 2'!$B$28),(($H57*'Alternative 2'!$B$39)+(2*(($N$22/3)*COS($K$23)))),IF(($A57&lt;'Alternative 2'!$B$29),(($H$3*'Alternative 2'!$B$39+(($N$22/3)*COS($K$23)))),($H57*'Alternative 2'!$B$39))))</f>
        <v>#VALUE!</v>
      </c>
      <c r="AF57" s="105" t="e">
        <f>AD57*'Alternative 2'!$K58/'Alternative 2'!$L58</f>
        <v>#VALUE!</v>
      </c>
      <c r="AG57" s="105" t="e">
        <f>AE57/'Alternative 2'!$M58</f>
        <v>#VALUE!</v>
      </c>
      <c r="AH57" s="105" t="e">
        <f t="shared" si="4"/>
        <v>#VALUE!</v>
      </c>
      <c r="AJ57" s="105" t="e">
        <f>'Alternative 2'!$B$39*$B57*$C57*COS($K$33)-($N$32/3)*$E57*SIN($K$33)-($N$32/3)*$F57*SIN($K$33)-($N$32/3)*$G57*SIN($K$33)</f>
        <v>#VALUE!</v>
      </c>
      <c r="AK57" s="106" t="e">
        <f>IF(($A57&lt;'Alternative 2'!$B$27),(($H57*'Alternative 2'!$B$39)+(3*($N$32/3)*COS($K$33))),IF(($A57&lt;'Alternative 2'!$B$28),(($H57*'Alternative 2'!$B$39)+(2*(($N$32/3)*COS($K$33)))),IF(($A57&lt;'Alternative 2'!$B$29),(($H$3*'Alternative 2'!$B$39+(($N$32/3)*COS($K$33)))),($H57*'Alternative 2'!$B$39))))</f>
        <v>#VALUE!</v>
      </c>
      <c r="AL57" s="105" t="e">
        <f>AJ57*'Alternative 2'!$K58/'Alternative 2'!$L58</f>
        <v>#VALUE!</v>
      </c>
      <c r="AM57" s="105" t="e">
        <f>AK57/'Alternative 2'!$M58</f>
        <v>#VALUE!</v>
      </c>
      <c r="AN57" s="105" t="e">
        <f t="shared" si="5"/>
        <v>#VALUE!</v>
      </c>
      <c r="AP57" s="105" t="e">
        <f>'Alternative 2'!$B$39*$B57*$C57*COS($K$43)-($N$42/3)*$E57*SIN($K$43)-($N$42/3)*$F57*SIN($K$43)-($N$42/3)*$G57*SIN($K$43)</f>
        <v>#VALUE!</v>
      </c>
      <c r="AQ57" s="106" t="e">
        <f>IF(($A57&lt;'Alternative 2'!$B$27),(($H57*'Alternative 2'!$B$39)+(3*($N$42/3)*COS($K$43))),IF(($A57&lt;'Alternative 2'!$B$28),(($H57*'Alternative 2'!$B$39)+(2*(($N$42/3)*COS($K$43)))),IF(($A57&lt;'Alternative 2'!$B$29),(($H$3*'Alternative 2'!$B$39+(($N$42/3)*COS($K$43)))),($H57*'Alternative 2'!$B$39))))</f>
        <v>#VALUE!</v>
      </c>
      <c r="AR57" s="105" t="e">
        <f>AP57*'Alternative 2'!$K58/'Alternative 2'!$L58</f>
        <v>#VALUE!</v>
      </c>
      <c r="AS57" s="105" t="e">
        <f>AQ57/'Alternative 2'!$M58</f>
        <v>#VALUE!</v>
      </c>
      <c r="AT57" s="105" t="e">
        <f t="shared" si="6"/>
        <v>#VALUE!</v>
      </c>
      <c r="AV57" s="105" t="e">
        <f>'Alternative 2'!$B$39*$B57*$C57*COS($K$53)-($N$52/3)*$E57*SIN($K$53)-($N$52/3)*$F57*SIN($K$53)-($N$52/3)*$G57*SIN($K$53)</f>
        <v>#VALUE!</v>
      </c>
      <c r="AW57" s="106" t="e">
        <f>IF(($A57&lt;'Alternative 2'!$B$27),(($H57*'Alternative 2'!$B$39)+(3*($N$52/3)*COS($K$53))),IF(($A57&lt;'Alternative 2'!$B$28),(($H57*'Alternative 2'!$B$39)+(2*(($N$52/3)*COS($K$53)))),IF(($A57&lt;'Alternative 2'!$B$29),(($H$3*'Alternative 2'!$B$39+(($N$52/3)*COS($K$53)))),($H57*'Alternative 2'!$B$39))))</f>
        <v>#VALUE!</v>
      </c>
      <c r="AX57" s="105" t="e">
        <f>AV57*'Alternative 2'!$K58/'Alternative 2'!$L58</f>
        <v>#VALUE!</v>
      </c>
      <c r="AY57" s="105" t="e">
        <f>AW57/'Alternative 2'!$M58</f>
        <v>#VALUE!</v>
      </c>
      <c r="AZ57" s="105" t="e">
        <f t="shared" si="7"/>
        <v>#VALUE!</v>
      </c>
      <c r="BB57" s="105" t="e">
        <f>'Alternative 2'!$B$39*$B57*$C57*COS($K$63)-($N$62/3)*$E57*SIN($K$63)-($N$62/3)*$F57*SIN($K$63)-($N$62/3)*$G57*SIN($K$63)</f>
        <v>#VALUE!</v>
      </c>
      <c r="BC57" s="106" t="e">
        <f>IF(($A57&lt;'Alternative 2'!$B$27),(($H57*'Alternative 2'!$B$39)+(3*($N$62/3)*COS($K$63))),IF(($A57&lt;'Alternative 2'!$B$28),(($H57*'Alternative 2'!$B$39)+(2*(($N$62/3)*COS($K$63)))),IF(($A57&lt;'Alternative 2'!$B$29),(($H$3*'Alternative 2'!$B$39+(($N$62/3)*COS($K$63)))),($H57*'Alternative 2'!$B$39))))</f>
        <v>#VALUE!</v>
      </c>
      <c r="BD57" s="105" t="e">
        <f>BB57*'Alternative 2'!$K58/'Alternative 2'!$L58</f>
        <v>#VALUE!</v>
      </c>
      <c r="BE57" s="105" t="e">
        <f>BC57/'Alternative 2'!$M58</f>
        <v>#VALUE!</v>
      </c>
      <c r="BF57" s="105" t="e">
        <f t="shared" si="8"/>
        <v>#VALUE!</v>
      </c>
      <c r="BH57" s="105" t="e">
        <f>'Alternative 2'!$B$39*$B57*$C57*COS($K$73)-($N$72/3)*$E57*SIN($K$73)-($N$72/3)*$F57*SIN($K$73)-($N$72/3)*$G57*SIN($K$73)</f>
        <v>#VALUE!</v>
      </c>
      <c r="BI57" s="106" t="e">
        <f>IF(($A57&lt;'Alternative 2'!$B$27),(($H57*'Alternative 2'!$B$39)+(3*($N$72/3)*COS($K$73))),IF(($A57&lt;'Alternative 2'!$B$28),(($H57*'Alternative 2'!$B$39)+(2*(($N$72/3)*COS($K$73)))),IF(($A57&lt;'Alternative 2'!$B$29),(($H$3*'Alternative 2'!$B$39+(($N$72/3)*COS($K$73)))),($H57*'Alternative 2'!$B$39))))</f>
        <v>#VALUE!</v>
      </c>
      <c r="BJ57" s="105" t="e">
        <f>BH57*'Alternative 2'!$K58/'Alternative 2'!$L58</f>
        <v>#VALUE!</v>
      </c>
      <c r="BK57" s="105" t="e">
        <f>BI57/'Alternative 2'!$M58</f>
        <v>#VALUE!</v>
      </c>
      <c r="BL57" s="105" t="e">
        <f t="shared" si="9"/>
        <v>#VALUE!</v>
      </c>
      <c r="BN57" s="105" t="e">
        <f>'Alternative 2'!$B$39*$B57*$C57*COS($K$83)-($N$82/3)*$E57*SIN($K$83)-($N$82/3)*$F57*SIN($K$83)-($N$82/3)*$G57*SIN($K$83)</f>
        <v>#VALUE!</v>
      </c>
      <c r="BO57" s="106" t="e">
        <f>IF(($A57&lt;'Alternative 2'!$B$27),(($H57*'Alternative 2'!$B$39)+(3*($N$82/3)*COS($K$83))),IF(($A57&lt;'Alternative 2'!$B$28),(($H57*'Alternative 2'!$B$39)+(2*(($N$82/3)*COS($K$83)))),IF(($A57&lt;'Alternative 2'!$B$29),(($H$3*'Alternative 2'!$B$39+(($N$82/3)*COS($K$83)))),($H57*'Alternative 2'!$B$39))))</f>
        <v>#VALUE!</v>
      </c>
      <c r="BP57" s="105" t="e">
        <f>BN57*'Alternative 2'!$K58/'Alternative 2'!$L58</f>
        <v>#VALUE!</v>
      </c>
      <c r="BQ57" s="105" t="e">
        <f>BO57/'Alternative 2'!$M58</f>
        <v>#VALUE!</v>
      </c>
      <c r="BR57" s="105" t="e">
        <f t="shared" si="10"/>
        <v>#VALUE!</v>
      </c>
      <c r="BT57" s="105" t="e">
        <f>'Alternative 2'!$B$39*$B57*$C57*COS($K$93)-($K$92/3)*$E57*SIN($K$93)-($K$92/3)*$F57*SIN($K$93)-($K$92/3)*$G57*SIN($K$93)</f>
        <v>#VALUE!</v>
      </c>
      <c r="BU57" s="106" t="e">
        <f>IF(($A57&lt;'Alternative 2'!$B$27),(($H57*'Alternative 2'!$B$39)+(3*($N$92/3)*COS($K$93))),IF(($A57&lt;'Alternative 2'!$B$28),(($H57*'Alternative 2'!$B$39)+(2*(($N$92/3)*COS($K$93)))),IF(($A57&lt;'Alternative 2'!$B$29),(($H$3*'Alternative 2'!$B$39+(($N$92/3)*COS($K$93)))),($H57*'Alternative 2'!$B$39))))</f>
        <v>#VALUE!</v>
      </c>
      <c r="BV57" s="105" t="e">
        <f>BT57*'Alternative 2'!$K58/'Alternative 2'!$L58</f>
        <v>#VALUE!</v>
      </c>
      <c r="BW57" s="105" t="e">
        <f>BU57/'Alternative 2'!$M58</f>
        <v>#VALUE!</v>
      </c>
      <c r="BX57" s="105" t="e">
        <f t="shared" si="11"/>
        <v>#VALUE!</v>
      </c>
      <c r="BZ57" s="104">
        <v>150</v>
      </c>
      <c r="CA57" s="104">
        <v>-150</v>
      </c>
    </row>
    <row r="58" spans="1:79" ht="15" customHeight="1" x14ac:dyDescent="0.25">
      <c r="A58" s="18" t="str">
        <f>IF('Alternative 2'!F59&gt;0,'Alternative 2'!F59,"x")</f>
        <v>x</v>
      </c>
      <c r="B58" s="18" t="e">
        <f t="shared" si="17"/>
        <v>#VALUE!</v>
      </c>
      <c r="C58" s="18">
        <f t="shared" si="12"/>
        <v>0</v>
      </c>
      <c r="D58" s="18" t="str">
        <f t="shared" si="13"/>
        <v>x</v>
      </c>
      <c r="E58" s="101">
        <f>IF($A58&lt;='Alternative 2'!$B$27, IF($A58='Alternative 2'!$B$27,0,E59+1),0)</f>
        <v>0</v>
      </c>
      <c r="F58" s="101">
        <f>IF($A58&lt;=('Alternative 2'!$B$28), IF($A58=ROUNDDOWN('Alternative 2'!$B$28,0),0,F59+1),0)</f>
        <v>0</v>
      </c>
      <c r="G58" s="101">
        <f>IF($A58&lt;=('Alternative 2'!$B$29), IF($A58=ROUNDDOWN('Alternative 2'!$B$29,0),0,G59+1),0)</f>
        <v>0</v>
      </c>
      <c r="H58" s="18" t="e">
        <f t="shared" si="14"/>
        <v>#VALUE!</v>
      </c>
      <c r="J58" s="104">
        <f t="shared" si="15"/>
        <v>55</v>
      </c>
      <c r="K58" s="104">
        <f t="shared" si="16"/>
        <v>0.95993108859688125</v>
      </c>
      <c r="L58" s="105">
        <f>'Alternative 2'!$B$27*SIN(K58)+'Alternative 2'!$B$28*SIN(K58)+'Alternative 2'!$B$29*SIN(K58)</f>
        <v>35.215346383983757</v>
      </c>
      <c r="M58" s="104">
        <f>(('Alternative 2'!$B$27)*(((('Alternative 2'!$B$28-'Alternative 2'!$B$27)/2)+'Alternative 2'!$B$27)*'Alternative 2'!$B$39)*COS('Alternative 2-Tilt Up (3pt)'!K58))+(('Alternative 2'!$B$28)*((('Alternative 2'!$B$28-'Alternative 2'!$B$27)/2)+(('Alternative 2'!$B$29-'Alternative 2'!$B$28)/2))*('Alternative 2'!$B$39)*COS('Alternative 2-Tilt Up (3pt)'!K58))+(('Alternative 2'!$B$29)*((('Alternative 2'!$B$12-'Alternative 2'!$B$29+(('Alternative 2'!$B$29-'Alternative 2'!$B$28)/2)*('Alternative 2'!$B$39)*COS('Alternative 2-Tilt Up (3pt)'!K58)))))</f>
        <v>349801.91216310469</v>
      </c>
      <c r="N58" s="104">
        <f t="shared" si="0"/>
        <v>29799.671002713545</v>
      </c>
      <c r="O58" s="104">
        <f>(((('Alternative 2'!$B$28-'Alternative 2'!$B$27)/2)+'Alternative 2'!$B$27)*('Alternative 2'!$B$39)*COS('Alternative 2-Tilt Up (3pt)'!K58))+(((('Alternative 2'!$B$28-'Alternative 2'!$B$27)/2)+(('Alternative 2'!$B$29-'Alternative 2'!$B$28)/2))*('Alternative 2'!$B$39)*COS('Alternative 2-Tilt Up (3pt)'!K58))+(((('Alternative 2'!$B$12-'Alternative 2'!$B$29)+(('Alternative 2'!$B$29-'Alternative 2'!$B$28)/2))*('Alternative 2'!$B$39)*COS('Alternative 2-Tilt Up (3pt)'!K58)))</f>
        <v>35893.174045222258</v>
      </c>
      <c r="P58" s="104">
        <f t="shared" si="1"/>
        <v>17092.389098170042</v>
      </c>
      <c r="R58" s="105" t="e">
        <f>'Alternative 2'!$B$39*$B58*$C58*COS($K$5)-($N$5/3)*$E58*SIN($K$5)-($N$5/3)*$F58*SIN($K$5)-($N$5/3)*$G58*SIN($K$5)</f>
        <v>#VALUE!</v>
      </c>
      <c r="S58" s="106" t="e">
        <f>IF(($A58&lt;'Alternative 2'!$B$27),(($H58*'Alternative 2'!$B$39)+(3*($N$5/3)*COS($K$5))),IF(($A58&lt;'Alternative 2'!$B$28),(($H58*'Alternative 2'!$B$39)+(2*(($N$5/3)*COS($K$5)))),IF(($A58&lt;'Alternative 2'!$B$29),(($H$3*'Alternative 2'!$B$39+(($N$5/3)*COS($K$5)))),($H58*'Alternative 2'!$B$39))))</f>
        <v>#VALUE!</v>
      </c>
      <c r="T58" s="105" t="e">
        <f>R58*'Alternative 2'!$K59/'Alternative 2'!$L59</f>
        <v>#VALUE!</v>
      </c>
      <c r="U58" s="105" t="e">
        <f>S58/'Alternative 2'!$M59</f>
        <v>#VALUE!</v>
      </c>
      <c r="V58" s="105" t="e">
        <f t="shared" si="2"/>
        <v>#VALUE!</v>
      </c>
      <c r="X58" s="105" t="e">
        <f>'Alternative 2'!$B$39*$B58*$C58*COS($K$13)-($N$12/3)*$E58*SIN($K$13)-($N$12/3)*$F58*SIN($K$13)-($N$12/3)*$G58*SIN($K$13)</f>
        <v>#VALUE!</v>
      </c>
      <c r="Y58" s="106" t="e">
        <f>IF(($A58&lt;'Alternative 2'!$B$27),(($H58*'Alternative 2'!$B$39)+(3*($N$12/3)*COS($K$13))),IF(($A58&lt;'Alternative 2'!$B$28),(($H58*'Alternative 2'!$B$39)+(2*(($N$12/3)*COS($K$13)))),IF(($A58&lt;'Alternative 2'!$B$29),(($H$3*'Alternative 2'!$B$39+(($N$12/3)*COS($K$13)))),($H58*'Alternative 2'!$B$39))))</f>
        <v>#VALUE!</v>
      </c>
      <c r="Z58" s="105" t="e">
        <f>X58*'Alternative 2'!$K59/'Alternative 2'!$L59</f>
        <v>#VALUE!</v>
      </c>
      <c r="AA58" s="105" t="e">
        <f>Y58/'Alternative 2'!$M59</f>
        <v>#VALUE!</v>
      </c>
      <c r="AB58" s="105" t="e">
        <f t="shared" si="3"/>
        <v>#VALUE!</v>
      </c>
      <c r="AD58" s="105" t="e">
        <f>'Alternative 2'!$B$39*$B58*$C58*COS($K$23)-($N$22/3)*$E58*SIN($K$23)-($N$22/3)*$F58*SIN($K$23)-($N$22/3)*$G58*SIN($K$23)</f>
        <v>#VALUE!</v>
      </c>
      <c r="AE58" s="106" t="e">
        <f>IF(($A58&lt;'Alternative 2'!$B$27),(($H58*'Alternative 2'!$B$39)+(3*($N$22/3)*COS($K$23))),IF(($A58&lt;'Alternative 2'!$B$28),(($H58*'Alternative 2'!$B$39)+(2*(($N$22/3)*COS($K$23)))),IF(($A58&lt;'Alternative 2'!$B$29),(($H$3*'Alternative 2'!$B$39+(($N$22/3)*COS($K$23)))),($H58*'Alternative 2'!$B$39))))</f>
        <v>#VALUE!</v>
      </c>
      <c r="AF58" s="105" t="e">
        <f>AD58*'Alternative 2'!$K59/'Alternative 2'!$L59</f>
        <v>#VALUE!</v>
      </c>
      <c r="AG58" s="105" t="e">
        <f>AE58/'Alternative 2'!$M59</f>
        <v>#VALUE!</v>
      </c>
      <c r="AH58" s="105" t="e">
        <f t="shared" si="4"/>
        <v>#VALUE!</v>
      </c>
      <c r="AJ58" s="105" t="e">
        <f>'Alternative 2'!$B$39*$B58*$C58*COS($K$33)-($N$32/3)*$E58*SIN($K$33)-($N$32/3)*$F58*SIN($K$33)-($N$32/3)*$G58*SIN($K$33)</f>
        <v>#VALUE!</v>
      </c>
      <c r="AK58" s="106" t="e">
        <f>IF(($A58&lt;'Alternative 2'!$B$27),(($H58*'Alternative 2'!$B$39)+(3*($N$32/3)*COS($K$33))),IF(($A58&lt;'Alternative 2'!$B$28),(($H58*'Alternative 2'!$B$39)+(2*(($N$32/3)*COS($K$33)))),IF(($A58&lt;'Alternative 2'!$B$29),(($H$3*'Alternative 2'!$B$39+(($N$32/3)*COS($K$33)))),($H58*'Alternative 2'!$B$39))))</f>
        <v>#VALUE!</v>
      </c>
      <c r="AL58" s="105" t="e">
        <f>AJ58*'Alternative 2'!$K59/'Alternative 2'!$L59</f>
        <v>#VALUE!</v>
      </c>
      <c r="AM58" s="105" t="e">
        <f>AK58/'Alternative 2'!$M59</f>
        <v>#VALUE!</v>
      </c>
      <c r="AN58" s="105" t="e">
        <f t="shared" si="5"/>
        <v>#VALUE!</v>
      </c>
      <c r="AP58" s="105" t="e">
        <f>'Alternative 2'!$B$39*$B58*$C58*COS($K$43)-($N$42/3)*$E58*SIN($K$43)-($N$42/3)*$F58*SIN($K$43)-($N$42/3)*$G58*SIN($K$43)</f>
        <v>#VALUE!</v>
      </c>
      <c r="AQ58" s="106" t="e">
        <f>IF(($A58&lt;'Alternative 2'!$B$27),(($H58*'Alternative 2'!$B$39)+(3*($N$42/3)*COS($K$43))),IF(($A58&lt;'Alternative 2'!$B$28),(($H58*'Alternative 2'!$B$39)+(2*(($N$42/3)*COS($K$43)))),IF(($A58&lt;'Alternative 2'!$B$29),(($H$3*'Alternative 2'!$B$39+(($N$42/3)*COS($K$43)))),($H58*'Alternative 2'!$B$39))))</f>
        <v>#VALUE!</v>
      </c>
      <c r="AR58" s="105" t="e">
        <f>AP58*'Alternative 2'!$K59/'Alternative 2'!$L59</f>
        <v>#VALUE!</v>
      </c>
      <c r="AS58" s="105" t="e">
        <f>AQ58/'Alternative 2'!$M59</f>
        <v>#VALUE!</v>
      </c>
      <c r="AT58" s="105" t="e">
        <f t="shared" si="6"/>
        <v>#VALUE!</v>
      </c>
      <c r="AV58" s="105" t="e">
        <f>'Alternative 2'!$B$39*$B58*$C58*COS($K$53)-($N$52/3)*$E58*SIN($K$53)-($N$52/3)*$F58*SIN($K$53)-($N$52/3)*$G58*SIN($K$53)</f>
        <v>#VALUE!</v>
      </c>
      <c r="AW58" s="106" t="e">
        <f>IF(($A58&lt;'Alternative 2'!$B$27),(($H58*'Alternative 2'!$B$39)+(3*($N$52/3)*COS($K$53))),IF(($A58&lt;'Alternative 2'!$B$28),(($H58*'Alternative 2'!$B$39)+(2*(($N$52/3)*COS($K$53)))),IF(($A58&lt;'Alternative 2'!$B$29),(($H$3*'Alternative 2'!$B$39+(($N$52/3)*COS($K$53)))),($H58*'Alternative 2'!$B$39))))</f>
        <v>#VALUE!</v>
      </c>
      <c r="AX58" s="105" t="e">
        <f>AV58*'Alternative 2'!$K59/'Alternative 2'!$L59</f>
        <v>#VALUE!</v>
      </c>
      <c r="AY58" s="105" t="e">
        <f>AW58/'Alternative 2'!$M59</f>
        <v>#VALUE!</v>
      </c>
      <c r="AZ58" s="105" t="e">
        <f t="shared" si="7"/>
        <v>#VALUE!</v>
      </c>
      <c r="BB58" s="105" t="e">
        <f>'Alternative 2'!$B$39*$B58*$C58*COS($K$63)-($N$62/3)*$E58*SIN($K$63)-($N$62/3)*$F58*SIN($K$63)-($N$62/3)*$G58*SIN($K$63)</f>
        <v>#VALUE!</v>
      </c>
      <c r="BC58" s="106" t="e">
        <f>IF(($A58&lt;'Alternative 2'!$B$27),(($H58*'Alternative 2'!$B$39)+(3*($N$62/3)*COS($K$63))),IF(($A58&lt;'Alternative 2'!$B$28),(($H58*'Alternative 2'!$B$39)+(2*(($N$62/3)*COS($K$63)))),IF(($A58&lt;'Alternative 2'!$B$29),(($H$3*'Alternative 2'!$B$39+(($N$62/3)*COS($K$63)))),($H58*'Alternative 2'!$B$39))))</f>
        <v>#VALUE!</v>
      </c>
      <c r="BD58" s="105" t="e">
        <f>BB58*'Alternative 2'!$K59/'Alternative 2'!$L59</f>
        <v>#VALUE!</v>
      </c>
      <c r="BE58" s="105" t="e">
        <f>BC58/'Alternative 2'!$M59</f>
        <v>#VALUE!</v>
      </c>
      <c r="BF58" s="105" t="e">
        <f t="shared" si="8"/>
        <v>#VALUE!</v>
      </c>
      <c r="BH58" s="105" t="e">
        <f>'Alternative 2'!$B$39*$B58*$C58*COS($K$73)-($N$72/3)*$E58*SIN($K$73)-($N$72/3)*$F58*SIN($K$73)-($N$72/3)*$G58*SIN($K$73)</f>
        <v>#VALUE!</v>
      </c>
      <c r="BI58" s="106" t="e">
        <f>IF(($A58&lt;'Alternative 2'!$B$27),(($H58*'Alternative 2'!$B$39)+(3*($N$72/3)*COS($K$73))),IF(($A58&lt;'Alternative 2'!$B$28),(($H58*'Alternative 2'!$B$39)+(2*(($N$72/3)*COS($K$73)))),IF(($A58&lt;'Alternative 2'!$B$29),(($H$3*'Alternative 2'!$B$39+(($N$72/3)*COS($K$73)))),($H58*'Alternative 2'!$B$39))))</f>
        <v>#VALUE!</v>
      </c>
      <c r="BJ58" s="105" t="e">
        <f>BH58*'Alternative 2'!$K59/'Alternative 2'!$L59</f>
        <v>#VALUE!</v>
      </c>
      <c r="BK58" s="105" t="e">
        <f>BI58/'Alternative 2'!$M59</f>
        <v>#VALUE!</v>
      </c>
      <c r="BL58" s="105" t="e">
        <f t="shared" si="9"/>
        <v>#VALUE!</v>
      </c>
      <c r="BN58" s="105" t="e">
        <f>'Alternative 2'!$B$39*$B58*$C58*COS($K$83)-($N$82/3)*$E58*SIN($K$83)-($N$82/3)*$F58*SIN($K$83)-($N$82/3)*$G58*SIN($K$83)</f>
        <v>#VALUE!</v>
      </c>
      <c r="BO58" s="106" t="e">
        <f>IF(($A58&lt;'Alternative 2'!$B$27),(($H58*'Alternative 2'!$B$39)+(3*($N$82/3)*COS($K$83))),IF(($A58&lt;'Alternative 2'!$B$28),(($H58*'Alternative 2'!$B$39)+(2*(($N$82/3)*COS($K$83)))),IF(($A58&lt;'Alternative 2'!$B$29),(($H$3*'Alternative 2'!$B$39+(($N$82/3)*COS($K$83)))),($H58*'Alternative 2'!$B$39))))</f>
        <v>#VALUE!</v>
      </c>
      <c r="BP58" s="105" t="e">
        <f>BN58*'Alternative 2'!$K59/'Alternative 2'!$L59</f>
        <v>#VALUE!</v>
      </c>
      <c r="BQ58" s="105" t="e">
        <f>BO58/'Alternative 2'!$M59</f>
        <v>#VALUE!</v>
      </c>
      <c r="BR58" s="105" t="e">
        <f t="shared" si="10"/>
        <v>#VALUE!</v>
      </c>
      <c r="BT58" s="105" t="e">
        <f>'Alternative 2'!$B$39*$B58*$C58*COS($K$93)-($K$92/3)*$E58*SIN($K$93)-($K$92/3)*$F58*SIN($K$93)-($K$92/3)*$G58*SIN($K$93)</f>
        <v>#VALUE!</v>
      </c>
      <c r="BU58" s="106" t="e">
        <f>IF(($A58&lt;'Alternative 2'!$B$27),(($H58*'Alternative 2'!$B$39)+(3*($N$92/3)*COS($K$93))),IF(($A58&lt;'Alternative 2'!$B$28),(($H58*'Alternative 2'!$B$39)+(2*(($N$92/3)*COS($K$93)))),IF(($A58&lt;'Alternative 2'!$B$29),(($H$3*'Alternative 2'!$B$39+(($N$92/3)*COS($K$93)))),($H58*'Alternative 2'!$B$39))))</f>
        <v>#VALUE!</v>
      </c>
      <c r="BV58" s="105" t="e">
        <f>BT58*'Alternative 2'!$K59/'Alternative 2'!$L59</f>
        <v>#VALUE!</v>
      </c>
      <c r="BW58" s="105" t="e">
        <f>BU58/'Alternative 2'!$M59</f>
        <v>#VALUE!</v>
      </c>
      <c r="BX58" s="105" t="e">
        <f t="shared" si="11"/>
        <v>#VALUE!</v>
      </c>
      <c r="BZ58" s="104">
        <v>150</v>
      </c>
      <c r="CA58" s="104">
        <v>-150</v>
      </c>
    </row>
    <row r="59" spans="1:79" ht="15" customHeight="1" x14ac:dyDescent="0.25">
      <c r="A59" s="18" t="str">
        <f>IF('Alternative 2'!F60&gt;0,'Alternative 2'!F60,"x")</f>
        <v>x</v>
      </c>
      <c r="B59" s="18" t="e">
        <f t="shared" si="17"/>
        <v>#VALUE!</v>
      </c>
      <c r="C59" s="18">
        <f t="shared" si="12"/>
        <v>0</v>
      </c>
      <c r="D59" s="18" t="str">
        <f t="shared" si="13"/>
        <v>x</v>
      </c>
      <c r="E59" s="101">
        <f>IF($A59&lt;='Alternative 2'!$B$27, IF($A59='Alternative 2'!$B$27,0,E60+1),0)</f>
        <v>0</v>
      </c>
      <c r="F59" s="101">
        <f>IF($A59&lt;=('Alternative 2'!$B$28), IF($A59=ROUNDDOWN('Alternative 2'!$B$28,0),0,F60+1),0)</f>
        <v>0</v>
      </c>
      <c r="G59" s="101">
        <f>IF($A59&lt;=('Alternative 2'!$B$29), IF($A59=ROUNDDOWN('Alternative 2'!$B$29,0),0,G60+1),0)</f>
        <v>0</v>
      </c>
      <c r="H59" s="18" t="e">
        <f t="shared" si="14"/>
        <v>#VALUE!</v>
      </c>
      <c r="J59" s="104">
        <f t="shared" si="15"/>
        <v>56</v>
      </c>
      <c r="K59" s="104">
        <f t="shared" si="16"/>
        <v>0.97738438111682457</v>
      </c>
      <c r="L59" s="105">
        <f>'Alternative 2'!$B$27*SIN(K59)+'Alternative 2'!$B$28*SIN(K59)+'Alternative 2'!$B$29*SIN(K59)</f>
        <v>35.640325244141245</v>
      </c>
      <c r="M59" s="104">
        <f>(('Alternative 2'!$B$27)*(((('Alternative 2'!$B$28-'Alternative 2'!$B$27)/2)+'Alternative 2'!$B$27)*'Alternative 2'!$B$39)*COS('Alternative 2-Tilt Up (3pt)'!K59))+(('Alternative 2'!$B$28)*((('Alternative 2'!$B$28-'Alternative 2'!$B$27)/2)+(('Alternative 2'!$B$29-'Alternative 2'!$B$28)/2))*('Alternative 2'!$B$39)*COS('Alternative 2-Tilt Up (3pt)'!K59))+(('Alternative 2'!$B$29)*((('Alternative 2'!$B$12-'Alternative 2'!$B$29+(('Alternative 2'!$B$29-'Alternative 2'!$B$28)/2)*('Alternative 2'!$B$39)*COS('Alternative 2-Tilt Up (3pt)'!K59)))))</f>
        <v>341031.98692801228</v>
      </c>
      <c r="N59" s="104">
        <f t="shared" si="0"/>
        <v>28706.134239114977</v>
      </c>
      <c r="O59" s="104">
        <f>(((('Alternative 2'!$B$28-'Alternative 2'!$B$27)/2)+'Alternative 2'!$B$27)*('Alternative 2'!$B$39)*COS('Alternative 2-Tilt Up (3pt)'!K59))+(((('Alternative 2'!$B$28-'Alternative 2'!$B$27)/2)+(('Alternative 2'!$B$29-'Alternative 2'!$B$28)/2))*('Alternative 2'!$B$39)*COS('Alternative 2-Tilt Up (3pt)'!K59))+(((('Alternative 2'!$B$12-'Alternative 2'!$B$29)+(('Alternative 2'!$B$29-'Alternative 2'!$B$28)/2))*('Alternative 2'!$B$39)*COS('Alternative 2-Tilt Up (3pt)'!K59)))</f>
        <v>34993.083636449272</v>
      </c>
      <c r="P59" s="104">
        <f t="shared" si="1"/>
        <v>16052.266552591722</v>
      </c>
      <c r="R59" s="105" t="e">
        <f>'Alternative 2'!$B$39*$B59*$C59*COS($K$5)-($N$5/3)*$E59*SIN($K$5)-($N$5/3)*$F59*SIN($K$5)-($N$5/3)*$G59*SIN($K$5)</f>
        <v>#VALUE!</v>
      </c>
      <c r="S59" s="106" t="e">
        <f>IF(($A59&lt;'Alternative 2'!$B$27),(($H59*'Alternative 2'!$B$39)+(3*($N$5/3)*COS($K$5))),IF(($A59&lt;'Alternative 2'!$B$28),(($H59*'Alternative 2'!$B$39)+(2*(($N$5/3)*COS($K$5)))),IF(($A59&lt;'Alternative 2'!$B$29),(($H$3*'Alternative 2'!$B$39+(($N$5/3)*COS($K$5)))),($H59*'Alternative 2'!$B$39))))</f>
        <v>#VALUE!</v>
      </c>
      <c r="T59" s="105" t="e">
        <f>R59*'Alternative 2'!$K60/'Alternative 2'!$L60</f>
        <v>#VALUE!</v>
      </c>
      <c r="U59" s="105" t="e">
        <f>S59/'Alternative 2'!$M60</f>
        <v>#VALUE!</v>
      </c>
      <c r="V59" s="105" t="e">
        <f t="shared" si="2"/>
        <v>#VALUE!</v>
      </c>
      <c r="X59" s="105" t="e">
        <f>'Alternative 2'!$B$39*$B59*$C59*COS($K$13)-($N$12/3)*$E59*SIN($K$13)-($N$12/3)*$F59*SIN($K$13)-($N$12/3)*$G59*SIN($K$13)</f>
        <v>#VALUE!</v>
      </c>
      <c r="Y59" s="106" t="e">
        <f>IF(($A59&lt;'Alternative 2'!$B$27),(($H59*'Alternative 2'!$B$39)+(3*($N$12/3)*COS($K$13))),IF(($A59&lt;'Alternative 2'!$B$28),(($H59*'Alternative 2'!$B$39)+(2*(($N$12/3)*COS($K$13)))),IF(($A59&lt;'Alternative 2'!$B$29),(($H$3*'Alternative 2'!$B$39+(($N$12/3)*COS($K$13)))),($H59*'Alternative 2'!$B$39))))</f>
        <v>#VALUE!</v>
      </c>
      <c r="Z59" s="105" t="e">
        <f>X59*'Alternative 2'!$K60/'Alternative 2'!$L60</f>
        <v>#VALUE!</v>
      </c>
      <c r="AA59" s="105" t="e">
        <f>Y59/'Alternative 2'!$M60</f>
        <v>#VALUE!</v>
      </c>
      <c r="AB59" s="105" t="e">
        <f t="shared" si="3"/>
        <v>#VALUE!</v>
      </c>
      <c r="AD59" s="105" t="e">
        <f>'Alternative 2'!$B$39*$B59*$C59*COS($K$23)-($N$22/3)*$E59*SIN($K$23)-($N$22/3)*$F59*SIN($K$23)-($N$22/3)*$G59*SIN($K$23)</f>
        <v>#VALUE!</v>
      </c>
      <c r="AE59" s="106" t="e">
        <f>IF(($A59&lt;'Alternative 2'!$B$27),(($H59*'Alternative 2'!$B$39)+(3*($N$22/3)*COS($K$23))),IF(($A59&lt;'Alternative 2'!$B$28),(($H59*'Alternative 2'!$B$39)+(2*(($N$22/3)*COS($K$23)))),IF(($A59&lt;'Alternative 2'!$B$29),(($H$3*'Alternative 2'!$B$39+(($N$22/3)*COS($K$23)))),($H59*'Alternative 2'!$B$39))))</f>
        <v>#VALUE!</v>
      </c>
      <c r="AF59" s="105" t="e">
        <f>AD59*'Alternative 2'!$K60/'Alternative 2'!$L60</f>
        <v>#VALUE!</v>
      </c>
      <c r="AG59" s="105" t="e">
        <f>AE59/'Alternative 2'!$M60</f>
        <v>#VALUE!</v>
      </c>
      <c r="AH59" s="105" t="e">
        <f t="shared" si="4"/>
        <v>#VALUE!</v>
      </c>
      <c r="AJ59" s="105" t="e">
        <f>'Alternative 2'!$B$39*$B59*$C59*COS($K$33)-($N$32/3)*$E59*SIN($K$33)-($N$32/3)*$F59*SIN($K$33)-($N$32/3)*$G59*SIN($K$33)</f>
        <v>#VALUE!</v>
      </c>
      <c r="AK59" s="106" t="e">
        <f>IF(($A59&lt;'Alternative 2'!$B$27),(($H59*'Alternative 2'!$B$39)+(3*($N$32/3)*COS($K$33))),IF(($A59&lt;'Alternative 2'!$B$28),(($H59*'Alternative 2'!$B$39)+(2*(($N$32/3)*COS($K$33)))),IF(($A59&lt;'Alternative 2'!$B$29),(($H$3*'Alternative 2'!$B$39+(($N$32/3)*COS($K$33)))),($H59*'Alternative 2'!$B$39))))</f>
        <v>#VALUE!</v>
      </c>
      <c r="AL59" s="105" t="e">
        <f>AJ59*'Alternative 2'!$K60/'Alternative 2'!$L60</f>
        <v>#VALUE!</v>
      </c>
      <c r="AM59" s="105" t="e">
        <f>AK59/'Alternative 2'!$M60</f>
        <v>#VALUE!</v>
      </c>
      <c r="AN59" s="105" t="e">
        <f t="shared" si="5"/>
        <v>#VALUE!</v>
      </c>
      <c r="AP59" s="105" t="e">
        <f>'Alternative 2'!$B$39*$B59*$C59*COS($K$43)-($N$42/3)*$E59*SIN($K$43)-($N$42/3)*$F59*SIN($K$43)-($N$42/3)*$G59*SIN($K$43)</f>
        <v>#VALUE!</v>
      </c>
      <c r="AQ59" s="106" t="e">
        <f>IF(($A59&lt;'Alternative 2'!$B$27),(($H59*'Alternative 2'!$B$39)+(3*($N$42/3)*COS($K$43))),IF(($A59&lt;'Alternative 2'!$B$28),(($H59*'Alternative 2'!$B$39)+(2*(($N$42/3)*COS($K$43)))),IF(($A59&lt;'Alternative 2'!$B$29),(($H$3*'Alternative 2'!$B$39+(($N$42/3)*COS($K$43)))),($H59*'Alternative 2'!$B$39))))</f>
        <v>#VALUE!</v>
      </c>
      <c r="AR59" s="105" t="e">
        <f>AP59*'Alternative 2'!$K60/'Alternative 2'!$L60</f>
        <v>#VALUE!</v>
      </c>
      <c r="AS59" s="105" t="e">
        <f>AQ59/'Alternative 2'!$M60</f>
        <v>#VALUE!</v>
      </c>
      <c r="AT59" s="105" t="e">
        <f t="shared" si="6"/>
        <v>#VALUE!</v>
      </c>
      <c r="AV59" s="105" t="e">
        <f>'Alternative 2'!$B$39*$B59*$C59*COS($K$53)-($N$52/3)*$E59*SIN($K$53)-($N$52/3)*$F59*SIN($K$53)-($N$52/3)*$G59*SIN($K$53)</f>
        <v>#VALUE!</v>
      </c>
      <c r="AW59" s="106" t="e">
        <f>IF(($A59&lt;'Alternative 2'!$B$27),(($H59*'Alternative 2'!$B$39)+(3*($N$52/3)*COS($K$53))),IF(($A59&lt;'Alternative 2'!$B$28),(($H59*'Alternative 2'!$B$39)+(2*(($N$52/3)*COS($K$53)))),IF(($A59&lt;'Alternative 2'!$B$29),(($H$3*'Alternative 2'!$B$39+(($N$52/3)*COS($K$53)))),($H59*'Alternative 2'!$B$39))))</f>
        <v>#VALUE!</v>
      </c>
      <c r="AX59" s="105" t="e">
        <f>AV59*'Alternative 2'!$K60/'Alternative 2'!$L60</f>
        <v>#VALUE!</v>
      </c>
      <c r="AY59" s="105" t="e">
        <f>AW59/'Alternative 2'!$M60</f>
        <v>#VALUE!</v>
      </c>
      <c r="AZ59" s="105" t="e">
        <f t="shared" si="7"/>
        <v>#VALUE!</v>
      </c>
      <c r="BB59" s="105" t="e">
        <f>'Alternative 2'!$B$39*$B59*$C59*COS($K$63)-($N$62/3)*$E59*SIN($K$63)-($N$62/3)*$F59*SIN($K$63)-($N$62/3)*$G59*SIN($K$63)</f>
        <v>#VALUE!</v>
      </c>
      <c r="BC59" s="106" t="e">
        <f>IF(($A59&lt;'Alternative 2'!$B$27),(($H59*'Alternative 2'!$B$39)+(3*($N$62/3)*COS($K$63))),IF(($A59&lt;'Alternative 2'!$B$28),(($H59*'Alternative 2'!$B$39)+(2*(($N$62/3)*COS($K$63)))),IF(($A59&lt;'Alternative 2'!$B$29),(($H$3*'Alternative 2'!$B$39+(($N$62/3)*COS($K$63)))),($H59*'Alternative 2'!$B$39))))</f>
        <v>#VALUE!</v>
      </c>
      <c r="BD59" s="105" t="e">
        <f>BB59*'Alternative 2'!$K60/'Alternative 2'!$L60</f>
        <v>#VALUE!</v>
      </c>
      <c r="BE59" s="105" t="e">
        <f>BC59/'Alternative 2'!$M60</f>
        <v>#VALUE!</v>
      </c>
      <c r="BF59" s="105" t="e">
        <f t="shared" si="8"/>
        <v>#VALUE!</v>
      </c>
      <c r="BH59" s="105" t="e">
        <f>'Alternative 2'!$B$39*$B59*$C59*COS($K$73)-($N$72/3)*$E59*SIN($K$73)-($N$72/3)*$F59*SIN($K$73)-($N$72/3)*$G59*SIN($K$73)</f>
        <v>#VALUE!</v>
      </c>
      <c r="BI59" s="106" t="e">
        <f>IF(($A59&lt;'Alternative 2'!$B$27),(($H59*'Alternative 2'!$B$39)+(3*($N$72/3)*COS($K$73))),IF(($A59&lt;'Alternative 2'!$B$28),(($H59*'Alternative 2'!$B$39)+(2*(($N$72/3)*COS($K$73)))),IF(($A59&lt;'Alternative 2'!$B$29),(($H$3*'Alternative 2'!$B$39+(($N$72/3)*COS($K$73)))),($H59*'Alternative 2'!$B$39))))</f>
        <v>#VALUE!</v>
      </c>
      <c r="BJ59" s="105" t="e">
        <f>BH59*'Alternative 2'!$K60/'Alternative 2'!$L60</f>
        <v>#VALUE!</v>
      </c>
      <c r="BK59" s="105" t="e">
        <f>BI59/'Alternative 2'!$M60</f>
        <v>#VALUE!</v>
      </c>
      <c r="BL59" s="105" t="e">
        <f t="shared" si="9"/>
        <v>#VALUE!</v>
      </c>
      <c r="BN59" s="105" t="e">
        <f>'Alternative 2'!$B$39*$B59*$C59*COS($K$83)-($N$82/3)*$E59*SIN($K$83)-($N$82/3)*$F59*SIN($K$83)-($N$82/3)*$G59*SIN($K$83)</f>
        <v>#VALUE!</v>
      </c>
      <c r="BO59" s="106" t="e">
        <f>IF(($A59&lt;'Alternative 2'!$B$27),(($H59*'Alternative 2'!$B$39)+(3*($N$82/3)*COS($K$83))),IF(($A59&lt;'Alternative 2'!$B$28),(($H59*'Alternative 2'!$B$39)+(2*(($N$82/3)*COS($K$83)))),IF(($A59&lt;'Alternative 2'!$B$29),(($H$3*'Alternative 2'!$B$39+(($N$82/3)*COS($K$83)))),($H59*'Alternative 2'!$B$39))))</f>
        <v>#VALUE!</v>
      </c>
      <c r="BP59" s="105" t="e">
        <f>BN59*'Alternative 2'!$K60/'Alternative 2'!$L60</f>
        <v>#VALUE!</v>
      </c>
      <c r="BQ59" s="105" t="e">
        <f>BO59/'Alternative 2'!$M60</f>
        <v>#VALUE!</v>
      </c>
      <c r="BR59" s="105" t="e">
        <f t="shared" si="10"/>
        <v>#VALUE!</v>
      </c>
      <c r="BT59" s="105" t="e">
        <f>'Alternative 2'!$B$39*$B59*$C59*COS($K$93)-($K$92/3)*$E59*SIN($K$93)-($K$92/3)*$F59*SIN($K$93)-($K$92/3)*$G59*SIN($K$93)</f>
        <v>#VALUE!</v>
      </c>
      <c r="BU59" s="106" t="e">
        <f>IF(($A59&lt;'Alternative 2'!$B$27),(($H59*'Alternative 2'!$B$39)+(3*($N$92/3)*COS($K$93))),IF(($A59&lt;'Alternative 2'!$B$28),(($H59*'Alternative 2'!$B$39)+(2*(($N$92/3)*COS($K$93)))),IF(($A59&lt;'Alternative 2'!$B$29),(($H$3*'Alternative 2'!$B$39+(($N$92/3)*COS($K$93)))),($H59*'Alternative 2'!$B$39))))</f>
        <v>#VALUE!</v>
      </c>
      <c r="BV59" s="105" t="e">
        <f>BT59*'Alternative 2'!$K60/'Alternative 2'!$L60</f>
        <v>#VALUE!</v>
      </c>
      <c r="BW59" s="105" t="e">
        <f>BU59/'Alternative 2'!$M60</f>
        <v>#VALUE!</v>
      </c>
      <c r="BX59" s="105" t="e">
        <f t="shared" si="11"/>
        <v>#VALUE!</v>
      </c>
      <c r="BZ59" s="104">
        <v>150</v>
      </c>
      <c r="CA59" s="104">
        <v>-150</v>
      </c>
    </row>
    <row r="60" spans="1:79" ht="15" customHeight="1" x14ac:dyDescent="0.25">
      <c r="A60" s="18" t="str">
        <f>IF('Alternative 2'!F61&gt;0,'Alternative 2'!F61,"x")</f>
        <v>x</v>
      </c>
      <c r="B60" s="18" t="e">
        <f t="shared" si="17"/>
        <v>#VALUE!</v>
      </c>
      <c r="C60" s="18">
        <f t="shared" si="12"/>
        <v>0</v>
      </c>
      <c r="D60" s="18" t="str">
        <f t="shared" si="13"/>
        <v>x</v>
      </c>
      <c r="E60" s="101">
        <f>IF($A60&lt;='Alternative 2'!$B$27, IF($A60='Alternative 2'!$B$27,0,E61+1),0)</f>
        <v>0</v>
      </c>
      <c r="F60" s="101">
        <f>IF($A60&lt;=('Alternative 2'!$B$28), IF($A60=ROUNDDOWN('Alternative 2'!$B$28,0),0,F61+1),0)</f>
        <v>0</v>
      </c>
      <c r="G60" s="101">
        <f>IF($A60&lt;=('Alternative 2'!$B$29), IF($A60=ROUNDDOWN('Alternative 2'!$B$29,0),0,G61+1),0)</f>
        <v>0</v>
      </c>
      <c r="H60" s="18" t="e">
        <f t="shared" si="14"/>
        <v>#VALUE!</v>
      </c>
      <c r="J60" s="104">
        <f t="shared" si="15"/>
        <v>57</v>
      </c>
      <c r="K60" s="104">
        <f t="shared" si="16"/>
        <v>0.99483767363676778</v>
      </c>
      <c r="L60" s="105">
        <f>'Alternative 2'!$B$27*SIN(K60)+'Alternative 2'!$B$28*SIN(K60)+'Alternative 2'!$B$29*SIN(K60)</f>
        <v>36.05444771597378</v>
      </c>
      <c r="M60" s="104">
        <f>(('Alternative 2'!$B$27)*(((('Alternative 2'!$B$28-'Alternative 2'!$B$27)/2)+'Alternative 2'!$B$27)*'Alternative 2'!$B$39)*COS('Alternative 2-Tilt Up (3pt)'!K60))+(('Alternative 2'!$B$28)*((('Alternative 2'!$B$28-'Alternative 2'!$B$27)/2)+(('Alternative 2'!$B$29-'Alternative 2'!$B$28)/2))*('Alternative 2'!$B$39)*COS('Alternative 2-Tilt Up (3pt)'!K60))+(('Alternative 2'!$B$29)*((('Alternative 2'!$B$12-'Alternative 2'!$B$29+(('Alternative 2'!$B$29-'Alternative 2'!$B$28)/2)*('Alternative 2'!$B$39)*COS('Alternative 2-Tilt Up (3pt)'!K60)))))</f>
        <v>332158.20471468347</v>
      </c>
      <c r="N60" s="104">
        <f t="shared" si="0"/>
        <v>27638.049596376601</v>
      </c>
      <c r="O60" s="104">
        <f>(((('Alternative 2'!$B$28-'Alternative 2'!$B$27)/2)+'Alternative 2'!$B$27)*('Alternative 2'!$B$39)*COS('Alternative 2-Tilt Up (3pt)'!K60))+(((('Alternative 2'!$B$28-'Alternative 2'!$B$27)/2)+(('Alternative 2'!$B$29-'Alternative 2'!$B$28)/2))*('Alternative 2'!$B$39)*COS('Alternative 2-Tilt Up (3pt)'!K60))+(((('Alternative 2'!$B$12-'Alternative 2'!$B$29)+(('Alternative 2'!$B$29-'Alternative 2'!$B$28)/2))*('Alternative 2'!$B$39)*COS('Alternative 2-Tilt Up (3pt)'!K60)))</f>
        <v>34082.333995415036</v>
      </c>
      <c r="P60" s="104">
        <f t="shared" si="1"/>
        <v>15052.760661868013</v>
      </c>
      <c r="R60" s="105" t="e">
        <f>'Alternative 2'!$B$39*$B60*$C60*COS($K$5)-($N$5/3)*$E60*SIN($K$5)-($N$5/3)*$F60*SIN($K$5)-($N$5/3)*$G60*SIN($K$5)</f>
        <v>#VALUE!</v>
      </c>
      <c r="S60" s="106" t="e">
        <f>IF(($A60&lt;'Alternative 2'!$B$27),(($H60*'Alternative 2'!$B$39)+(3*($N$5/3)*COS($K$5))),IF(($A60&lt;'Alternative 2'!$B$28),(($H60*'Alternative 2'!$B$39)+(2*(($N$5/3)*COS($K$5)))),IF(($A60&lt;'Alternative 2'!$B$29),(($H$3*'Alternative 2'!$B$39+(($N$5/3)*COS($K$5)))),($H60*'Alternative 2'!$B$39))))</f>
        <v>#VALUE!</v>
      </c>
      <c r="T60" s="105" t="e">
        <f>R60*'Alternative 2'!$K61/'Alternative 2'!$L61</f>
        <v>#VALUE!</v>
      </c>
      <c r="U60" s="105" t="e">
        <f>S60/'Alternative 2'!$M61</f>
        <v>#VALUE!</v>
      </c>
      <c r="V60" s="105" t="e">
        <f t="shared" si="2"/>
        <v>#VALUE!</v>
      </c>
      <c r="X60" s="105" t="e">
        <f>'Alternative 2'!$B$39*$B60*$C60*COS($K$13)-($N$12/3)*$E60*SIN($K$13)-($N$12/3)*$F60*SIN($K$13)-($N$12/3)*$G60*SIN($K$13)</f>
        <v>#VALUE!</v>
      </c>
      <c r="Y60" s="106" t="e">
        <f>IF(($A60&lt;'Alternative 2'!$B$27),(($H60*'Alternative 2'!$B$39)+(3*($N$12/3)*COS($K$13))),IF(($A60&lt;'Alternative 2'!$B$28),(($H60*'Alternative 2'!$B$39)+(2*(($N$12/3)*COS($K$13)))),IF(($A60&lt;'Alternative 2'!$B$29),(($H$3*'Alternative 2'!$B$39+(($N$12/3)*COS($K$13)))),($H60*'Alternative 2'!$B$39))))</f>
        <v>#VALUE!</v>
      </c>
      <c r="Z60" s="105" t="e">
        <f>X60*'Alternative 2'!$K61/'Alternative 2'!$L61</f>
        <v>#VALUE!</v>
      </c>
      <c r="AA60" s="105" t="e">
        <f>Y60/'Alternative 2'!$M61</f>
        <v>#VALUE!</v>
      </c>
      <c r="AB60" s="105" t="e">
        <f t="shared" si="3"/>
        <v>#VALUE!</v>
      </c>
      <c r="AD60" s="105" t="e">
        <f>'Alternative 2'!$B$39*$B60*$C60*COS($K$23)-($N$22/3)*$E60*SIN($K$23)-($N$22/3)*$F60*SIN($K$23)-($N$22/3)*$G60*SIN($K$23)</f>
        <v>#VALUE!</v>
      </c>
      <c r="AE60" s="106" t="e">
        <f>IF(($A60&lt;'Alternative 2'!$B$27),(($H60*'Alternative 2'!$B$39)+(3*($N$22/3)*COS($K$23))),IF(($A60&lt;'Alternative 2'!$B$28),(($H60*'Alternative 2'!$B$39)+(2*(($N$22/3)*COS($K$23)))),IF(($A60&lt;'Alternative 2'!$B$29),(($H$3*'Alternative 2'!$B$39+(($N$22/3)*COS($K$23)))),($H60*'Alternative 2'!$B$39))))</f>
        <v>#VALUE!</v>
      </c>
      <c r="AF60" s="105" t="e">
        <f>AD60*'Alternative 2'!$K61/'Alternative 2'!$L61</f>
        <v>#VALUE!</v>
      </c>
      <c r="AG60" s="105" t="e">
        <f>AE60/'Alternative 2'!$M61</f>
        <v>#VALUE!</v>
      </c>
      <c r="AH60" s="105" t="e">
        <f t="shared" si="4"/>
        <v>#VALUE!</v>
      </c>
      <c r="AJ60" s="105" t="e">
        <f>'Alternative 2'!$B$39*$B60*$C60*COS($K$33)-($N$32/3)*$E60*SIN($K$33)-($N$32/3)*$F60*SIN($K$33)-($N$32/3)*$G60*SIN($K$33)</f>
        <v>#VALUE!</v>
      </c>
      <c r="AK60" s="106" t="e">
        <f>IF(($A60&lt;'Alternative 2'!$B$27),(($H60*'Alternative 2'!$B$39)+(3*($N$32/3)*COS($K$33))),IF(($A60&lt;'Alternative 2'!$B$28),(($H60*'Alternative 2'!$B$39)+(2*(($N$32/3)*COS($K$33)))),IF(($A60&lt;'Alternative 2'!$B$29),(($H$3*'Alternative 2'!$B$39+(($N$32/3)*COS($K$33)))),($H60*'Alternative 2'!$B$39))))</f>
        <v>#VALUE!</v>
      </c>
      <c r="AL60" s="105" t="e">
        <f>AJ60*'Alternative 2'!$K61/'Alternative 2'!$L61</f>
        <v>#VALUE!</v>
      </c>
      <c r="AM60" s="105" t="e">
        <f>AK60/'Alternative 2'!$M61</f>
        <v>#VALUE!</v>
      </c>
      <c r="AN60" s="105" t="e">
        <f t="shared" si="5"/>
        <v>#VALUE!</v>
      </c>
      <c r="AP60" s="105" t="e">
        <f>'Alternative 2'!$B$39*$B60*$C60*COS($K$43)-($N$42/3)*$E60*SIN($K$43)-($N$42/3)*$F60*SIN($K$43)-($N$42/3)*$G60*SIN($K$43)</f>
        <v>#VALUE!</v>
      </c>
      <c r="AQ60" s="106" t="e">
        <f>IF(($A60&lt;'Alternative 2'!$B$27),(($H60*'Alternative 2'!$B$39)+(3*($N$42/3)*COS($K$43))),IF(($A60&lt;'Alternative 2'!$B$28),(($H60*'Alternative 2'!$B$39)+(2*(($N$42/3)*COS($K$43)))),IF(($A60&lt;'Alternative 2'!$B$29),(($H$3*'Alternative 2'!$B$39+(($N$42/3)*COS($K$43)))),($H60*'Alternative 2'!$B$39))))</f>
        <v>#VALUE!</v>
      </c>
      <c r="AR60" s="105" t="e">
        <f>AP60*'Alternative 2'!$K61/'Alternative 2'!$L61</f>
        <v>#VALUE!</v>
      </c>
      <c r="AS60" s="105" t="e">
        <f>AQ60/'Alternative 2'!$M61</f>
        <v>#VALUE!</v>
      </c>
      <c r="AT60" s="105" t="e">
        <f t="shared" si="6"/>
        <v>#VALUE!</v>
      </c>
      <c r="AV60" s="105" t="e">
        <f>'Alternative 2'!$B$39*$B60*$C60*COS($K$53)-($N$52/3)*$E60*SIN($K$53)-($N$52/3)*$F60*SIN($K$53)-($N$52/3)*$G60*SIN($K$53)</f>
        <v>#VALUE!</v>
      </c>
      <c r="AW60" s="106" t="e">
        <f>IF(($A60&lt;'Alternative 2'!$B$27),(($H60*'Alternative 2'!$B$39)+(3*($N$52/3)*COS($K$53))),IF(($A60&lt;'Alternative 2'!$B$28),(($H60*'Alternative 2'!$B$39)+(2*(($N$52/3)*COS($K$53)))),IF(($A60&lt;'Alternative 2'!$B$29),(($H$3*'Alternative 2'!$B$39+(($N$52/3)*COS($K$53)))),($H60*'Alternative 2'!$B$39))))</f>
        <v>#VALUE!</v>
      </c>
      <c r="AX60" s="105" t="e">
        <f>AV60*'Alternative 2'!$K61/'Alternative 2'!$L61</f>
        <v>#VALUE!</v>
      </c>
      <c r="AY60" s="105" t="e">
        <f>AW60/'Alternative 2'!$M61</f>
        <v>#VALUE!</v>
      </c>
      <c r="AZ60" s="105" t="e">
        <f t="shared" si="7"/>
        <v>#VALUE!</v>
      </c>
      <c r="BB60" s="105" t="e">
        <f>'Alternative 2'!$B$39*$B60*$C60*COS($K$63)-($N$62/3)*$E60*SIN($K$63)-($N$62/3)*$F60*SIN($K$63)-($N$62/3)*$G60*SIN($K$63)</f>
        <v>#VALUE!</v>
      </c>
      <c r="BC60" s="106" t="e">
        <f>IF(($A60&lt;'Alternative 2'!$B$27),(($H60*'Alternative 2'!$B$39)+(3*($N$62/3)*COS($K$63))),IF(($A60&lt;'Alternative 2'!$B$28),(($H60*'Alternative 2'!$B$39)+(2*(($N$62/3)*COS($K$63)))),IF(($A60&lt;'Alternative 2'!$B$29),(($H$3*'Alternative 2'!$B$39+(($N$62/3)*COS($K$63)))),($H60*'Alternative 2'!$B$39))))</f>
        <v>#VALUE!</v>
      </c>
      <c r="BD60" s="105" t="e">
        <f>BB60*'Alternative 2'!$K61/'Alternative 2'!$L61</f>
        <v>#VALUE!</v>
      </c>
      <c r="BE60" s="105" t="e">
        <f>BC60/'Alternative 2'!$M61</f>
        <v>#VALUE!</v>
      </c>
      <c r="BF60" s="105" t="e">
        <f t="shared" si="8"/>
        <v>#VALUE!</v>
      </c>
      <c r="BH60" s="105" t="e">
        <f>'Alternative 2'!$B$39*$B60*$C60*COS($K$73)-($N$72/3)*$E60*SIN($K$73)-($N$72/3)*$F60*SIN($K$73)-($N$72/3)*$G60*SIN($K$73)</f>
        <v>#VALUE!</v>
      </c>
      <c r="BI60" s="106" t="e">
        <f>IF(($A60&lt;'Alternative 2'!$B$27),(($H60*'Alternative 2'!$B$39)+(3*($N$72/3)*COS($K$73))),IF(($A60&lt;'Alternative 2'!$B$28),(($H60*'Alternative 2'!$B$39)+(2*(($N$72/3)*COS($K$73)))),IF(($A60&lt;'Alternative 2'!$B$29),(($H$3*'Alternative 2'!$B$39+(($N$72/3)*COS($K$73)))),($H60*'Alternative 2'!$B$39))))</f>
        <v>#VALUE!</v>
      </c>
      <c r="BJ60" s="105" t="e">
        <f>BH60*'Alternative 2'!$K61/'Alternative 2'!$L61</f>
        <v>#VALUE!</v>
      </c>
      <c r="BK60" s="105" t="e">
        <f>BI60/'Alternative 2'!$M61</f>
        <v>#VALUE!</v>
      </c>
      <c r="BL60" s="105" t="e">
        <f t="shared" si="9"/>
        <v>#VALUE!</v>
      </c>
      <c r="BN60" s="105" t="e">
        <f>'Alternative 2'!$B$39*$B60*$C60*COS($K$83)-($N$82/3)*$E60*SIN($K$83)-($N$82/3)*$F60*SIN($K$83)-($N$82/3)*$G60*SIN($K$83)</f>
        <v>#VALUE!</v>
      </c>
      <c r="BO60" s="106" t="e">
        <f>IF(($A60&lt;'Alternative 2'!$B$27),(($H60*'Alternative 2'!$B$39)+(3*($N$82/3)*COS($K$83))),IF(($A60&lt;'Alternative 2'!$B$28),(($H60*'Alternative 2'!$B$39)+(2*(($N$82/3)*COS($K$83)))),IF(($A60&lt;'Alternative 2'!$B$29),(($H$3*'Alternative 2'!$B$39+(($N$82/3)*COS($K$83)))),($H60*'Alternative 2'!$B$39))))</f>
        <v>#VALUE!</v>
      </c>
      <c r="BP60" s="105" t="e">
        <f>BN60*'Alternative 2'!$K61/'Alternative 2'!$L61</f>
        <v>#VALUE!</v>
      </c>
      <c r="BQ60" s="105" t="e">
        <f>BO60/'Alternative 2'!$M61</f>
        <v>#VALUE!</v>
      </c>
      <c r="BR60" s="105" t="e">
        <f t="shared" si="10"/>
        <v>#VALUE!</v>
      </c>
      <c r="BT60" s="105" t="e">
        <f>'Alternative 2'!$B$39*$B60*$C60*COS($K$93)-($K$92/3)*$E60*SIN($K$93)-($K$92/3)*$F60*SIN($K$93)-($K$92/3)*$G60*SIN($K$93)</f>
        <v>#VALUE!</v>
      </c>
      <c r="BU60" s="106" t="e">
        <f>IF(($A60&lt;'Alternative 2'!$B$27),(($H60*'Alternative 2'!$B$39)+(3*($N$92/3)*COS($K$93))),IF(($A60&lt;'Alternative 2'!$B$28),(($H60*'Alternative 2'!$B$39)+(2*(($N$92/3)*COS($K$93)))),IF(($A60&lt;'Alternative 2'!$B$29),(($H$3*'Alternative 2'!$B$39+(($N$92/3)*COS($K$93)))),($H60*'Alternative 2'!$B$39))))</f>
        <v>#VALUE!</v>
      </c>
      <c r="BV60" s="105" t="e">
        <f>BT60*'Alternative 2'!$K61/'Alternative 2'!$L61</f>
        <v>#VALUE!</v>
      </c>
      <c r="BW60" s="105" t="e">
        <f>BU60/'Alternative 2'!$M61</f>
        <v>#VALUE!</v>
      </c>
      <c r="BX60" s="105" t="e">
        <f t="shared" si="11"/>
        <v>#VALUE!</v>
      </c>
      <c r="BZ60" s="104">
        <v>150</v>
      </c>
      <c r="CA60" s="104">
        <v>-150</v>
      </c>
    </row>
    <row r="61" spans="1:79" ht="15" customHeight="1" x14ac:dyDescent="0.25">
      <c r="A61" s="18" t="str">
        <f>IF('Alternative 2'!F62&gt;0,'Alternative 2'!F62,"x")</f>
        <v>x</v>
      </c>
      <c r="B61" s="18" t="e">
        <f t="shared" si="17"/>
        <v>#VALUE!</v>
      </c>
      <c r="C61" s="18">
        <f t="shared" si="12"/>
        <v>0</v>
      </c>
      <c r="D61" s="18" t="str">
        <f t="shared" si="13"/>
        <v>x</v>
      </c>
      <c r="E61" s="101">
        <f>IF($A61&lt;='Alternative 2'!$B$27, IF($A61='Alternative 2'!$B$27,0,E62+1),0)</f>
        <v>0</v>
      </c>
      <c r="F61" s="101">
        <f>IF($A61&lt;=('Alternative 2'!$B$28), IF($A61=ROUNDDOWN('Alternative 2'!$B$28,0),0,F62+1),0)</f>
        <v>0</v>
      </c>
      <c r="G61" s="101">
        <f>IF($A61&lt;=('Alternative 2'!$B$29), IF($A61=ROUNDDOWN('Alternative 2'!$B$29,0),0,G62+1),0)</f>
        <v>0</v>
      </c>
      <c r="H61" s="18" t="e">
        <f t="shared" si="14"/>
        <v>#VALUE!</v>
      </c>
      <c r="J61" s="104">
        <f t="shared" si="15"/>
        <v>58</v>
      </c>
      <c r="K61" s="104">
        <f t="shared" si="16"/>
        <v>1.0122909661567112</v>
      </c>
      <c r="L61" s="105">
        <f>'Alternative 2'!$B$27*SIN(K61)+'Alternative 2'!$B$28*SIN(K61)+'Alternative 2'!$B$29*SIN(K61)</f>
        <v>36.457587653764755</v>
      </c>
      <c r="M61" s="104">
        <f>(('Alternative 2'!$B$27)*(((('Alternative 2'!$B$28-'Alternative 2'!$B$27)/2)+'Alternative 2'!$B$27)*'Alternative 2'!$B$39)*COS('Alternative 2-Tilt Up (3pt)'!K61))+(('Alternative 2'!$B$28)*((('Alternative 2'!$B$28-'Alternative 2'!$B$27)/2)+(('Alternative 2'!$B$29-'Alternative 2'!$B$28)/2))*('Alternative 2'!$B$39)*COS('Alternative 2-Tilt Up (3pt)'!K61))+(('Alternative 2'!$B$29)*((('Alternative 2'!$B$12-'Alternative 2'!$B$29+(('Alternative 2'!$B$29-'Alternative 2'!$B$28)/2)*('Alternative 2'!$B$39)*COS('Alternative 2-Tilt Up (3pt)'!K61)))))</f>
        <v>323183.26856314234</v>
      </c>
      <c r="N61" s="104">
        <f t="shared" si="0"/>
        <v>26593.910022165372</v>
      </c>
      <c r="O61" s="104">
        <f>(((('Alternative 2'!$B$28-'Alternative 2'!$B$27)/2)+'Alternative 2'!$B$27)*('Alternative 2'!$B$39)*COS('Alternative 2-Tilt Up (3pt)'!K61))+(((('Alternative 2'!$B$28-'Alternative 2'!$B$27)/2)+(('Alternative 2'!$B$29-'Alternative 2'!$B$28)/2))*('Alternative 2'!$B$39)*COS('Alternative 2-Tilt Up (3pt)'!K61))+(((('Alternative 2'!$B$12-'Alternative 2'!$B$29)+(('Alternative 2'!$B$29-'Alternative 2'!$B$28)/2))*('Alternative 2'!$B$39)*COS('Alternative 2-Tilt Up (3pt)'!K61)))</f>
        <v>33161.202545282795</v>
      </c>
      <c r="P61" s="104">
        <f t="shared" si="1"/>
        <v>14092.625232029928</v>
      </c>
      <c r="R61" s="105" t="e">
        <f>'Alternative 2'!$B$39*$B61*$C61*COS($K$5)-($N$5/3)*$E61*SIN($K$5)-($N$5/3)*$F61*SIN($K$5)-($N$5/3)*$G61*SIN($K$5)</f>
        <v>#VALUE!</v>
      </c>
      <c r="S61" s="106" t="e">
        <f>IF(($A61&lt;'Alternative 2'!$B$27),(($H61*'Alternative 2'!$B$39)+(3*($N$5/3)*COS($K$5))),IF(($A61&lt;'Alternative 2'!$B$28),(($H61*'Alternative 2'!$B$39)+(2*(($N$5/3)*COS($K$5)))),IF(($A61&lt;'Alternative 2'!$B$29),(($H$3*'Alternative 2'!$B$39+(($N$5/3)*COS($K$5)))),($H61*'Alternative 2'!$B$39))))</f>
        <v>#VALUE!</v>
      </c>
      <c r="T61" s="105" t="e">
        <f>R61*'Alternative 2'!$K62/'Alternative 2'!$L62</f>
        <v>#VALUE!</v>
      </c>
      <c r="U61" s="105" t="e">
        <f>S61/'Alternative 2'!$M62</f>
        <v>#VALUE!</v>
      </c>
      <c r="V61" s="105" t="e">
        <f t="shared" si="2"/>
        <v>#VALUE!</v>
      </c>
      <c r="X61" s="105" t="e">
        <f>'Alternative 2'!$B$39*$B61*$C61*COS($K$13)-($N$12/3)*$E61*SIN($K$13)-($N$12/3)*$F61*SIN($K$13)-($N$12/3)*$G61*SIN($K$13)</f>
        <v>#VALUE!</v>
      </c>
      <c r="Y61" s="106" t="e">
        <f>IF(($A61&lt;'Alternative 2'!$B$27),(($H61*'Alternative 2'!$B$39)+(3*($N$12/3)*COS($K$13))),IF(($A61&lt;'Alternative 2'!$B$28),(($H61*'Alternative 2'!$B$39)+(2*(($N$12/3)*COS($K$13)))),IF(($A61&lt;'Alternative 2'!$B$29),(($H$3*'Alternative 2'!$B$39+(($N$12/3)*COS($K$13)))),($H61*'Alternative 2'!$B$39))))</f>
        <v>#VALUE!</v>
      </c>
      <c r="Z61" s="105" t="e">
        <f>X61*'Alternative 2'!$K62/'Alternative 2'!$L62</f>
        <v>#VALUE!</v>
      </c>
      <c r="AA61" s="105" t="e">
        <f>Y61/'Alternative 2'!$M62</f>
        <v>#VALUE!</v>
      </c>
      <c r="AB61" s="105" t="e">
        <f t="shared" si="3"/>
        <v>#VALUE!</v>
      </c>
      <c r="AD61" s="105" t="e">
        <f>'Alternative 2'!$B$39*$B61*$C61*COS($K$23)-($N$22/3)*$E61*SIN($K$23)-($N$22/3)*$F61*SIN($K$23)-($N$22/3)*$G61*SIN($K$23)</f>
        <v>#VALUE!</v>
      </c>
      <c r="AE61" s="106" t="e">
        <f>IF(($A61&lt;'Alternative 2'!$B$27),(($H61*'Alternative 2'!$B$39)+(3*($N$22/3)*COS($K$23))),IF(($A61&lt;'Alternative 2'!$B$28),(($H61*'Alternative 2'!$B$39)+(2*(($N$22/3)*COS($K$23)))),IF(($A61&lt;'Alternative 2'!$B$29),(($H$3*'Alternative 2'!$B$39+(($N$22/3)*COS($K$23)))),($H61*'Alternative 2'!$B$39))))</f>
        <v>#VALUE!</v>
      </c>
      <c r="AF61" s="105" t="e">
        <f>AD61*'Alternative 2'!$K62/'Alternative 2'!$L62</f>
        <v>#VALUE!</v>
      </c>
      <c r="AG61" s="105" t="e">
        <f>AE61/'Alternative 2'!$M62</f>
        <v>#VALUE!</v>
      </c>
      <c r="AH61" s="105" t="e">
        <f t="shared" si="4"/>
        <v>#VALUE!</v>
      </c>
      <c r="AJ61" s="105" t="e">
        <f>'Alternative 2'!$B$39*$B61*$C61*COS($K$33)-($N$32/3)*$E61*SIN($K$33)-($N$32/3)*$F61*SIN($K$33)-($N$32/3)*$G61*SIN($K$33)</f>
        <v>#VALUE!</v>
      </c>
      <c r="AK61" s="106" t="e">
        <f>IF(($A61&lt;'Alternative 2'!$B$27),(($H61*'Alternative 2'!$B$39)+(3*($N$32/3)*COS($K$33))),IF(($A61&lt;'Alternative 2'!$B$28),(($H61*'Alternative 2'!$B$39)+(2*(($N$32/3)*COS($K$33)))),IF(($A61&lt;'Alternative 2'!$B$29),(($H$3*'Alternative 2'!$B$39+(($N$32/3)*COS($K$33)))),($H61*'Alternative 2'!$B$39))))</f>
        <v>#VALUE!</v>
      </c>
      <c r="AL61" s="105" t="e">
        <f>AJ61*'Alternative 2'!$K62/'Alternative 2'!$L62</f>
        <v>#VALUE!</v>
      </c>
      <c r="AM61" s="105" t="e">
        <f>AK61/'Alternative 2'!$M62</f>
        <v>#VALUE!</v>
      </c>
      <c r="AN61" s="105" t="e">
        <f t="shared" si="5"/>
        <v>#VALUE!</v>
      </c>
      <c r="AP61" s="105" t="e">
        <f>'Alternative 2'!$B$39*$B61*$C61*COS($K$43)-($N$42/3)*$E61*SIN($K$43)-($N$42/3)*$F61*SIN($K$43)-($N$42/3)*$G61*SIN($K$43)</f>
        <v>#VALUE!</v>
      </c>
      <c r="AQ61" s="106" t="e">
        <f>IF(($A61&lt;'Alternative 2'!$B$27),(($H61*'Alternative 2'!$B$39)+(3*($N$42/3)*COS($K$43))),IF(($A61&lt;'Alternative 2'!$B$28),(($H61*'Alternative 2'!$B$39)+(2*(($N$42/3)*COS($K$43)))),IF(($A61&lt;'Alternative 2'!$B$29),(($H$3*'Alternative 2'!$B$39+(($N$42/3)*COS($K$43)))),($H61*'Alternative 2'!$B$39))))</f>
        <v>#VALUE!</v>
      </c>
      <c r="AR61" s="105" t="e">
        <f>AP61*'Alternative 2'!$K62/'Alternative 2'!$L62</f>
        <v>#VALUE!</v>
      </c>
      <c r="AS61" s="105" t="e">
        <f>AQ61/'Alternative 2'!$M62</f>
        <v>#VALUE!</v>
      </c>
      <c r="AT61" s="105" t="e">
        <f t="shared" si="6"/>
        <v>#VALUE!</v>
      </c>
      <c r="AV61" s="105" t="e">
        <f>'Alternative 2'!$B$39*$B61*$C61*COS($K$53)-($N$52/3)*$E61*SIN($K$53)-($N$52/3)*$F61*SIN($K$53)-($N$52/3)*$G61*SIN($K$53)</f>
        <v>#VALUE!</v>
      </c>
      <c r="AW61" s="106" t="e">
        <f>IF(($A61&lt;'Alternative 2'!$B$27),(($H61*'Alternative 2'!$B$39)+(3*($N$52/3)*COS($K$53))),IF(($A61&lt;'Alternative 2'!$B$28),(($H61*'Alternative 2'!$B$39)+(2*(($N$52/3)*COS($K$53)))),IF(($A61&lt;'Alternative 2'!$B$29),(($H$3*'Alternative 2'!$B$39+(($N$52/3)*COS($K$53)))),($H61*'Alternative 2'!$B$39))))</f>
        <v>#VALUE!</v>
      </c>
      <c r="AX61" s="105" t="e">
        <f>AV61*'Alternative 2'!$K62/'Alternative 2'!$L62</f>
        <v>#VALUE!</v>
      </c>
      <c r="AY61" s="105" t="e">
        <f>AW61/'Alternative 2'!$M62</f>
        <v>#VALUE!</v>
      </c>
      <c r="AZ61" s="105" t="e">
        <f t="shared" si="7"/>
        <v>#VALUE!</v>
      </c>
      <c r="BB61" s="105" t="e">
        <f>'Alternative 2'!$B$39*$B61*$C61*COS($K$63)-($N$62/3)*$E61*SIN($K$63)-($N$62/3)*$F61*SIN($K$63)-($N$62/3)*$G61*SIN($K$63)</f>
        <v>#VALUE!</v>
      </c>
      <c r="BC61" s="106" t="e">
        <f>IF(($A61&lt;'Alternative 2'!$B$27),(($H61*'Alternative 2'!$B$39)+(3*($N$62/3)*COS($K$63))),IF(($A61&lt;'Alternative 2'!$B$28),(($H61*'Alternative 2'!$B$39)+(2*(($N$62/3)*COS($K$63)))),IF(($A61&lt;'Alternative 2'!$B$29),(($H$3*'Alternative 2'!$B$39+(($N$62/3)*COS($K$63)))),($H61*'Alternative 2'!$B$39))))</f>
        <v>#VALUE!</v>
      </c>
      <c r="BD61" s="105" t="e">
        <f>BB61*'Alternative 2'!$K62/'Alternative 2'!$L62</f>
        <v>#VALUE!</v>
      </c>
      <c r="BE61" s="105" t="e">
        <f>BC61/'Alternative 2'!$M62</f>
        <v>#VALUE!</v>
      </c>
      <c r="BF61" s="105" t="e">
        <f t="shared" si="8"/>
        <v>#VALUE!</v>
      </c>
      <c r="BH61" s="105" t="e">
        <f>'Alternative 2'!$B$39*$B61*$C61*COS($K$73)-($N$72/3)*$E61*SIN($K$73)-($N$72/3)*$F61*SIN($K$73)-($N$72/3)*$G61*SIN($K$73)</f>
        <v>#VALUE!</v>
      </c>
      <c r="BI61" s="106" t="e">
        <f>IF(($A61&lt;'Alternative 2'!$B$27),(($H61*'Alternative 2'!$B$39)+(3*($N$72/3)*COS($K$73))),IF(($A61&lt;'Alternative 2'!$B$28),(($H61*'Alternative 2'!$B$39)+(2*(($N$72/3)*COS($K$73)))),IF(($A61&lt;'Alternative 2'!$B$29),(($H$3*'Alternative 2'!$B$39+(($N$72/3)*COS($K$73)))),($H61*'Alternative 2'!$B$39))))</f>
        <v>#VALUE!</v>
      </c>
      <c r="BJ61" s="105" t="e">
        <f>BH61*'Alternative 2'!$K62/'Alternative 2'!$L62</f>
        <v>#VALUE!</v>
      </c>
      <c r="BK61" s="105" t="e">
        <f>BI61/'Alternative 2'!$M62</f>
        <v>#VALUE!</v>
      </c>
      <c r="BL61" s="105" t="e">
        <f t="shared" si="9"/>
        <v>#VALUE!</v>
      </c>
      <c r="BN61" s="105" t="e">
        <f>'Alternative 2'!$B$39*$B61*$C61*COS($K$83)-($N$82/3)*$E61*SIN($K$83)-($N$82/3)*$F61*SIN($K$83)-($N$82/3)*$G61*SIN($K$83)</f>
        <v>#VALUE!</v>
      </c>
      <c r="BO61" s="106" t="e">
        <f>IF(($A61&lt;'Alternative 2'!$B$27),(($H61*'Alternative 2'!$B$39)+(3*($N$82/3)*COS($K$83))),IF(($A61&lt;'Alternative 2'!$B$28),(($H61*'Alternative 2'!$B$39)+(2*(($N$82/3)*COS($K$83)))),IF(($A61&lt;'Alternative 2'!$B$29),(($H$3*'Alternative 2'!$B$39+(($N$82/3)*COS($K$83)))),($H61*'Alternative 2'!$B$39))))</f>
        <v>#VALUE!</v>
      </c>
      <c r="BP61" s="105" t="e">
        <f>BN61*'Alternative 2'!$K62/'Alternative 2'!$L62</f>
        <v>#VALUE!</v>
      </c>
      <c r="BQ61" s="105" t="e">
        <f>BO61/'Alternative 2'!$M62</f>
        <v>#VALUE!</v>
      </c>
      <c r="BR61" s="105" t="e">
        <f t="shared" si="10"/>
        <v>#VALUE!</v>
      </c>
      <c r="BT61" s="105" t="e">
        <f>'Alternative 2'!$B$39*$B61*$C61*COS($K$93)-($K$92/3)*$E61*SIN($K$93)-($K$92/3)*$F61*SIN($K$93)-($K$92/3)*$G61*SIN($K$93)</f>
        <v>#VALUE!</v>
      </c>
      <c r="BU61" s="106" t="e">
        <f>IF(($A61&lt;'Alternative 2'!$B$27),(($H61*'Alternative 2'!$B$39)+(3*($N$92/3)*COS($K$93))),IF(($A61&lt;'Alternative 2'!$B$28),(($H61*'Alternative 2'!$B$39)+(2*(($N$92/3)*COS($K$93)))),IF(($A61&lt;'Alternative 2'!$B$29),(($H$3*'Alternative 2'!$B$39+(($N$92/3)*COS($K$93)))),($H61*'Alternative 2'!$B$39))))</f>
        <v>#VALUE!</v>
      </c>
      <c r="BV61" s="105" t="e">
        <f>BT61*'Alternative 2'!$K62/'Alternative 2'!$L62</f>
        <v>#VALUE!</v>
      </c>
      <c r="BW61" s="105" t="e">
        <f>BU61/'Alternative 2'!$M62</f>
        <v>#VALUE!</v>
      </c>
      <c r="BX61" s="105" t="e">
        <f t="shared" si="11"/>
        <v>#VALUE!</v>
      </c>
      <c r="BZ61" s="104">
        <v>150</v>
      </c>
      <c r="CA61" s="104">
        <v>-150</v>
      </c>
    </row>
    <row r="62" spans="1:79" ht="15" customHeight="1" x14ac:dyDescent="0.25">
      <c r="A62" s="18" t="str">
        <f>IF('Alternative 2'!F63&gt;0,'Alternative 2'!F63,"x")</f>
        <v>x</v>
      </c>
      <c r="B62" s="18" t="e">
        <f t="shared" si="17"/>
        <v>#VALUE!</v>
      </c>
      <c r="C62" s="18">
        <f t="shared" si="12"/>
        <v>0</v>
      </c>
      <c r="D62" s="18" t="str">
        <f t="shared" si="13"/>
        <v>x</v>
      </c>
      <c r="E62" s="101">
        <f>IF($A62&lt;='Alternative 2'!$B$27, IF($A62='Alternative 2'!$B$27,0,E63+1),0)</f>
        <v>0</v>
      </c>
      <c r="F62" s="101">
        <f>IF($A62&lt;=('Alternative 2'!$B$28), IF($A62=ROUNDDOWN('Alternative 2'!$B$28,0),0,F63+1),0)</f>
        <v>0</v>
      </c>
      <c r="G62" s="101">
        <f>IF($A62&lt;=('Alternative 2'!$B$29), IF($A62=ROUNDDOWN('Alternative 2'!$B$29,0),0,G63+1),0)</f>
        <v>0</v>
      </c>
      <c r="H62" s="18" t="e">
        <f t="shared" si="14"/>
        <v>#VALUE!</v>
      </c>
      <c r="J62" s="104">
        <f t="shared" si="15"/>
        <v>59</v>
      </c>
      <c r="K62" s="104">
        <f t="shared" si="16"/>
        <v>1.0297442586766543</v>
      </c>
      <c r="L62" s="105">
        <f>'Alternative 2'!$B$27*SIN(K62)+'Alternative 2'!$B$28*SIN(K62)+'Alternative 2'!$B$29*SIN(K62)</f>
        <v>36.849622257183803</v>
      </c>
      <c r="M62" s="104">
        <f>(('Alternative 2'!$B$27)*(((('Alternative 2'!$B$28-'Alternative 2'!$B$27)/2)+'Alternative 2'!$B$27)*'Alternative 2'!$B$39)*COS('Alternative 2-Tilt Up (3pt)'!K62))+(('Alternative 2'!$B$28)*((('Alternative 2'!$B$28-'Alternative 2'!$B$27)/2)+(('Alternative 2'!$B$29-'Alternative 2'!$B$28)/2))*('Alternative 2'!$B$39)*COS('Alternative 2-Tilt Up (3pt)'!K62))+(('Alternative 2'!$B$29)*((('Alternative 2'!$B$12-'Alternative 2'!$B$29+(('Alternative 2'!$B$29-'Alternative 2'!$B$28)/2)*('Alternative 2'!$B$39)*COS('Alternative 2-Tilt Up (3pt)'!K62)))))</f>
        <v>314109.91232588328</v>
      </c>
      <c r="N62" s="109">
        <f t="shared" si="0"/>
        <v>25572.303846179682</v>
      </c>
      <c r="O62" s="104">
        <f>(((('Alternative 2'!$B$28-'Alternative 2'!$B$27)/2)+'Alternative 2'!$B$27)*('Alternative 2'!$B$39)*COS('Alternative 2-Tilt Up (3pt)'!K62))+(((('Alternative 2'!$B$28-'Alternative 2'!$B$27)/2)+(('Alternative 2'!$B$29-'Alternative 2'!$B$28)/2))*('Alternative 2'!$B$39)*COS('Alternative 2-Tilt Up (3pt)'!K62))+(((('Alternative 2'!$B$12-'Alternative 2'!$B$29)+(('Alternative 2'!$B$29-'Alternative 2'!$B$28)/2))*('Alternative 2'!$B$39)*COS('Alternative 2-Tilt Up (3pt)'!K62)))</f>
        <v>32229.969871615493</v>
      </c>
      <c r="P62" s="104">
        <f t="shared" si="1"/>
        <v>13170.710143951363</v>
      </c>
      <c r="R62" s="105" t="e">
        <f>'Alternative 2'!$B$39*$B62*$C62*COS($K$5)-($N$5/3)*$E62*SIN($K$5)-($N$5/3)*$F62*SIN($K$5)-($N$5/3)*$G62*SIN($K$5)</f>
        <v>#VALUE!</v>
      </c>
      <c r="S62" s="106" t="e">
        <f>IF(($A62&lt;'Alternative 2'!$B$27),(($H62*'Alternative 2'!$B$39)+(3*($N$5/3)*COS($K$5))),IF(($A62&lt;'Alternative 2'!$B$28),(($H62*'Alternative 2'!$B$39)+(2*(($N$5/3)*COS($K$5)))),IF(($A62&lt;'Alternative 2'!$B$29),(($H$3*'Alternative 2'!$B$39+(($N$5/3)*COS($K$5)))),($H62*'Alternative 2'!$B$39))))</f>
        <v>#VALUE!</v>
      </c>
      <c r="T62" s="105" t="e">
        <f>R62*'Alternative 2'!$K63/'Alternative 2'!$L63</f>
        <v>#VALUE!</v>
      </c>
      <c r="U62" s="105" t="e">
        <f>S62/'Alternative 2'!$M63</f>
        <v>#VALUE!</v>
      </c>
      <c r="V62" s="105" t="e">
        <f t="shared" si="2"/>
        <v>#VALUE!</v>
      </c>
      <c r="X62" s="105" t="e">
        <f>'Alternative 2'!$B$39*$B62*$C62*COS($K$13)-($N$12/3)*$E62*SIN($K$13)-($N$12/3)*$F62*SIN($K$13)-($N$12/3)*$G62*SIN($K$13)</f>
        <v>#VALUE!</v>
      </c>
      <c r="Y62" s="106" t="e">
        <f>IF(($A62&lt;'Alternative 2'!$B$27),(($H62*'Alternative 2'!$B$39)+(3*($N$12/3)*COS($K$13))),IF(($A62&lt;'Alternative 2'!$B$28),(($H62*'Alternative 2'!$B$39)+(2*(($N$12/3)*COS($K$13)))),IF(($A62&lt;'Alternative 2'!$B$29),(($H$3*'Alternative 2'!$B$39+(($N$12/3)*COS($K$13)))),($H62*'Alternative 2'!$B$39))))</f>
        <v>#VALUE!</v>
      </c>
      <c r="Z62" s="105" t="e">
        <f>X62*'Alternative 2'!$K63/'Alternative 2'!$L63</f>
        <v>#VALUE!</v>
      </c>
      <c r="AA62" s="105" t="e">
        <f>Y62/'Alternative 2'!$M63</f>
        <v>#VALUE!</v>
      </c>
      <c r="AB62" s="105" t="e">
        <f t="shared" si="3"/>
        <v>#VALUE!</v>
      </c>
      <c r="AD62" s="105" t="e">
        <f>'Alternative 2'!$B$39*$B62*$C62*COS($K$23)-($N$22/3)*$E62*SIN($K$23)-($N$22/3)*$F62*SIN($K$23)-($N$22/3)*$G62*SIN($K$23)</f>
        <v>#VALUE!</v>
      </c>
      <c r="AE62" s="106" t="e">
        <f>IF(($A62&lt;'Alternative 2'!$B$27),(($H62*'Alternative 2'!$B$39)+(3*($N$22/3)*COS($K$23))),IF(($A62&lt;'Alternative 2'!$B$28),(($H62*'Alternative 2'!$B$39)+(2*(($N$22/3)*COS($K$23)))),IF(($A62&lt;'Alternative 2'!$B$29),(($H$3*'Alternative 2'!$B$39+(($N$22/3)*COS($K$23)))),($H62*'Alternative 2'!$B$39))))</f>
        <v>#VALUE!</v>
      </c>
      <c r="AF62" s="105" t="e">
        <f>AD62*'Alternative 2'!$K63/'Alternative 2'!$L63</f>
        <v>#VALUE!</v>
      </c>
      <c r="AG62" s="105" t="e">
        <f>AE62/'Alternative 2'!$M63</f>
        <v>#VALUE!</v>
      </c>
      <c r="AH62" s="105" t="e">
        <f t="shared" si="4"/>
        <v>#VALUE!</v>
      </c>
      <c r="AJ62" s="105" t="e">
        <f>'Alternative 2'!$B$39*$B62*$C62*COS($K$33)-($N$32/3)*$E62*SIN($K$33)-($N$32/3)*$F62*SIN($K$33)-($N$32/3)*$G62*SIN($K$33)</f>
        <v>#VALUE!</v>
      </c>
      <c r="AK62" s="106" t="e">
        <f>IF(($A62&lt;'Alternative 2'!$B$27),(($H62*'Alternative 2'!$B$39)+(3*($N$32/3)*COS($K$33))),IF(($A62&lt;'Alternative 2'!$B$28),(($H62*'Alternative 2'!$B$39)+(2*(($N$32/3)*COS($K$33)))),IF(($A62&lt;'Alternative 2'!$B$29),(($H$3*'Alternative 2'!$B$39+(($N$32/3)*COS($K$33)))),($H62*'Alternative 2'!$B$39))))</f>
        <v>#VALUE!</v>
      </c>
      <c r="AL62" s="105" t="e">
        <f>AJ62*'Alternative 2'!$K63/'Alternative 2'!$L63</f>
        <v>#VALUE!</v>
      </c>
      <c r="AM62" s="105" t="e">
        <f>AK62/'Alternative 2'!$M63</f>
        <v>#VALUE!</v>
      </c>
      <c r="AN62" s="105" t="e">
        <f t="shared" si="5"/>
        <v>#VALUE!</v>
      </c>
      <c r="AP62" s="105" t="e">
        <f>'Alternative 2'!$B$39*$B62*$C62*COS($K$43)-($N$42/3)*$E62*SIN($K$43)-($N$42/3)*$F62*SIN($K$43)-($N$42/3)*$G62*SIN($K$43)</f>
        <v>#VALUE!</v>
      </c>
      <c r="AQ62" s="106" t="e">
        <f>IF(($A62&lt;'Alternative 2'!$B$27),(($H62*'Alternative 2'!$B$39)+(3*($N$42/3)*COS($K$43))),IF(($A62&lt;'Alternative 2'!$B$28),(($H62*'Alternative 2'!$B$39)+(2*(($N$42/3)*COS($K$43)))),IF(($A62&lt;'Alternative 2'!$B$29),(($H$3*'Alternative 2'!$B$39+(($N$42/3)*COS($K$43)))),($H62*'Alternative 2'!$B$39))))</f>
        <v>#VALUE!</v>
      </c>
      <c r="AR62" s="105" t="e">
        <f>AP62*'Alternative 2'!$K63/'Alternative 2'!$L63</f>
        <v>#VALUE!</v>
      </c>
      <c r="AS62" s="105" t="e">
        <f>AQ62/'Alternative 2'!$M63</f>
        <v>#VALUE!</v>
      </c>
      <c r="AT62" s="105" t="e">
        <f t="shared" si="6"/>
        <v>#VALUE!</v>
      </c>
      <c r="AV62" s="105" t="e">
        <f>'Alternative 2'!$B$39*$B62*$C62*COS($K$53)-($N$52/3)*$E62*SIN($K$53)-($N$52/3)*$F62*SIN($K$53)-($N$52/3)*$G62*SIN($K$53)</f>
        <v>#VALUE!</v>
      </c>
      <c r="AW62" s="106" t="e">
        <f>IF(($A62&lt;'Alternative 2'!$B$27),(($H62*'Alternative 2'!$B$39)+(3*($N$52/3)*COS($K$53))),IF(($A62&lt;'Alternative 2'!$B$28),(($H62*'Alternative 2'!$B$39)+(2*(($N$52/3)*COS($K$53)))),IF(($A62&lt;'Alternative 2'!$B$29),(($H$3*'Alternative 2'!$B$39+(($N$52/3)*COS($K$53)))),($H62*'Alternative 2'!$B$39))))</f>
        <v>#VALUE!</v>
      </c>
      <c r="AX62" s="105" t="e">
        <f>AV62*'Alternative 2'!$K63/'Alternative 2'!$L63</f>
        <v>#VALUE!</v>
      </c>
      <c r="AY62" s="105" t="e">
        <f>AW62/'Alternative 2'!$M63</f>
        <v>#VALUE!</v>
      </c>
      <c r="AZ62" s="105" t="e">
        <f t="shared" si="7"/>
        <v>#VALUE!</v>
      </c>
      <c r="BB62" s="105" t="e">
        <f>'Alternative 2'!$B$39*$B62*$C62*COS($K$63)-($N$62/3)*$E62*SIN($K$63)-($N$62/3)*$F62*SIN($K$63)-($N$62/3)*$G62*SIN($K$63)</f>
        <v>#VALUE!</v>
      </c>
      <c r="BC62" s="106" t="e">
        <f>IF(($A62&lt;'Alternative 2'!$B$27),(($H62*'Alternative 2'!$B$39)+(3*($N$62/3)*COS($K$63))),IF(($A62&lt;'Alternative 2'!$B$28),(($H62*'Alternative 2'!$B$39)+(2*(($N$62/3)*COS($K$63)))),IF(($A62&lt;'Alternative 2'!$B$29),(($H$3*'Alternative 2'!$B$39+(($N$62/3)*COS($K$63)))),($H62*'Alternative 2'!$B$39))))</f>
        <v>#VALUE!</v>
      </c>
      <c r="BD62" s="105" t="e">
        <f>BB62*'Alternative 2'!$K63/'Alternative 2'!$L63</f>
        <v>#VALUE!</v>
      </c>
      <c r="BE62" s="105" t="e">
        <f>BC62/'Alternative 2'!$M63</f>
        <v>#VALUE!</v>
      </c>
      <c r="BF62" s="105" t="e">
        <f t="shared" si="8"/>
        <v>#VALUE!</v>
      </c>
      <c r="BH62" s="105" t="e">
        <f>'Alternative 2'!$B$39*$B62*$C62*COS($K$73)-($N$72/3)*$E62*SIN($K$73)-($N$72/3)*$F62*SIN($K$73)-($N$72/3)*$G62*SIN($K$73)</f>
        <v>#VALUE!</v>
      </c>
      <c r="BI62" s="106" t="e">
        <f>IF(($A62&lt;'Alternative 2'!$B$27),(($H62*'Alternative 2'!$B$39)+(3*($N$72/3)*COS($K$73))),IF(($A62&lt;'Alternative 2'!$B$28),(($H62*'Alternative 2'!$B$39)+(2*(($N$72/3)*COS($K$73)))),IF(($A62&lt;'Alternative 2'!$B$29),(($H$3*'Alternative 2'!$B$39+(($N$72/3)*COS($K$73)))),($H62*'Alternative 2'!$B$39))))</f>
        <v>#VALUE!</v>
      </c>
      <c r="BJ62" s="105" t="e">
        <f>BH62*'Alternative 2'!$K63/'Alternative 2'!$L63</f>
        <v>#VALUE!</v>
      </c>
      <c r="BK62" s="105" t="e">
        <f>BI62/'Alternative 2'!$M63</f>
        <v>#VALUE!</v>
      </c>
      <c r="BL62" s="105" t="e">
        <f t="shared" si="9"/>
        <v>#VALUE!</v>
      </c>
      <c r="BN62" s="105" t="e">
        <f>'Alternative 2'!$B$39*$B62*$C62*COS($K$83)-($N$82/3)*$E62*SIN($K$83)-($N$82/3)*$F62*SIN($K$83)-($N$82/3)*$G62*SIN($K$83)</f>
        <v>#VALUE!</v>
      </c>
      <c r="BO62" s="106" t="e">
        <f>IF(($A62&lt;'Alternative 2'!$B$27),(($H62*'Alternative 2'!$B$39)+(3*($N$82/3)*COS($K$83))),IF(($A62&lt;'Alternative 2'!$B$28),(($H62*'Alternative 2'!$B$39)+(2*(($N$82/3)*COS($K$83)))),IF(($A62&lt;'Alternative 2'!$B$29),(($H$3*'Alternative 2'!$B$39+(($N$82/3)*COS($K$83)))),($H62*'Alternative 2'!$B$39))))</f>
        <v>#VALUE!</v>
      </c>
      <c r="BP62" s="105" t="e">
        <f>BN62*'Alternative 2'!$K63/'Alternative 2'!$L63</f>
        <v>#VALUE!</v>
      </c>
      <c r="BQ62" s="105" t="e">
        <f>BO62/'Alternative 2'!$M63</f>
        <v>#VALUE!</v>
      </c>
      <c r="BR62" s="105" t="e">
        <f t="shared" si="10"/>
        <v>#VALUE!</v>
      </c>
      <c r="BT62" s="105" t="e">
        <f>'Alternative 2'!$B$39*$B62*$C62*COS($K$93)-($K$92/3)*$E62*SIN($K$93)-($K$92/3)*$F62*SIN($K$93)-($K$92/3)*$G62*SIN($K$93)</f>
        <v>#VALUE!</v>
      </c>
      <c r="BU62" s="106" t="e">
        <f>IF(($A62&lt;'Alternative 2'!$B$27),(($H62*'Alternative 2'!$B$39)+(3*($N$92/3)*COS($K$93))),IF(($A62&lt;'Alternative 2'!$B$28),(($H62*'Alternative 2'!$B$39)+(2*(($N$92/3)*COS($K$93)))),IF(($A62&lt;'Alternative 2'!$B$29),(($H$3*'Alternative 2'!$B$39+(($N$92/3)*COS($K$93)))),($H62*'Alternative 2'!$B$39))))</f>
        <v>#VALUE!</v>
      </c>
      <c r="BV62" s="105" t="e">
        <f>BT62*'Alternative 2'!$K63/'Alternative 2'!$L63</f>
        <v>#VALUE!</v>
      </c>
      <c r="BW62" s="105" t="e">
        <f>BU62/'Alternative 2'!$M63</f>
        <v>#VALUE!</v>
      </c>
      <c r="BX62" s="105" t="e">
        <f t="shared" si="11"/>
        <v>#VALUE!</v>
      </c>
      <c r="BZ62" s="104">
        <v>150</v>
      </c>
      <c r="CA62" s="104">
        <v>-150</v>
      </c>
    </row>
    <row r="63" spans="1:79" ht="15" customHeight="1" x14ac:dyDescent="0.25">
      <c r="A63" s="18" t="str">
        <f>IF('Alternative 2'!F64&gt;0,'Alternative 2'!F64,"x")</f>
        <v>x</v>
      </c>
      <c r="B63" s="18" t="e">
        <f t="shared" si="17"/>
        <v>#VALUE!</v>
      </c>
      <c r="C63" s="18">
        <f t="shared" si="12"/>
        <v>0</v>
      </c>
      <c r="D63" s="18" t="str">
        <f t="shared" si="13"/>
        <v>x</v>
      </c>
      <c r="E63" s="101">
        <f>IF($A63&lt;='Alternative 2'!$B$27, IF($A63='Alternative 2'!$B$27,0,E64+1),0)</f>
        <v>0</v>
      </c>
      <c r="F63" s="101">
        <f>IF($A63&lt;=('Alternative 2'!$B$28), IF($A63=ROUNDDOWN('Alternative 2'!$B$28,0),0,F64+1),0)</f>
        <v>0</v>
      </c>
      <c r="G63" s="101">
        <f>IF($A63&lt;=('Alternative 2'!$B$29), IF($A63=ROUNDDOWN('Alternative 2'!$B$29,0),0,G64+1),0)</f>
        <v>0</v>
      </c>
      <c r="H63" s="18" t="e">
        <f t="shared" si="14"/>
        <v>#VALUE!</v>
      </c>
      <c r="J63" s="104">
        <f t="shared" si="15"/>
        <v>60</v>
      </c>
      <c r="K63" s="109">
        <f t="shared" si="16"/>
        <v>1.0471975511965976</v>
      </c>
      <c r="L63" s="105">
        <f>'Alternative 2'!$B$27*SIN(K63)+'Alternative 2'!$B$28*SIN(K63)+'Alternative 2'!$B$29*SIN(K63)</f>
        <v>37.230432108693016</v>
      </c>
      <c r="M63" s="104">
        <f>(('Alternative 2'!$B$27)*(((('Alternative 2'!$B$28-'Alternative 2'!$B$27)/2)+'Alternative 2'!$B$27)*'Alternative 2'!$B$39)*COS('Alternative 2-Tilt Up (3pt)'!K63))+(('Alternative 2'!$B$28)*((('Alternative 2'!$B$28-'Alternative 2'!$B$27)/2)+(('Alternative 2'!$B$29-'Alternative 2'!$B$28)/2))*('Alternative 2'!$B$39)*COS('Alternative 2-Tilt Up (3pt)'!K63))+(('Alternative 2'!$B$29)*((('Alternative 2'!$B$12-'Alternative 2'!$B$29+(('Alternative 2'!$B$29-'Alternative 2'!$B$28)/2)*('Alternative 2'!$B$39)*COS('Alternative 2-Tilt Up (3pt)'!K63)))))</f>
        <v>304940.89983511122</v>
      </c>
      <c r="N63" s="104">
        <f t="shared" si="0"/>
        <v>24571.906574560806</v>
      </c>
      <c r="O63" s="104">
        <f>(((('Alternative 2'!$B$28-'Alternative 2'!$B$27)/2)+'Alternative 2'!$B$27)*('Alternative 2'!$B$39)*COS('Alternative 2-Tilt Up (3pt)'!K63))+(((('Alternative 2'!$B$28-'Alternative 2'!$B$27)/2)+(('Alternative 2'!$B$29-'Alternative 2'!$B$28)/2))*('Alternative 2'!$B$39)*COS('Alternative 2-Tilt Up (3pt)'!K63))+(((('Alternative 2'!$B$12-'Alternative 2'!$B$29)+(('Alternative 2'!$B$29-'Alternative 2'!$B$28)/2))*('Alternative 2'!$B$39)*COS('Alternative 2-Tilt Up (3pt)'!K63)))</f>
        <v>31288.919636906554</v>
      </c>
      <c r="P63" s="109">
        <f t="shared" si="1"/>
        <v>12285.953287280405</v>
      </c>
      <c r="R63" s="105" t="e">
        <f>'Alternative 2'!$B$39*$B63*$C63*COS($K$5)-($N$5/3)*$E63*SIN($K$5)-($N$5/3)*$F63*SIN($K$5)-($N$5/3)*$G63*SIN($K$5)</f>
        <v>#VALUE!</v>
      </c>
      <c r="S63" s="106" t="e">
        <f>IF(($A63&lt;'Alternative 2'!$B$27),(($H63*'Alternative 2'!$B$39)+(3*($N$5/3)*COS($K$5))),IF(($A63&lt;'Alternative 2'!$B$28),(($H63*'Alternative 2'!$B$39)+(2*(($N$5/3)*COS($K$5)))),IF(($A63&lt;'Alternative 2'!$B$29),(($H$3*'Alternative 2'!$B$39+(($N$5/3)*COS($K$5)))),($H63*'Alternative 2'!$B$39))))</f>
        <v>#VALUE!</v>
      </c>
      <c r="T63" s="105" t="e">
        <f>R63*'Alternative 2'!$K64/'Alternative 2'!$L64</f>
        <v>#VALUE!</v>
      </c>
      <c r="U63" s="105" t="e">
        <f>S63/'Alternative 2'!$M64</f>
        <v>#VALUE!</v>
      </c>
      <c r="V63" s="105" t="e">
        <f t="shared" si="2"/>
        <v>#VALUE!</v>
      </c>
      <c r="X63" s="105" t="e">
        <f>'Alternative 2'!$B$39*$B63*$C63*COS($K$13)-($N$12/3)*$E63*SIN($K$13)-($N$12/3)*$F63*SIN($K$13)-($N$12/3)*$G63*SIN($K$13)</f>
        <v>#VALUE!</v>
      </c>
      <c r="Y63" s="106" t="e">
        <f>IF(($A63&lt;'Alternative 2'!$B$27),(($H63*'Alternative 2'!$B$39)+(3*($N$12/3)*COS($K$13))),IF(($A63&lt;'Alternative 2'!$B$28),(($H63*'Alternative 2'!$B$39)+(2*(($N$12/3)*COS($K$13)))),IF(($A63&lt;'Alternative 2'!$B$29),(($H$3*'Alternative 2'!$B$39+(($N$12/3)*COS($K$13)))),($H63*'Alternative 2'!$B$39))))</f>
        <v>#VALUE!</v>
      </c>
      <c r="Z63" s="105" t="e">
        <f>X63*'Alternative 2'!$K64/'Alternative 2'!$L64</f>
        <v>#VALUE!</v>
      </c>
      <c r="AA63" s="105" t="e">
        <f>Y63/'Alternative 2'!$M64</f>
        <v>#VALUE!</v>
      </c>
      <c r="AB63" s="105" t="e">
        <f t="shared" si="3"/>
        <v>#VALUE!</v>
      </c>
      <c r="AD63" s="105" t="e">
        <f>'Alternative 2'!$B$39*$B63*$C63*COS($K$23)-($N$22/3)*$E63*SIN($K$23)-($N$22/3)*$F63*SIN($K$23)-($N$22/3)*$G63*SIN($K$23)</f>
        <v>#VALUE!</v>
      </c>
      <c r="AE63" s="106" t="e">
        <f>IF(($A63&lt;'Alternative 2'!$B$27),(($H63*'Alternative 2'!$B$39)+(3*($N$22/3)*COS($K$23))),IF(($A63&lt;'Alternative 2'!$B$28),(($H63*'Alternative 2'!$B$39)+(2*(($N$22/3)*COS($K$23)))),IF(($A63&lt;'Alternative 2'!$B$29),(($H$3*'Alternative 2'!$B$39+(($N$22/3)*COS($K$23)))),($H63*'Alternative 2'!$B$39))))</f>
        <v>#VALUE!</v>
      </c>
      <c r="AF63" s="105" t="e">
        <f>AD63*'Alternative 2'!$K64/'Alternative 2'!$L64</f>
        <v>#VALUE!</v>
      </c>
      <c r="AG63" s="105" t="e">
        <f>AE63/'Alternative 2'!$M64</f>
        <v>#VALUE!</v>
      </c>
      <c r="AH63" s="105" t="e">
        <f t="shared" si="4"/>
        <v>#VALUE!</v>
      </c>
      <c r="AJ63" s="105" t="e">
        <f>'Alternative 2'!$B$39*$B63*$C63*COS($K$33)-($N$32/3)*$E63*SIN($K$33)-($N$32/3)*$F63*SIN($K$33)-($N$32/3)*$G63*SIN($K$33)</f>
        <v>#VALUE!</v>
      </c>
      <c r="AK63" s="106" t="e">
        <f>IF(($A63&lt;'Alternative 2'!$B$27),(($H63*'Alternative 2'!$B$39)+(3*($N$32/3)*COS($K$33))),IF(($A63&lt;'Alternative 2'!$B$28),(($H63*'Alternative 2'!$B$39)+(2*(($N$32/3)*COS($K$33)))),IF(($A63&lt;'Alternative 2'!$B$29),(($H$3*'Alternative 2'!$B$39+(($N$32/3)*COS($K$33)))),($H63*'Alternative 2'!$B$39))))</f>
        <v>#VALUE!</v>
      </c>
      <c r="AL63" s="105" t="e">
        <f>AJ63*'Alternative 2'!$K64/'Alternative 2'!$L64</f>
        <v>#VALUE!</v>
      </c>
      <c r="AM63" s="105" t="e">
        <f>AK63/'Alternative 2'!$M64</f>
        <v>#VALUE!</v>
      </c>
      <c r="AN63" s="105" t="e">
        <f t="shared" si="5"/>
        <v>#VALUE!</v>
      </c>
      <c r="AP63" s="105" t="e">
        <f>'Alternative 2'!$B$39*$B63*$C63*COS($K$43)-($N$42/3)*$E63*SIN($K$43)-($N$42/3)*$F63*SIN($K$43)-($N$42/3)*$G63*SIN($K$43)</f>
        <v>#VALUE!</v>
      </c>
      <c r="AQ63" s="106" t="e">
        <f>IF(($A63&lt;'Alternative 2'!$B$27),(($H63*'Alternative 2'!$B$39)+(3*($N$42/3)*COS($K$43))),IF(($A63&lt;'Alternative 2'!$B$28),(($H63*'Alternative 2'!$B$39)+(2*(($N$42/3)*COS($K$43)))),IF(($A63&lt;'Alternative 2'!$B$29),(($H$3*'Alternative 2'!$B$39+(($N$42/3)*COS($K$43)))),($H63*'Alternative 2'!$B$39))))</f>
        <v>#VALUE!</v>
      </c>
      <c r="AR63" s="105" t="e">
        <f>AP63*'Alternative 2'!$K64/'Alternative 2'!$L64</f>
        <v>#VALUE!</v>
      </c>
      <c r="AS63" s="105" t="e">
        <f>AQ63/'Alternative 2'!$M64</f>
        <v>#VALUE!</v>
      </c>
      <c r="AT63" s="105" t="e">
        <f t="shared" si="6"/>
        <v>#VALUE!</v>
      </c>
      <c r="AV63" s="105" t="e">
        <f>'Alternative 2'!$B$39*$B63*$C63*COS($K$53)-($N$52/3)*$E63*SIN($K$53)-($N$52/3)*$F63*SIN($K$53)-($N$52/3)*$G63*SIN($K$53)</f>
        <v>#VALUE!</v>
      </c>
      <c r="AW63" s="106" t="e">
        <f>IF(($A63&lt;'Alternative 2'!$B$27),(($H63*'Alternative 2'!$B$39)+(3*($N$52/3)*COS($K$53))),IF(($A63&lt;'Alternative 2'!$B$28),(($H63*'Alternative 2'!$B$39)+(2*(($N$52/3)*COS($K$53)))),IF(($A63&lt;'Alternative 2'!$B$29),(($H$3*'Alternative 2'!$B$39+(($N$52/3)*COS($K$53)))),($H63*'Alternative 2'!$B$39))))</f>
        <v>#VALUE!</v>
      </c>
      <c r="AX63" s="105" t="e">
        <f>AV63*'Alternative 2'!$K64/'Alternative 2'!$L64</f>
        <v>#VALUE!</v>
      </c>
      <c r="AY63" s="105" t="e">
        <f>AW63/'Alternative 2'!$M64</f>
        <v>#VALUE!</v>
      </c>
      <c r="AZ63" s="105" t="e">
        <f t="shared" si="7"/>
        <v>#VALUE!</v>
      </c>
      <c r="BB63" s="105" t="e">
        <f>'Alternative 2'!$B$39*$B63*$C63*COS($K$63)-($N$62/3)*$E63*SIN($K$63)-($N$62/3)*$F63*SIN($K$63)-($N$62/3)*$G63*SIN($K$63)</f>
        <v>#VALUE!</v>
      </c>
      <c r="BC63" s="106" t="e">
        <f>IF(($A63&lt;'Alternative 2'!$B$27),(($H63*'Alternative 2'!$B$39)+(3*($N$62/3)*COS($K$63))),IF(($A63&lt;'Alternative 2'!$B$28),(($H63*'Alternative 2'!$B$39)+(2*(($N$62/3)*COS($K$63)))),IF(($A63&lt;'Alternative 2'!$B$29),(($H$3*'Alternative 2'!$B$39+(($N$62/3)*COS($K$63)))),($H63*'Alternative 2'!$B$39))))</f>
        <v>#VALUE!</v>
      </c>
      <c r="BD63" s="105" t="e">
        <f>BB63*'Alternative 2'!$K64/'Alternative 2'!$L64</f>
        <v>#VALUE!</v>
      </c>
      <c r="BE63" s="105" t="e">
        <f>BC63/'Alternative 2'!$M64</f>
        <v>#VALUE!</v>
      </c>
      <c r="BF63" s="105" t="e">
        <f t="shared" si="8"/>
        <v>#VALUE!</v>
      </c>
      <c r="BH63" s="105" t="e">
        <f>'Alternative 2'!$B$39*$B63*$C63*COS($K$73)-($N$72/3)*$E63*SIN($K$73)-($N$72/3)*$F63*SIN($K$73)-($N$72/3)*$G63*SIN($K$73)</f>
        <v>#VALUE!</v>
      </c>
      <c r="BI63" s="106" t="e">
        <f>IF(($A63&lt;'Alternative 2'!$B$27),(($H63*'Alternative 2'!$B$39)+(3*($N$72/3)*COS($K$73))),IF(($A63&lt;'Alternative 2'!$B$28),(($H63*'Alternative 2'!$B$39)+(2*(($N$72/3)*COS($K$73)))),IF(($A63&lt;'Alternative 2'!$B$29),(($H$3*'Alternative 2'!$B$39+(($N$72/3)*COS($K$73)))),($H63*'Alternative 2'!$B$39))))</f>
        <v>#VALUE!</v>
      </c>
      <c r="BJ63" s="105" t="e">
        <f>BH63*'Alternative 2'!$K64/'Alternative 2'!$L64</f>
        <v>#VALUE!</v>
      </c>
      <c r="BK63" s="105" t="e">
        <f>BI63/'Alternative 2'!$M64</f>
        <v>#VALUE!</v>
      </c>
      <c r="BL63" s="105" t="e">
        <f t="shared" si="9"/>
        <v>#VALUE!</v>
      </c>
      <c r="BN63" s="105" t="e">
        <f>'Alternative 2'!$B$39*$B63*$C63*COS($K$83)-($N$82/3)*$E63*SIN($K$83)-($N$82/3)*$F63*SIN($K$83)-($N$82/3)*$G63*SIN($K$83)</f>
        <v>#VALUE!</v>
      </c>
      <c r="BO63" s="106" t="e">
        <f>IF(($A63&lt;'Alternative 2'!$B$27),(($H63*'Alternative 2'!$B$39)+(3*($N$82/3)*COS($K$83))),IF(($A63&lt;'Alternative 2'!$B$28),(($H63*'Alternative 2'!$B$39)+(2*(($N$82/3)*COS($K$83)))),IF(($A63&lt;'Alternative 2'!$B$29),(($H$3*'Alternative 2'!$B$39+(($N$82/3)*COS($K$83)))),($H63*'Alternative 2'!$B$39))))</f>
        <v>#VALUE!</v>
      </c>
      <c r="BP63" s="105" t="e">
        <f>BN63*'Alternative 2'!$K64/'Alternative 2'!$L64</f>
        <v>#VALUE!</v>
      </c>
      <c r="BQ63" s="105" t="e">
        <f>BO63/'Alternative 2'!$M64</f>
        <v>#VALUE!</v>
      </c>
      <c r="BR63" s="105" t="e">
        <f t="shared" si="10"/>
        <v>#VALUE!</v>
      </c>
      <c r="BT63" s="105" t="e">
        <f>'Alternative 2'!$B$39*$B63*$C63*COS($K$93)-($K$92/3)*$E63*SIN($K$93)-($K$92/3)*$F63*SIN($K$93)-($K$92/3)*$G63*SIN($K$93)</f>
        <v>#VALUE!</v>
      </c>
      <c r="BU63" s="106" t="e">
        <f>IF(($A63&lt;'Alternative 2'!$B$27),(($H63*'Alternative 2'!$B$39)+(3*($N$92/3)*COS($K$93))),IF(($A63&lt;'Alternative 2'!$B$28),(($H63*'Alternative 2'!$B$39)+(2*(($N$92/3)*COS($K$93)))),IF(($A63&lt;'Alternative 2'!$B$29),(($H$3*'Alternative 2'!$B$39+(($N$92/3)*COS($K$93)))),($H63*'Alternative 2'!$B$39))))</f>
        <v>#VALUE!</v>
      </c>
      <c r="BV63" s="105" t="e">
        <f>BT63*'Alternative 2'!$K64/'Alternative 2'!$L64</f>
        <v>#VALUE!</v>
      </c>
      <c r="BW63" s="105" t="e">
        <f>BU63/'Alternative 2'!$M64</f>
        <v>#VALUE!</v>
      </c>
      <c r="BX63" s="105" t="e">
        <f t="shared" si="11"/>
        <v>#VALUE!</v>
      </c>
      <c r="BZ63" s="104">
        <v>150</v>
      </c>
      <c r="CA63" s="104">
        <v>-150</v>
      </c>
    </row>
    <row r="64" spans="1:79" ht="15" customHeight="1" x14ac:dyDescent="0.25">
      <c r="A64" s="18" t="str">
        <f>IF('Alternative 2'!F65&gt;0,'Alternative 2'!F65,"x")</f>
        <v>x</v>
      </c>
      <c r="B64" s="18" t="e">
        <f t="shared" si="17"/>
        <v>#VALUE!</v>
      </c>
      <c r="C64" s="18">
        <f t="shared" si="12"/>
        <v>0</v>
      </c>
      <c r="D64" s="18" t="str">
        <f t="shared" si="13"/>
        <v>x</v>
      </c>
      <c r="E64" s="101">
        <f>IF($A64&lt;='Alternative 2'!$B$27, IF($A64='Alternative 2'!$B$27,0,E65+1),0)</f>
        <v>0</v>
      </c>
      <c r="F64" s="101">
        <f>IF($A64&lt;=('Alternative 2'!$B$28), IF($A64=ROUNDDOWN('Alternative 2'!$B$28,0),0,F65+1),0)</f>
        <v>0</v>
      </c>
      <c r="G64" s="101">
        <f>IF($A64&lt;=('Alternative 2'!$B$29), IF($A64=ROUNDDOWN('Alternative 2'!$B$29,0),0,G65+1),0)</f>
        <v>0</v>
      </c>
      <c r="H64" s="18" t="e">
        <f t="shared" si="14"/>
        <v>#VALUE!</v>
      </c>
      <c r="J64" s="104">
        <f t="shared" si="15"/>
        <v>61</v>
      </c>
      <c r="K64" s="104">
        <f t="shared" si="16"/>
        <v>1.064650843716541</v>
      </c>
      <c r="L64" s="105">
        <f>'Alternative 2'!$B$27*SIN(K64)+'Alternative 2'!$B$28*SIN(K64)+'Alternative 2'!$B$29*SIN(K64)</f>
        <v>37.599901209922621</v>
      </c>
      <c r="M64" s="104">
        <f>(('Alternative 2'!$B$27)*(((('Alternative 2'!$B$28-'Alternative 2'!$B$27)/2)+'Alternative 2'!$B$27)*'Alternative 2'!$B$39)*COS('Alternative 2-Tilt Up (3pt)'!K64))+(('Alternative 2'!$B$28)*((('Alternative 2'!$B$28-'Alternative 2'!$B$27)/2)+(('Alternative 2'!$B$29-'Alternative 2'!$B$28)/2))*('Alternative 2'!$B$39)*COS('Alternative 2-Tilt Up (3pt)'!K64))+(('Alternative 2'!$B$29)*((('Alternative 2'!$B$12-'Alternative 2'!$B$29+(('Alternative 2'!$B$29-'Alternative 2'!$B$28)/2)*('Alternative 2'!$B$39)*COS('Alternative 2-Tilt Up (3pt)'!K64)))))</f>
        <v>295679.02406085341</v>
      </c>
      <c r="N64" s="104">
        <f t="shared" si="0"/>
        <v>23591.473478352411</v>
      </c>
      <c r="O64" s="104">
        <f>(((('Alternative 2'!$B$28-'Alternative 2'!$B$27)/2)+'Alternative 2'!$B$27)*('Alternative 2'!$B$39)*COS('Alternative 2-Tilt Up (3pt)'!K64))+(((('Alternative 2'!$B$28-'Alternative 2'!$B$27)/2)+(('Alternative 2'!$B$29-'Alternative 2'!$B$28)/2))*('Alternative 2'!$B$39)*COS('Alternative 2-Tilt Up (3pt)'!K64))+(((('Alternative 2'!$B$12-'Alternative 2'!$B$29)+(('Alternative 2'!$B$29-'Alternative 2'!$B$28)/2))*('Alternative 2'!$B$39)*COS('Alternative 2-Tilt Up (3pt)'!K64)))</f>
        <v>30338.338494173651</v>
      </c>
      <c r="P64" s="104">
        <f t="shared" si="1"/>
        <v>11437.373298091567</v>
      </c>
      <c r="R64" s="105" t="e">
        <f>'Alternative 2'!$B$39*$B64*$C64*COS($K$5)-($N$5/3)*$E64*SIN($K$5)-($N$5/3)*$F64*SIN($K$5)-($N$5/3)*$G64*SIN($K$5)</f>
        <v>#VALUE!</v>
      </c>
      <c r="S64" s="106" t="e">
        <f>IF(($A64&lt;'Alternative 2'!$B$27),(($H64*'Alternative 2'!$B$39)+(3*($N$5/3)*COS($K$5))),IF(($A64&lt;'Alternative 2'!$B$28),(($H64*'Alternative 2'!$B$39)+(2*(($N$5/3)*COS($K$5)))),IF(($A64&lt;'Alternative 2'!$B$29),(($H$3*'Alternative 2'!$B$39+(($N$5/3)*COS($K$5)))),($H64*'Alternative 2'!$B$39))))</f>
        <v>#VALUE!</v>
      </c>
      <c r="T64" s="105" t="e">
        <f>R64*'Alternative 2'!$K65/'Alternative 2'!$L65</f>
        <v>#VALUE!</v>
      </c>
      <c r="U64" s="105" t="e">
        <f>S64/'Alternative 2'!$M65</f>
        <v>#VALUE!</v>
      </c>
      <c r="V64" s="105" t="e">
        <f t="shared" si="2"/>
        <v>#VALUE!</v>
      </c>
      <c r="X64" s="105" t="e">
        <f>'Alternative 2'!$B$39*$B64*$C64*COS($K$13)-($N$12/3)*$E64*SIN($K$13)-($N$12/3)*$F64*SIN($K$13)-($N$12/3)*$G64*SIN($K$13)</f>
        <v>#VALUE!</v>
      </c>
      <c r="Y64" s="106" t="e">
        <f>IF(($A64&lt;'Alternative 2'!$B$27),(($H64*'Alternative 2'!$B$39)+(3*($N$12/3)*COS($K$13))),IF(($A64&lt;'Alternative 2'!$B$28),(($H64*'Alternative 2'!$B$39)+(2*(($N$12/3)*COS($K$13)))),IF(($A64&lt;'Alternative 2'!$B$29),(($H$3*'Alternative 2'!$B$39+(($N$12/3)*COS($K$13)))),($H64*'Alternative 2'!$B$39))))</f>
        <v>#VALUE!</v>
      </c>
      <c r="Z64" s="105" t="e">
        <f>X64*'Alternative 2'!$K65/'Alternative 2'!$L65</f>
        <v>#VALUE!</v>
      </c>
      <c r="AA64" s="105" t="e">
        <f>Y64/'Alternative 2'!$M65</f>
        <v>#VALUE!</v>
      </c>
      <c r="AB64" s="105" t="e">
        <f t="shared" si="3"/>
        <v>#VALUE!</v>
      </c>
      <c r="AD64" s="105" t="e">
        <f>'Alternative 2'!$B$39*$B64*$C64*COS($K$23)-($N$22/3)*$E64*SIN($K$23)-($N$22/3)*$F64*SIN($K$23)-($N$22/3)*$G64*SIN($K$23)</f>
        <v>#VALUE!</v>
      </c>
      <c r="AE64" s="106" t="e">
        <f>IF(($A64&lt;'Alternative 2'!$B$27),(($H64*'Alternative 2'!$B$39)+(3*($N$22/3)*COS($K$23))),IF(($A64&lt;'Alternative 2'!$B$28),(($H64*'Alternative 2'!$B$39)+(2*(($N$22/3)*COS($K$23)))),IF(($A64&lt;'Alternative 2'!$B$29),(($H$3*'Alternative 2'!$B$39+(($N$22/3)*COS($K$23)))),($H64*'Alternative 2'!$B$39))))</f>
        <v>#VALUE!</v>
      </c>
      <c r="AF64" s="105" t="e">
        <f>AD64*'Alternative 2'!$K65/'Alternative 2'!$L65</f>
        <v>#VALUE!</v>
      </c>
      <c r="AG64" s="105" t="e">
        <f>AE64/'Alternative 2'!$M65</f>
        <v>#VALUE!</v>
      </c>
      <c r="AH64" s="105" t="e">
        <f t="shared" si="4"/>
        <v>#VALUE!</v>
      </c>
      <c r="AJ64" s="105" t="e">
        <f>'Alternative 2'!$B$39*$B64*$C64*COS($K$33)-($N$32/3)*$E64*SIN($K$33)-($N$32/3)*$F64*SIN($K$33)-($N$32/3)*$G64*SIN($K$33)</f>
        <v>#VALUE!</v>
      </c>
      <c r="AK64" s="106" t="e">
        <f>IF(($A64&lt;'Alternative 2'!$B$27),(($H64*'Alternative 2'!$B$39)+(3*($N$32/3)*COS($K$33))),IF(($A64&lt;'Alternative 2'!$B$28),(($H64*'Alternative 2'!$B$39)+(2*(($N$32/3)*COS($K$33)))),IF(($A64&lt;'Alternative 2'!$B$29),(($H$3*'Alternative 2'!$B$39+(($N$32/3)*COS($K$33)))),($H64*'Alternative 2'!$B$39))))</f>
        <v>#VALUE!</v>
      </c>
      <c r="AL64" s="105" t="e">
        <f>AJ64*'Alternative 2'!$K65/'Alternative 2'!$L65</f>
        <v>#VALUE!</v>
      </c>
      <c r="AM64" s="105" t="e">
        <f>AK64/'Alternative 2'!$M65</f>
        <v>#VALUE!</v>
      </c>
      <c r="AN64" s="105" t="e">
        <f t="shared" si="5"/>
        <v>#VALUE!</v>
      </c>
      <c r="AP64" s="105" t="e">
        <f>'Alternative 2'!$B$39*$B64*$C64*COS($K$43)-($N$42/3)*$E64*SIN($K$43)-($N$42/3)*$F64*SIN($K$43)-($N$42/3)*$G64*SIN($K$43)</f>
        <v>#VALUE!</v>
      </c>
      <c r="AQ64" s="106" t="e">
        <f>IF(($A64&lt;'Alternative 2'!$B$27),(($H64*'Alternative 2'!$B$39)+(3*($N$42/3)*COS($K$43))),IF(($A64&lt;'Alternative 2'!$B$28),(($H64*'Alternative 2'!$B$39)+(2*(($N$42/3)*COS($K$43)))),IF(($A64&lt;'Alternative 2'!$B$29),(($H$3*'Alternative 2'!$B$39+(($N$42/3)*COS($K$43)))),($H64*'Alternative 2'!$B$39))))</f>
        <v>#VALUE!</v>
      </c>
      <c r="AR64" s="105" t="e">
        <f>AP64*'Alternative 2'!$K65/'Alternative 2'!$L65</f>
        <v>#VALUE!</v>
      </c>
      <c r="AS64" s="105" t="e">
        <f>AQ64/'Alternative 2'!$M65</f>
        <v>#VALUE!</v>
      </c>
      <c r="AT64" s="105" t="e">
        <f t="shared" si="6"/>
        <v>#VALUE!</v>
      </c>
      <c r="AV64" s="105" t="e">
        <f>'Alternative 2'!$B$39*$B64*$C64*COS($K$53)-($N$52/3)*$E64*SIN($K$53)-($N$52/3)*$F64*SIN($K$53)-($N$52/3)*$G64*SIN($K$53)</f>
        <v>#VALUE!</v>
      </c>
      <c r="AW64" s="106" t="e">
        <f>IF(($A64&lt;'Alternative 2'!$B$27),(($H64*'Alternative 2'!$B$39)+(3*($N$52/3)*COS($K$53))),IF(($A64&lt;'Alternative 2'!$B$28),(($H64*'Alternative 2'!$B$39)+(2*(($N$52/3)*COS($K$53)))),IF(($A64&lt;'Alternative 2'!$B$29),(($H$3*'Alternative 2'!$B$39+(($N$52/3)*COS($K$53)))),($H64*'Alternative 2'!$B$39))))</f>
        <v>#VALUE!</v>
      </c>
      <c r="AX64" s="105" t="e">
        <f>AV64*'Alternative 2'!$K65/'Alternative 2'!$L65</f>
        <v>#VALUE!</v>
      </c>
      <c r="AY64" s="105" t="e">
        <f>AW64/'Alternative 2'!$M65</f>
        <v>#VALUE!</v>
      </c>
      <c r="AZ64" s="105" t="e">
        <f t="shared" si="7"/>
        <v>#VALUE!</v>
      </c>
      <c r="BB64" s="105" t="e">
        <f>'Alternative 2'!$B$39*$B64*$C64*COS($K$63)-($N$62/3)*$E64*SIN($K$63)-($N$62/3)*$F64*SIN($K$63)-($N$62/3)*$G64*SIN($K$63)</f>
        <v>#VALUE!</v>
      </c>
      <c r="BC64" s="106" t="e">
        <f>IF(($A64&lt;'Alternative 2'!$B$27),(($H64*'Alternative 2'!$B$39)+(3*($N$62/3)*COS($K$63))),IF(($A64&lt;'Alternative 2'!$B$28),(($H64*'Alternative 2'!$B$39)+(2*(($N$62/3)*COS($K$63)))),IF(($A64&lt;'Alternative 2'!$B$29),(($H$3*'Alternative 2'!$B$39+(($N$62/3)*COS($K$63)))),($H64*'Alternative 2'!$B$39))))</f>
        <v>#VALUE!</v>
      </c>
      <c r="BD64" s="105" t="e">
        <f>BB64*'Alternative 2'!$K65/'Alternative 2'!$L65</f>
        <v>#VALUE!</v>
      </c>
      <c r="BE64" s="105" t="e">
        <f>BC64/'Alternative 2'!$M65</f>
        <v>#VALUE!</v>
      </c>
      <c r="BF64" s="105" t="e">
        <f t="shared" si="8"/>
        <v>#VALUE!</v>
      </c>
      <c r="BH64" s="105" t="e">
        <f>'Alternative 2'!$B$39*$B64*$C64*COS($K$73)-($N$72/3)*$E64*SIN($K$73)-($N$72/3)*$F64*SIN($K$73)-($N$72/3)*$G64*SIN($K$73)</f>
        <v>#VALUE!</v>
      </c>
      <c r="BI64" s="106" t="e">
        <f>IF(($A64&lt;'Alternative 2'!$B$27),(($H64*'Alternative 2'!$B$39)+(3*($N$72/3)*COS($K$73))),IF(($A64&lt;'Alternative 2'!$B$28),(($H64*'Alternative 2'!$B$39)+(2*(($N$72/3)*COS($K$73)))),IF(($A64&lt;'Alternative 2'!$B$29),(($H$3*'Alternative 2'!$B$39+(($N$72/3)*COS($K$73)))),($H64*'Alternative 2'!$B$39))))</f>
        <v>#VALUE!</v>
      </c>
      <c r="BJ64" s="105" t="e">
        <f>BH64*'Alternative 2'!$K65/'Alternative 2'!$L65</f>
        <v>#VALUE!</v>
      </c>
      <c r="BK64" s="105" t="e">
        <f>BI64/'Alternative 2'!$M65</f>
        <v>#VALUE!</v>
      </c>
      <c r="BL64" s="105" t="e">
        <f t="shared" si="9"/>
        <v>#VALUE!</v>
      </c>
      <c r="BN64" s="105" t="e">
        <f>'Alternative 2'!$B$39*$B64*$C64*COS($K$83)-($N$82/3)*$E64*SIN($K$83)-($N$82/3)*$F64*SIN($K$83)-($N$82/3)*$G64*SIN($K$83)</f>
        <v>#VALUE!</v>
      </c>
      <c r="BO64" s="106" t="e">
        <f>IF(($A64&lt;'Alternative 2'!$B$27),(($H64*'Alternative 2'!$B$39)+(3*($N$82/3)*COS($K$83))),IF(($A64&lt;'Alternative 2'!$B$28),(($H64*'Alternative 2'!$B$39)+(2*(($N$82/3)*COS($K$83)))),IF(($A64&lt;'Alternative 2'!$B$29),(($H$3*'Alternative 2'!$B$39+(($N$82/3)*COS($K$83)))),($H64*'Alternative 2'!$B$39))))</f>
        <v>#VALUE!</v>
      </c>
      <c r="BP64" s="105" t="e">
        <f>BN64*'Alternative 2'!$K65/'Alternative 2'!$L65</f>
        <v>#VALUE!</v>
      </c>
      <c r="BQ64" s="105" t="e">
        <f>BO64/'Alternative 2'!$M65</f>
        <v>#VALUE!</v>
      </c>
      <c r="BR64" s="105" t="e">
        <f t="shared" si="10"/>
        <v>#VALUE!</v>
      </c>
      <c r="BT64" s="105" t="e">
        <f>'Alternative 2'!$B$39*$B64*$C64*COS($K$93)-($K$92/3)*$E64*SIN($K$93)-($K$92/3)*$F64*SIN($K$93)-($K$92/3)*$G64*SIN($K$93)</f>
        <v>#VALUE!</v>
      </c>
      <c r="BU64" s="106" t="e">
        <f>IF(($A64&lt;'Alternative 2'!$B$27),(($H64*'Alternative 2'!$B$39)+(3*($N$92/3)*COS($K$93))),IF(($A64&lt;'Alternative 2'!$B$28),(($H64*'Alternative 2'!$B$39)+(2*(($N$92/3)*COS($K$93)))),IF(($A64&lt;'Alternative 2'!$B$29),(($H$3*'Alternative 2'!$B$39+(($N$92/3)*COS($K$93)))),($H64*'Alternative 2'!$B$39))))</f>
        <v>#VALUE!</v>
      </c>
      <c r="BV64" s="105" t="e">
        <f>BT64*'Alternative 2'!$K65/'Alternative 2'!$L65</f>
        <v>#VALUE!</v>
      </c>
      <c r="BW64" s="105" t="e">
        <f>BU64/'Alternative 2'!$M65</f>
        <v>#VALUE!</v>
      </c>
      <c r="BX64" s="105" t="e">
        <f t="shared" si="11"/>
        <v>#VALUE!</v>
      </c>
      <c r="BZ64" s="104">
        <v>150</v>
      </c>
      <c r="CA64" s="104">
        <v>-150</v>
      </c>
    </row>
    <row r="65" spans="1:79" ht="15" customHeight="1" x14ac:dyDescent="0.25">
      <c r="A65" s="18" t="str">
        <f>IF('Alternative 2'!F66&gt;0,'Alternative 2'!F66,"x")</f>
        <v>x</v>
      </c>
      <c r="B65" s="18" t="e">
        <f t="shared" si="17"/>
        <v>#VALUE!</v>
      </c>
      <c r="C65" s="18">
        <f t="shared" si="12"/>
        <v>0</v>
      </c>
      <c r="D65" s="18" t="str">
        <f t="shared" si="13"/>
        <v>x</v>
      </c>
      <c r="E65" s="101">
        <f>IF($A65&lt;='Alternative 2'!$B$27, IF($A65='Alternative 2'!$B$27,0,E66+1),0)</f>
        <v>0</v>
      </c>
      <c r="F65" s="101">
        <f>IF($A65&lt;=('Alternative 2'!$B$28), IF($A65=ROUNDDOWN('Alternative 2'!$B$28,0),0,F66+1),0)</f>
        <v>0</v>
      </c>
      <c r="G65" s="101">
        <f>IF($A65&lt;=('Alternative 2'!$B$29), IF($A65=ROUNDDOWN('Alternative 2'!$B$29,0),0,G66+1),0)</f>
        <v>0</v>
      </c>
      <c r="H65" s="18" t="e">
        <f t="shared" si="14"/>
        <v>#VALUE!</v>
      </c>
      <c r="J65" s="104">
        <f t="shared" si="15"/>
        <v>62</v>
      </c>
      <c r="K65" s="104">
        <f t="shared" si="16"/>
        <v>1.0821041362364843</v>
      </c>
      <c r="L65" s="105">
        <f>'Alternative 2'!$B$27*SIN(K65)+'Alternative 2'!$B$28*SIN(K65)+'Alternative 2'!$B$29*SIN(K65)</f>
        <v>37.957917017005265</v>
      </c>
      <c r="M65" s="104">
        <f>(('Alternative 2'!$B$27)*(((('Alternative 2'!$B$28-'Alternative 2'!$B$27)/2)+'Alternative 2'!$B$27)*'Alternative 2'!$B$39)*COS('Alternative 2-Tilt Up (3pt)'!K65))+(('Alternative 2'!$B$28)*((('Alternative 2'!$B$28-'Alternative 2'!$B$27)/2)+(('Alternative 2'!$B$29-'Alternative 2'!$B$28)/2))*('Alternative 2'!$B$39)*COS('Alternative 2-Tilt Up (3pt)'!K65))+(('Alternative 2'!$B$29)*((('Alternative 2'!$B$12-'Alternative 2'!$B$29+(('Alternative 2'!$B$29-'Alternative 2'!$B$28)/2)*('Alternative 2'!$B$39)*COS('Alternative 2-Tilt Up (3pt)'!K65)))))</f>
        <v>286327.10626019235</v>
      </c>
      <c r="N65" s="104">
        <f t="shared" si="0"/>
        <v>22629.832885607255</v>
      </c>
      <c r="O65" s="104">
        <f>(((('Alternative 2'!$B$28-'Alternative 2'!$B$27)/2)+'Alternative 2'!$B$27)*('Alternative 2'!$B$39)*COS('Alternative 2-Tilt Up (3pt)'!K65))+(((('Alternative 2'!$B$28-'Alternative 2'!$B$27)/2)+(('Alternative 2'!$B$29-'Alternative 2'!$B$28)/2))*('Alternative 2'!$B$39)*COS('Alternative 2-Tilt Up (3pt)'!K65))+(((('Alternative 2'!$B$12-'Alternative 2'!$B$29)+(('Alternative 2'!$B$29-'Alternative 2'!$B$28)/2))*('Alternative 2'!$B$39)*COS('Alternative 2-Tilt Up (3pt)'!K65)))</f>
        <v>29378.515999641331</v>
      </c>
      <c r="P65" s="104">
        <f t="shared" si="1"/>
        <v>10624.063010389584</v>
      </c>
      <c r="R65" s="105" t="e">
        <f>'Alternative 2'!$B$39*$B65*$C65*COS($K$5)-($N$5/3)*$E65*SIN($K$5)-($N$5/3)*$F65*SIN($K$5)-($N$5/3)*$G65*SIN($K$5)</f>
        <v>#VALUE!</v>
      </c>
      <c r="S65" s="106" t="e">
        <f>IF(($A65&lt;'Alternative 2'!$B$27),(($H65*'Alternative 2'!$B$39)+(3*($N$5/3)*COS($K$5))),IF(($A65&lt;'Alternative 2'!$B$28),(($H65*'Alternative 2'!$B$39)+(2*(($N$5/3)*COS($K$5)))),IF(($A65&lt;'Alternative 2'!$B$29),(($H$3*'Alternative 2'!$B$39+(($N$5/3)*COS($K$5)))),($H65*'Alternative 2'!$B$39))))</f>
        <v>#VALUE!</v>
      </c>
      <c r="T65" s="105" t="e">
        <f>R65*'Alternative 2'!$K66/'Alternative 2'!$L66</f>
        <v>#VALUE!</v>
      </c>
      <c r="U65" s="105" t="e">
        <f>S65/'Alternative 2'!$M66</f>
        <v>#VALUE!</v>
      </c>
      <c r="V65" s="105" t="e">
        <f t="shared" si="2"/>
        <v>#VALUE!</v>
      </c>
      <c r="X65" s="105" t="e">
        <f>'Alternative 2'!$B$39*$B65*$C65*COS($K$13)-($N$12/3)*$E65*SIN($K$13)-($N$12/3)*$F65*SIN($K$13)-($N$12/3)*$G65*SIN($K$13)</f>
        <v>#VALUE!</v>
      </c>
      <c r="Y65" s="106" t="e">
        <f>IF(($A65&lt;'Alternative 2'!$B$27),(($H65*'Alternative 2'!$B$39)+(3*($N$12/3)*COS($K$13))),IF(($A65&lt;'Alternative 2'!$B$28),(($H65*'Alternative 2'!$B$39)+(2*(($N$12/3)*COS($K$13)))),IF(($A65&lt;'Alternative 2'!$B$29),(($H$3*'Alternative 2'!$B$39+(($N$12/3)*COS($K$13)))),($H65*'Alternative 2'!$B$39))))</f>
        <v>#VALUE!</v>
      </c>
      <c r="Z65" s="105" t="e">
        <f>X65*'Alternative 2'!$K66/'Alternative 2'!$L66</f>
        <v>#VALUE!</v>
      </c>
      <c r="AA65" s="105" t="e">
        <f>Y65/'Alternative 2'!$M66</f>
        <v>#VALUE!</v>
      </c>
      <c r="AB65" s="105" t="e">
        <f t="shared" si="3"/>
        <v>#VALUE!</v>
      </c>
      <c r="AD65" s="105" t="e">
        <f>'Alternative 2'!$B$39*$B65*$C65*COS($K$23)-($N$22/3)*$E65*SIN($K$23)-($N$22/3)*$F65*SIN($K$23)-($N$22/3)*$G65*SIN($K$23)</f>
        <v>#VALUE!</v>
      </c>
      <c r="AE65" s="106" t="e">
        <f>IF(($A65&lt;'Alternative 2'!$B$27),(($H65*'Alternative 2'!$B$39)+(3*($N$22/3)*COS($K$23))),IF(($A65&lt;'Alternative 2'!$B$28),(($H65*'Alternative 2'!$B$39)+(2*(($N$22/3)*COS($K$23)))),IF(($A65&lt;'Alternative 2'!$B$29),(($H$3*'Alternative 2'!$B$39+(($N$22/3)*COS($K$23)))),($H65*'Alternative 2'!$B$39))))</f>
        <v>#VALUE!</v>
      </c>
      <c r="AF65" s="105" t="e">
        <f>AD65*'Alternative 2'!$K66/'Alternative 2'!$L66</f>
        <v>#VALUE!</v>
      </c>
      <c r="AG65" s="105" t="e">
        <f>AE65/'Alternative 2'!$M66</f>
        <v>#VALUE!</v>
      </c>
      <c r="AH65" s="105" t="e">
        <f t="shared" si="4"/>
        <v>#VALUE!</v>
      </c>
      <c r="AJ65" s="105" t="e">
        <f>'Alternative 2'!$B$39*$B65*$C65*COS($K$33)-($N$32/3)*$E65*SIN($K$33)-($N$32/3)*$F65*SIN($K$33)-($N$32/3)*$G65*SIN($K$33)</f>
        <v>#VALUE!</v>
      </c>
      <c r="AK65" s="106" t="e">
        <f>IF(($A65&lt;'Alternative 2'!$B$27),(($H65*'Alternative 2'!$B$39)+(3*($N$32/3)*COS($K$33))),IF(($A65&lt;'Alternative 2'!$B$28),(($H65*'Alternative 2'!$B$39)+(2*(($N$32/3)*COS($K$33)))),IF(($A65&lt;'Alternative 2'!$B$29),(($H$3*'Alternative 2'!$B$39+(($N$32/3)*COS($K$33)))),($H65*'Alternative 2'!$B$39))))</f>
        <v>#VALUE!</v>
      </c>
      <c r="AL65" s="105" t="e">
        <f>AJ65*'Alternative 2'!$K66/'Alternative 2'!$L66</f>
        <v>#VALUE!</v>
      </c>
      <c r="AM65" s="105" t="e">
        <f>AK65/'Alternative 2'!$M66</f>
        <v>#VALUE!</v>
      </c>
      <c r="AN65" s="105" t="e">
        <f t="shared" si="5"/>
        <v>#VALUE!</v>
      </c>
      <c r="AP65" s="105" t="e">
        <f>'Alternative 2'!$B$39*$B65*$C65*COS($K$43)-($N$42/3)*$E65*SIN($K$43)-($N$42/3)*$F65*SIN($K$43)-($N$42/3)*$G65*SIN($K$43)</f>
        <v>#VALUE!</v>
      </c>
      <c r="AQ65" s="106" t="e">
        <f>IF(($A65&lt;'Alternative 2'!$B$27),(($H65*'Alternative 2'!$B$39)+(3*($N$42/3)*COS($K$43))),IF(($A65&lt;'Alternative 2'!$B$28),(($H65*'Alternative 2'!$B$39)+(2*(($N$42/3)*COS($K$43)))),IF(($A65&lt;'Alternative 2'!$B$29),(($H$3*'Alternative 2'!$B$39+(($N$42/3)*COS($K$43)))),($H65*'Alternative 2'!$B$39))))</f>
        <v>#VALUE!</v>
      </c>
      <c r="AR65" s="105" t="e">
        <f>AP65*'Alternative 2'!$K66/'Alternative 2'!$L66</f>
        <v>#VALUE!</v>
      </c>
      <c r="AS65" s="105" t="e">
        <f>AQ65/'Alternative 2'!$M66</f>
        <v>#VALUE!</v>
      </c>
      <c r="AT65" s="105" t="e">
        <f t="shared" si="6"/>
        <v>#VALUE!</v>
      </c>
      <c r="AV65" s="105" t="e">
        <f>'Alternative 2'!$B$39*$B65*$C65*COS($K$53)-($N$52/3)*$E65*SIN($K$53)-($N$52/3)*$F65*SIN($K$53)-($N$52/3)*$G65*SIN($K$53)</f>
        <v>#VALUE!</v>
      </c>
      <c r="AW65" s="106" t="e">
        <f>IF(($A65&lt;'Alternative 2'!$B$27),(($H65*'Alternative 2'!$B$39)+(3*($N$52/3)*COS($K$53))),IF(($A65&lt;'Alternative 2'!$B$28),(($H65*'Alternative 2'!$B$39)+(2*(($N$52/3)*COS($K$53)))),IF(($A65&lt;'Alternative 2'!$B$29),(($H$3*'Alternative 2'!$B$39+(($N$52/3)*COS($K$53)))),($H65*'Alternative 2'!$B$39))))</f>
        <v>#VALUE!</v>
      </c>
      <c r="AX65" s="105" t="e">
        <f>AV65*'Alternative 2'!$K66/'Alternative 2'!$L66</f>
        <v>#VALUE!</v>
      </c>
      <c r="AY65" s="105" t="e">
        <f>AW65/'Alternative 2'!$M66</f>
        <v>#VALUE!</v>
      </c>
      <c r="AZ65" s="105" t="e">
        <f t="shared" si="7"/>
        <v>#VALUE!</v>
      </c>
      <c r="BB65" s="105" t="e">
        <f>'Alternative 2'!$B$39*$B65*$C65*COS($K$63)-($N$62/3)*$E65*SIN($K$63)-($N$62/3)*$F65*SIN($K$63)-($N$62/3)*$G65*SIN($K$63)</f>
        <v>#VALUE!</v>
      </c>
      <c r="BC65" s="106" t="e">
        <f>IF(($A65&lt;'Alternative 2'!$B$27),(($H65*'Alternative 2'!$B$39)+(3*($N$62/3)*COS($K$63))),IF(($A65&lt;'Alternative 2'!$B$28),(($H65*'Alternative 2'!$B$39)+(2*(($N$62/3)*COS($K$63)))),IF(($A65&lt;'Alternative 2'!$B$29),(($H$3*'Alternative 2'!$B$39+(($N$62/3)*COS($K$63)))),($H65*'Alternative 2'!$B$39))))</f>
        <v>#VALUE!</v>
      </c>
      <c r="BD65" s="105" t="e">
        <f>BB65*'Alternative 2'!$K66/'Alternative 2'!$L66</f>
        <v>#VALUE!</v>
      </c>
      <c r="BE65" s="105" t="e">
        <f>BC65/'Alternative 2'!$M66</f>
        <v>#VALUE!</v>
      </c>
      <c r="BF65" s="105" t="e">
        <f t="shared" si="8"/>
        <v>#VALUE!</v>
      </c>
      <c r="BH65" s="105" t="e">
        <f>'Alternative 2'!$B$39*$B65*$C65*COS($K$73)-($N$72/3)*$E65*SIN($K$73)-($N$72/3)*$F65*SIN($K$73)-($N$72/3)*$G65*SIN($K$73)</f>
        <v>#VALUE!</v>
      </c>
      <c r="BI65" s="106" t="e">
        <f>IF(($A65&lt;'Alternative 2'!$B$27),(($H65*'Alternative 2'!$B$39)+(3*($N$72/3)*COS($K$73))),IF(($A65&lt;'Alternative 2'!$B$28),(($H65*'Alternative 2'!$B$39)+(2*(($N$72/3)*COS($K$73)))),IF(($A65&lt;'Alternative 2'!$B$29),(($H$3*'Alternative 2'!$B$39+(($N$72/3)*COS($K$73)))),($H65*'Alternative 2'!$B$39))))</f>
        <v>#VALUE!</v>
      </c>
      <c r="BJ65" s="105" t="e">
        <f>BH65*'Alternative 2'!$K66/'Alternative 2'!$L66</f>
        <v>#VALUE!</v>
      </c>
      <c r="BK65" s="105" t="e">
        <f>BI65/'Alternative 2'!$M66</f>
        <v>#VALUE!</v>
      </c>
      <c r="BL65" s="105" t="e">
        <f t="shared" si="9"/>
        <v>#VALUE!</v>
      </c>
      <c r="BN65" s="105" t="e">
        <f>'Alternative 2'!$B$39*$B65*$C65*COS($K$83)-($N$82/3)*$E65*SIN($K$83)-($N$82/3)*$F65*SIN($K$83)-($N$82/3)*$G65*SIN($K$83)</f>
        <v>#VALUE!</v>
      </c>
      <c r="BO65" s="106" t="e">
        <f>IF(($A65&lt;'Alternative 2'!$B$27),(($H65*'Alternative 2'!$B$39)+(3*($N$82/3)*COS($K$83))),IF(($A65&lt;'Alternative 2'!$B$28),(($H65*'Alternative 2'!$B$39)+(2*(($N$82/3)*COS($K$83)))),IF(($A65&lt;'Alternative 2'!$B$29),(($H$3*'Alternative 2'!$B$39+(($N$82/3)*COS($K$83)))),($H65*'Alternative 2'!$B$39))))</f>
        <v>#VALUE!</v>
      </c>
      <c r="BP65" s="105" t="e">
        <f>BN65*'Alternative 2'!$K66/'Alternative 2'!$L66</f>
        <v>#VALUE!</v>
      </c>
      <c r="BQ65" s="105" t="e">
        <f>BO65/'Alternative 2'!$M66</f>
        <v>#VALUE!</v>
      </c>
      <c r="BR65" s="105" t="e">
        <f t="shared" si="10"/>
        <v>#VALUE!</v>
      </c>
      <c r="BT65" s="105" t="e">
        <f>'Alternative 2'!$B$39*$B65*$C65*COS($K$93)-($K$92/3)*$E65*SIN($K$93)-($K$92/3)*$F65*SIN($K$93)-($K$92/3)*$G65*SIN($K$93)</f>
        <v>#VALUE!</v>
      </c>
      <c r="BU65" s="106" t="e">
        <f>IF(($A65&lt;'Alternative 2'!$B$27),(($H65*'Alternative 2'!$B$39)+(3*($N$92/3)*COS($K$93))),IF(($A65&lt;'Alternative 2'!$B$28),(($H65*'Alternative 2'!$B$39)+(2*(($N$92/3)*COS($K$93)))),IF(($A65&lt;'Alternative 2'!$B$29),(($H$3*'Alternative 2'!$B$39+(($N$92/3)*COS($K$93)))),($H65*'Alternative 2'!$B$39))))</f>
        <v>#VALUE!</v>
      </c>
      <c r="BV65" s="105" t="e">
        <f>BT65*'Alternative 2'!$K66/'Alternative 2'!$L66</f>
        <v>#VALUE!</v>
      </c>
      <c r="BW65" s="105" t="e">
        <f>BU65/'Alternative 2'!$M66</f>
        <v>#VALUE!</v>
      </c>
      <c r="BX65" s="105" t="e">
        <f t="shared" si="11"/>
        <v>#VALUE!</v>
      </c>
      <c r="BZ65" s="104">
        <v>150</v>
      </c>
      <c r="CA65" s="104">
        <v>-150</v>
      </c>
    </row>
    <row r="66" spans="1:79" ht="15" customHeight="1" x14ac:dyDescent="0.25">
      <c r="A66" s="18" t="str">
        <f>IF('Alternative 2'!F67&gt;0,'Alternative 2'!F67,"x")</f>
        <v>x</v>
      </c>
      <c r="B66" s="18" t="e">
        <f t="shared" si="17"/>
        <v>#VALUE!</v>
      </c>
      <c r="C66" s="18">
        <f t="shared" si="12"/>
        <v>0</v>
      </c>
      <c r="D66" s="18" t="str">
        <f t="shared" si="13"/>
        <v>x</v>
      </c>
      <c r="E66" s="101">
        <f>IF($A66&lt;='Alternative 2'!$B$27, IF($A66='Alternative 2'!$B$27,0,E67+1),0)</f>
        <v>0</v>
      </c>
      <c r="F66" s="101">
        <f>IF($A66&lt;=('Alternative 2'!$B$28), IF($A66=ROUNDDOWN('Alternative 2'!$B$28,0),0,F67+1),0)</f>
        <v>0</v>
      </c>
      <c r="G66" s="101">
        <f>IF($A66&lt;=('Alternative 2'!$B$29), IF($A66=ROUNDDOWN('Alternative 2'!$B$29,0),0,G67+1),0)</f>
        <v>0</v>
      </c>
      <c r="H66" s="18" t="e">
        <f t="shared" si="14"/>
        <v>#VALUE!</v>
      </c>
      <c r="J66" s="104">
        <f t="shared" si="15"/>
        <v>63</v>
      </c>
      <c r="K66" s="104">
        <f t="shared" si="16"/>
        <v>1.0995574287564276</v>
      </c>
      <c r="L66" s="105">
        <f>'Alternative 2'!$B$27*SIN(K66)+'Alternative 2'!$B$28*SIN(K66)+'Alternative 2'!$B$29*SIN(K66)</f>
        <v>38.304370474857933</v>
      </c>
      <c r="M66" s="104">
        <f>(('Alternative 2'!$B$27)*(((('Alternative 2'!$B$28-'Alternative 2'!$B$27)/2)+'Alternative 2'!$B$27)*'Alternative 2'!$B$39)*COS('Alternative 2-Tilt Up (3pt)'!K66))+(('Alternative 2'!$B$28)*((('Alternative 2'!$B$28-'Alternative 2'!$B$27)/2)+(('Alternative 2'!$B$29-'Alternative 2'!$B$28)/2))*('Alternative 2'!$B$39)*COS('Alternative 2-Tilt Up (3pt)'!K66))+(('Alternative 2'!$B$29)*((('Alternative 2'!$B$12-'Alternative 2'!$B$29+(('Alternative 2'!$B$29-'Alternative 2'!$B$28)/2)*('Alternative 2'!$B$39)*COS('Alternative 2-Tilt Up (3pt)'!K66)))))</f>
        <v>276887.99511788419</v>
      </c>
      <c r="N66" s="104">
        <f t="shared" si="0"/>
        <v>21685.880098170011</v>
      </c>
      <c r="O66" s="104">
        <f>(((('Alternative 2'!$B$28-'Alternative 2'!$B$27)/2)+'Alternative 2'!$B$27)*('Alternative 2'!$B$39)*COS('Alternative 2-Tilt Up (3pt)'!K66))+(((('Alternative 2'!$B$28-'Alternative 2'!$B$27)/2)+(('Alternative 2'!$B$29-'Alternative 2'!$B$28)/2))*('Alternative 2'!$B$39)*COS('Alternative 2-Tilt Up (3pt)'!K66))+(((('Alternative 2'!$B$12-'Alternative 2'!$B$29)+(('Alternative 2'!$B$29-'Alternative 2'!$B$28)/2))*('Alternative 2'!$B$39)*COS('Alternative 2-Tilt Up (3pt)'!K66)))</f>
        <v>28409.744524539445</v>
      </c>
      <c r="P66" s="104">
        <f t="shared" si="1"/>
        <v>9845.183543060095</v>
      </c>
      <c r="R66" s="105" t="e">
        <f>'Alternative 2'!$B$39*$B66*$C66*COS($K$5)-($N$5/3)*$E66*SIN($K$5)-($N$5/3)*$F66*SIN($K$5)-($N$5/3)*$G66*SIN($K$5)</f>
        <v>#VALUE!</v>
      </c>
      <c r="S66" s="106" t="e">
        <f>IF(($A66&lt;'Alternative 2'!$B$27),(($H66*'Alternative 2'!$B$39)+(3*($N$5/3)*COS($K$5))),IF(($A66&lt;'Alternative 2'!$B$28),(($H66*'Alternative 2'!$B$39)+(2*(($N$5/3)*COS($K$5)))),IF(($A66&lt;'Alternative 2'!$B$29),(($H$3*'Alternative 2'!$B$39+(($N$5/3)*COS($K$5)))),($H66*'Alternative 2'!$B$39))))</f>
        <v>#VALUE!</v>
      </c>
      <c r="T66" s="105" t="e">
        <f>R66*'Alternative 2'!$K67/'Alternative 2'!$L67</f>
        <v>#VALUE!</v>
      </c>
      <c r="U66" s="105" t="e">
        <f>S66/'Alternative 2'!$M67</f>
        <v>#VALUE!</v>
      </c>
      <c r="V66" s="105" t="e">
        <f t="shared" si="2"/>
        <v>#VALUE!</v>
      </c>
      <c r="X66" s="105" t="e">
        <f>'Alternative 2'!$B$39*$B66*$C66*COS($K$13)-($N$12/3)*$E66*SIN($K$13)-($N$12/3)*$F66*SIN($K$13)-($N$12/3)*$G66*SIN($K$13)</f>
        <v>#VALUE!</v>
      </c>
      <c r="Y66" s="106" t="e">
        <f>IF(($A66&lt;'Alternative 2'!$B$27),(($H66*'Alternative 2'!$B$39)+(3*($N$12/3)*COS($K$13))),IF(($A66&lt;'Alternative 2'!$B$28),(($H66*'Alternative 2'!$B$39)+(2*(($N$12/3)*COS($K$13)))),IF(($A66&lt;'Alternative 2'!$B$29),(($H$3*'Alternative 2'!$B$39+(($N$12/3)*COS($K$13)))),($H66*'Alternative 2'!$B$39))))</f>
        <v>#VALUE!</v>
      </c>
      <c r="Z66" s="105" t="e">
        <f>X66*'Alternative 2'!$K67/'Alternative 2'!$L67</f>
        <v>#VALUE!</v>
      </c>
      <c r="AA66" s="105" t="e">
        <f>Y66/'Alternative 2'!$M67</f>
        <v>#VALUE!</v>
      </c>
      <c r="AB66" s="105" t="e">
        <f t="shared" si="3"/>
        <v>#VALUE!</v>
      </c>
      <c r="AD66" s="105" t="e">
        <f>'Alternative 2'!$B$39*$B66*$C66*COS($K$23)-($N$22/3)*$E66*SIN($K$23)-($N$22/3)*$F66*SIN($K$23)-($N$22/3)*$G66*SIN($K$23)</f>
        <v>#VALUE!</v>
      </c>
      <c r="AE66" s="106" t="e">
        <f>IF(($A66&lt;'Alternative 2'!$B$27),(($H66*'Alternative 2'!$B$39)+(3*($N$22/3)*COS($K$23))),IF(($A66&lt;'Alternative 2'!$B$28),(($H66*'Alternative 2'!$B$39)+(2*(($N$22/3)*COS($K$23)))),IF(($A66&lt;'Alternative 2'!$B$29),(($H$3*'Alternative 2'!$B$39+(($N$22/3)*COS($K$23)))),($H66*'Alternative 2'!$B$39))))</f>
        <v>#VALUE!</v>
      </c>
      <c r="AF66" s="105" t="e">
        <f>AD66*'Alternative 2'!$K67/'Alternative 2'!$L67</f>
        <v>#VALUE!</v>
      </c>
      <c r="AG66" s="105" t="e">
        <f>AE66/'Alternative 2'!$M67</f>
        <v>#VALUE!</v>
      </c>
      <c r="AH66" s="105" t="e">
        <f t="shared" si="4"/>
        <v>#VALUE!</v>
      </c>
      <c r="AJ66" s="105" t="e">
        <f>'Alternative 2'!$B$39*$B66*$C66*COS($K$33)-($N$32/3)*$E66*SIN($K$33)-($N$32/3)*$F66*SIN($K$33)-($N$32/3)*$G66*SIN($K$33)</f>
        <v>#VALUE!</v>
      </c>
      <c r="AK66" s="106" t="e">
        <f>IF(($A66&lt;'Alternative 2'!$B$27),(($H66*'Alternative 2'!$B$39)+(3*($N$32/3)*COS($K$33))),IF(($A66&lt;'Alternative 2'!$B$28),(($H66*'Alternative 2'!$B$39)+(2*(($N$32/3)*COS($K$33)))),IF(($A66&lt;'Alternative 2'!$B$29),(($H$3*'Alternative 2'!$B$39+(($N$32/3)*COS($K$33)))),($H66*'Alternative 2'!$B$39))))</f>
        <v>#VALUE!</v>
      </c>
      <c r="AL66" s="105" t="e">
        <f>AJ66*'Alternative 2'!$K67/'Alternative 2'!$L67</f>
        <v>#VALUE!</v>
      </c>
      <c r="AM66" s="105" t="e">
        <f>AK66/'Alternative 2'!$M67</f>
        <v>#VALUE!</v>
      </c>
      <c r="AN66" s="105" t="e">
        <f t="shared" si="5"/>
        <v>#VALUE!</v>
      </c>
      <c r="AP66" s="105" t="e">
        <f>'Alternative 2'!$B$39*$B66*$C66*COS($K$43)-($N$42/3)*$E66*SIN($K$43)-($N$42/3)*$F66*SIN($K$43)-($N$42/3)*$G66*SIN($K$43)</f>
        <v>#VALUE!</v>
      </c>
      <c r="AQ66" s="106" t="e">
        <f>IF(($A66&lt;'Alternative 2'!$B$27),(($H66*'Alternative 2'!$B$39)+(3*($N$42/3)*COS($K$43))),IF(($A66&lt;'Alternative 2'!$B$28),(($H66*'Alternative 2'!$B$39)+(2*(($N$42/3)*COS($K$43)))),IF(($A66&lt;'Alternative 2'!$B$29),(($H$3*'Alternative 2'!$B$39+(($N$42/3)*COS($K$43)))),($H66*'Alternative 2'!$B$39))))</f>
        <v>#VALUE!</v>
      </c>
      <c r="AR66" s="105" t="e">
        <f>AP66*'Alternative 2'!$K67/'Alternative 2'!$L67</f>
        <v>#VALUE!</v>
      </c>
      <c r="AS66" s="105" t="e">
        <f>AQ66/'Alternative 2'!$M67</f>
        <v>#VALUE!</v>
      </c>
      <c r="AT66" s="105" t="e">
        <f t="shared" si="6"/>
        <v>#VALUE!</v>
      </c>
      <c r="AV66" s="105" t="e">
        <f>'Alternative 2'!$B$39*$B66*$C66*COS($K$53)-($N$52/3)*$E66*SIN($K$53)-($N$52/3)*$F66*SIN($K$53)-($N$52/3)*$G66*SIN($K$53)</f>
        <v>#VALUE!</v>
      </c>
      <c r="AW66" s="106" t="e">
        <f>IF(($A66&lt;'Alternative 2'!$B$27),(($H66*'Alternative 2'!$B$39)+(3*($N$52/3)*COS($K$53))),IF(($A66&lt;'Alternative 2'!$B$28),(($H66*'Alternative 2'!$B$39)+(2*(($N$52/3)*COS($K$53)))),IF(($A66&lt;'Alternative 2'!$B$29),(($H$3*'Alternative 2'!$B$39+(($N$52/3)*COS($K$53)))),($H66*'Alternative 2'!$B$39))))</f>
        <v>#VALUE!</v>
      </c>
      <c r="AX66" s="105" t="e">
        <f>AV66*'Alternative 2'!$K67/'Alternative 2'!$L67</f>
        <v>#VALUE!</v>
      </c>
      <c r="AY66" s="105" t="e">
        <f>AW66/'Alternative 2'!$M67</f>
        <v>#VALUE!</v>
      </c>
      <c r="AZ66" s="105" t="e">
        <f t="shared" si="7"/>
        <v>#VALUE!</v>
      </c>
      <c r="BB66" s="105" t="e">
        <f>'Alternative 2'!$B$39*$B66*$C66*COS($K$63)-($N$62/3)*$E66*SIN($K$63)-($N$62/3)*$F66*SIN($K$63)-($N$62/3)*$G66*SIN($K$63)</f>
        <v>#VALUE!</v>
      </c>
      <c r="BC66" s="106" t="e">
        <f>IF(($A66&lt;'Alternative 2'!$B$27),(($H66*'Alternative 2'!$B$39)+(3*($N$62/3)*COS($K$63))),IF(($A66&lt;'Alternative 2'!$B$28),(($H66*'Alternative 2'!$B$39)+(2*(($N$62/3)*COS($K$63)))),IF(($A66&lt;'Alternative 2'!$B$29),(($H$3*'Alternative 2'!$B$39+(($N$62/3)*COS($K$63)))),($H66*'Alternative 2'!$B$39))))</f>
        <v>#VALUE!</v>
      </c>
      <c r="BD66" s="105" t="e">
        <f>BB66*'Alternative 2'!$K67/'Alternative 2'!$L67</f>
        <v>#VALUE!</v>
      </c>
      <c r="BE66" s="105" t="e">
        <f>BC66/'Alternative 2'!$M67</f>
        <v>#VALUE!</v>
      </c>
      <c r="BF66" s="105" t="e">
        <f t="shared" si="8"/>
        <v>#VALUE!</v>
      </c>
      <c r="BH66" s="105" t="e">
        <f>'Alternative 2'!$B$39*$B66*$C66*COS($K$73)-($N$72/3)*$E66*SIN($K$73)-($N$72/3)*$F66*SIN($K$73)-($N$72/3)*$G66*SIN($K$73)</f>
        <v>#VALUE!</v>
      </c>
      <c r="BI66" s="106" t="e">
        <f>IF(($A66&lt;'Alternative 2'!$B$27),(($H66*'Alternative 2'!$B$39)+(3*($N$72/3)*COS($K$73))),IF(($A66&lt;'Alternative 2'!$B$28),(($H66*'Alternative 2'!$B$39)+(2*(($N$72/3)*COS($K$73)))),IF(($A66&lt;'Alternative 2'!$B$29),(($H$3*'Alternative 2'!$B$39+(($N$72/3)*COS($K$73)))),($H66*'Alternative 2'!$B$39))))</f>
        <v>#VALUE!</v>
      </c>
      <c r="BJ66" s="105" t="e">
        <f>BH66*'Alternative 2'!$K67/'Alternative 2'!$L67</f>
        <v>#VALUE!</v>
      </c>
      <c r="BK66" s="105" t="e">
        <f>BI66/'Alternative 2'!$M67</f>
        <v>#VALUE!</v>
      </c>
      <c r="BL66" s="105" t="e">
        <f t="shared" si="9"/>
        <v>#VALUE!</v>
      </c>
      <c r="BN66" s="105" t="e">
        <f>'Alternative 2'!$B$39*$B66*$C66*COS($K$83)-($N$82/3)*$E66*SIN($K$83)-($N$82/3)*$F66*SIN($K$83)-($N$82/3)*$G66*SIN($K$83)</f>
        <v>#VALUE!</v>
      </c>
      <c r="BO66" s="106" t="e">
        <f>IF(($A66&lt;'Alternative 2'!$B$27),(($H66*'Alternative 2'!$B$39)+(3*($N$82/3)*COS($K$83))),IF(($A66&lt;'Alternative 2'!$B$28),(($H66*'Alternative 2'!$B$39)+(2*(($N$82/3)*COS($K$83)))),IF(($A66&lt;'Alternative 2'!$B$29),(($H$3*'Alternative 2'!$B$39+(($N$82/3)*COS($K$83)))),($H66*'Alternative 2'!$B$39))))</f>
        <v>#VALUE!</v>
      </c>
      <c r="BP66" s="105" t="e">
        <f>BN66*'Alternative 2'!$K67/'Alternative 2'!$L67</f>
        <v>#VALUE!</v>
      </c>
      <c r="BQ66" s="105" t="e">
        <f>BO66/'Alternative 2'!$M67</f>
        <v>#VALUE!</v>
      </c>
      <c r="BR66" s="105" t="e">
        <f t="shared" si="10"/>
        <v>#VALUE!</v>
      </c>
      <c r="BT66" s="105" t="e">
        <f>'Alternative 2'!$B$39*$B66*$C66*COS($K$93)-($K$92/3)*$E66*SIN($K$93)-($K$92/3)*$F66*SIN($K$93)-($K$92/3)*$G66*SIN($K$93)</f>
        <v>#VALUE!</v>
      </c>
      <c r="BU66" s="106" t="e">
        <f>IF(($A66&lt;'Alternative 2'!$B$27),(($H66*'Alternative 2'!$B$39)+(3*($N$92/3)*COS($K$93))),IF(($A66&lt;'Alternative 2'!$B$28),(($H66*'Alternative 2'!$B$39)+(2*(($N$92/3)*COS($K$93)))),IF(($A66&lt;'Alternative 2'!$B$29),(($H$3*'Alternative 2'!$B$39+(($N$92/3)*COS($K$93)))),($H66*'Alternative 2'!$B$39))))</f>
        <v>#VALUE!</v>
      </c>
      <c r="BV66" s="105" t="e">
        <f>BT66*'Alternative 2'!$K67/'Alternative 2'!$L67</f>
        <v>#VALUE!</v>
      </c>
      <c r="BW66" s="105" t="e">
        <f>BU66/'Alternative 2'!$M67</f>
        <v>#VALUE!</v>
      </c>
      <c r="BX66" s="105" t="e">
        <f t="shared" si="11"/>
        <v>#VALUE!</v>
      </c>
      <c r="BZ66" s="104">
        <v>150</v>
      </c>
      <c r="CA66" s="104">
        <v>-150</v>
      </c>
    </row>
    <row r="67" spans="1:79" ht="15" customHeight="1" x14ac:dyDescent="0.25">
      <c r="A67" s="18" t="str">
        <f>IF('Alternative 2'!F68&gt;0,'Alternative 2'!F68,"x")</f>
        <v>x</v>
      </c>
      <c r="B67" s="18" t="e">
        <f t="shared" si="17"/>
        <v>#VALUE!</v>
      </c>
      <c r="C67" s="18">
        <f t="shared" si="12"/>
        <v>0</v>
      </c>
      <c r="D67" s="18" t="str">
        <f t="shared" si="13"/>
        <v>x</v>
      </c>
      <c r="E67" s="101">
        <f>IF($A67&lt;='Alternative 2'!$B$27, IF($A67='Alternative 2'!$B$27,0,E68+1),0)</f>
        <v>0</v>
      </c>
      <c r="F67" s="101">
        <f>IF($A67&lt;=('Alternative 2'!$B$28), IF($A67=ROUNDDOWN('Alternative 2'!$B$28,0),0,F68+1),0)</f>
        <v>0</v>
      </c>
      <c r="G67" s="101">
        <f>IF($A67&lt;=('Alternative 2'!$B$29), IF($A67=ROUNDDOWN('Alternative 2'!$B$29,0),0,G68+1),0)</f>
        <v>0</v>
      </c>
      <c r="H67" s="18" t="e">
        <f t="shared" si="14"/>
        <v>#VALUE!</v>
      </c>
      <c r="J67" s="104">
        <f t="shared" si="15"/>
        <v>64</v>
      </c>
      <c r="K67" s="104">
        <f t="shared" si="16"/>
        <v>1.1170107212763709</v>
      </c>
      <c r="L67" s="105">
        <f>'Alternative 2'!$B$27*SIN(K67)+'Alternative 2'!$B$28*SIN(K67)+'Alternative 2'!$B$29*SIN(K67)</f>
        <v>38.639156050401191</v>
      </c>
      <c r="M67" s="104">
        <f>(('Alternative 2'!$B$27)*(((('Alternative 2'!$B$28-'Alternative 2'!$B$27)/2)+'Alternative 2'!$B$27)*'Alternative 2'!$B$39)*COS('Alternative 2-Tilt Up (3pt)'!K67))+(('Alternative 2'!$B$28)*((('Alternative 2'!$B$28-'Alternative 2'!$B$27)/2)+(('Alternative 2'!$B$29-'Alternative 2'!$B$28)/2))*('Alternative 2'!$B$39)*COS('Alternative 2-Tilt Up (3pt)'!K67))+(('Alternative 2'!$B$29)*((('Alternative 2'!$B$12-'Alternative 2'!$B$29+(('Alternative 2'!$B$29-'Alternative 2'!$B$28)/2)*('Alternative 2'!$B$39)*COS('Alternative 2-Tilt Up (3pt)'!K67)))))</f>
        <v>267364.56587862171</v>
      </c>
      <c r="N67" s="104">
        <f t="shared" ref="N67:N93" si="18">M67*3/L67</f>
        <v>20758.571863981924</v>
      </c>
      <c r="O67" s="104">
        <f>(((('Alternative 2'!$B$28-'Alternative 2'!$B$27)/2)+'Alternative 2'!$B$27)*('Alternative 2'!$B$39)*COS('Alternative 2-Tilt Up (3pt)'!K67))+(((('Alternative 2'!$B$28-'Alternative 2'!$B$27)/2)+(('Alternative 2'!$B$29-'Alternative 2'!$B$28)/2))*('Alternative 2'!$B$39)*COS('Alternative 2-Tilt Up (3pt)'!K67))+(((('Alternative 2'!$B$12-'Alternative 2'!$B$29)+(('Alternative 2'!$B$29-'Alternative 2'!$B$28)/2))*('Alternative 2'!$B$39)*COS('Alternative 2-Tilt Up (3pt)'!K67)))</f>
        <v>27432.319166044021</v>
      </c>
      <c r="P67" s="104">
        <f t="shared" ref="P67:P93" si="19">N67*COS(K67)</f>
        <v>9099.9589537172342</v>
      </c>
      <c r="R67" s="105" t="e">
        <f>'Alternative 2'!$B$39*$B67*$C67*COS($K$5)-($N$5/3)*$E67*SIN($K$5)-($N$5/3)*$F67*SIN($K$5)-($N$5/3)*$G67*SIN($K$5)</f>
        <v>#VALUE!</v>
      </c>
      <c r="S67" s="106" t="e">
        <f>IF(($A67&lt;'Alternative 2'!$B$27),(($H67*'Alternative 2'!$B$39)+(3*($N$5/3)*COS($K$5))),IF(($A67&lt;'Alternative 2'!$B$28),(($H67*'Alternative 2'!$B$39)+(2*(($N$5/3)*COS($K$5)))),IF(($A67&lt;'Alternative 2'!$B$29),(($H$3*'Alternative 2'!$B$39+(($N$5/3)*COS($K$5)))),($H67*'Alternative 2'!$B$39))))</f>
        <v>#VALUE!</v>
      </c>
      <c r="T67" s="105" t="e">
        <f>R67*'Alternative 2'!$K68/'Alternative 2'!$L68</f>
        <v>#VALUE!</v>
      </c>
      <c r="U67" s="105" t="e">
        <f>S67/'Alternative 2'!$M68</f>
        <v>#VALUE!</v>
      </c>
      <c r="V67" s="105" t="e">
        <f t="shared" ref="V67:V93" si="20">(T67+U67)/1000000</f>
        <v>#VALUE!</v>
      </c>
      <c r="X67" s="105" t="e">
        <f>'Alternative 2'!$B$39*$B67*$C67*COS($K$13)-($N$12/3)*$E67*SIN($K$13)-($N$12/3)*$F67*SIN($K$13)-($N$12/3)*$G67*SIN($K$13)</f>
        <v>#VALUE!</v>
      </c>
      <c r="Y67" s="106" t="e">
        <f>IF(($A67&lt;'Alternative 2'!$B$27),(($H67*'Alternative 2'!$B$39)+(3*($N$12/3)*COS($K$13))),IF(($A67&lt;'Alternative 2'!$B$28),(($H67*'Alternative 2'!$B$39)+(2*(($N$12/3)*COS($K$13)))),IF(($A67&lt;'Alternative 2'!$B$29),(($H$3*'Alternative 2'!$B$39+(($N$12/3)*COS($K$13)))),($H67*'Alternative 2'!$B$39))))</f>
        <v>#VALUE!</v>
      </c>
      <c r="Z67" s="105" t="e">
        <f>X67*'Alternative 2'!$K68/'Alternative 2'!$L68</f>
        <v>#VALUE!</v>
      </c>
      <c r="AA67" s="105" t="e">
        <f>Y67/'Alternative 2'!$M68</f>
        <v>#VALUE!</v>
      </c>
      <c r="AB67" s="105" t="e">
        <f t="shared" ref="AB67:AB93" si="21">(Z67+AA67)/1000000</f>
        <v>#VALUE!</v>
      </c>
      <c r="AD67" s="105" t="e">
        <f>'Alternative 2'!$B$39*$B67*$C67*COS($K$23)-($N$22/3)*$E67*SIN($K$23)-($N$22/3)*$F67*SIN($K$23)-($N$22/3)*$G67*SIN($K$23)</f>
        <v>#VALUE!</v>
      </c>
      <c r="AE67" s="106" t="e">
        <f>IF(($A67&lt;'Alternative 2'!$B$27),(($H67*'Alternative 2'!$B$39)+(3*($N$22/3)*COS($K$23))),IF(($A67&lt;'Alternative 2'!$B$28),(($H67*'Alternative 2'!$B$39)+(2*(($N$22/3)*COS($K$23)))),IF(($A67&lt;'Alternative 2'!$B$29),(($H$3*'Alternative 2'!$B$39+(($N$22/3)*COS($K$23)))),($H67*'Alternative 2'!$B$39))))</f>
        <v>#VALUE!</v>
      </c>
      <c r="AF67" s="105" t="e">
        <f>AD67*'Alternative 2'!$K68/'Alternative 2'!$L68</f>
        <v>#VALUE!</v>
      </c>
      <c r="AG67" s="105" t="e">
        <f>AE67/'Alternative 2'!$M68</f>
        <v>#VALUE!</v>
      </c>
      <c r="AH67" s="105" t="e">
        <f t="shared" ref="AH67:AH93" si="22">(AF67+AG67)/1000000</f>
        <v>#VALUE!</v>
      </c>
      <c r="AJ67" s="105" t="e">
        <f>'Alternative 2'!$B$39*$B67*$C67*COS($K$33)-($N$32/3)*$E67*SIN($K$33)-($N$32/3)*$F67*SIN($K$33)-($N$32/3)*$G67*SIN($K$33)</f>
        <v>#VALUE!</v>
      </c>
      <c r="AK67" s="106" t="e">
        <f>IF(($A67&lt;'Alternative 2'!$B$27),(($H67*'Alternative 2'!$B$39)+(3*($N$32/3)*COS($K$33))),IF(($A67&lt;'Alternative 2'!$B$28),(($H67*'Alternative 2'!$B$39)+(2*(($N$32/3)*COS($K$33)))),IF(($A67&lt;'Alternative 2'!$B$29),(($H$3*'Alternative 2'!$B$39+(($N$32/3)*COS($K$33)))),($H67*'Alternative 2'!$B$39))))</f>
        <v>#VALUE!</v>
      </c>
      <c r="AL67" s="105" t="e">
        <f>AJ67*'Alternative 2'!$K68/'Alternative 2'!$L68</f>
        <v>#VALUE!</v>
      </c>
      <c r="AM67" s="105" t="e">
        <f>AK67/'Alternative 2'!$M68</f>
        <v>#VALUE!</v>
      </c>
      <c r="AN67" s="105" t="e">
        <f t="shared" ref="AN67:AN93" si="23">(AL67+AM67)/1000000</f>
        <v>#VALUE!</v>
      </c>
      <c r="AP67" s="105" t="e">
        <f>'Alternative 2'!$B$39*$B67*$C67*COS($K$43)-($N$42/3)*$E67*SIN($K$43)-($N$42/3)*$F67*SIN($K$43)-($N$42/3)*$G67*SIN($K$43)</f>
        <v>#VALUE!</v>
      </c>
      <c r="AQ67" s="106" t="e">
        <f>IF(($A67&lt;'Alternative 2'!$B$27),(($H67*'Alternative 2'!$B$39)+(3*($N$42/3)*COS($K$43))),IF(($A67&lt;'Alternative 2'!$B$28),(($H67*'Alternative 2'!$B$39)+(2*(($N$42/3)*COS($K$43)))),IF(($A67&lt;'Alternative 2'!$B$29),(($H$3*'Alternative 2'!$B$39+(($N$42/3)*COS($K$43)))),($H67*'Alternative 2'!$B$39))))</f>
        <v>#VALUE!</v>
      </c>
      <c r="AR67" s="105" t="e">
        <f>AP67*'Alternative 2'!$K68/'Alternative 2'!$L68</f>
        <v>#VALUE!</v>
      </c>
      <c r="AS67" s="105" t="e">
        <f>AQ67/'Alternative 2'!$M68</f>
        <v>#VALUE!</v>
      </c>
      <c r="AT67" s="105" t="e">
        <f t="shared" ref="AT67:AT93" si="24">(AR67+AS67)/1000000</f>
        <v>#VALUE!</v>
      </c>
      <c r="AV67" s="105" t="e">
        <f>'Alternative 2'!$B$39*$B67*$C67*COS($K$53)-($N$52/3)*$E67*SIN($K$53)-($N$52/3)*$F67*SIN($K$53)-($N$52/3)*$G67*SIN($K$53)</f>
        <v>#VALUE!</v>
      </c>
      <c r="AW67" s="106" t="e">
        <f>IF(($A67&lt;'Alternative 2'!$B$27),(($H67*'Alternative 2'!$B$39)+(3*($N$52/3)*COS($K$53))),IF(($A67&lt;'Alternative 2'!$B$28),(($H67*'Alternative 2'!$B$39)+(2*(($N$52/3)*COS($K$53)))),IF(($A67&lt;'Alternative 2'!$B$29),(($H$3*'Alternative 2'!$B$39+(($N$52/3)*COS($K$53)))),($H67*'Alternative 2'!$B$39))))</f>
        <v>#VALUE!</v>
      </c>
      <c r="AX67" s="105" t="e">
        <f>AV67*'Alternative 2'!$K68/'Alternative 2'!$L68</f>
        <v>#VALUE!</v>
      </c>
      <c r="AY67" s="105" t="e">
        <f>AW67/'Alternative 2'!$M68</f>
        <v>#VALUE!</v>
      </c>
      <c r="AZ67" s="105" t="e">
        <f t="shared" ref="AZ67:AZ93" si="25">(AX67+AY67)/1000000</f>
        <v>#VALUE!</v>
      </c>
      <c r="BB67" s="105" t="e">
        <f>'Alternative 2'!$B$39*$B67*$C67*COS($K$63)-($N$62/3)*$E67*SIN($K$63)-($N$62/3)*$F67*SIN($K$63)-($N$62/3)*$G67*SIN($K$63)</f>
        <v>#VALUE!</v>
      </c>
      <c r="BC67" s="106" t="e">
        <f>IF(($A67&lt;'Alternative 2'!$B$27),(($H67*'Alternative 2'!$B$39)+(3*($N$62/3)*COS($K$63))),IF(($A67&lt;'Alternative 2'!$B$28),(($H67*'Alternative 2'!$B$39)+(2*(($N$62/3)*COS($K$63)))),IF(($A67&lt;'Alternative 2'!$B$29),(($H$3*'Alternative 2'!$B$39+(($N$62/3)*COS($K$63)))),($H67*'Alternative 2'!$B$39))))</f>
        <v>#VALUE!</v>
      </c>
      <c r="BD67" s="105" t="e">
        <f>BB67*'Alternative 2'!$K68/'Alternative 2'!$L68</f>
        <v>#VALUE!</v>
      </c>
      <c r="BE67" s="105" t="e">
        <f>BC67/'Alternative 2'!$M68</f>
        <v>#VALUE!</v>
      </c>
      <c r="BF67" s="105" t="e">
        <f t="shared" ref="BF67:BF93" si="26">(BD67+BE67)/1000000</f>
        <v>#VALUE!</v>
      </c>
      <c r="BH67" s="105" t="e">
        <f>'Alternative 2'!$B$39*$B67*$C67*COS($K$73)-($N$72/3)*$E67*SIN($K$73)-($N$72/3)*$F67*SIN($K$73)-($N$72/3)*$G67*SIN($K$73)</f>
        <v>#VALUE!</v>
      </c>
      <c r="BI67" s="106" t="e">
        <f>IF(($A67&lt;'Alternative 2'!$B$27),(($H67*'Alternative 2'!$B$39)+(3*($N$72/3)*COS($K$73))),IF(($A67&lt;'Alternative 2'!$B$28),(($H67*'Alternative 2'!$B$39)+(2*(($N$72/3)*COS($K$73)))),IF(($A67&lt;'Alternative 2'!$B$29),(($H$3*'Alternative 2'!$B$39+(($N$72/3)*COS($K$73)))),($H67*'Alternative 2'!$B$39))))</f>
        <v>#VALUE!</v>
      </c>
      <c r="BJ67" s="105" t="e">
        <f>BH67*'Alternative 2'!$K68/'Alternative 2'!$L68</f>
        <v>#VALUE!</v>
      </c>
      <c r="BK67" s="105" t="e">
        <f>BI67/'Alternative 2'!$M68</f>
        <v>#VALUE!</v>
      </c>
      <c r="BL67" s="105" t="e">
        <f t="shared" ref="BL67:BL93" si="27">(BJ67+BK67)/1000000</f>
        <v>#VALUE!</v>
      </c>
      <c r="BN67" s="105" t="e">
        <f>'Alternative 2'!$B$39*$B67*$C67*COS($K$83)-($N$82/3)*$E67*SIN($K$83)-($N$82/3)*$F67*SIN($K$83)-($N$82/3)*$G67*SIN($K$83)</f>
        <v>#VALUE!</v>
      </c>
      <c r="BO67" s="106" t="e">
        <f>IF(($A67&lt;'Alternative 2'!$B$27),(($H67*'Alternative 2'!$B$39)+(3*($N$82/3)*COS($K$83))),IF(($A67&lt;'Alternative 2'!$B$28),(($H67*'Alternative 2'!$B$39)+(2*(($N$82/3)*COS($K$83)))),IF(($A67&lt;'Alternative 2'!$B$29),(($H$3*'Alternative 2'!$B$39+(($N$82/3)*COS($K$83)))),($H67*'Alternative 2'!$B$39))))</f>
        <v>#VALUE!</v>
      </c>
      <c r="BP67" s="105" t="e">
        <f>BN67*'Alternative 2'!$K68/'Alternative 2'!$L68</f>
        <v>#VALUE!</v>
      </c>
      <c r="BQ67" s="105" t="e">
        <f>BO67/'Alternative 2'!$M68</f>
        <v>#VALUE!</v>
      </c>
      <c r="BR67" s="105" t="e">
        <f t="shared" ref="BR67:BR93" si="28">(BP67+BQ67)/1000000</f>
        <v>#VALUE!</v>
      </c>
      <c r="BT67" s="105" t="e">
        <f>'Alternative 2'!$B$39*$B67*$C67*COS($K$93)-($K$92/3)*$E67*SIN($K$93)-($K$92/3)*$F67*SIN($K$93)-($K$92/3)*$G67*SIN($K$93)</f>
        <v>#VALUE!</v>
      </c>
      <c r="BU67" s="106" t="e">
        <f>IF(($A67&lt;'Alternative 2'!$B$27),(($H67*'Alternative 2'!$B$39)+(3*($N$92/3)*COS($K$93))),IF(($A67&lt;'Alternative 2'!$B$28),(($H67*'Alternative 2'!$B$39)+(2*(($N$92/3)*COS($K$93)))),IF(($A67&lt;'Alternative 2'!$B$29),(($H$3*'Alternative 2'!$B$39+(($N$92/3)*COS($K$93)))),($H67*'Alternative 2'!$B$39))))</f>
        <v>#VALUE!</v>
      </c>
      <c r="BV67" s="105" t="e">
        <f>BT67*'Alternative 2'!$K68/'Alternative 2'!$L68</f>
        <v>#VALUE!</v>
      </c>
      <c r="BW67" s="105" t="e">
        <f>BU67/'Alternative 2'!$M68</f>
        <v>#VALUE!</v>
      </c>
      <c r="BX67" s="105" t="e">
        <f t="shared" ref="BX67:BX93" si="29">(BV67+BW67)/1000000</f>
        <v>#VALUE!</v>
      </c>
      <c r="BZ67" s="104">
        <v>150</v>
      </c>
      <c r="CA67" s="104">
        <v>-150</v>
      </c>
    </row>
    <row r="68" spans="1:79" ht="15" customHeight="1" x14ac:dyDescent="0.25">
      <c r="A68" s="18" t="str">
        <f>IF('Alternative 2'!F69&gt;0,'Alternative 2'!F69,"x")</f>
        <v>x</v>
      </c>
      <c r="B68" s="18" t="e">
        <f t="shared" si="17"/>
        <v>#VALUE!</v>
      </c>
      <c r="C68" s="18">
        <f t="shared" ref="C68:C92" si="30">IF((A68="x"),0,C69+0.5)</f>
        <v>0</v>
      </c>
      <c r="D68" s="18" t="str">
        <f t="shared" ref="D68:D92" si="31">A68</f>
        <v>x</v>
      </c>
      <c r="E68" s="101">
        <f>IF($A68&lt;='Alternative 2'!$B$27, IF($A68='Alternative 2'!$B$27,0,E69+1),0)</f>
        <v>0</v>
      </c>
      <c r="F68" s="101">
        <f>IF($A68&lt;=('Alternative 2'!$B$28), IF($A68=ROUNDDOWN('Alternative 2'!$B$28,0),0,F69+1),0)</f>
        <v>0</v>
      </c>
      <c r="G68" s="101">
        <f>IF($A68&lt;=('Alternative 2'!$B$29), IF($A68=ROUNDDOWN('Alternative 2'!$B$29,0),0,G69+1),0)</f>
        <v>0</v>
      </c>
      <c r="H68" s="18" t="e">
        <f t="shared" ref="H68:H92" si="32">B68</f>
        <v>#VALUE!</v>
      </c>
      <c r="J68" s="104">
        <f t="shared" ref="J68:J93" si="33">J67+1</f>
        <v>65</v>
      </c>
      <c r="K68" s="104">
        <f t="shared" ref="K68:K93" si="34">J68*PI()/180</f>
        <v>1.1344640137963142</v>
      </c>
      <c r="L68" s="105">
        <f>'Alternative 2'!$B$27*SIN(K68)+'Alternative 2'!$B$28*SIN(K68)+'Alternative 2'!$B$29*SIN(K68)</f>
        <v>38.96217176470558</v>
      </c>
      <c r="M68" s="104">
        <f>(('Alternative 2'!$B$27)*(((('Alternative 2'!$B$28-'Alternative 2'!$B$27)/2)+'Alternative 2'!$B$27)*'Alternative 2'!$B$39)*COS('Alternative 2-Tilt Up (3pt)'!K68))+(('Alternative 2'!$B$28)*((('Alternative 2'!$B$28-'Alternative 2'!$B$27)/2)+(('Alternative 2'!$B$29-'Alternative 2'!$B$28)/2))*('Alternative 2'!$B$39)*COS('Alternative 2-Tilt Up (3pt)'!K68))+(('Alternative 2'!$B$29)*((('Alternative 2'!$B$12-'Alternative 2'!$B$29+(('Alternative 2'!$B$29-'Alternative 2'!$B$28)/2)*('Alternative 2'!$B$39)*COS('Alternative 2-Tilt Up (3pt)'!K68)))))</f>
        <v>257759.7194712066</v>
      </c>
      <c r="N68" s="104">
        <f t="shared" si="18"/>
        <v>19846.921344207647</v>
      </c>
      <c r="O68" s="104">
        <f>(((('Alternative 2'!$B$28-'Alternative 2'!$B$27)/2)+'Alternative 2'!$B$27)*('Alternative 2'!$B$39)*COS('Alternative 2-Tilt Up (3pt)'!K68))+(((('Alternative 2'!$B$28-'Alternative 2'!$B$27)/2)+(('Alternative 2'!$B$29-'Alternative 2'!$B$28)/2))*('Alternative 2'!$B$39)*COS('Alternative 2-Tilt Up (3pt)'!K68))+(((('Alternative 2'!$B$12-'Alternative 2'!$B$29)+(('Alternative 2'!$B$29-'Alternative 2'!$B$28)/2))*('Alternative 2'!$B$39)*COS('Alternative 2-Tilt Up (3pt)'!K68)))</f>
        <v>26446.537657387766</v>
      </c>
      <c r="P68" s="104">
        <f t="shared" si="19"/>
        <v>8387.6713993934209</v>
      </c>
      <c r="R68" s="105" t="e">
        <f>'Alternative 2'!$B$39*$B68*$C68*COS($K$5)-($N$5/3)*$E68*SIN($K$5)-($N$5/3)*$F68*SIN($K$5)-($N$5/3)*$G68*SIN($K$5)</f>
        <v>#VALUE!</v>
      </c>
      <c r="S68" s="106" t="e">
        <f>IF(($A68&lt;'Alternative 2'!$B$27),(($H68*'Alternative 2'!$B$39)+(3*($N$5/3)*COS($K$5))),IF(($A68&lt;'Alternative 2'!$B$28),(($H68*'Alternative 2'!$B$39)+(2*(($N$5/3)*COS($K$5)))),IF(($A68&lt;'Alternative 2'!$B$29),(($H$3*'Alternative 2'!$B$39+(($N$5/3)*COS($K$5)))),($H68*'Alternative 2'!$B$39))))</f>
        <v>#VALUE!</v>
      </c>
      <c r="T68" s="105" t="e">
        <f>R68*'Alternative 2'!$K69/'Alternative 2'!$L69</f>
        <v>#VALUE!</v>
      </c>
      <c r="U68" s="105" t="e">
        <f>S68/'Alternative 2'!$M69</f>
        <v>#VALUE!</v>
      </c>
      <c r="V68" s="105" t="e">
        <f t="shared" si="20"/>
        <v>#VALUE!</v>
      </c>
      <c r="X68" s="105" t="e">
        <f>'Alternative 2'!$B$39*$B68*$C68*COS($K$13)-($N$12/3)*$E68*SIN($K$13)-($N$12/3)*$F68*SIN($K$13)-($N$12/3)*$G68*SIN($K$13)</f>
        <v>#VALUE!</v>
      </c>
      <c r="Y68" s="106" t="e">
        <f>IF(($A68&lt;'Alternative 2'!$B$27),(($H68*'Alternative 2'!$B$39)+(3*($N$12/3)*COS($K$13))),IF(($A68&lt;'Alternative 2'!$B$28),(($H68*'Alternative 2'!$B$39)+(2*(($N$12/3)*COS($K$13)))),IF(($A68&lt;'Alternative 2'!$B$29),(($H$3*'Alternative 2'!$B$39+(($N$12/3)*COS($K$13)))),($H68*'Alternative 2'!$B$39))))</f>
        <v>#VALUE!</v>
      </c>
      <c r="Z68" s="105" t="e">
        <f>X68*'Alternative 2'!$K69/'Alternative 2'!$L69</f>
        <v>#VALUE!</v>
      </c>
      <c r="AA68" s="105" t="e">
        <f>Y68/'Alternative 2'!$M69</f>
        <v>#VALUE!</v>
      </c>
      <c r="AB68" s="105" t="e">
        <f t="shared" si="21"/>
        <v>#VALUE!</v>
      </c>
      <c r="AD68" s="105" t="e">
        <f>'Alternative 2'!$B$39*$B68*$C68*COS($K$23)-($N$22/3)*$E68*SIN($K$23)-($N$22/3)*$F68*SIN($K$23)-($N$22/3)*$G68*SIN($K$23)</f>
        <v>#VALUE!</v>
      </c>
      <c r="AE68" s="106" t="e">
        <f>IF(($A68&lt;'Alternative 2'!$B$27),(($H68*'Alternative 2'!$B$39)+(3*($N$22/3)*COS($K$23))),IF(($A68&lt;'Alternative 2'!$B$28),(($H68*'Alternative 2'!$B$39)+(2*(($N$22/3)*COS($K$23)))),IF(($A68&lt;'Alternative 2'!$B$29),(($H$3*'Alternative 2'!$B$39+(($N$22/3)*COS($K$23)))),($H68*'Alternative 2'!$B$39))))</f>
        <v>#VALUE!</v>
      </c>
      <c r="AF68" s="105" t="e">
        <f>AD68*'Alternative 2'!$K69/'Alternative 2'!$L69</f>
        <v>#VALUE!</v>
      </c>
      <c r="AG68" s="105" t="e">
        <f>AE68/'Alternative 2'!$M69</f>
        <v>#VALUE!</v>
      </c>
      <c r="AH68" s="105" t="e">
        <f t="shared" si="22"/>
        <v>#VALUE!</v>
      </c>
      <c r="AJ68" s="105" t="e">
        <f>'Alternative 2'!$B$39*$B68*$C68*COS($K$33)-($N$32/3)*$E68*SIN($K$33)-($N$32/3)*$F68*SIN($K$33)-($N$32/3)*$G68*SIN($K$33)</f>
        <v>#VALUE!</v>
      </c>
      <c r="AK68" s="106" t="e">
        <f>IF(($A68&lt;'Alternative 2'!$B$27),(($H68*'Alternative 2'!$B$39)+(3*($N$32/3)*COS($K$33))),IF(($A68&lt;'Alternative 2'!$B$28),(($H68*'Alternative 2'!$B$39)+(2*(($N$32/3)*COS($K$33)))),IF(($A68&lt;'Alternative 2'!$B$29),(($H$3*'Alternative 2'!$B$39+(($N$32/3)*COS($K$33)))),($H68*'Alternative 2'!$B$39))))</f>
        <v>#VALUE!</v>
      </c>
      <c r="AL68" s="105" t="e">
        <f>AJ68*'Alternative 2'!$K69/'Alternative 2'!$L69</f>
        <v>#VALUE!</v>
      </c>
      <c r="AM68" s="105" t="e">
        <f>AK68/'Alternative 2'!$M69</f>
        <v>#VALUE!</v>
      </c>
      <c r="AN68" s="105" t="e">
        <f t="shared" si="23"/>
        <v>#VALUE!</v>
      </c>
      <c r="AP68" s="105" t="e">
        <f>'Alternative 2'!$B$39*$B68*$C68*COS($K$43)-($N$42/3)*$E68*SIN($K$43)-($N$42/3)*$F68*SIN($K$43)-($N$42/3)*$G68*SIN($K$43)</f>
        <v>#VALUE!</v>
      </c>
      <c r="AQ68" s="106" t="e">
        <f>IF(($A68&lt;'Alternative 2'!$B$27),(($H68*'Alternative 2'!$B$39)+(3*($N$42/3)*COS($K$43))),IF(($A68&lt;'Alternative 2'!$B$28),(($H68*'Alternative 2'!$B$39)+(2*(($N$42/3)*COS($K$43)))),IF(($A68&lt;'Alternative 2'!$B$29),(($H$3*'Alternative 2'!$B$39+(($N$42/3)*COS($K$43)))),($H68*'Alternative 2'!$B$39))))</f>
        <v>#VALUE!</v>
      </c>
      <c r="AR68" s="105" t="e">
        <f>AP68*'Alternative 2'!$K69/'Alternative 2'!$L69</f>
        <v>#VALUE!</v>
      </c>
      <c r="AS68" s="105" t="e">
        <f>AQ68/'Alternative 2'!$M69</f>
        <v>#VALUE!</v>
      </c>
      <c r="AT68" s="105" t="e">
        <f t="shared" si="24"/>
        <v>#VALUE!</v>
      </c>
      <c r="AV68" s="105" t="e">
        <f>'Alternative 2'!$B$39*$B68*$C68*COS($K$53)-($N$52/3)*$E68*SIN($K$53)-($N$52/3)*$F68*SIN($K$53)-($N$52/3)*$G68*SIN($K$53)</f>
        <v>#VALUE!</v>
      </c>
      <c r="AW68" s="106" t="e">
        <f>IF(($A68&lt;'Alternative 2'!$B$27),(($H68*'Alternative 2'!$B$39)+(3*($N$52/3)*COS($K$53))),IF(($A68&lt;'Alternative 2'!$B$28),(($H68*'Alternative 2'!$B$39)+(2*(($N$52/3)*COS($K$53)))),IF(($A68&lt;'Alternative 2'!$B$29),(($H$3*'Alternative 2'!$B$39+(($N$52/3)*COS($K$53)))),($H68*'Alternative 2'!$B$39))))</f>
        <v>#VALUE!</v>
      </c>
      <c r="AX68" s="105" t="e">
        <f>AV68*'Alternative 2'!$K69/'Alternative 2'!$L69</f>
        <v>#VALUE!</v>
      </c>
      <c r="AY68" s="105" t="e">
        <f>AW68/'Alternative 2'!$M69</f>
        <v>#VALUE!</v>
      </c>
      <c r="AZ68" s="105" t="e">
        <f t="shared" si="25"/>
        <v>#VALUE!</v>
      </c>
      <c r="BB68" s="105" t="e">
        <f>'Alternative 2'!$B$39*$B68*$C68*COS($K$63)-($N$62/3)*$E68*SIN($K$63)-($N$62/3)*$F68*SIN($K$63)-($N$62/3)*$G68*SIN($K$63)</f>
        <v>#VALUE!</v>
      </c>
      <c r="BC68" s="106" t="e">
        <f>IF(($A68&lt;'Alternative 2'!$B$27),(($H68*'Alternative 2'!$B$39)+(3*($N$62/3)*COS($K$63))),IF(($A68&lt;'Alternative 2'!$B$28),(($H68*'Alternative 2'!$B$39)+(2*(($N$62/3)*COS($K$63)))),IF(($A68&lt;'Alternative 2'!$B$29),(($H$3*'Alternative 2'!$B$39+(($N$62/3)*COS($K$63)))),($H68*'Alternative 2'!$B$39))))</f>
        <v>#VALUE!</v>
      </c>
      <c r="BD68" s="105" t="e">
        <f>BB68*'Alternative 2'!$K69/'Alternative 2'!$L69</f>
        <v>#VALUE!</v>
      </c>
      <c r="BE68" s="105" t="e">
        <f>BC68/'Alternative 2'!$M69</f>
        <v>#VALUE!</v>
      </c>
      <c r="BF68" s="105" t="e">
        <f t="shared" si="26"/>
        <v>#VALUE!</v>
      </c>
      <c r="BH68" s="105" t="e">
        <f>'Alternative 2'!$B$39*$B68*$C68*COS($K$73)-($N$72/3)*$E68*SIN($K$73)-($N$72/3)*$F68*SIN($K$73)-($N$72/3)*$G68*SIN($K$73)</f>
        <v>#VALUE!</v>
      </c>
      <c r="BI68" s="106" t="e">
        <f>IF(($A68&lt;'Alternative 2'!$B$27),(($H68*'Alternative 2'!$B$39)+(3*($N$72/3)*COS($K$73))),IF(($A68&lt;'Alternative 2'!$B$28),(($H68*'Alternative 2'!$B$39)+(2*(($N$72/3)*COS($K$73)))),IF(($A68&lt;'Alternative 2'!$B$29),(($H$3*'Alternative 2'!$B$39+(($N$72/3)*COS($K$73)))),($H68*'Alternative 2'!$B$39))))</f>
        <v>#VALUE!</v>
      </c>
      <c r="BJ68" s="105" t="e">
        <f>BH68*'Alternative 2'!$K69/'Alternative 2'!$L69</f>
        <v>#VALUE!</v>
      </c>
      <c r="BK68" s="105" t="e">
        <f>BI68/'Alternative 2'!$M69</f>
        <v>#VALUE!</v>
      </c>
      <c r="BL68" s="105" t="e">
        <f t="shared" si="27"/>
        <v>#VALUE!</v>
      </c>
      <c r="BN68" s="105" t="e">
        <f>'Alternative 2'!$B$39*$B68*$C68*COS($K$83)-($N$82/3)*$E68*SIN($K$83)-($N$82/3)*$F68*SIN($K$83)-($N$82/3)*$G68*SIN($K$83)</f>
        <v>#VALUE!</v>
      </c>
      <c r="BO68" s="106" t="e">
        <f>IF(($A68&lt;'Alternative 2'!$B$27),(($H68*'Alternative 2'!$B$39)+(3*($N$82/3)*COS($K$83))),IF(($A68&lt;'Alternative 2'!$B$28),(($H68*'Alternative 2'!$B$39)+(2*(($N$82/3)*COS($K$83)))),IF(($A68&lt;'Alternative 2'!$B$29),(($H$3*'Alternative 2'!$B$39+(($N$82/3)*COS($K$83)))),($H68*'Alternative 2'!$B$39))))</f>
        <v>#VALUE!</v>
      </c>
      <c r="BP68" s="105" t="e">
        <f>BN68*'Alternative 2'!$K69/'Alternative 2'!$L69</f>
        <v>#VALUE!</v>
      </c>
      <c r="BQ68" s="105" t="e">
        <f>BO68/'Alternative 2'!$M69</f>
        <v>#VALUE!</v>
      </c>
      <c r="BR68" s="105" t="e">
        <f t="shared" si="28"/>
        <v>#VALUE!</v>
      </c>
      <c r="BT68" s="105" t="e">
        <f>'Alternative 2'!$B$39*$B68*$C68*COS($K$93)-($K$92/3)*$E68*SIN($K$93)-($K$92/3)*$F68*SIN($K$93)-($K$92/3)*$G68*SIN($K$93)</f>
        <v>#VALUE!</v>
      </c>
      <c r="BU68" s="106" t="e">
        <f>IF(($A68&lt;'Alternative 2'!$B$27),(($H68*'Alternative 2'!$B$39)+(3*($N$92/3)*COS($K$93))),IF(($A68&lt;'Alternative 2'!$B$28),(($H68*'Alternative 2'!$B$39)+(2*(($N$92/3)*COS($K$93)))),IF(($A68&lt;'Alternative 2'!$B$29),(($H$3*'Alternative 2'!$B$39+(($N$92/3)*COS($K$93)))),($H68*'Alternative 2'!$B$39))))</f>
        <v>#VALUE!</v>
      </c>
      <c r="BV68" s="105" t="e">
        <f>BT68*'Alternative 2'!$K69/'Alternative 2'!$L69</f>
        <v>#VALUE!</v>
      </c>
      <c r="BW68" s="105" t="e">
        <f>BU68/'Alternative 2'!$M69</f>
        <v>#VALUE!</v>
      </c>
      <c r="BX68" s="105" t="e">
        <f t="shared" si="29"/>
        <v>#VALUE!</v>
      </c>
      <c r="BZ68" s="104">
        <v>150</v>
      </c>
      <c r="CA68" s="104">
        <v>-150</v>
      </c>
    </row>
    <row r="69" spans="1:79" ht="15" customHeight="1" x14ac:dyDescent="0.25">
      <c r="A69" s="18" t="str">
        <f>IF('Alternative 2'!F70&gt;0,'Alternative 2'!F70,"x")</f>
        <v>x</v>
      </c>
      <c r="B69" s="18" t="e">
        <f t="shared" ref="B69:B92" si="35">IF(B68-1&gt;0,B68-1,"x")</f>
        <v>#VALUE!</v>
      </c>
      <c r="C69" s="18">
        <f t="shared" si="30"/>
        <v>0</v>
      </c>
      <c r="D69" s="18" t="str">
        <f t="shared" si="31"/>
        <v>x</v>
      </c>
      <c r="E69" s="101">
        <f>IF($A69&lt;='Alternative 2'!$B$27, IF($A69='Alternative 2'!$B$27,0,E70+1),0)</f>
        <v>0</v>
      </c>
      <c r="F69" s="101">
        <f>IF($A69&lt;=('Alternative 2'!$B$28), IF($A69=ROUNDDOWN('Alternative 2'!$B$28,0),0,F70+1),0)</f>
        <v>0</v>
      </c>
      <c r="G69" s="101">
        <f>IF($A69&lt;=('Alternative 2'!$B$29), IF($A69=ROUNDDOWN('Alternative 2'!$B$29,0),0,G70+1),0)</f>
        <v>0</v>
      </c>
      <c r="H69" s="18" t="e">
        <f t="shared" si="32"/>
        <v>#VALUE!</v>
      </c>
      <c r="J69" s="104">
        <f t="shared" si="33"/>
        <v>66</v>
      </c>
      <c r="K69" s="104">
        <f t="shared" si="34"/>
        <v>1.1519173063162575</v>
      </c>
      <c r="L69" s="105">
        <f>'Alternative 2'!$B$27*SIN(K69)+'Alternative 2'!$B$28*SIN(K69)+'Alternative 2'!$B$29*SIN(K69)</f>
        <v>39.273319224055413</v>
      </c>
      <c r="M69" s="104">
        <f>(('Alternative 2'!$B$27)*(((('Alternative 2'!$B$28-'Alternative 2'!$B$27)/2)+'Alternative 2'!$B$27)*'Alternative 2'!$B$39)*COS('Alternative 2-Tilt Up (3pt)'!K69))+(('Alternative 2'!$B$28)*((('Alternative 2'!$B$28-'Alternative 2'!$B$27)/2)+(('Alternative 2'!$B$29-'Alternative 2'!$B$28)/2))*('Alternative 2'!$B$39)*COS('Alternative 2-Tilt Up (3pt)'!K69))+(('Alternative 2'!$B$29)*((('Alternative 2'!$B$12-'Alternative 2'!$B$29+(('Alternative 2'!$B$29-'Alternative 2'!$B$28)/2)*('Alternative 2'!$B$39)*COS('Alternative 2-Tilt Up (3pt)'!K69)))))</f>
        <v>248076.3816248989</v>
      </c>
      <c r="N69" s="104">
        <f t="shared" si="18"/>
        <v>18949.993521781242</v>
      </c>
      <c r="O69" s="104">
        <f>(((('Alternative 2'!$B$28-'Alternative 2'!$B$27)/2)+'Alternative 2'!$B$27)*('Alternative 2'!$B$39)*COS('Alternative 2-Tilt Up (3pt)'!K69))+(((('Alternative 2'!$B$28-'Alternative 2'!$B$27)/2)+(('Alternative 2'!$B$29-'Alternative 2'!$B$28)/2))*('Alternative 2'!$B$39)*COS('Alternative 2-Tilt Up (3pt)'!K69))+(((('Alternative 2'!$B$12-'Alternative 2'!$B$29)+(('Alternative 2'!$B$29-'Alternative 2'!$B$28)/2))*('Alternative 2'!$B$39)*COS('Alternative 2-Tilt Up (3pt)'!K69)))</f>
        <v>25452.700277167711</v>
      </c>
      <c r="P69" s="104">
        <f t="shared" si="19"/>
        <v>7707.6567513574628</v>
      </c>
      <c r="R69" s="105" t="e">
        <f>'Alternative 2'!$B$39*$B69*$C69*COS($K$5)-($N$5/3)*$E69*SIN($K$5)-($N$5/3)*$F69*SIN($K$5)-($N$5/3)*$G69*SIN($K$5)</f>
        <v>#VALUE!</v>
      </c>
      <c r="S69" s="106" t="e">
        <f>IF(($A69&lt;'Alternative 2'!$B$27),(($H69*'Alternative 2'!$B$39)+(3*($N$5/3)*COS($K$5))),IF(($A69&lt;'Alternative 2'!$B$28),(($H69*'Alternative 2'!$B$39)+(2*(($N$5/3)*COS($K$5)))),IF(($A69&lt;'Alternative 2'!$B$29),(($H$3*'Alternative 2'!$B$39+(($N$5/3)*COS($K$5)))),($H69*'Alternative 2'!$B$39))))</f>
        <v>#VALUE!</v>
      </c>
      <c r="T69" s="105" t="e">
        <f>R69*'Alternative 2'!$K70/'Alternative 2'!$L70</f>
        <v>#VALUE!</v>
      </c>
      <c r="U69" s="105" t="e">
        <f>S69/'Alternative 2'!$M70</f>
        <v>#VALUE!</v>
      </c>
      <c r="V69" s="105" t="e">
        <f t="shared" si="20"/>
        <v>#VALUE!</v>
      </c>
      <c r="X69" s="105" t="e">
        <f>'Alternative 2'!$B$39*$B69*$C69*COS($K$13)-($N$12/3)*$E69*SIN($K$13)-($N$12/3)*$F69*SIN($K$13)-($N$12/3)*$G69*SIN($K$13)</f>
        <v>#VALUE!</v>
      </c>
      <c r="Y69" s="106" t="e">
        <f>IF(($A69&lt;'Alternative 2'!$B$27),(($H69*'Alternative 2'!$B$39)+(3*($N$12/3)*COS($K$13))),IF(($A69&lt;'Alternative 2'!$B$28),(($H69*'Alternative 2'!$B$39)+(2*(($N$12/3)*COS($K$13)))),IF(($A69&lt;'Alternative 2'!$B$29),(($H$3*'Alternative 2'!$B$39+(($N$12/3)*COS($K$13)))),($H69*'Alternative 2'!$B$39))))</f>
        <v>#VALUE!</v>
      </c>
      <c r="Z69" s="105" t="e">
        <f>X69*'Alternative 2'!$K70/'Alternative 2'!$L70</f>
        <v>#VALUE!</v>
      </c>
      <c r="AA69" s="105" t="e">
        <f>Y69/'Alternative 2'!$M70</f>
        <v>#VALUE!</v>
      </c>
      <c r="AB69" s="105" t="e">
        <f t="shared" si="21"/>
        <v>#VALUE!</v>
      </c>
      <c r="AD69" s="105" t="e">
        <f>'Alternative 2'!$B$39*$B69*$C69*COS($K$23)-($N$22/3)*$E69*SIN($K$23)-($N$22/3)*$F69*SIN($K$23)-($N$22/3)*$G69*SIN($K$23)</f>
        <v>#VALUE!</v>
      </c>
      <c r="AE69" s="106" t="e">
        <f>IF(($A69&lt;'Alternative 2'!$B$27),(($H69*'Alternative 2'!$B$39)+(3*($N$22/3)*COS($K$23))),IF(($A69&lt;'Alternative 2'!$B$28),(($H69*'Alternative 2'!$B$39)+(2*(($N$22/3)*COS($K$23)))),IF(($A69&lt;'Alternative 2'!$B$29),(($H$3*'Alternative 2'!$B$39+(($N$22/3)*COS($K$23)))),($H69*'Alternative 2'!$B$39))))</f>
        <v>#VALUE!</v>
      </c>
      <c r="AF69" s="105" t="e">
        <f>AD69*'Alternative 2'!$K70/'Alternative 2'!$L70</f>
        <v>#VALUE!</v>
      </c>
      <c r="AG69" s="105" t="e">
        <f>AE69/'Alternative 2'!$M70</f>
        <v>#VALUE!</v>
      </c>
      <c r="AH69" s="105" t="e">
        <f t="shared" si="22"/>
        <v>#VALUE!</v>
      </c>
      <c r="AJ69" s="105" t="e">
        <f>'Alternative 2'!$B$39*$B69*$C69*COS($K$33)-($N$32/3)*$E69*SIN($K$33)-($N$32/3)*$F69*SIN($K$33)-($N$32/3)*$G69*SIN($K$33)</f>
        <v>#VALUE!</v>
      </c>
      <c r="AK69" s="106" t="e">
        <f>IF(($A69&lt;'Alternative 2'!$B$27),(($H69*'Alternative 2'!$B$39)+(3*($N$32/3)*COS($K$33))),IF(($A69&lt;'Alternative 2'!$B$28),(($H69*'Alternative 2'!$B$39)+(2*(($N$32/3)*COS($K$33)))),IF(($A69&lt;'Alternative 2'!$B$29),(($H$3*'Alternative 2'!$B$39+(($N$32/3)*COS($K$33)))),($H69*'Alternative 2'!$B$39))))</f>
        <v>#VALUE!</v>
      </c>
      <c r="AL69" s="105" t="e">
        <f>AJ69*'Alternative 2'!$K70/'Alternative 2'!$L70</f>
        <v>#VALUE!</v>
      </c>
      <c r="AM69" s="105" t="e">
        <f>AK69/'Alternative 2'!$M70</f>
        <v>#VALUE!</v>
      </c>
      <c r="AN69" s="105" t="e">
        <f t="shared" si="23"/>
        <v>#VALUE!</v>
      </c>
      <c r="AP69" s="105" t="e">
        <f>'Alternative 2'!$B$39*$B69*$C69*COS($K$43)-($N$42/3)*$E69*SIN($K$43)-($N$42/3)*$F69*SIN($K$43)-($N$42/3)*$G69*SIN($K$43)</f>
        <v>#VALUE!</v>
      </c>
      <c r="AQ69" s="106" t="e">
        <f>IF(($A69&lt;'Alternative 2'!$B$27),(($H69*'Alternative 2'!$B$39)+(3*($N$42/3)*COS($K$43))),IF(($A69&lt;'Alternative 2'!$B$28),(($H69*'Alternative 2'!$B$39)+(2*(($N$42/3)*COS($K$43)))),IF(($A69&lt;'Alternative 2'!$B$29),(($H$3*'Alternative 2'!$B$39+(($N$42/3)*COS($K$43)))),($H69*'Alternative 2'!$B$39))))</f>
        <v>#VALUE!</v>
      </c>
      <c r="AR69" s="105" t="e">
        <f>AP69*'Alternative 2'!$K70/'Alternative 2'!$L70</f>
        <v>#VALUE!</v>
      </c>
      <c r="AS69" s="105" t="e">
        <f>AQ69/'Alternative 2'!$M70</f>
        <v>#VALUE!</v>
      </c>
      <c r="AT69" s="105" t="e">
        <f t="shared" si="24"/>
        <v>#VALUE!</v>
      </c>
      <c r="AV69" s="105" t="e">
        <f>'Alternative 2'!$B$39*$B69*$C69*COS($K$53)-($N$52/3)*$E69*SIN($K$53)-($N$52/3)*$F69*SIN($K$53)-($N$52/3)*$G69*SIN($K$53)</f>
        <v>#VALUE!</v>
      </c>
      <c r="AW69" s="106" t="e">
        <f>IF(($A69&lt;'Alternative 2'!$B$27),(($H69*'Alternative 2'!$B$39)+(3*($N$52/3)*COS($K$53))),IF(($A69&lt;'Alternative 2'!$B$28),(($H69*'Alternative 2'!$B$39)+(2*(($N$52/3)*COS($K$53)))),IF(($A69&lt;'Alternative 2'!$B$29),(($H$3*'Alternative 2'!$B$39+(($N$52/3)*COS($K$53)))),($H69*'Alternative 2'!$B$39))))</f>
        <v>#VALUE!</v>
      </c>
      <c r="AX69" s="105" t="e">
        <f>AV69*'Alternative 2'!$K70/'Alternative 2'!$L70</f>
        <v>#VALUE!</v>
      </c>
      <c r="AY69" s="105" t="e">
        <f>AW69/'Alternative 2'!$M70</f>
        <v>#VALUE!</v>
      </c>
      <c r="AZ69" s="105" t="e">
        <f t="shared" si="25"/>
        <v>#VALUE!</v>
      </c>
      <c r="BB69" s="105" t="e">
        <f>'Alternative 2'!$B$39*$B69*$C69*COS($K$63)-($N$62/3)*$E69*SIN($K$63)-($N$62/3)*$F69*SIN($K$63)-($N$62/3)*$G69*SIN($K$63)</f>
        <v>#VALUE!</v>
      </c>
      <c r="BC69" s="106" t="e">
        <f>IF(($A69&lt;'Alternative 2'!$B$27),(($H69*'Alternative 2'!$B$39)+(3*($N$62/3)*COS($K$63))),IF(($A69&lt;'Alternative 2'!$B$28),(($H69*'Alternative 2'!$B$39)+(2*(($N$62/3)*COS($K$63)))),IF(($A69&lt;'Alternative 2'!$B$29),(($H$3*'Alternative 2'!$B$39+(($N$62/3)*COS($K$63)))),($H69*'Alternative 2'!$B$39))))</f>
        <v>#VALUE!</v>
      </c>
      <c r="BD69" s="105" t="e">
        <f>BB69*'Alternative 2'!$K70/'Alternative 2'!$L70</f>
        <v>#VALUE!</v>
      </c>
      <c r="BE69" s="105" t="e">
        <f>BC69/'Alternative 2'!$M70</f>
        <v>#VALUE!</v>
      </c>
      <c r="BF69" s="105" t="e">
        <f t="shared" si="26"/>
        <v>#VALUE!</v>
      </c>
      <c r="BH69" s="105" t="e">
        <f>'Alternative 2'!$B$39*$B69*$C69*COS($K$73)-($N$72/3)*$E69*SIN($K$73)-($N$72/3)*$F69*SIN($K$73)-($N$72/3)*$G69*SIN($K$73)</f>
        <v>#VALUE!</v>
      </c>
      <c r="BI69" s="106" t="e">
        <f>IF(($A69&lt;'Alternative 2'!$B$27),(($H69*'Alternative 2'!$B$39)+(3*($N$72/3)*COS($K$73))),IF(($A69&lt;'Alternative 2'!$B$28),(($H69*'Alternative 2'!$B$39)+(2*(($N$72/3)*COS($K$73)))),IF(($A69&lt;'Alternative 2'!$B$29),(($H$3*'Alternative 2'!$B$39+(($N$72/3)*COS($K$73)))),($H69*'Alternative 2'!$B$39))))</f>
        <v>#VALUE!</v>
      </c>
      <c r="BJ69" s="105" t="e">
        <f>BH69*'Alternative 2'!$K70/'Alternative 2'!$L70</f>
        <v>#VALUE!</v>
      </c>
      <c r="BK69" s="105" t="e">
        <f>BI69/'Alternative 2'!$M70</f>
        <v>#VALUE!</v>
      </c>
      <c r="BL69" s="105" t="e">
        <f t="shared" si="27"/>
        <v>#VALUE!</v>
      </c>
      <c r="BN69" s="105" t="e">
        <f>'Alternative 2'!$B$39*$B69*$C69*COS($K$83)-($N$82/3)*$E69*SIN($K$83)-($N$82/3)*$F69*SIN($K$83)-($N$82/3)*$G69*SIN($K$83)</f>
        <v>#VALUE!</v>
      </c>
      <c r="BO69" s="106" t="e">
        <f>IF(($A69&lt;'Alternative 2'!$B$27),(($H69*'Alternative 2'!$B$39)+(3*($N$82/3)*COS($K$83))),IF(($A69&lt;'Alternative 2'!$B$28),(($H69*'Alternative 2'!$B$39)+(2*(($N$82/3)*COS($K$83)))),IF(($A69&lt;'Alternative 2'!$B$29),(($H$3*'Alternative 2'!$B$39+(($N$82/3)*COS($K$83)))),($H69*'Alternative 2'!$B$39))))</f>
        <v>#VALUE!</v>
      </c>
      <c r="BP69" s="105" t="e">
        <f>BN69*'Alternative 2'!$K70/'Alternative 2'!$L70</f>
        <v>#VALUE!</v>
      </c>
      <c r="BQ69" s="105" t="e">
        <f>BO69/'Alternative 2'!$M70</f>
        <v>#VALUE!</v>
      </c>
      <c r="BR69" s="105" t="e">
        <f t="shared" si="28"/>
        <v>#VALUE!</v>
      </c>
      <c r="BT69" s="105" t="e">
        <f>'Alternative 2'!$B$39*$B69*$C69*COS($K$93)-($K$92/3)*$E69*SIN($K$93)-($K$92/3)*$F69*SIN($K$93)-($K$92/3)*$G69*SIN($K$93)</f>
        <v>#VALUE!</v>
      </c>
      <c r="BU69" s="106" t="e">
        <f>IF(($A69&lt;'Alternative 2'!$B$27),(($H69*'Alternative 2'!$B$39)+(3*($N$92/3)*COS($K$93))),IF(($A69&lt;'Alternative 2'!$B$28),(($H69*'Alternative 2'!$B$39)+(2*(($N$92/3)*COS($K$93)))),IF(($A69&lt;'Alternative 2'!$B$29),(($H$3*'Alternative 2'!$B$39+(($N$92/3)*COS($K$93)))),($H69*'Alternative 2'!$B$39))))</f>
        <v>#VALUE!</v>
      </c>
      <c r="BV69" s="105" t="e">
        <f>BT69*'Alternative 2'!$K70/'Alternative 2'!$L70</f>
        <v>#VALUE!</v>
      </c>
      <c r="BW69" s="105" t="e">
        <f>BU69/'Alternative 2'!$M70</f>
        <v>#VALUE!</v>
      </c>
      <c r="BX69" s="105" t="e">
        <f t="shared" si="29"/>
        <v>#VALUE!</v>
      </c>
      <c r="BZ69" s="104">
        <v>150</v>
      </c>
      <c r="CA69" s="104">
        <v>-150</v>
      </c>
    </row>
    <row r="70" spans="1:79" ht="15" customHeight="1" x14ac:dyDescent="0.25">
      <c r="A70" s="18" t="str">
        <f>IF('Alternative 2'!F71&gt;0,'Alternative 2'!F71,"x")</f>
        <v>x</v>
      </c>
      <c r="B70" s="18" t="e">
        <f t="shared" si="35"/>
        <v>#VALUE!</v>
      </c>
      <c r="C70" s="18">
        <f t="shared" si="30"/>
        <v>0</v>
      </c>
      <c r="D70" s="18" t="str">
        <f t="shared" si="31"/>
        <v>x</v>
      </c>
      <c r="E70" s="101">
        <f>IF($A70&lt;='Alternative 2'!$B$27, IF($A70='Alternative 2'!$B$27,0,E71+1),0)</f>
        <v>0</v>
      </c>
      <c r="F70" s="101">
        <f>IF($A70&lt;=('Alternative 2'!$B$28), IF($A70=ROUNDDOWN('Alternative 2'!$B$28,0),0,F71+1),0)</f>
        <v>0</v>
      </c>
      <c r="G70" s="101">
        <f>IF($A70&lt;=('Alternative 2'!$B$29), IF($A70=ROUNDDOWN('Alternative 2'!$B$29,0),0,G71+1),0)</f>
        <v>0</v>
      </c>
      <c r="H70" s="18" t="e">
        <f t="shared" si="32"/>
        <v>#VALUE!</v>
      </c>
      <c r="J70" s="104">
        <f t="shared" si="33"/>
        <v>67</v>
      </c>
      <c r="K70" s="104">
        <f t="shared" si="34"/>
        <v>1.1693705988362006</v>
      </c>
      <c r="L70" s="105">
        <f>'Alternative 2'!$B$27*SIN(K70)+'Alternative 2'!$B$28*SIN(K70)+'Alternative 2'!$B$29*SIN(K70)</f>
        <v>39.572503649920407</v>
      </c>
      <c r="M70" s="104">
        <f>(('Alternative 2'!$B$27)*(((('Alternative 2'!$B$28-'Alternative 2'!$B$27)/2)+'Alternative 2'!$B$27)*'Alternative 2'!$B$39)*COS('Alternative 2-Tilt Up (3pt)'!K70))+(('Alternative 2'!$B$28)*((('Alternative 2'!$B$28-'Alternative 2'!$B$27)/2)+(('Alternative 2'!$B$29-'Alternative 2'!$B$28)/2))*('Alternative 2'!$B$39)*COS('Alternative 2-Tilt Up (3pt)'!K70))+(('Alternative 2'!$B$29)*((('Alternative 2'!$B$12-'Alternative 2'!$B$29+(('Alternative 2'!$B$29-'Alternative 2'!$B$28)/2)*('Alternative 2'!$B$39)*COS('Alternative 2-Tilt Up (3pt)'!K70)))))</f>
        <v>238317.50197821122</v>
      </c>
      <c r="N70" s="104">
        <f t="shared" si="18"/>
        <v>18066.90100428032</v>
      </c>
      <c r="O70" s="104">
        <f>(((('Alternative 2'!$B$28-'Alternative 2'!$B$27)/2)+'Alternative 2'!$B$27)*('Alternative 2'!$B$39)*COS('Alternative 2-Tilt Up (3pt)'!K70))+(((('Alternative 2'!$B$28-'Alternative 2'!$B$27)/2)+(('Alternative 2'!$B$29-'Alternative 2'!$B$28)/2))*('Alternative 2'!$B$39)*COS('Alternative 2-Tilt Up (3pt)'!K70))+(((('Alternative 2'!$B$12-'Alternative 2'!$B$29)+(('Alternative 2'!$B$29-'Alternative 2'!$B$28)/2))*('Alternative 2'!$B$39)*COS('Alternative 2-Tilt Up (3pt)'!K70)))</f>
        <v>24451.109757877399</v>
      </c>
      <c r="P70" s="104">
        <f t="shared" si="19"/>
        <v>7059.3006177064462</v>
      </c>
      <c r="R70" s="105" t="e">
        <f>'Alternative 2'!$B$39*$B70*$C70*COS($K$5)-($N$5/3)*$E70*SIN($K$5)-($N$5/3)*$F70*SIN($K$5)-($N$5/3)*$G70*SIN($K$5)</f>
        <v>#VALUE!</v>
      </c>
      <c r="S70" s="106" t="e">
        <f>IF(($A70&lt;'Alternative 2'!$B$27),(($H70*'Alternative 2'!$B$39)+(3*($N$5/3)*COS($K$5))),IF(($A70&lt;'Alternative 2'!$B$28),(($H70*'Alternative 2'!$B$39)+(2*(($N$5/3)*COS($K$5)))),IF(($A70&lt;'Alternative 2'!$B$29),(($H$3*'Alternative 2'!$B$39+(($N$5/3)*COS($K$5)))),($H70*'Alternative 2'!$B$39))))</f>
        <v>#VALUE!</v>
      </c>
      <c r="T70" s="105" t="e">
        <f>R70*'Alternative 2'!$K71/'Alternative 2'!$L71</f>
        <v>#VALUE!</v>
      </c>
      <c r="U70" s="105" t="e">
        <f>S70/'Alternative 2'!$M71</f>
        <v>#VALUE!</v>
      </c>
      <c r="V70" s="105" t="e">
        <f t="shared" si="20"/>
        <v>#VALUE!</v>
      </c>
      <c r="X70" s="105" t="e">
        <f>'Alternative 2'!$B$39*$B70*$C70*COS($K$13)-($N$12/3)*$E70*SIN($K$13)-($N$12/3)*$F70*SIN($K$13)-($N$12/3)*$G70*SIN($K$13)</f>
        <v>#VALUE!</v>
      </c>
      <c r="Y70" s="106" t="e">
        <f>IF(($A70&lt;'Alternative 2'!$B$27),(($H70*'Alternative 2'!$B$39)+(3*($N$12/3)*COS($K$13))),IF(($A70&lt;'Alternative 2'!$B$28),(($H70*'Alternative 2'!$B$39)+(2*(($N$12/3)*COS($K$13)))),IF(($A70&lt;'Alternative 2'!$B$29),(($H$3*'Alternative 2'!$B$39+(($N$12/3)*COS($K$13)))),($H70*'Alternative 2'!$B$39))))</f>
        <v>#VALUE!</v>
      </c>
      <c r="Z70" s="105" t="e">
        <f>X70*'Alternative 2'!$K71/'Alternative 2'!$L71</f>
        <v>#VALUE!</v>
      </c>
      <c r="AA70" s="105" t="e">
        <f>Y70/'Alternative 2'!$M71</f>
        <v>#VALUE!</v>
      </c>
      <c r="AB70" s="105" t="e">
        <f t="shared" si="21"/>
        <v>#VALUE!</v>
      </c>
      <c r="AD70" s="105" t="e">
        <f>'Alternative 2'!$B$39*$B70*$C70*COS($K$23)-($N$22/3)*$E70*SIN($K$23)-($N$22/3)*$F70*SIN($K$23)-($N$22/3)*$G70*SIN($K$23)</f>
        <v>#VALUE!</v>
      </c>
      <c r="AE70" s="106" t="e">
        <f>IF(($A70&lt;'Alternative 2'!$B$27),(($H70*'Alternative 2'!$B$39)+(3*($N$22/3)*COS($K$23))),IF(($A70&lt;'Alternative 2'!$B$28),(($H70*'Alternative 2'!$B$39)+(2*(($N$22/3)*COS($K$23)))),IF(($A70&lt;'Alternative 2'!$B$29),(($H$3*'Alternative 2'!$B$39+(($N$22/3)*COS($K$23)))),($H70*'Alternative 2'!$B$39))))</f>
        <v>#VALUE!</v>
      </c>
      <c r="AF70" s="105" t="e">
        <f>AD70*'Alternative 2'!$K71/'Alternative 2'!$L71</f>
        <v>#VALUE!</v>
      </c>
      <c r="AG70" s="105" t="e">
        <f>AE70/'Alternative 2'!$M71</f>
        <v>#VALUE!</v>
      </c>
      <c r="AH70" s="105" t="e">
        <f t="shared" si="22"/>
        <v>#VALUE!</v>
      </c>
      <c r="AJ70" s="105" t="e">
        <f>'Alternative 2'!$B$39*$B70*$C70*COS($K$33)-($N$32/3)*$E70*SIN($K$33)-($N$32/3)*$F70*SIN($K$33)-($N$32/3)*$G70*SIN($K$33)</f>
        <v>#VALUE!</v>
      </c>
      <c r="AK70" s="106" t="e">
        <f>IF(($A70&lt;'Alternative 2'!$B$27),(($H70*'Alternative 2'!$B$39)+(3*($N$32/3)*COS($K$33))),IF(($A70&lt;'Alternative 2'!$B$28),(($H70*'Alternative 2'!$B$39)+(2*(($N$32/3)*COS($K$33)))),IF(($A70&lt;'Alternative 2'!$B$29),(($H$3*'Alternative 2'!$B$39+(($N$32/3)*COS($K$33)))),($H70*'Alternative 2'!$B$39))))</f>
        <v>#VALUE!</v>
      </c>
      <c r="AL70" s="105" t="e">
        <f>AJ70*'Alternative 2'!$K71/'Alternative 2'!$L71</f>
        <v>#VALUE!</v>
      </c>
      <c r="AM70" s="105" t="e">
        <f>AK70/'Alternative 2'!$M71</f>
        <v>#VALUE!</v>
      </c>
      <c r="AN70" s="105" t="e">
        <f t="shared" si="23"/>
        <v>#VALUE!</v>
      </c>
      <c r="AP70" s="105" t="e">
        <f>'Alternative 2'!$B$39*$B70*$C70*COS($K$43)-($N$42/3)*$E70*SIN($K$43)-($N$42/3)*$F70*SIN($K$43)-($N$42/3)*$G70*SIN($K$43)</f>
        <v>#VALUE!</v>
      </c>
      <c r="AQ70" s="106" t="e">
        <f>IF(($A70&lt;'Alternative 2'!$B$27),(($H70*'Alternative 2'!$B$39)+(3*($N$42/3)*COS($K$43))),IF(($A70&lt;'Alternative 2'!$B$28),(($H70*'Alternative 2'!$B$39)+(2*(($N$42/3)*COS($K$43)))),IF(($A70&lt;'Alternative 2'!$B$29),(($H$3*'Alternative 2'!$B$39+(($N$42/3)*COS($K$43)))),($H70*'Alternative 2'!$B$39))))</f>
        <v>#VALUE!</v>
      </c>
      <c r="AR70" s="105" t="e">
        <f>AP70*'Alternative 2'!$K71/'Alternative 2'!$L71</f>
        <v>#VALUE!</v>
      </c>
      <c r="AS70" s="105" t="e">
        <f>AQ70/'Alternative 2'!$M71</f>
        <v>#VALUE!</v>
      </c>
      <c r="AT70" s="105" t="e">
        <f t="shared" si="24"/>
        <v>#VALUE!</v>
      </c>
      <c r="AV70" s="105" t="e">
        <f>'Alternative 2'!$B$39*$B70*$C70*COS($K$53)-($N$52/3)*$E70*SIN($K$53)-($N$52/3)*$F70*SIN($K$53)-($N$52/3)*$G70*SIN($K$53)</f>
        <v>#VALUE!</v>
      </c>
      <c r="AW70" s="106" t="e">
        <f>IF(($A70&lt;'Alternative 2'!$B$27),(($H70*'Alternative 2'!$B$39)+(3*($N$52/3)*COS($K$53))),IF(($A70&lt;'Alternative 2'!$B$28),(($H70*'Alternative 2'!$B$39)+(2*(($N$52/3)*COS($K$53)))),IF(($A70&lt;'Alternative 2'!$B$29),(($H$3*'Alternative 2'!$B$39+(($N$52/3)*COS($K$53)))),($H70*'Alternative 2'!$B$39))))</f>
        <v>#VALUE!</v>
      </c>
      <c r="AX70" s="105" t="e">
        <f>AV70*'Alternative 2'!$K71/'Alternative 2'!$L71</f>
        <v>#VALUE!</v>
      </c>
      <c r="AY70" s="105" t="e">
        <f>AW70/'Alternative 2'!$M71</f>
        <v>#VALUE!</v>
      </c>
      <c r="AZ70" s="105" t="e">
        <f t="shared" si="25"/>
        <v>#VALUE!</v>
      </c>
      <c r="BB70" s="105" t="e">
        <f>'Alternative 2'!$B$39*$B70*$C70*COS($K$63)-($N$62/3)*$E70*SIN($K$63)-($N$62/3)*$F70*SIN($K$63)-($N$62/3)*$G70*SIN($K$63)</f>
        <v>#VALUE!</v>
      </c>
      <c r="BC70" s="106" t="e">
        <f>IF(($A70&lt;'Alternative 2'!$B$27),(($H70*'Alternative 2'!$B$39)+(3*($N$62/3)*COS($K$63))),IF(($A70&lt;'Alternative 2'!$B$28),(($H70*'Alternative 2'!$B$39)+(2*(($N$62/3)*COS($K$63)))),IF(($A70&lt;'Alternative 2'!$B$29),(($H$3*'Alternative 2'!$B$39+(($N$62/3)*COS($K$63)))),($H70*'Alternative 2'!$B$39))))</f>
        <v>#VALUE!</v>
      </c>
      <c r="BD70" s="105" t="e">
        <f>BB70*'Alternative 2'!$K71/'Alternative 2'!$L71</f>
        <v>#VALUE!</v>
      </c>
      <c r="BE70" s="105" t="e">
        <f>BC70/'Alternative 2'!$M71</f>
        <v>#VALUE!</v>
      </c>
      <c r="BF70" s="105" t="e">
        <f t="shared" si="26"/>
        <v>#VALUE!</v>
      </c>
      <c r="BH70" s="105" t="e">
        <f>'Alternative 2'!$B$39*$B70*$C70*COS($K$73)-($N$72/3)*$E70*SIN($K$73)-($N$72/3)*$F70*SIN($K$73)-($N$72/3)*$G70*SIN($K$73)</f>
        <v>#VALUE!</v>
      </c>
      <c r="BI70" s="106" t="e">
        <f>IF(($A70&lt;'Alternative 2'!$B$27),(($H70*'Alternative 2'!$B$39)+(3*($N$72/3)*COS($K$73))),IF(($A70&lt;'Alternative 2'!$B$28),(($H70*'Alternative 2'!$B$39)+(2*(($N$72/3)*COS($K$73)))),IF(($A70&lt;'Alternative 2'!$B$29),(($H$3*'Alternative 2'!$B$39+(($N$72/3)*COS($K$73)))),($H70*'Alternative 2'!$B$39))))</f>
        <v>#VALUE!</v>
      </c>
      <c r="BJ70" s="105" t="e">
        <f>BH70*'Alternative 2'!$K71/'Alternative 2'!$L71</f>
        <v>#VALUE!</v>
      </c>
      <c r="BK70" s="105" t="e">
        <f>BI70/'Alternative 2'!$M71</f>
        <v>#VALUE!</v>
      </c>
      <c r="BL70" s="105" t="e">
        <f t="shared" si="27"/>
        <v>#VALUE!</v>
      </c>
      <c r="BN70" s="105" t="e">
        <f>'Alternative 2'!$B$39*$B70*$C70*COS($K$83)-($N$82/3)*$E70*SIN($K$83)-($N$82/3)*$F70*SIN($K$83)-($N$82/3)*$G70*SIN($K$83)</f>
        <v>#VALUE!</v>
      </c>
      <c r="BO70" s="106" t="e">
        <f>IF(($A70&lt;'Alternative 2'!$B$27),(($H70*'Alternative 2'!$B$39)+(3*($N$82/3)*COS($K$83))),IF(($A70&lt;'Alternative 2'!$B$28),(($H70*'Alternative 2'!$B$39)+(2*(($N$82/3)*COS($K$83)))),IF(($A70&lt;'Alternative 2'!$B$29),(($H$3*'Alternative 2'!$B$39+(($N$82/3)*COS($K$83)))),($H70*'Alternative 2'!$B$39))))</f>
        <v>#VALUE!</v>
      </c>
      <c r="BP70" s="105" t="e">
        <f>BN70*'Alternative 2'!$K71/'Alternative 2'!$L71</f>
        <v>#VALUE!</v>
      </c>
      <c r="BQ70" s="105" t="e">
        <f>BO70/'Alternative 2'!$M71</f>
        <v>#VALUE!</v>
      </c>
      <c r="BR70" s="105" t="e">
        <f t="shared" si="28"/>
        <v>#VALUE!</v>
      </c>
      <c r="BT70" s="105" t="e">
        <f>'Alternative 2'!$B$39*$B70*$C70*COS($K$93)-($K$92/3)*$E70*SIN($K$93)-($K$92/3)*$F70*SIN($K$93)-($K$92/3)*$G70*SIN($K$93)</f>
        <v>#VALUE!</v>
      </c>
      <c r="BU70" s="106" t="e">
        <f>IF(($A70&lt;'Alternative 2'!$B$27),(($H70*'Alternative 2'!$B$39)+(3*($N$92/3)*COS($K$93))),IF(($A70&lt;'Alternative 2'!$B$28),(($H70*'Alternative 2'!$B$39)+(2*(($N$92/3)*COS($K$93)))),IF(($A70&lt;'Alternative 2'!$B$29),(($H$3*'Alternative 2'!$B$39+(($N$92/3)*COS($K$93)))),($H70*'Alternative 2'!$B$39))))</f>
        <v>#VALUE!</v>
      </c>
      <c r="BV70" s="105" t="e">
        <f>BT70*'Alternative 2'!$K71/'Alternative 2'!$L71</f>
        <v>#VALUE!</v>
      </c>
      <c r="BW70" s="105" t="e">
        <f>BU70/'Alternative 2'!$M71</f>
        <v>#VALUE!</v>
      </c>
      <c r="BX70" s="105" t="e">
        <f t="shared" si="29"/>
        <v>#VALUE!</v>
      </c>
    </row>
    <row r="71" spans="1:79" ht="15" customHeight="1" x14ac:dyDescent="0.25">
      <c r="A71" s="18" t="str">
        <f>IF('Alternative 2'!F72&gt;0,'Alternative 2'!F72,"x")</f>
        <v>x</v>
      </c>
      <c r="B71" s="18" t="e">
        <f t="shared" si="35"/>
        <v>#VALUE!</v>
      </c>
      <c r="C71" s="18">
        <f t="shared" si="30"/>
        <v>0</v>
      </c>
      <c r="D71" s="18" t="str">
        <f t="shared" si="31"/>
        <v>x</v>
      </c>
      <c r="E71" s="101">
        <f>IF($A71&lt;='Alternative 2'!$B$27, IF($A71='Alternative 2'!$B$27,0,E72+1),0)</f>
        <v>0</v>
      </c>
      <c r="F71" s="101">
        <f>IF($A71&lt;=('Alternative 2'!$B$28), IF($A71=ROUNDDOWN('Alternative 2'!$B$28,0),0,F72+1),0)</f>
        <v>0</v>
      </c>
      <c r="G71" s="101">
        <f>IF($A71&lt;=('Alternative 2'!$B$29), IF($A71=ROUNDDOWN('Alternative 2'!$B$29,0),0,G72+1),0)</f>
        <v>0</v>
      </c>
      <c r="H71" s="18" t="e">
        <f t="shared" si="32"/>
        <v>#VALUE!</v>
      </c>
      <c r="J71" s="104">
        <f t="shared" si="33"/>
        <v>68</v>
      </c>
      <c r="K71" s="104">
        <f t="shared" si="34"/>
        <v>1.1868238913561442</v>
      </c>
      <c r="L71" s="105">
        <f>'Alternative 2'!$B$27*SIN(K71)+'Alternative 2'!$B$28*SIN(K71)+'Alternative 2'!$B$29*SIN(K71)</f>
        <v>39.859633907826193</v>
      </c>
      <c r="M71" s="104">
        <f>(('Alternative 2'!$B$27)*(((('Alternative 2'!$B$28-'Alternative 2'!$B$27)/2)+'Alternative 2'!$B$27)*'Alternative 2'!$B$39)*COS('Alternative 2-Tilt Up (3pt)'!K71))+(('Alternative 2'!$B$28)*((('Alternative 2'!$B$28-'Alternative 2'!$B$27)/2)+(('Alternative 2'!$B$29-'Alternative 2'!$B$28)/2))*('Alternative 2'!$B$39)*COS('Alternative 2-Tilt Up (3pt)'!K71))+(('Alternative 2'!$B$29)*((('Alternative 2'!$B$12-'Alternative 2'!$B$29+(('Alternative 2'!$B$29-'Alternative 2'!$B$28)/2)*('Alternative 2'!$B$39)*COS('Alternative 2-Tilt Up (3pt)'!K71)))))</f>
        <v>228486.05318041999</v>
      </c>
      <c r="N71" s="104">
        <f t="shared" si="18"/>
        <v>17196.800179508788</v>
      </c>
      <c r="O71" s="104">
        <f>(((('Alternative 2'!$B$28-'Alternative 2'!$B$27)/2)+'Alternative 2'!$B$27)*('Alternative 2'!$B$39)*COS('Alternative 2-Tilt Up (3pt)'!K71))+(((('Alternative 2'!$B$28-'Alternative 2'!$B$27)/2)+(('Alternative 2'!$B$29-'Alternative 2'!$B$28)/2))*('Alternative 2'!$B$39)*COS('Alternative 2-Tilt Up (3pt)'!K71))+(((('Alternative 2'!$B$12-'Alternative 2'!$B$29)+(('Alternative 2'!$B$29-'Alternative 2'!$B$28)/2))*('Alternative 2'!$B$39)*COS('Alternative 2-Tilt Up (3pt)'!K71)))</f>
        <v>23442.07119369159</v>
      </c>
      <c r="P71" s="104">
        <f t="shared" si="19"/>
        <v>6442.0347328999305</v>
      </c>
      <c r="R71" s="105" t="e">
        <f>'Alternative 2'!$B$39*$B71*$C71*COS($K$5)-($N$5/3)*$E71*SIN($K$5)-($N$5/3)*$F71*SIN($K$5)-($N$5/3)*$G71*SIN($K$5)</f>
        <v>#VALUE!</v>
      </c>
      <c r="S71" s="106" t="e">
        <f>IF(($A71&lt;'Alternative 2'!$B$27),(($H71*'Alternative 2'!$B$39)+(3*($N$5/3)*COS($K$5))),IF(($A71&lt;'Alternative 2'!$B$28),(($H71*'Alternative 2'!$B$39)+(2*(($N$5/3)*COS($K$5)))),IF(($A71&lt;'Alternative 2'!$B$29),(($H$3*'Alternative 2'!$B$39+(($N$5/3)*COS($K$5)))),($H71*'Alternative 2'!$B$39))))</f>
        <v>#VALUE!</v>
      </c>
      <c r="T71" s="105" t="e">
        <f>R71*'Alternative 2'!$K72/'Alternative 2'!$L72</f>
        <v>#VALUE!</v>
      </c>
      <c r="U71" s="105" t="e">
        <f>S71/'Alternative 2'!$M72</f>
        <v>#VALUE!</v>
      </c>
      <c r="V71" s="105" t="e">
        <f t="shared" si="20"/>
        <v>#VALUE!</v>
      </c>
      <c r="X71" s="105" t="e">
        <f>'Alternative 2'!$B$39*$B71*$C71*COS($K$13)-($N$12/3)*$E71*SIN($K$13)-($N$12/3)*$F71*SIN($K$13)-($N$12/3)*$G71*SIN($K$13)</f>
        <v>#VALUE!</v>
      </c>
      <c r="Y71" s="106" t="e">
        <f>IF(($A71&lt;'Alternative 2'!$B$27),(($H71*'Alternative 2'!$B$39)+(3*($N$12/3)*COS($K$13))),IF(($A71&lt;'Alternative 2'!$B$28),(($H71*'Alternative 2'!$B$39)+(2*(($N$12/3)*COS($K$13)))),IF(($A71&lt;'Alternative 2'!$B$29),(($H$3*'Alternative 2'!$B$39+(($N$12/3)*COS($K$13)))),($H71*'Alternative 2'!$B$39))))</f>
        <v>#VALUE!</v>
      </c>
      <c r="Z71" s="105" t="e">
        <f>X71*'Alternative 2'!$K72/'Alternative 2'!$L72</f>
        <v>#VALUE!</v>
      </c>
      <c r="AA71" s="105" t="e">
        <f>Y71/'Alternative 2'!$M72</f>
        <v>#VALUE!</v>
      </c>
      <c r="AB71" s="105" t="e">
        <f t="shared" si="21"/>
        <v>#VALUE!</v>
      </c>
      <c r="AD71" s="105" t="e">
        <f>'Alternative 2'!$B$39*$B71*$C71*COS($K$23)-($N$22/3)*$E71*SIN($K$23)-($N$22/3)*$F71*SIN($K$23)-($N$22/3)*$G71*SIN($K$23)</f>
        <v>#VALUE!</v>
      </c>
      <c r="AE71" s="106" t="e">
        <f>IF(($A71&lt;'Alternative 2'!$B$27),(($H71*'Alternative 2'!$B$39)+(3*($N$22/3)*COS($K$23))),IF(($A71&lt;'Alternative 2'!$B$28),(($H71*'Alternative 2'!$B$39)+(2*(($N$22/3)*COS($K$23)))),IF(($A71&lt;'Alternative 2'!$B$29),(($H$3*'Alternative 2'!$B$39+(($N$22/3)*COS($K$23)))),($H71*'Alternative 2'!$B$39))))</f>
        <v>#VALUE!</v>
      </c>
      <c r="AF71" s="105" t="e">
        <f>AD71*'Alternative 2'!$K72/'Alternative 2'!$L72</f>
        <v>#VALUE!</v>
      </c>
      <c r="AG71" s="105" t="e">
        <f>AE71/'Alternative 2'!$M72</f>
        <v>#VALUE!</v>
      </c>
      <c r="AH71" s="105" t="e">
        <f t="shared" si="22"/>
        <v>#VALUE!</v>
      </c>
      <c r="AJ71" s="105" t="e">
        <f>'Alternative 2'!$B$39*$B71*$C71*COS($K$33)-($N$32/3)*$E71*SIN($K$33)-($N$32/3)*$F71*SIN($K$33)-($N$32/3)*$G71*SIN($K$33)</f>
        <v>#VALUE!</v>
      </c>
      <c r="AK71" s="106" t="e">
        <f>IF(($A71&lt;'Alternative 2'!$B$27),(($H71*'Alternative 2'!$B$39)+(3*($N$32/3)*COS($K$33))),IF(($A71&lt;'Alternative 2'!$B$28),(($H71*'Alternative 2'!$B$39)+(2*(($N$32/3)*COS($K$33)))),IF(($A71&lt;'Alternative 2'!$B$29),(($H$3*'Alternative 2'!$B$39+(($N$32/3)*COS($K$33)))),($H71*'Alternative 2'!$B$39))))</f>
        <v>#VALUE!</v>
      </c>
      <c r="AL71" s="105" t="e">
        <f>AJ71*'Alternative 2'!$K72/'Alternative 2'!$L72</f>
        <v>#VALUE!</v>
      </c>
      <c r="AM71" s="105" t="e">
        <f>AK71/'Alternative 2'!$M72</f>
        <v>#VALUE!</v>
      </c>
      <c r="AN71" s="105" t="e">
        <f t="shared" si="23"/>
        <v>#VALUE!</v>
      </c>
      <c r="AP71" s="105" t="e">
        <f>'Alternative 2'!$B$39*$B71*$C71*COS($K$43)-($N$42/3)*$E71*SIN($K$43)-($N$42/3)*$F71*SIN($K$43)-($N$42/3)*$G71*SIN($K$43)</f>
        <v>#VALUE!</v>
      </c>
      <c r="AQ71" s="106" t="e">
        <f>IF(($A71&lt;'Alternative 2'!$B$27),(($H71*'Alternative 2'!$B$39)+(3*($N$42/3)*COS($K$43))),IF(($A71&lt;'Alternative 2'!$B$28),(($H71*'Alternative 2'!$B$39)+(2*(($N$42/3)*COS($K$43)))),IF(($A71&lt;'Alternative 2'!$B$29),(($H$3*'Alternative 2'!$B$39+(($N$42/3)*COS($K$43)))),($H71*'Alternative 2'!$B$39))))</f>
        <v>#VALUE!</v>
      </c>
      <c r="AR71" s="105" t="e">
        <f>AP71*'Alternative 2'!$K72/'Alternative 2'!$L72</f>
        <v>#VALUE!</v>
      </c>
      <c r="AS71" s="105" t="e">
        <f>AQ71/'Alternative 2'!$M72</f>
        <v>#VALUE!</v>
      </c>
      <c r="AT71" s="105" t="e">
        <f t="shared" si="24"/>
        <v>#VALUE!</v>
      </c>
      <c r="AV71" s="105" t="e">
        <f>'Alternative 2'!$B$39*$B71*$C71*COS($K$53)-($N$52/3)*$E71*SIN($K$53)-($N$52/3)*$F71*SIN($K$53)-($N$52/3)*$G71*SIN($K$53)</f>
        <v>#VALUE!</v>
      </c>
      <c r="AW71" s="106" t="e">
        <f>IF(($A71&lt;'Alternative 2'!$B$27),(($H71*'Alternative 2'!$B$39)+(3*($N$52/3)*COS($K$53))),IF(($A71&lt;'Alternative 2'!$B$28),(($H71*'Alternative 2'!$B$39)+(2*(($N$52/3)*COS($K$53)))),IF(($A71&lt;'Alternative 2'!$B$29),(($H$3*'Alternative 2'!$B$39+(($N$52/3)*COS($K$53)))),($H71*'Alternative 2'!$B$39))))</f>
        <v>#VALUE!</v>
      </c>
      <c r="AX71" s="105" t="e">
        <f>AV71*'Alternative 2'!$K72/'Alternative 2'!$L72</f>
        <v>#VALUE!</v>
      </c>
      <c r="AY71" s="105" t="e">
        <f>AW71/'Alternative 2'!$M72</f>
        <v>#VALUE!</v>
      </c>
      <c r="AZ71" s="105" t="e">
        <f t="shared" si="25"/>
        <v>#VALUE!</v>
      </c>
      <c r="BB71" s="105" t="e">
        <f>'Alternative 2'!$B$39*$B71*$C71*COS($K$63)-($N$62/3)*$E71*SIN($K$63)-($N$62/3)*$F71*SIN($K$63)-($N$62/3)*$G71*SIN($K$63)</f>
        <v>#VALUE!</v>
      </c>
      <c r="BC71" s="106" t="e">
        <f>IF(($A71&lt;'Alternative 2'!$B$27),(($H71*'Alternative 2'!$B$39)+(3*($N$62/3)*COS($K$63))),IF(($A71&lt;'Alternative 2'!$B$28),(($H71*'Alternative 2'!$B$39)+(2*(($N$62/3)*COS($K$63)))),IF(($A71&lt;'Alternative 2'!$B$29),(($H$3*'Alternative 2'!$B$39+(($N$62/3)*COS($K$63)))),($H71*'Alternative 2'!$B$39))))</f>
        <v>#VALUE!</v>
      </c>
      <c r="BD71" s="105" t="e">
        <f>BB71*'Alternative 2'!$K72/'Alternative 2'!$L72</f>
        <v>#VALUE!</v>
      </c>
      <c r="BE71" s="105" t="e">
        <f>BC71/'Alternative 2'!$M72</f>
        <v>#VALUE!</v>
      </c>
      <c r="BF71" s="105" t="e">
        <f t="shared" si="26"/>
        <v>#VALUE!</v>
      </c>
      <c r="BH71" s="105" t="e">
        <f>'Alternative 2'!$B$39*$B71*$C71*COS($K$73)-($N$72/3)*$E71*SIN($K$73)-($N$72/3)*$F71*SIN($K$73)-($N$72/3)*$G71*SIN($K$73)</f>
        <v>#VALUE!</v>
      </c>
      <c r="BI71" s="106" t="e">
        <f>IF(($A71&lt;'Alternative 2'!$B$27),(($H71*'Alternative 2'!$B$39)+(3*($N$72/3)*COS($K$73))),IF(($A71&lt;'Alternative 2'!$B$28),(($H71*'Alternative 2'!$B$39)+(2*(($N$72/3)*COS($K$73)))),IF(($A71&lt;'Alternative 2'!$B$29),(($H$3*'Alternative 2'!$B$39+(($N$72/3)*COS($K$73)))),($H71*'Alternative 2'!$B$39))))</f>
        <v>#VALUE!</v>
      </c>
      <c r="BJ71" s="105" t="e">
        <f>BH71*'Alternative 2'!$K72/'Alternative 2'!$L72</f>
        <v>#VALUE!</v>
      </c>
      <c r="BK71" s="105" t="e">
        <f>BI71/'Alternative 2'!$M72</f>
        <v>#VALUE!</v>
      </c>
      <c r="BL71" s="105" t="e">
        <f t="shared" si="27"/>
        <v>#VALUE!</v>
      </c>
      <c r="BN71" s="105" t="e">
        <f>'Alternative 2'!$B$39*$B71*$C71*COS($K$83)-($N$82/3)*$E71*SIN($K$83)-($N$82/3)*$F71*SIN($K$83)-($N$82/3)*$G71*SIN($K$83)</f>
        <v>#VALUE!</v>
      </c>
      <c r="BO71" s="106" t="e">
        <f>IF(($A71&lt;'Alternative 2'!$B$27),(($H71*'Alternative 2'!$B$39)+(3*($N$82/3)*COS($K$83))),IF(($A71&lt;'Alternative 2'!$B$28),(($H71*'Alternative 2'!$B$39)+(2*(($N$82/3)*COS($K$83)))),IF(($A71&lt;'Alternative 2'!$B$29),(($H$3*'Alternative 2'!$B$39+(($N$82/3)*COS($K$83)))),($H71*'Alternative 2'!$B$39))))</f>
        <v>#VALUE!</v>
      </c>
      <c r="BP71" s="105" t="e">
        <f>BN71*'Alternative 2'!$K72/'Alternative 2'!$L72</f>
        <v>#VALUE!</v>
      </c>
      <c r="BQ71" s="105" t="e">
        <f>BO71/'Alternative 2'!$M72</f>
        <v>#VALUE!</v>
      </c>
      <c r="BR71" s="105" t="e">
        <f t="shared" si="28"/>
        <v>#VALUE!</v>
      </c>
      <c r="BT71" s="105" t="e">
        <f>'Alternative 2'!$B$39*$B71*$C71*COS($K$93)-($K$92/3)*$E71*SIN($K$93)-($K$92/3)*$F71*SIN($K$93)-($K$92/3)*$G71*SIN($K$93)</f>
        <v>#VALUE!</v>
      </c>
      <c r="BU71" s="106" t="e">
        <f>IF(($A71&lt;'Alternative 2'!$B$27),(($H71*'Alternative 2'!$B$39)+(3*($N$92/3)*COS($K$93))),IF(($A71&lt;'Alternative 2'!$B$28),(($H71*'Alternative 2'!$B$39)+(2*(($N$92/3)*COS($K$93)))),IF(($A71&lt;'Alternative 2'!$B$29),(($H$3*'Alternative 2'!$B$39+(($N$92/3)*COS($K$93)))),($H71*'Alternative 2'!$B$39))))</f>
        <v>#VALUE!</v>
      </c>
      <c r="BV71" s="105" t="e">
        <f>BT71*'Alternative 2'!$K72/'Alternative 2'!$L72</f>
        <v>#VALUE!</v>
      </c>
      <c r="BW71" s="105" t="e">
        <f>BU71/'Alternative 2'!$M72</f>
        <v>#VALUE!</v>
      </c>
      <c r="BX71" s="105" t="e">
        <f t="shared" si="29"/>
        <v>#VALUE!</v>
      </c>
    </row>
    <row r="72" spans="1:79" ht="15" customHeight="1" x14ac:dyDescent="0.25">
      <c r="A72" s="18" t="str">
        <f>IF('Alternative 2'!F73&gt;0,'Alternative 2'!F73,"x")</f>
        <v>x</v>
      </c>
      <c r="B72" s="18" t="e">
        <f t="shared" si="35"/>
        <v>#VALUE!</v>
      </c>
      <c r="C72" s="18">
        <f t="shared" si="30"/>
        <v>0</v>
      </c>
      <c r="D72" s="18" t="str">
        <f t="shared" si="31"/>
        <v>x</v>
      </c>
      <c r="E72" s="101">
        <f>IF($A72&lt;='Alternative 2'!$B$27, IF($A72='Alternative 2'!$B$27,0,E73+1),0)</f>
        <v>0</v>
      </c>
      <c r="F72" s="101">
        <f>IF($A72&lt;=('Alternative 2'!$B$28), IF($A72=ROUNDDOWN('Alternative 2'!$B$28,0),0,F73+1),0)</f>
        <v>0</v>
      </c>
      <c r="G72" s="101">
        <f>IF($A72&lt;=('Alternative 2'!$B$29), IF($A72=ROUNDDOWN('Alternative 2'!$B$29,0),0,G73+1),0)</f>
        <v>0</v>
      </c>
      <c r="H72" s="18" t="e">
        <f t="shared" si="32"/>
        <v>#VALUE!</v>
      </c>
      <c r="J72" s="104">
        <f t="shared" si="33"/>
        <v>69</v>
      </c>
      <c r="K72" s="104">
        <f t="shared" si="34"/>
        <v>1.2042771838760873</v>
      </c>
      <c r="L72" s="105">
        <f>'Alternative 2'!$B$27*SIN(K72)+'Alternative 2'!$B$28*SIN(K72)+'Alternative 2'!$B$29*SIN(K72)</f>
        <v>40.134622535114701</v>
      </c>
      <c r="M72" s="104">
        <f>(('Alternative 2'!$B$27)*(((('Alternative 2'!$B$28-'Alternative 2'!$B$27)/2)+'Alternative 2'!$B$27)*'Alternative 2'!$B$39)*COS('Alternative 2-Tilt Up (3pt)'!K72))+(('Alternative 2'!$B$28)*((('Alternative 2'!$B$28-'Alternative 2'!$B$27)/2)+(('Alternative 2'!$B$29-'Alternative 2'!$B$28)/2))*('Alternative 2'!$B$39)*COS('Alternative 2-Tilt Up (3pt)'!K72))+(('Alternative 2'!$B$29)*((('Alternative 2'!$B$12-'Alternative 2'!$B$29+(('Alternative 2'!$B$29-'Alternative 2'!$B$28)/2)*('Alternative 2'!$B$39)*COS('Alternative 2-Tilt Up (3pt)'!K72)))))</f>
        <v>218585.0299860689</v>
      </c>
      <c r="N72" s="109">
        <f t="shared" si="18"/>
        <v>16338.887686920976</v>
      </c>
      <c r="O72" s="104">
        <f>(((('Alternative 2'!$B$28-'Alternative 2'!$B$27)/2)+'Alternative 2'!$B$27)*('Alternative 2'!$B$39)*COS('Alternative 2-Tilt Up (3pt)'!K72))+(((('Alternative 2'!$B$28-'Alternative 2'!$B$27)/2)+(('Alternative 2'!$B$29-'Alternative 2'!$B$28)/2))*('Alternative 2'!$B$39)*COS('Alternative 2-Tilt Up (3pt)'!K72))+(((('Alternative 2'!$B$12-'Alternative 2'!$B$29)+(('Alternative 2'!$B$29-'Alternative 2'!$B$28)/2))*('Alternative 2'!$B$39)*COS('Alternative 2-Tilt Up (3pt)'!K72)))</f>
        <v>22425.891947531767</v>
      </c>
      <c r="P72" s="104">
        <f t="shared" si="19"/>
        <v>5855.3336782128263</v>
      </c>
      <c r="R72" s="105" t="e">
        <f>'Alternative 2'!$B$39*$B72*$C72*COS($K$5)-($N$5/3)*$E72*SIN($K$5)-($N$5/3)*$F72*SIN($K$5)-($N$5/3)*$G72*SIN($K$5)</f>
        <v>#VALUE!</v>
      </c>
      <c r="S72" s="106" t="e">
        <f>IF(($A72&lt;'Alternative 2'!$B$27),(($H72*'Alternative 2'!$B$39)+(3*($N$5/3)*COS($K$5))),IF(($A72&lt;'Alternative 2'!$B$28),(($H72*'Alternative 2'!$B$39)+(2*(($N$5/3)*COS($K$5)))),IF(($A72&lt;'Alternative 2'!$B$29),(($H$3*'Alternative 2'!$B$39+(($N$5/3)*COS($K$5)))),($H72*'Alternative 2'!$B$39))))</f>
        <v>#VALUE!</v>
      </c>
      <c r="T72" s="105" t="e">
        <f>R72*'Alternative 2'!$K73/'Alternative 2'!$L73</f>
        <v>#VALUE!</v>
      </c>
      <c r="U72" s="105" t="e">
        <f>S72/'Alternative 2'!$M73</f>
        <v>#VALUE!</v>
      </c>
      <c r="V72" s="105" t="e">
        <f t="shared" si="20"/>
        <v>#VALUE!</v>
      </c>
      <c r="X72" s="105" t="e">
        <f>'Alternative 2'!$B$39*$B72*$C72*COS($K$13)-($N$12/3)*$E72*SIN($K$13)-($N$12/3)*$F72*SIN($K$13)-($N$12/3)*$G72*SIN($K$13)</f>
        <v>#VALUE!</v>
      </c>
      <c r="Y72" s="106" t="e">
        <f>IF(($A72&lt;'Alternative 2'!$B$27),(($H72*'Alternative 2'!$B$39)+(3*($N$12/3)*COS($K$13))),IF(($A72&lt;'Alternative 2'!$B$28),(($H72*'Alternative 2'!$B$39)+(2*(($N$12/3)*COS($K$13)))),IF(($A72&lt;'Alternative 2'!$B$29),(($H$3*'Alternative 2'!$B$39+(($N$12/3)*COS($K$13)))),($H72*'Alternative 2'!$B$39))))</f>
        <v>#VALUE!</v>
      </c>
      <c r="Z72" s="105" t="e">
        <f>X72*'Alternative 2'!$K73/'Alternative 2'!$L73</f>
        <v>#VALUE!</v>
      </c>
      <c r="AA72" s="105" t="e">
        <f>Y72/'Alternative 2'!$M73</f>
        <v>#VALUE!</v>
      </c>
      <c r="AB72" s="105" t="e">
        <f t="shared" si="21"/>
        <v>#VALUE!</v>
      </c>
      <c r="AD72" s="105" t="e">
        <f>'Alternative 2'!$B$39*$B72*$C72*COS($K$23)-($N$22/3)*$E72*SIN($K$23)-($N$22/3)*$F72*SIN($K$23)-($N$22/3)*$G72*SIN($K$23)</f>
        <v>#VALUE!</v>
      </c>
      <c r="AE72" s="106" t="e">
        <f>IF(($A72&lt;'Alternative 2'!$B$27),(($H72*'Alternative 2'!$B$39)+(3*($N$22/3)*COS($K$23))),IF(($A72&lt;'Alternative 2'!$B$28),(($H72*'Alternative 2'!$B$39)+(2*(($N$22/3)*COS($K$23)))),IF(($A72&lt;'Alternative 2'!$B$29),(($H$3*'Alternative 2'!$B$39+(($N$22/3)*COS($K$23)))),($H72*'Alternative 2'!$B$39))))</f>
        <v>#VALUE!</v>
      </c>
      <c r="AF72" s="105" t="e">
        <f>AD72*'Alternative 2'!$K73/'Alternative 2'!$L73</f>
        <v>#VALUE!</v>
      </c>
      <c r="AG72" s="105" t="e">
        <f>AE72/'Alternative 2'!$M73</f>
        <v>#VALUE!</v>
      </c>
      <c r="AH72" s="105" t="e">
        <f t="shared" si="22"/>
        <v>#VALUE!</v>
      </c>
      <c r="AJ72" s="105" t="e">
        <f>'Alternative 2'!$B$39*$B72*$C72*COS($K$33)-($N$32/3)*$E72*SIN($K$33)-($N$32/3)*$F72*SIN($K$33)-($N$32/3)*$G72*SIN($K$33)</f>
        <v>#VALUE!</v>
      </c>
      <c r="AK72" s="106" t="e">
        <f>IF(($A72&lt;'Alternative 2'!$B$27),(($H72*'Alternative 2'!$B$39)+(3*($N$32/3)*COS($K$33))),IF(($A72&lt;'Alternative 2'!$B$28),(($H72*'Alternative 2'!$B$39)+(2*(($N$32/3)*COS($K$33)))),IF(($A72&lt;'Alternative 2'!$B$29),(($H$3*'Alternative 2'!$B$39+(($N$32/3)*COS($K$33)))),($H72*'Alternative 2'!$B$39))))</f>
        <v>#VALUE!</v>
      </c>
      <c r="AL72" s="105" t="e">
        <f>AJ72*'Alternative 2'!$K73/'Alternative 2'!$L73</f>
        <v>#VALUE!</v>
      </c>
      <c r="AM72" s="105" t="e">
        <f>AK72/'Alternative 2'!$M73</f>
        <v>#VALUE!</v>
      </c>
      <c r="AN72" s="105" t="e">
        <f t="shared" si="23"/>
        <v>#VALUE!</v>
      </c>
      <c r="AP72" s="105" t="e">
        <f>'Alternative 2'!$B$39*$B72*$C72*COS($K$43)-($N$42/3)*$E72*SIN($K$43)-($N$42/3)*$F72*SIN($K$43)-($N$42/3)*$G72*SIN($K$43)</f>
        <v>#VALUE!</v>
      </c>
      <c r="AQ72" s="106" t="e">
        <f>IF(($A72&lt;'Alternative 2'!$B$27),(($H72*'Alternative 2'!$B$39)+(3*($N$42/3)*COS($K$43))),IF(($A72&lt;'Alternative 2'!$B$28),(($H72*'Alternative 2'!$B$39)+(2*(($N$42/3)*COS($K$43)))),IF(($A72&lt;'Alternative 2'!$B$29),(($H$3*'Alternative 2'!$B$39+(($N$42/3)*COS($K$43)))),($H72*'Alternative 2'!$B$39))))</f>
        <v>#VALUE!</v>
      </c>
      <c r="AR72" s="105" t="e">
        <f>AP72*'Alternative 2'!$K73/'Alternative 2'!$L73</f>
        <v>#VALUE!</v>
      </c>
      <c r="AS72" s="105" t="e">
        <f>AQ72/'Alternative 2'!$M73</f>
        <v>#VALUE!</v>
      </c>
      <c r="AT72" s="105" t="e">
        <f t="shared" si="24"/>
        <v>#VALUE!</v>
      </c>
      <c r="AV72" s="105" t="e">
        <f>'Alternative 2'!$B$39*$B72*$C72*COS($K$53)-($N$52/3)*$E72*SIN($K$53)-($N$52/3)*$F72*SIN($K$53)-($N$52/3)*$G72*SIN($K$53)</f>
        <v>#VALUE!</v>
      </c>
      <c r="AW72" s="106" t="e">
        <f>IF(($A72&lt;'Alternative 2'!$B$27),(($H72*'Alternative 2'!$B$39)+(3*($N$52/3)*COS($K$53))),IF(($A72&lt;'Alternative 2'!$B$28),(($H72*'Alternative 2'!$B$39)+(2*(($N$52/3)*COS($K$53)))),IF(($A72&lt;'Alternative 2'!$B$29),(($H$3*'Alternative 2'!$B$39+(($N$52/3)*COS($K$53)))),($H72*'Alternative 2'!$B$39))))</f>
        <v>#VALUE!</v>
      </c>
      <c r="AX72" s="105" t="e">
        <f>AV72*'Alternative 2'!$K73/'Alternative 2'!$L73</f>
        <v>#VALUE!</v>
      </c>
      <c r="AY72" s="105" t="e">
        <f>AW72/'Alternative 2'!$M73</f>
        <v>#VALUE!</v>
      </c>
      <c r="AZ72" s="105" t="e">
        <f t="shared" si="25"/>
        <v>#VALUE!</v>
      </c>
      <c r="BB72" s="105" t="e">
        <f>'Alternative 2'!$B$39*$B72*$C72*COS($K$63)-($N$62/3)*$E72*SIN($K$63)-($N$62/3)*$F72*SIN($K$63)-($N$62/3)*$G72*SIN($K$63)</f>
        <v>#VALUE!</v>
      </c>
      <c r="BC72" s="106" t="e">
        <f>IF(($A72&lt;'Alternative 2'!$B$27),(($H72*'Alternative 2'!$B$39)+(3*($N$62/3)*COS($K$63))),IF(($A72&lt;'Alternative 2'!$B$28),(($H72*'Alternative 2'!$B$39)+(2*(($N$62/3)*COS($K$63)))),IF(($A72&lt;'Alternative 2'!$B$29),(($H$3*'Alternative 2'!$B$39+(($N$62/3)*COS($K$63)))),($H72*'Alternative 2'!$B$39))))</f>
        <v>#VALUE!</v>
      </c>
      <c r="BD72" s="105" t="e">
        <f>BB72*'Alternative 2'!$K73/'Alternative 2'!$L73</f>
        <v>#VALUE!</v>
      </c>
      <c r="BE72" s="105" t="e">
        <f>BC72/'Alternative 2'!$M73</f>
        <v>#VALUE!</v>
      </c>
      <c r="BF72" s="105" t="e">
        <f t="shared" si="26"/>
        <v>#VALUE!</v>
      </c>
      <c r="BH72" s="105" t="e">
        <f>'Alternative 2'!$B$39*$B72*$C72*COS($K$73)-($N$72/3)*$E72*SIN($K$73)-($N$72/3)*$F72*SIN($K$73)-($N$72/3)*$G72*SIN($K$73)</f>
        <v>#VALUE!</v>
      </c>
      <c r="BI72" s="106" t="e">
        <f>IF(($A72&lt;'Alternative 2'!$B$27),(($H72*'Alternative 2'!$B$39)+(3*($N$72/3)*COS($K$73))),IF(($A72&lt;'Alternative 2'!$B$28),(($H72*'Alternative 2'!$B$39)+(2*(($N$72/3)*COS($K$73)))),IF(($A72&lt;'Alternative 2'!$B$29),(($H$3*'Alternative 2'!$B$39+(($N$72/3)*COS($K$73)))),($H72*'Alternative 2'!$B$39))))</f>
        <v>#VALUE!</v>
      </c>
      <c r="BJ72" s="105" t="e">
        <f>BH72*'Alternative 2'!$K73/'Alternative 2'!$L73</f>
        <v>#VALUE!</v>
      </c>
      <c r="BK72" s="105" t="e">
        <f>BI72/'Alternative 2'!$M73</f>
        <v>#VALUE!</v>
      </c>
      <c r="BL72" s="105" t="e">
        <f t="shared" si="27"/>
        <v>#VALUE!</v>
      </c>
      <c r="BN72" s="105" t="e">
        <f>'Alternative 2'!$B$39*$B72*$C72*COS($K$83)-($N$82/3)*$E72*SIN($K$83)-($N$82/3)*$F72*SIN($K$83)-($N$82/3)*$G72*SIN($K$83)</f>
        <v>#VALUE!</v>
      </c>
      <c r="BO72" s="106" t="e">
        <f>IF(($A72&lt;'Alternative 2'!$B$27),(($H72*'Alternative 2'!$B$39)+(3*($N$82/3)*COS($K$83))),IF(($A72&lt;'Alternative 2'!$B$28),(($H72*'Alternative 2'!$B$39)+(2*(($N$82/3)*COS($K$83)))),IF(($A72&lt;'Alternative 2'!$B$29),(($H$3*'Alternative 2'!$B$39+(($N$82/3)*COS($K$83)))),($H72*'Alternative 2'!$B$39))))</f>
        <v>#VALUE!</v>
      </c>
      <c r="BP72" s="105" t="e">
        <f>BN72*'Alternative 2'!$K73/'Alternative 2'!$L73</f>
        <v>#VALUE!</v>
      </c>
      <c r="BQ72" s="105" t="e">
        <f>BO72/'Alternative 2'!$M73</f>
        <v>#VALUE!</v>
      </c>
      <c r="BR72" s="105" t="e">
        <f t="shared" si="28"/>
        <v>#VALUE!</v>
      </c>
      <c r="BT72" s="105" t="e">
        <f>'Alternative 2'!$B$39*$B72*$C72*COS($K$93)-($K$92/3)*$E72*SIN($K$93)-($K$92/3)*$F72*SIN($K$93)-($K$92/3)*$G72*SIN($K$93)</f>
        <v>#VALUE!</v>
      </c>
      <c r="BU72" s="106" t="e">
        <f>IF(($A72&lt;'Alternative 2'!$B$27),(($H72*'Alternative 2'!$B$39)+(3*($N$92/3)*COS($K$93))),IF(($A72&lt;'Alternative 2'!$B$28),(($H72*'Alternative 2'!$B$39)+(2*(($N$92/3)*COS($K$93)))),IF(($A72&lt;'Alternative 2'!$B$29),(($H$3*'Alternative 2'!$B$39+(($N$92/3)*COS($K$93)))),($H72*'Alternative 2'!$B$39))))</f>
        <v>#VALUE!</v>
      </c>
      <c r="BV72" s="105" t="e">
        <f>BT72*'Alternative 2'!$K73/'Alternative 2'!$L73</f>
        <v>#VALUE!</v>
      </c>
      <c r="BW72" s="105" t="e">
        <f>BU72/'Alternative 2'!$M73</f>
        <v>#VALUE!</v>
      </c>
      <c r="BX72" s="105" t="e">
        <f t="shared" si="29"/>
        <v>#VALUE!</v>
      </c>
    </row>
    <row r="73" spans="1:79" ht="15" customHeight="1" x14ac:dyDescent="0.25">
      <c r="A73" s="18" t="str">
        <f>IF('Alternative 2'!F74&gt;0,'Alternative 2'!F74,"x")</f>
        <v>x</v>
      </c>
      <c r="B73" s="18" t="e">
        <f t="shared" si="35"/>
        <v>#VALUE!</v>
      </c>
      <c r="C73" s="18">
        <f t="shared" si="30"/>
        <v>0</v>
      </c>
      <c r="D73" s="18" t="str">
        <f t="shared" si="31"/>
        <v>x</v>
      </c>
      <c r="E73" s="101">
        <f>IF($A73&lt;='Alternative 2'!$B$27, IF($A73='Alternative 2'!$B$27,0,E74+1),0)</f>
        <v>0</v>
      </c>
      <c r="F73" s="101">
        <f>IF($A73&lt;=('Alternative 2'!$B$28), IF($A73=ROUNDDOWN('Alternative 2'!$B$28,0),0,F74+1),0)</f>
        <v>0</v>
      </c>
      <c r="G73" s="101">
        <f>IF($A73&lt;=('Alternative 2'!$B$29), IF($A73=ROUNDDOWN('Alternative 2'!$B$29,0),0,G74+1),0)</f>
        <v>0</v>
      </c>
      <c r="H73" s="18" t="e">
        <f t="shared" si="32"/>
        <v>#VALUE!</v>
      </c>
      <c r="J73" s="104">
        <f t="shared" si="33"/>
        <v>70</v>
      </c>
      <c r="K73" s="109">
        <f t="shared" si="34"/>
        <v>1.2217304763960306</v>
      </c>
      <c r="L73" s="105">
        <f>'Alternative 2'!$B$27*SIN(K73)+'Alternative 2'!$B$28*SIN(K73)+'Alternative 2'!$B$29*SIN(K73)</f>
        <v>40.397385767586201</v>
      </c>
      <c r="M73" s="104">
        <f>(('Alternative 2'!$B$27)*(((('Alternative 2'!$B$28-'Alternative 2'!$B$27)/2)+'Alternative 2'!$B$27)*'Alternative 2'!$B$39)*COS('Alternative 2-Tilt Up (3pt)'!K73))+(('Alternative 2'!$B$28)*((('Alternative 2'!$B$28-'Alternative 2'!$B$27)/2)+(('Alternative 2'!$B$29-'Alternative 2'!$B$28)/2))*('Alternative 2'!$B$39)*COS('Alternative 2-Tilt Up (3pt)'!K73))+(('Alternative 2'!$B$29)*((('Alternative 2'!$B$12-'Alternative 2'!$B$29+(('Alternative 2'!$B$29-'Alternative 2'!$B$28)/2)*('Alternative 2'!$B$39)*COS('Alternative 2-Tilt Up (3pt)'!K73)))))</f>
        <v>208617.448342736</v>
      </c>
      <c r="N73" s="104">
        <f t="shared" si="18"/>
        <v>15492.397172155022</v>
      </c>
      <c r="O73" s="104">
        <f>(((('Alternative 2'!$B$28-'Alternative 2'!$B$27)/2)+'Alternative 2'!$B$27)*('Alternative 2'!$B$39)*COS('Alternative 2-Tilt Up (3pt)'!K73))+(((('Alternative 2'!$B$28-'Alternative 2'!$B$27)/2)+(('Alternative 2'!$B$29-'Alternative 2'!$B$28)/2))*('Alternative 2'!$B$39)*COS('Alternative 2-Tilt Up (3pt)'!K73))+(((('Alternative 2'!$B$12-'Alternative 2'!$B$29)+(('Alternative 2'!$B$29-'Alternative 2'!$B$28)/2))*('Alternative 2'!$B$39)*COS('Alternative 2-Tilt Up (3pt)'!K73)))</f>
        <v>21402.881557440222</v>
      </c>
      <c r="P73" s="109">
        <f t="shared" si="19"/>
        <v>5298.711901278647</v>
      </c>
      <c r="R73" s="105" t="e">
        <f>'Alternative 2'!$B$39*$B73*$C73*COS($K$5)-($N$5/3)*$E73*SIN($K$5)-($N$5/3)*$F73*SIN($K$5)-($N$5/3)*$G73*SIN($K$5)</f>
        <v>#VALUE!</v>
      </c>
      <c r="S73" s="106" t="e">
        <f>IF(($A73&lt;'Alternative 2'!$B$27),(($H73*'Alternative 2'!$B$39)+(3*($N$5/3)*COS($K$5))),IF(($A73&lt;'Alternative 2'!$B$28),(($H73*'Alternative 2'!$B$39)+(2*(($N$5/3)*COS($K$5)))),IF(($A73&lt;'Alternative 2'!$B$29),(($H$3*'Alternative 2'!$B$39+(($N$5/3)*COS($K$5)))),($H73*'Alternative 2'!$B$39))))</f>
        <v>#VALUE!</v>
      </c>
      <c r="T73" s="105" t="e">
        <f>R73*'Alternative 2'!$K74/'Alternative 2'!$L74</f>
        <v>#VALUE!</v>
      </c>
      <c r="U73" s="105" t="e">
        <f>S73/'Alternative 2'!$M74</f>
        <v>#VALUE!</v>
      </c>
      <c r="V73" s="105" t="e">
        <f t="shared" si="20"/>
        <v>#VALUE!</v>
      </c>
      <c r="X73" s="105" t="e">
        <f>'Alternative 2'!$B$39*$B73*$C73*COS($K$13)-($N$12/3)*$E73*SIN($K$13)-($N$12/3)*$F73*SIN($K$13)-($N$12/3)*$G73*SIN($K$13)</f>
        <v>#VALUE!</v>
      </c>
      <c r="Y73" s="106" t="e">
        <f>IF(($A73&lt;'Alternative 2'!$B$27),(($H73*'Alternative 2'!$B$39)+(3*($N$12/3)*COS($K$13))),IF(($A73&lt;'Alternative 2'!$B$28),(($H73*'Alternative 2'!$B$39)+(2*(($N$12/3)*COS($K$13)))),IF(($A73&lt;'Alternative 2'!$B$29),(($H$3*'Alternative 2'!$B$39+(($N$12/3)*COS($K$13)))),($H73*'Alternative 2'!$B$39))))</f>
        <v>#VALUE!</v>
      </c>
      <c r="Z73" s="105" t="e">
        <f>X73*'Alternative 2'!$K74/'Alternative 2'!$L74</f>
        <v>#VALUE!</v>
      </c>
      <c r="AA73" s="105" t="e">
        <f>Y73/'Alternative 2'!$M74</f>
        <v>#VALUE!</v>
      </c>
      <c r="AB73" s="105" t="e">
        <f t="shared" si="21"/>
        <v>#VALUE!</v>
      </c>
      <c r="AD73" s="105" t="e">
        <f>'Alternative 2'!$B$39*$B73*$C73*COS($K$23)-($N$22/3)*$E73*SIN($K$23)-($N$22/3)*$F73*SIN($K$23)-($N$22/3)*$G73*SIN($K$23)</f>
        <v>#VALUE!</v>
      </c>
      <c r="AE73" s="106" t="e">
        <f>IF(($A73&lt;'Alternative 2'!$B$27),(($H73*'Alternative 2'!$B$39)+(3*($N$22/3)*COS($K$23))),IF(($A73&lt;'Alternative 2'!$B$28),(($H73*'Alternative 2'!$B$39)+(2*(($N$22/3)*COS($K$23)))),IF(($A73&lt;'Alternative 2'!$B$29),(($H$3*'Alternative 2'!$B$39+(($N$22/3)*COS($K$23)))),($H73*'Alternative 2'!$B$39))))</f>
        <v>#VALUE!</v>
      </c>
      <c r="AF73" s="105" t="e">
        <f>AD73*'Alternative 2'!$K74/'Alternative 2'!$L74</f>
        <v>#VALUE!</v>
      </c>
      <c r="AG73" s="105" t="e">
        <f>AE73/'Alternative 2'!$M74</f>
        <v>#VALUE!</v>
      </c>
      <c r="AH73" s="105" t="e">
        <f t="shared" si="22"/>
        <v>#VALUE!</v>
      </c>
      <c r="AJ73" s="105" t="e">
        <f>'Alternative 2'!$B$39*$B73*$C73*COS($K$33)-($N$32/3)*$E73*SIN($K$33)-($N$32/3)*$F73*SIN($K$33)-($N$32/3)*$G73*SIN($K$33)</f>
        <v>#VALUE!</v>
      </c>
      <c r="AK73" s="106" t="e">
        <f>IF(($A73&lt;'Alternative 2'!$B$27),(($H73*'Alternative 2'!$B$39)+(3*($N$32/3)*COS($K$33))),IF(($A73&lt;'Alternative 2'!$B$28),(($H73*'Alternative 2'!$B$39)+(2*(($N$32/3)*COS($K$33)))),IF(($A73&lt;'Alternative 2'!$B$29),(($H$3*'Alternative 2'!$B$39+(($N$32/3)*COS($K$33)))),($H73*'Alternative 2'!$B$39))))</f>
        <v>#VALUE!</v>
      </c>
      <c r="AL73" s="105" t="e">
        <f>AJ73*'Alternative 2'!$K74/'Alternative 2'!$L74</f>
        <v>#VALUE!</v>
      </c>
      <c r="AM73" s="105" t="e">
        <f>AK73/'Alternative 2'!$M74</f>
        <v>#VALUE!</v>
      </c>
      <c r="AN73" s="105" t="e">
        <f t="shared" si="23"/>
        <v>#VALUE!</v>
      </c>
      <c r="AP73" s="105" t="e">
        <f>'Alternative 2'!$B$39*$B73*$C73*COS($K$43)-($N$42/3)*$E73*SIN($K$43)-($N$42/3)*$F73*SIN($K$43)-($N$42/3)*$G73*SIN($K$43)</f>
        <v>#VALUE!</v>
      </c>
      <c r="AQ73" s="106" t="e">
        <f>IF(($A73&lt;'Alternative 2'!$B$27),(($H73*'Alternative 2'!$B$39)+(3*($N$42/3)*COS($K$43))),IF(($A73&lt;'Alternative 2'!$B$28),(($H73*'Alternative 2'!$B$39)+(2*(($N$42/3)*COS($K$43)))),IF(($A73&lt;'Alternative 2'!$B$29),(($H$3*'Alternative 2'!$B$39+(($N$42/3)*COS($K$43)))),($H73*'Alternative 2'!$B$39))))</f>
        <v>#VALUE!</v>
      </c>
      <c r="AR73" s="105" t="e">
        <f>AP73*'Alternative 2'!$K74/'Alternative 2'!$L74</f>
        <v>#VALUE!</v>
      </c>
      <c r="AS73" s="105" t="e">
        <f>AQ73/'Alternative 2'!$M74</f>
        <v>#VALUE!</v>
      </c>
      <c r="AT73" s="105" t="e">
        <f t="shared" si="24"/>
        <v>#VALUE!</v>
      </c>
      <c r="AV73" s="105" t="e">
        <f>'Alternative 2'!$B$39*$B73*$C73*COS($K$53)-($N$52/3)*$E73*SIN($K$53)-($N$52/3)*$F73*SIN($K$53)-($N$52/3)*$G73*SIN($K$53)</f>
        <v>#VALUE!</v>
      </c>
      <c r="AW73" s="106" t="e">
        <f>IF(($A73&lt;'Alternative 2'!$B$27),(($H73*'Alternative 2'!$B$39)+(3*($N$52/3)*COS($K$53))),IF(($A73&lt;'Alternative 2'!$B$28),(($H73*'Alternative 2'!$B$39)+(2*(($N$52/3)*COS($K$53)))),IF(($A73&lt;'Alternative 2'!$B$29),(($H$3*'Alternative 2'!$B$39+(($N$52/3)*COS($K$53)))),($H73*'Alternative 2'!$B$39))))</f>
        <v>#VALUE!</v>
      </c>
      <c r="AX73" s="105" t="e">
        <f>AV73*'Alternative 2'!$K74/'Alternative 2'!$L74</f>
        <v>#VALUE!</v>
      </c>
      <c r="AY73" s="105" t="e">
        <f>AW73/'Alternative 2'!$M74</f>
        <v>#VALUE!</v>
      </c>
      <c r="AZ73" s="105" t="e">
        <f t="shared" si="25"/>
        <v>#VALUE!</v>
      </c>
      <c r="BB73" s="105" t="e">
        <f>'Alternative 2'!$B$39*$B73*$C73*COS($K$63)-($N$62/3)*$E73*SIN($K$63)-($N$62/3)*$F73*SIN($K$63)-($N$62/3)*$G73*SIN($K$63)</f>
        <v>#VALUE!</v>
      </c>
      <c r="BC73" s="106" t="e">
        <f>IF(($A73&lt;'Alternative 2'!$B$27),(($H73*'Alternative 2'!$B$39)+(3*($N$62/3)*COS($K$63))),IF(($A73&lt;'Alternative 2'!$B$28),(($H73*'Alternative 2'!$B$39)+(2*(($N$62/3)*COS($K$63)))),IF(($A73&lt;'Alternative 2'!$B$29),(($H$3*'Alternative 2'!$B$39+(($N$62/3)*COS($K$63)))),($H73*'Alternative 2'!$B$39))))</f>
        <v>#VALUE!</v>
      </c>
      <c r="BD73" s="105" t="e">
        <f>BB73*'Alternative 2'!$K74/'Alternative 2'!$L74</f>
        <v>#VALUE!</v>
      </c>
      <c r="BE73" s="105" t="e">
        <f>BC73/'Alternative 2'!$M74</f>
        <v>#VALUE!</v>
      </c>
      <c r="BF73" s="105" t="e">
        <f t="shared" si="26"/>
        <v>#VALUE!</v>
      </c>
      <c r="BH73" s="105" t="e">
        <f>'Alternative 2'!$B$39*$B73*$C73*COS($K$73)-($N$72/3)*$E73*SIN($K$73)-($N$72/3)*$F73*SIN($K$73)-($N$72/3)*$G73*SIN($K$73)</f>
        <v>#VALUE!</v>
      </c>
      <c r="BI73" s="106" t="e">
        <f>IF(($A73&lt;'Alternative 2'!$B$27),(($H73*'Alternative 2'!$B$39)+(3*($N$72/3)*COS($K$73))),IF(($A73&lt;'Alternative 2'!$B$28),(($H73*'Alternative 2'!$B$39)+(2*(($N$72/3)*COS($K$73)))),IF(($A73&lt;'Alternative 2'!$B$29),(($H$3*'Alternative 2'!$B$39+(($N$72/3)*COS($K$73)))),($H73*'Alternative 2'!$B$39))))</f>
        <v>#VALUE!</v>
      </c>
      <c r="BJ73" s="105" t="e">
        <f>BH73*'Alternative 2'!$K74/'Alternative 2'!$L74</f>
        <v>#VALUE!</v>
      </c>
      <c r="BK73" s="105" t="e">
        <f>BI73/'Alternative 2'!$M74</f>
        <v>#VALUE!</v>
      </c>
      <c r="BL73" s="105" t="e">
        <f t="shared" si="27"/>
        <v>#VALUE!</v>
      </c>
      <c r="BN73" s="105" t="e">
        <f>'Alternative 2'!$B$39*$B73*$C73*COS($K$83)-($N$82/3)*$E73*SIN($K$83)-($N$82/3)*$F73*SIN($K$83)-($N$82/3)*$G73*SIN($K$83)</f>
        <v>#VALUE!</v>
      </c>
      <c r="BO73" s="106" t="e">
        <f>IF(($A73&lt;'Alternative 2'!$B$27),(($H73*'Alternative 2'!$B$39)+(3*($N$82/3)*COS($K$83))),IF(($A73&lt;'Alternative 2'!$B$28),(($H73*'Alternative 2'!$B$39)+(2*(($N$82/3)*COS($K$83)))),IF(($A73&lt;'Alternative 2'!$B$29),(($H$3*'Alternative 2'!$B$39+(($N$82/3)*COS($K$83)))),($H73*'Alternative 2'!$B$39))))</f>
        <v>#VALUE!</v>
      </c>
      <c r="BP73" s="105" t="e">
        <f>BN73*'Alternative 2'!$K74/'Alternative 2'!$L74</f>
        <v>#VALUE!</v>
      </c>
      <c r="BQ73" s="105" t="e">
        <f>BO73/'Alternative 2'!$M74</f>
        <v>#VALUE!</v>
      </c>
      <c r="BR73" s="105" t="e">
        <f t="shared" si="28"/>
        <v>#VALUE!</v>
      </c>
      <c r="BT73" s="105" t="e">
        <f>'Alternative 2'!$B$39*$B73*$C73*COS($K$93)-($K$92/3)*$E73*SIN($K$93)-($K$92/3)*$F73*SIN($K$93)-($K$92/3)*$G73*SIN($K$93)</f>
        <v>#VALUE!</v>
      </c>
      <c r="BU73" s="106" t="e">
        <f>IF(($A73&lt;'Alternative 2'!$B$27),(($H73*'Alternative 2'!$B$39)+(3*($N$92/3)*COS($K$93))),IF(($A73&lt;'Alternative 2'!$B$28),(($H73*'Alternative 2'!$B$39)+(2*(($N$92/3)*COS($K$93)))),IF(($A73&lt;'Alternative 2'!$B$29),(($H$3*'Alternative 2'!$B$39+(($N$92/3)*COS($K$93)))),($H73*'Alternative 2'!$B$39))))</f>
        <v>#VALUE!</v>
      </c>
      <c r="BV73" s="105" t="e">
        <f>BT73*'Alternative 2'!$K74/'Alternative 2'!$L74</f>
        <v>#VALUE!</v>
      </c>
      <c r="BW73" s="105" t="e">
        <f>BU73/'Alternative 2'!$M74</f>
        <v>#VALUE!</v>
      </c>
      <c r="BX73" s="105" t="e">
        <f t="shared" si="29"/>
        <v>#VALUE!</v>
      </c>
    </row>
    <row r="74" spans="1:79" ht="15" customHeight="1" x14ac:dyDescent="0.25">
      <c r="A74" s="18" t="str">
        <f>IF('Alternative 2'!F75&gt;0,'Alternative 2'!F75,"x")</f>
        <v>x</v>
      </c>
      <c r="B74" s="18" t="e">
        <f t="shared" si="35"/>
        <v>#VALUE!</v>
      </c>
      <c r="C74" s="18">
        <f t="shared" si="30"/>
        <v>0</v>
      </c>
      <c r="D74" s="18" t="str">
        <f t="shared" si="31"/>
        <v>x</v>
      </c>
      <c r="E74" s="101">
        <f>IF($A74&lt;='Alternative 2'!$B$27, IF($A74='Alternative 2'!$B$27,0,E75+1),0)</f>
        <v>0</v>
      </c>
      <c r="F74" s="101">
        <f>IF($A74&lt;=('Alternative 2'!$B$28), IF($A74=ROUNDDOWN('Alternative 2'!$B$28,0),0,F75+1),0)</f>
        <v>0</v>
      </c>
      <c r="G74" s="101">
        <f>IF($A74&lt;=('Alternative 2'!$B$29), IF($A74=ROUNDDOWN('Alternative 2'!$B$29,0),0,G75+1),0)</f>
        <v>0</v>
      </c>
      <c r="H74" s="18" t="e">
        <f t="shared" si="32"/>
        <v>#VALUE!</v>
      </c>
      <c r="J74" s="104">
        <f t="shared" si="33"/>
        <v>71</v>
      </c>
      <c r="K74" s="104">
        <f t="shared" si="34"/>
        <v>1.2391837689159739</v>
      </c>
      <c r="L74" s="105">
        <f>'Alternative 2'!$B$27*SIN(K74)+'Alternative 2'!$B$28*SIN(K74)+'Alternative 2'!$B$29*SIN(K74)</f>
        <v>40.647843565014625</v>
      </c>
      <c r="M74" s="104">
        <f>(('Alternative 2'!$B$27)*(((('Alternative 2'!$B$28-'Alternative 2'!$B$27)/2)+'Alternative 2'!$B$27)*'Alternative 2'!$B$39)*COS('Alternative 2-Tilt Up (3pt)'!K74))+(('Alternative 2'!$B$28)*((('Alternative 2'!$B$28-'Alternative 2'!$B$27)/2)+(('Alternative 2'!$B$29-'Alternative 2'!$B$28)/2))*('Alternative 2'!$B$39)*COS('Alternative 2-Tilt Up (3pt)'!K74))+(('Alternative 2'!$B$29)*((('Alternative 2'!$B$12-'Alternative 2'!$B$29+(('Alternative 2'!$B$29-'Alternative 2'!$B$28)/2)*('Alternative 2'!$B$39)*COS('Alternative 2-Tilt Up (3pt)'!K74)))))</f>
        <v>198586.34447234805</v>
      </c>
      <c r="N74" s="104">
        <f t="shared" si="18"/>
        <v>14656.596295548892</v>
      </c>
      <c r="O74" s="104">
        <f>(((('Alternative 2'!$B$28-'Alternative 2'!$B$27)/2)+'Alternative 2'!$B$27)*('Alternative 2'!$B$39)*COS('Alternative 2-Tilt Up (3pt)'!K74))+(((('Alternative 2'!$B$28-'Alternative 2'!$B$27)/2)+(('Alternative 2'!$B$29-'Alternative 2'!$B$28)/2))*('Alternative 2'!$B$39)*COS('Alternative 2-Tilt Up (3pt)'!K74))+(((('Alternative 2'!$B$12-'Alternative 2'!$B$29)+(('Alternative 2'!$B$29-'Alternative 2'!$B$28)/2))*('Alternative 2'!$B$39)*COS('Alternative 2-Tilt Up (3pt)'!K74)))</f>
        <v>20373.351642291913</v>
      </c>
      <c r="P74" s="104">
        <f t="shared" si="19"/>
        <v>4771.7210065654535</v>
      </c>
      <c r="R74" s="105" t="e">
        <f>'Alternative 2'!$B$39*$B74*$C74*COS($K$5)-($N$5/3)*$E74*SIN($K$5)-($N$5/3)*$F74*SIN($K$5)-($N$5/3)*$G74*SIN($K$5)</f>
        <v>#VALUE!</v>
      </c>
      <c r="S74" s="106" t="e">
        <f>IF(($A74&lt;'Alternative 2'!$B$27),(($H74*'Alternative 2'!$B$39)+(3*($N$5/3)*COS($K$5))),IF(($A74&lt;'Alternative 2'!$B$28),(($H74*'Alternative 2'!$B$39)+(2*(($N$5/3)*COS($K$5)))),IF(($A74&lt;'Alternative 2'!$B$29),(($H$3*'Alternative 2'!$B$39+(($N$5/3)*COS($K$5)))),($H74*'Alternative 2'!$B$39))))</f>
        <v>#VALUE!</v>
      </c>
      <c r="T74" s="105" t="e">
        <f>R74*'Alternative 2'!$K75/'Alternative 2'!$L75</f>
        <v>#VALUE!</v>
      </c>
      <c r="U74" s="105" t="e">
        <f>S74/'Alternative 2'!$M75</f>
        <v>#VALUE!</v>
      </c>
      <c r="V74" s="105" t="e">
        <f t="shared" si="20"/>
        <v>#VALUE!</v>
      </c>
      <c r="X74" s="105" t="e">
        <f>'Alternative 2'!$B$39*$B74*$C74*COS($K$13)-($N$12/3)*$E74*SIN($K$13)-($N$12/3)*$F74*SIN($K$13)-($N$12/3)*$G74*SIN($K$13)</f>
        <v>#VALUE!</v>
      </c>
      <c r="Y74" s="106" t="e">
        <f>IF(($A74&lt;'Alternative 2'!$B$27),(($H74*'Alternative 2'!$B$39)+(3*($N$12/3)*COS($K$13))),IF(($A74&lt;'Alternative 2'!$B$28),(($H74*'Alternative 2'!$B$39)+(2*(($N$12/3)*COS($K$13)))),IF(($A74&lt;'Alternative 2'!$B$29),(($H$3*'Alternative 2'!$B$39+(($N$12/3)*COS($K$13)))),($H74*'Alternative 2'!$B$39))))</f>
        <v>#VALUE!</v>
      </c>
      <c r="Z74" s="105" t="e">
        <f>X74*'Alternative 2'!$K75/'Alternative 2'!$L75</f>
        <v>#VALUE!</v>
      </c>
      <c r="AA74" s="105" t="e">
        <f>Y74/'Alternative 2'!$M75</f>
        <v>#VALUE!</v>
      </c>
      <c r="AB74" s="105" t="e">
        <f t="shared" si="21"/>
        <v>#VALUE!</v>
      </c>
      <c r="AD74" s="105" t="e">
        <f>'Alternative 2'!$B$39*$B74*$C74*COS($K$23)-($N$22/3)*$E74*SIN($K$23)-($N$22/3)*$F74*SIN($K$23)-($N$22/3)*$G74*SIN($K$23)</f>
        <v>#VALUE!</v>
      </c>
      <c r="AE74" s="106" t="e">
        <f>IF(($A74&lt;'Alternative 2'!$B$27),(($H74*'Alternative 2'!$B$39)+(3*($N$22/3)*COS($K$23))),IF(($A74&lt;'Alternative 2'!$B$28),(($H74*'Alternative 2'!$B$39)+(2*(($N$22/3)*COS($K$23)))),IF(($A74&lt;'Alternative 2'!$B$29),(($H$3*'Alternative 2'!$B$39+(($N$22/3)*COS($K$23)))),($H74*'Alternative 2'!$B$39))))</f>
        <v>#VALUE!</v>
      </c>
      <c r="AF74" s="105" t="e">
        <f>AD74*'Alternative 2'!$K75/'Alternative 2'!$L75</f>
        <v>#VALUE!</v>
      </c>
      <c r="AG74" s="105" t="e">
        <f>AE74/'Alternative 2'!$M75</f>
        <v>#VALUE!</v>
      </c>
      <c r="AH74" s="105" t="e">
        <f t="shared" si="22"/>
        <v>#VALUE!</v>
      </c>
      <c r="AJ74" s="105" t="e">
        <f>'Alternative 2'!$B$39*$B74*$C74*COS($K$33)-($N$32/3)*$E74*SIN($K$33)-($N$32/3)*$F74*SIN($K$33)-($N$32/3)*$G74*SIN($K$33)</f>
        <v>#VALUE!</v>
      </c>
      <c r="AK74" s="106" t="e">
        <f>IF(($A74&lt;'Alternative 2'!$B$27),(($H74*'Alternative 2'!$B$39)+(3*($N$32/3)*COS($K$33))),IF(($A74&lt;'Alternative 2'!$B$28),(($H74*'Alternative 2'!$B$39)+(2*(($N$32/3)*COS($K$33)))),IF(($A74&lt;'Alternative 2'!$B$29),(($H$3*'Alternative 2'!$B$39+(($N$32/3)*COS($K$33)))),($H74*'Alternative 2'!$B$39))))</f>
        <v>#VALUE!</v>
      </c>
      <c r="AL74" s="105" t="e">
        <f>AJ74*'Alternative 2'!$K75/'Alternative 2'!$L75</f>
        <v>#VALUE!</v>
      </c>
      <c r="AM74" s="105" t="e">
        <f>AK74/'Alternative 2'!$M75</f>
        <v>#VALUE!</v>
      </c>
      <c r="AN74" s="105" t="e">
        <f t="shared" si="23"/>
        <v>#VALUE!</v>
      </c>
      <c r="AP74" s="105" t="e">
        <f>'Alternative 2'!$B$39*$B74*$C74*COS($K$43)-($N$42/3)*$E74*SIN($K$43)-($N$42/3)*$F74*SIN($K$43)-($N$42/3)*$G74*SIN($K$43)</f>
        <v>#VALUE!</v>
      </c>
      <c r="AQ74" s="106" t="e">
        <f>IF(($A74&lt;'Alternative 2'!$B$27),(($H74*'Alternative 2'!$B$39)+(3*($N$42/3)*COS($K$43))),IF(($A74&lt;'Alternative 2'!$B$28),(($H74*'Alternative 2'!$B$39)+(2*(($N$42/3)*COS($K$43)))),IF(($A74&lt;'Alternative 2'!$B$29),(($H$3*'Alternative 2'!$B$39+(($N$42/3)*COS($K$43)))),($H74*'Alternative 2'!$B$39))))</f>
        <v>#VALUE!</v>
      </c>
      <c r="AR74" s="105" t="e">
        <f>AP74*'Alternative 2'!$K75/'Alternative 2'!$L75</f>
        <v>#VALUE!</v>
      </c>
      <c r="AS74" s="105" t="e">
        <f>AQ74/'Alternative 2'!$M75</f>
        <v>#VALUE!</v>
      </c>
      <c r="AT74" s="105" t="e">
        <f t="shared" si="24"/>
        <v>#VALUE!</v>
      </c>
      <c r="AV74" s="105" t="e">
        <f>'Alternative 2'!$B$39*$B74*$C74*COS($K$53)-($N$52/3)*$E74*SIN($K$53)-($N$52/3)*$F74*SIN($K$53)-($N$52/3)*$G74*SIN($K$53)</f>
        <v>#VALUE!</v>
      </c>
      <c r="AW74" s="106" t="e">
        <f>IF(($A74&lt;'Alternative 2'!$B$27),(($H74*'Alternative 2'!$B$39)+(3*($N$52/3)*COS($K$53))),IF(($A74&lt;'Alternative 2'!$B$28),(($H74*'Alternative 2'!$B$39)+(2*(($N$52/3)*COS($K$53)))),IF(($A74&lt;'Alternative 2'!$B$29),(($H$3*'Alternative 2'!$B$39+(($N$52/3)*COS($K$53)))),($H74*'Alternative 2'!$B$39))))</f>
        <v>#VALUE!</v>
      </c>
      <c r="AX74" s="105" t="e">
        <f>AV74*'Alternative 2'!$K75/'Alternative 2'!$L75</f>
        <v>#VALUE!</v>
      </c>
      <c r="AY74" s="105" t="e">
        <f>AW74/'Alternative 2'!$M75</f>
        <v>#VALUE!</v>
      </c>
      <c r="AZ74" s="105" t="e">
        <f t="shared" si="25"/>
        <v>#VALUE!</v>
      </c>
      <c r="BB74" s="105" t="e">
        <f>'Alternative 2'!$B$39*$B74*$C74*COS($K$63)-($N$62/3)*$E74*SIN($K$63)-($N$62/3)*$F74*SIN($K$63)-($N$62/3)*$G74*SIN($K$63)</f>
        <v>#VALUE!</v>
      </c>
      <c r="BC74" s="106" t="e">
        <f>IF(($A74&lt;'Alternative 2'!$B$27),(($H74*'Alternative 2'!$B$39)+(3*($N$62/3)*COS($K$63))),IF(($A74&lt;'Alternative 2'!$B$28),(($H74*'Alternative 2'!$B$39)+(2*(($N$62/3)*COS($K$63)))),IF(($A74&lt;'Alternative 2'!$B$29),(($H$3*'Alternative 2'!$B$39+(($N$62/3)*COS($K$63)))),($H74*'Alternative 2'!$B$39))))</f>
        <v>#VALUE!</v>
      </c>
      <c r="BD74" s="105" t="e">
        <f>BB74*'Alternative 2'!$K75/'Alternative 2'!$L75</f>
        <v>#VALUE!</v>
      </c>
      <c r="BE74" s="105" t="e">
        <f>BC74/'Alternative 2'!$M75</f>
        <v>#VALUE!</v>
      </c>
      <c r="BF74" s="105" t="e">
        <f t="shared" si="26"/>
        <v>#VALUE!</v>
      </c>
      <c r="BH74" s="105" t="e">
        <f>'Alternative 2'!$B$39*$B74*$C74*COS($K$73)-($N$72/3)*$E74*SIN($K$73)-($N$72/3)*$F74*SIN($K$73)-($N$72/3)*$G74*SIN($K$73)</f>
        <v>#VALUE!</v>
      </c>
      <c r="BI74" s="106" t="e">
        <f>IF(($A74&lt;'Alternative 2'!$B$27),(($H74*'Alternative 2'!$B$39)+(3*($N$72/3)*COS($K$73))),IF(($A74&lt;'Alternative 2'!$B$28),(($H74*'Alternative 2'!$B$39)+(2*(($N$72/3)*COS($K$73)))),IF(($A74&lt;'Alternative 2'!$B$29),(($H$3*'Alternative 2'!$B$39+(($N$72/3)*COS($K$73)))),($H74*'Alternative 2'!$B$39))))</f>
        <v>#VALUE!</v>
      </c>
      <c r="BJ74" s="105" t="e">
        <f>BH74*'Alternative 2'!$K75/'Alternative 2'!$L75</f>
        <v>#VALUE!</v>
      </c>
      <c r="BK74" s="105" t="e">
        <f>BI74/'Alternative 2'!$M75</f>
        <v>#VALUE!</v>
      </c>
      <c r="BL74" s="105" t="e">
        <f t="shared" si="27"/>
        <v>#VALUE!</v>
      </c>
      <c r="BN74" s="105" t="e">
        <f>'Alternative 2'!$B$39*$B74*$C74*COS($K$83)-($N$82/3)*$E74*SIN($K$83)-($N$82/3)*$F74*SIN($K$83)-($N$82/3)*$G74*SIN($K$83)</f>
        <v>#VALUE!</v>
      </c>
      <c r="BO74" s="106" t="e">
        <f>IF(($A74&lt;'Alternative 2'!$B$27),(($H74*'Alternative 2'!$B$39)+(3*($N$82/3)*COS($K$83))),IF(($A74&lt;'Alternative 2'!$B$28),(($H74*'Alternative 2'!$B$39)+(2*(($N$82/3)*COS($K$83)))),IF(($A74&lt;'Alternative 2'!$B$29),(($H$3*'Alternative 2'!$B$39+(($N$82/3)*COS($K$83)))),($H74*'Alternative 2'!$B$39))))</f>
        <v>#VALUE!</v>
      </c>
      <c r="BP74" s="105" t="e">
        <f>BN74*'Alternative 2'!$K75/'Alternative 2'!$L75</f>
        <v>#VALUE!</v>
      </c>
      <c r="BQ74" s="105" t="e">
        <f>BO74/'Alternative 2'!$M75</f>
        <v>#VALUE!</v>
      </c>
      <c r="BR74" s="105" t="e">
        <f t="shared" si="28"/>
        <v>#VALUE!</v>
      </c>
      <c r="BT74" s="105" t="e">
        <f>'Alternative 2'!$B$39*$B74*$C74*COS($K$93)-($K$92/3)*$E74*SIN($K$93)-($K$92/3)*$F74*SIN($K$93)-($K$92/3)*$G74*SIN($K$93)</f>
        <v>#VALUE!</v>
      </c>
      <c r="BU74" s="106" t="e">
        <f>IF(($A74&lt;'Alternative 2'!$B$27),(($H74*'Alternative 2'!$B$39)+(3*($N$92/3)*COS($K$93))),IF(($A74&lt;'Alternative 2'!$B$28),(($H74*'Alternative 2'!$B$39)+(2*(($N$92/3)*COS($K$93)))),IF(($A74&lt;'Alternative 2'!$B$29),(($H$3*'Alternative 2'!$B$39+(($N$92/3)*COS($K$93)))),($H74*'Alternative 2'!$B$39))))</f>
        <v>#VALUE!</v>
      </c>
      <c r="BV74" s="105" t="e">
        <f>BT74*'Alternative 2'!$K75/'Alternative 2'!$L75</f>
        <v>#VALUE!</v>
      </c>
      <c r="BW74" s="105" t="e">
        <f>BU74/'Alternative 2'!$M75</f>
        <v>#VALUE!</v>
      </c>
      <c r="BX74" s="105" t="e">
        <f t="shared" si="29"/>
        <v>#VALUE!</v>
      </c>
    </row>
    <row r="75" spans="1:79" ht="15" customHeight="1" x14ac:dyDescent="0.25">
      <c r="A75" s="18" t="str">
        <f>IF('Alternative 2'!F76&gt;0,'Alternative 2'!F76,"x")</f>
        <v>x</v>
      </c>
      <c r="B75" s="18" t="e">
        <f t="shared" si="35"/>
        <v>#VALUE!</v>
      </c>
      <c r="C75" s="18">
        <f t="shared" si="30"/>
        <v>0</v>
      </c>
      <c r="D75" s="18" t="str">
        <f t="shared" si="31"/>
        <v>x</v>
      </c>
      <c r="E75" s="101">
        <f>IF($A75&lt;='Alternative 2'!$B$27, IF($A75='Alternative 2'!$B$27,0,E76+1),0)</f>
        <v>0</v>
      </c>
      <c r="F75" s="101">
        <f>IF($A75&lt;=('Alternative 2'!$B$28), IF($A75=ROUNDDOWN('Alternative 2'!$B$28,0),0,F76+1),0)</f>
        <v>0</v>
      </c>
      <c r="G75" s="101">
        <f>IF($A75&lt;=('Alternative 2'!$B$29), IF($A75=ROUNDDOWN('Alternative 2'!$B$29,0),0,G76+1),0)</f>
        <v>0</v>
      </c>
      <c r="H75" s="18" t="e">
        <f t="shared" si="32"/>
        <v>#VALUE!</v>
      </c>
      <c r="J75" s="104">
        <f t="shared" si="33"/>
        <v>72</v>
      </c>
      <c r="K75" s="104">
        <f t="shared" si="34"/>
        <v>1.2566370614359172</v>
      </c>
      <c r="L75" s="105">
        <f>'Alternative 2'!$B$27*SIN(K75)+'Alternative 2'!$B$28*SIN(K75)+'Alternative 2'!$B$29*SIN(K75)</f>
        <v>40.885919635528651</v>
      </c>
      <c r="M75" s="104">
        <f>(('Alternative 2'!$B$27)*(((('Alternative 2'!$B$28-'Alternative 2'!$B$27)/2)+'Alternative 2'!$B$27)*'Alternative 2'!$B$39)*COS('Alternative 2-Tilt Up (3pt)'!K75))+(('Alternative 2'!$B$28)*((('Alternative 2'!$B$28-'Alternative 2'!$B$27)/2)+(('Alternative 2'!$B$29-'Alternative 2'!$B$28)/2))*('Alternative 2'!$B$39)*COS('Alternative 2-Tilt Up (3pt)'!K75))+(('Alternative 2'!$B$29)*((('Alternative 2'!$B$12-'Alternative 2'!$B$29+(('Alternative 2'!$B$29-'Alternative 2'!$B$28)/2)*('Alternative 2'!$B$39)*COS('Alternative 2-Tilt Up (3pt)'!K75)))))</f>
        <v>188494.77394631738</v>
      </c>
      <c r="N75" s="104">
        <f t="shared" si="18"/>
        <v>13830.783968659054</v>
      </c>
      <c r="O75" s="104">
        <f>(((('Alternative 2'!$B$28-'Alternative 2'!$B$27)/2)+'Alternative 2'!$B$27)*('Alternative 2'!$B$39)*COS('Alternative 2-Tilt Up (3pt)'!K75))+(((('Alternative 2'!$B$28-'Alternative 2'!$B$27)/2)+(('Alternative 2'!$B$29-'Alternative 2'!$B$28)/2))*('Alternative 2'!$B$39)*COS('Alternative 2-Tilt Up (3pt)'!K75))+(((('Alternative 2'!$B$12-'Alternative 2'!$B$29)+(('Alternative 2'!$B$29-'Alternative 2'!$B$28)/2))*('Alternative 2'!$B$39)*COS('Alternative 2-Tilt Up (3pt)'!K75)))</f>
        <v>19337.615806872269</v>
      </c>
      <c r="P75" s="104">
        <f t="shared" si="19"/>
        <v>4273.9472918442279</v>
      </c>
      <c r="R75" s="105" t="e">
        <f>'Alternative 2'!$B$39*$B75*$C75*COS($K$5)-($N$5/3)*$E75*SIN($K$5)-($N$5/3)*$F75*SIN($K$5)-($N$5/3)*$G75*SIN($K$5)</f>
        <v>#VALUE!</v>
      </c>
      <c r="S75" s="106" t="e">
        <f>IF(($A75&lt;'Alternative 2'!$B$27),(($H75*'Alternative 2'!$B$39)+(3*($N$5/3)*COS($K$5))),IF(($A75&lt;'Alternative 2'!$B$28),(($H75*'Alternative 2'!$B$39)+(2*(($N$5/3)*COS($K$5)))),IF(($A75&lt;'Alternative 2'!$B$29),(($H$3*'Alternative 2'!$B$39+(($N$5/3)*COS($K$5)))),($H75*'Alternative 2'!$B$39))))</f>
        <v>#VALUE!</v>
      </c>
      <c r="T75" s="105" t="e">
        <f>R75*'Alternative 2'!$K76/'Alternative 2'!$L76</f>
        <v>#VALUE!</v>
      </c>
      <c r="U75" s="105" t="e">
        <f>S75/'Alternative 2'!$M76</f>
        <v>#VALUE!</v>
      </c>
      <c r="V75" s="105" t="e">
        <f t="shared" si="20"/>
        <v>#VALUE!</v>
      </c>
      <c r="X75" s="105" t="e">
        <f>'Alternative 2'!$B$39*$B75*$C75*COS($K$13)-($N$12/3)*$E75*SIN($K$13)-($N$12/3)*$F75*SIN($K$13)-($N$12/3)*$G75*SIN($K$13)</f>
        <v>#VALUE!</v>
      </c>
      <c r="Y75" s="106" t="e">
        <f>IF(($A75&lt;'Alternative 2'!$B$27),(($H75*'Alternative 2'!$B$39)+(3*($N$12/3)*COS($K$13))),IF(($A75&lt;'Alternative 2'!$B$28),(($H75*'Alternative 2'!$B$39)+(2*(($N$12/3)*COS($K$13)))),IF(($A75&lt;'Alternative 2'!$B$29),(($H$3*'Alternative 2'!$B$39+(($N$12/3)*COS($K$13)))),($H75*'Alternative 2'!$B$39))))</f>
        <v>#VALUE!</v>
      </c>
      <c r="Z75" s="105" t="e">
        <f>X75*'Alternative 2'!$K76/'Alternative 2'!$L76</f>
        <v>#VALUE!</v>
      </c>
      <c r="AA75" s="105" t="e">
        <f>Y75/'Alternative 2'!$M76</f>
        <v>#VALUE!</v>
      </c>
      <c r="AB75" s="105" t="e">
        <f t="shared" si="21"/>
        <v>#VALUE!</v>
      </c>
      <c r="AD75" s="105" t="e">
        <f>'Alternative 2'!$B$39*$B75*$C75*COS($K$23)-($N$22/3)*$E75*SIN($K$23)-($N$22/3)*$F75*SIN($K$23)-($N$22/3)*$G75*SIN($K$23)</f>
        <v>#VALUE!</v>
      </c>
      <c r="AE75" s="106" t="e">
        <f>IF(($A75&lt;'Alternative 2'!$B$27),(($H75*'Alternative 2'!$B$39)+(3*($N$22/3)*COS($K$23))),IF(($A75&lt;'Alternative 2'!$B$28),(($H75*'Alternative 2'!$B$39)+(2*(($N$22/3)*COS($K$23)))),IF(($A75&lt;'Alternative 2'!$B$29),(($H$3*'Alternative 2'!$B$39+(($N$22/3)*COS($K$23)))),($H75*'Alternative 2'!$B$39))))</f>
        <v>#VALUE!</v>
      </c>
      <c r="AF75" s="105" t="e">
        <f>AD75*'Alternative 2'!$K76/'Alternative 2'!$L76</f>
        <v>#VALUE!</v>
      </c>
      <c r="AG75" s="105" t="e">
        <f>AE75/'Alternative 2'!$M76</f>
        <v>#VALUE!</v>
      </c>
      <c r="AH75" s="105" t="e">
        <f t="shared" si="22"/>
        <v>#VALUE!</v>
      </c>
      <c r="AJ75" s="105" t="e">
        <f>'Alternative 2'!$B$39*$B75*$C75*COS($K$33)-($N$32/3)*$E75*SIN($K$33)-($N$32/3)*$F75*SIN($K$33)-($N$32/3)*$G75*SIN($K$33)</f>
        <v>#VALUE!</v>
      </c>
      <c r="AK75" s="106" t="e">
        <f>IF(($A75&lt;'Alternative 2'!$B$27),(($H75*'Alternative 2'!$B$39)+(3*($N$32/3)*COS($K$33))),IF(($A75&lt;'Alternative 2'!$B$28),(($H75*'Alternative 2'!$B$39)+(2*(($N$32/3)*COS($K$33)))),IF(($A75&lt;'Alternative 2'!$B$29),(($H$3*'Alternative 2'!$B$39+(($N$32/3)*COS($K$33)))),($H75*'Alternative 2'!$B$39))))</f>
        <v>#VALUE!</v>
      </c>
      <c r="AL75" s="105" t="e">
        <f>AJ75*'Alternative 2'!$K76/'Alternative 2'!$L76</f>
        <v>#VALUE!</v>
      </c>
      <c r="AM75" s="105" t="e">
        <f>AK75/'Alternative 2'!$M76</f>
        <v>#VALUE!</v>
      </c>
      <c r="AN75" s="105" t="e">
        <f t="shared" si="23"/>
        <v>#VALUE!</v>
      </c>
      <c r="AP75" s="105" t="e">
        <f>'Alternative 2'!$B$39*$B75*$C75*COS($K$43)-($N$42/3)*$E75*SIN($K$43)-($N$42/3)*$F75*SIN($K$43)-($N$42/3)*$G75*SIN($K$43)</f>
        <v>#VALUE!</v>
      </c>
      <c r="AQ75" s="106" t="e">
        <f>IF(($A75&lt;'Alternative 2'!$B$27),(($H75*'Alternative 2'!$B$39)+(3*($N$42/3)*COS($K$43))),IF(($A75&lt;'Alternative 2'!$B$28),(($H75*'Alternative 2'!$B$39)+(2*(($N$42/3)*COS($K$43)))),IF(($A75&lt;'Alternative 2'!$B$29),(($H$3*'Alternative 2'!$B$39+(($N$42/3)*COS($K$43)))),($H75*'Alternative 2'!$B$39))))</f>
        <v>#VALUE!</v>
      </c>
      <c r="AR75" s="105" t="e">
        <f>AP75*'Alternative 2'!$K76/'Alternative 2'!$L76</f>
        <v>#VALUE!</v>
      </c>
      <c r="AS75" s="105" t="e">
        <f>AQ75/'Alternative 2'!$M76</f>
        <v>#VALUE!</v>
      </c>
      <c r="AT75" s="105" t="e">
        <f t="shared" si="24"/>
        <v>#VALUE!</v>
      </c>
      <c r="AV75" s="105" t="e">
        <f>'Alternative 2'!$B$39*$B75*$C75*COS($K$53)-($N$52/3)*$E75*SIN($K$53)-($N$52/3)*$F75*SIN($K$53)-($N$52/3)*$G75*SIN($K$53)</f>
        <v>#VALUE!</v>
      </c>
      <c r="AW75" s="106" t="e">
        <f>IF(($A75&lt;'Alternative 2'!$B$27),(($H75*'Alternative 2'!$B$39)+(3*($N$52/3)*COS($K$53))),IF(($A75&lt;'Alternative 2'!$B$28),(($H75*'Alternative 2'!$B$39)+(2*(($N$52/3)*COS($K$53)))),IF(($A75&lt;'Alternative 2'!$B$29),(($H$3*'Alternative 2'!$B$39+(($N$52/3)*COS($K$53)))),($H75*'Alternative 2'!$B$39))))</f>
        <v>#VALUE!</v>
      </c>
      <c r="AX75" s="105" t="e">
        <f>AV75*'Alternative 2'!$K76/'Alternative 2'!$L76</f>
        <v>#VALUE!</v>
      </c>
      <c r="AY75" s="105" t="e">
        <f>AW75/'Alternative 2'!$M76</f>
        <v>#VALUE!</v>
      </c>
      <c r="AZ75" s="105" t="e">
        <f t="shared" si="25"/>
        <v>#VALUE!</v>
      </c>
      <c r="BB75" s="105" t="e">
        <f>'Alternative 2'!$B$39*$B75*$C75*COS($K$63)-($N$62/3)*$E75*SIN($K$63)-($N$62/3)*$F75*SIN($K$63)-($N$62/3)*$G75*SIN($K$63)</f>
        <v>#VALUE!</v>
      </c>
      <c r="BC75" s="106" t="e">
        <f>IF(($A75&lt;'Alternative 2'!$B$27),(($H75*'Alternative 2'!$B$39)+(3*($N$62/3)*COS($K$63))),IF(($A75&lt;'Alternative 2'!$B$28),(($H75*'Alternative 2'!$B$39)+(2*(($N$62/3)*COS($K$63)))),IF(($A75&lt;'Alternative 2'!$B$29),(($H$3*'Alternative 2'!$B$39+(($N$62/3)*COS($K$63)))),($H75*'Alternative 2'!$B$39))))</f>
        <v>#VALUE!</v>
      </c>
      <c r="BD75" s="105" t="e">
        <f>BB75*'Alternative 2'!$K76/'Alternative 2'!$L76</f>
        <v>#VALUE!</v>
      </c>
      <c r="BE75" s="105" t="e">
        <f>BC75/'Alternative 2'!$M76</f>
        <v>#VALUE!</v>
      </c>
      <c r="BF75" s="105" t="e">
        <f t="shared" si="26"/>
        <v>#VALUE!</v>
      </c>
      <c r="BH75" s="105" t="e">
        <f>'Alternative 2'!$B$39*$B75*$C75*COS($K$73)-($N$72/3)*$E75*SIN($K$73)-($N$72/3)*$F75*SIN($K$73)-($N$72/3)*$G75*SIN($K$73)</f>
        <v>#VALUE!</v>
      </c>
      <c r="BI75" s="106" t="e">
        <f>IF(($A75&lt;'Alternative 2'!$B$27),(($H75*'Alternative 2'!$B$39)+(3*($N$72/3)*COS($K$73))),IF(($A75&lt;'Alternative 2'!$B$28),(($H75*'Alternative 2'!$B$39)+(2*(($N$72/3)*COS($K$73)))),IF(($A75&lt;'Alternative 2'!$B$29),(($H$3*'Alternative 2'!$B$39+(($N$72/3)*COS($K$73)))),($H75*'Alternative 2'!$B$39))))</f>
        <v>#VALUE!</v>
      </c>
      <c r="BJ75" s="105" t="e">
        <f>BH75*'Alternative 2'!$K76/'Alternative 2'!$L76</f>
        <v>#VALUE!</v>
      </c>
      <c r="BK75" s="105" t="e">
        <f>BI75/'Alternative 2'!$M76</f>
        <v>#VALUE!</v>
      </c>
      <c r="BL75" s="105" t="e">
        <f t="shared" si="27"/>
        <v>#VALUE!</v>
      </c>
      <c r="BN75" s="105" t="e">
        <f>'Alternative 2'!$B$39*$B75*$C75*COS($K$83)-($N$82/3)*$E75*SIN($K$83)-($N$82/3)*$F75*SIN($K$83)-($N$82/3)*$G75*SIN($K$83)</f>
        <v>#VALUE!</v>
      </c>
      <c r="BO75" s="106" t="e">
        <f>IF(($A75&lt;'Alternative 2'!$B$27),(($H75*'Alternative 2'!$B$39)+(3*($N$82/3)*COS($K$83))),IF(($A75&lt;'Alternative 2'!$B$28),(($H75*'Alternative 2'!$B$39)+(2*(($N$82/3)*COS($K$83)))),IF(($A75&lt;'Alternative 2'!$B$29),(($H$3*'Alternative 2'!$B$39+(($N$82/3)*COS($K$83)))),($H75*'Alternative 2'!$B$39))))</f>
        <v>#VALUE!</v>
      </c>
      <c r="BP75" s="105" t="e">
        <f>BN75*'Alternative 2'!$K76/'Alternative 2'!$L76</f>
        <v>#VALUE!</v>
      </c>
      <c r="BQ75" s="105" t="e">
        <f>BO75/'Alternative 2'!$M76</f>
        <v>#VALUE!</v>
      </c>
      <c r="BR75" s="105" t="e">
        <f t="shared" si="28"/>
        <v>#VALUE!</v>
      </c>
      <c r="BT75" s="105" t="e">
        <f>'Alternative 2'!$B$39*$B75*$C75*COS($K$93)-($K$92/3)*$E75*SIN($K$93)-($K$92/3)*$F75*SIN($K$93)-($K$92/3)*$G75*SIN($K$93)</f>
        <v>#VALUE!</v>
      </c>
      <c r="BU75" s="106" t="e">
        <f>IF(($A75&lt;'Alternative 2'!$B$27),(($H75*'Alternative 2'!$B$39)+(3*($N$92/3)*COS($K$93))),IF(($A75&lt;'Alternative 2'!$B$28),(($H75*'Alternative 2'!$B$39)+(2*(($N$92/3)*COS($K$93)))),IF(($A75&lt;'Alternative 2'!$B$29),(($H$3*'Alternative 2'!$B$39+(($N$92/3)*COS($K$93)))),($H75*'Alternative 2'!$B$39))))</f>
        <v>#VALUE!</v>
      </c>
      <c r="BV75" s="105" t="e">
        <f>BT75*'Alternative 2'!$K76/'Alternative 2'!$L76</f>
        <v>#VALUE!</v>
      </c>
      <c r="BW75" s="105" t="e">
        <f>BU75/'Alternative 2'!$M76</f>
        <v>#VALUE!</v>
      </c>
      <c r="BX75" s="105" t="e">
        <f t="shared" si="29"/>
        <v>#VALUE!</v>
      </c>
    </row>
    <row r="76" spans="1:79" ht="15" customHeight="1" x14ac:dyDescent="0.25">
      <c r="A76" s="18" t="str">
        <f>IF('Alternative 2'!F77&gt;0,'Alternative 2'!F77,"x")</f>
        <v>x</v>
      </c>
      <c r="B76" s="18" t="e">
        <f t="shared" si="35"/>
        <v>#VALUE!</v>
      </c>
      <c r="C76" s="18">
        <f t="shared" si="30"/>
        <v>0</v>
      </c>
      <c r="D76" s="18" t="str">
        <f t="shared" si="31"/>
        <v>x</v>
      </c>
      <c r="E76" s="101">
        <f>IF($A76&lt;='Alternative 2'!$B$27, IF($A76='Alternative 2'!$B$27,0,E77+1),0)</f>
        <v>0</v>
      </c>
      <c r="F76" s="101">
        <f>IF($A76&lt;=('Alternative 2'!$B$28), IF($A76=ROUNDDOWN('Alternative 2'!$B$28,0),0,F77+1),0)</f>
        <v>0</v>
      </c>
      <c r="G76" s="101">
        <f>IF($A76&lt;=('Alternative 2'!$B$29), IF($A76=ROUNDDOWN('Alternative 2'!$B$29,0),0,G77+1),0)</f>
        <v>0</v>
      </c>
      <c r="H76" s="18" t="e">
        <f t="shared" si="32"/>
        <v>#VALUE!</v>
      </c>
      <c r="J76" s="104">
        <f t="shared" si="33"/>
        <v>73</v>
      </c>
      <c r="K76" s="104">
        <f t="shared" si="34"/>
        <v>1.2740903539558606</v>
      </c>
      <c r="L76" s="105">
        <f>'Alternative 2'!$B$27*SIN(K76)+'Alternative 2'!$B$28*SIN(K76)+'Alternative 2'!$B$29*SIN(K76)</f>
        <v>41.111541458850894</v>
      </c>
      <c r="M76" s="104">
        <f>(('Alternative 2'!$B$27)*(((('Alternative 2'!$B$28-'Alternative 2'!$B$27)/2)+'Alternative 2'!$B$27)*'Alternative 2'!$B$39)*COS('Alternative 2-Tilt Up (3pt)'!K76))+(('Alternative 2'!$B$28)*((('Alternative 2'!$B$28-'Alternative 2'!$B$27)/2)+(('Alternative 2'!$B$29-'Alternative 2'!$B$28)/2))*('Alternative 2'!$B$39)*COS('Alternative 2-Tilt Up (3pt)'!K76))+(('Alternative 2'!$B$29)*((('Alternative 2'!$B$12-'Alternative 2'!$B$29+(('Alternative 2'!$B$29-'Alternative 2'!$B$28)/2)*('Alternative 2'!$B$39)*COS('Alternative 2-Tilt Up (3pt)'!K76)))))</f>
        <v>178345.81075478563</v>
      </c>
      <c r="N76" s="104">
        <f t="shared" si="18"/>
        <v>13014.287795554521</v>
      </c>
      <c r="O76" s="104">
        <f>(((('Alternative 2'!$B$28-'Alternative 2'!$B$27)/2)+'Alternative 2'!$B$27)*('Alternative 2'!$B$39)*COS('Alternative 2-Tilt Up (3pt)'!K76))+(((('Alternative 2'!$B$28-'Alternative 2'!$B$27)/2)+(('Alternative 2'!$B$29-'Alternative 2'!$B$28)/2))*('Alternative 2'!$B$39)*COS('Alternative 2-Tilt Up (3pt)'!K76))+(((('Alternative 2'!$B$12-'Alternative 2'!$B$29)+(('Alternative 2'!$B$29-'Alternative 2'!$B$28)/2))*('Alternative 2'!$B$39)*COS('Alternative 2-Tilt Up (3pt)'!K76)))</f>
        <v>18295.989546350163</v>
      </c>
      <c r="P76" s="104">
        <f t="shared" si="19"/>
        <v>3805.0095085385833</v>
      </c>
      <c r="R76" s="105" t="e">
        <f>'Alternative 2'!$B$39*$B76*$C76*COS($K$5)-($N$5/3)*$E76*SIN($K$5)-($N$5/3)*$F76*SIN($K$5)-($N$5/3)*$G76*SIN($K$5)</f>
        <v>#VALUE!</v>
      </c>
      <c r="S76" s="106" t="e">
        <f>IF(($A76&lt;'Alternative 2'!$B$27),(($H76*'Alternative 2'!$B$39)+(3*($N$5/3)*COS($K$5))),IF(($A76&lt;'Alternative 2'!$B$28),(($H76*'Alternative 2'!$B$39)+(2*(($N$5/3)*COS($K$5)))),IF(($A76&lt;'Alternative 2'!$B$29),(($H$3*'Alternative 2'!$B$39+(($N$5/3)*COS($K$5)))),($H76*'Alternative 2'!$B$39))))</f>
        <v>#VALUE!</v>
      </c>
      <c r="T76" s="105" t="e">
        <f>R76*'Alternative 2'!$K77/'Alternative 2'!$L77</f>
        <v>#VALUE!</v>
      </c>
      <c r="U76" s="105" t="e">
        <f>S76/'Alternative 2'!$M77</f>
        <v>#VALUE!</v>
      </c>
      <c r="V76" s="105" t="e">
        <f t="shared" si="20"/>
        <v>#VALUE!</v>
      </c>
      <c r="X76" s="105" t="e">
        <f>'Alternative 2'!$B$39*$B76*$C76*COS($K$13)-($N$12/3)*$E76*SIN($K$13)-($N$12/3)*$F76*SIN($K$13)-($N$12/3)*$G76*SIN($K$13)</f>
        <v>#VALUE!</v>
      </c>
      <c r="Y76" s="106" t="e">
        <f>IF(($A76&lt;'Alternative 2'!$B$27),(($H76*'Alternative 2'!$B$39)+(3*($N$12/3)*COS($K$13))),IF(($A76&lt;'Alternative 2'!$B$28),(($H76*'Alternative 2'!$B$39)+(2*(($N$12/3)*COS($K$13)))),IF(($A76&lt;'Alternative 2'!$B$29),(($H$3*'Alternative 2'!$B$39+(($N$12/3)*COS($K$13)))),($H76*'Alternative 2'!$B$39))))</f>
        <v>#VALUE!</v>
      </c>
      <c r="Z76" s="105" t="e">
        <f>X76*'Alternative 2'!$K77/'Alternative 2'!$L77</f>
        <v>#VALUE!</v>
      </c>
      <c r="AA76" s="105" t="e">
        <f>Y76/'Alternative 2'!$M77</f>
        <v>#VALUE!</v>
      </c>
      <c r="AB76" s="105" t="e">
        <f t="shared" si="21"/>
        <v>#VALUE!</v>
      </c>
      <c r="AD76" s="105" t="e">
        <f>'Alternative 2'!$B$39*$B76*$C76*COS($K$23)-($N$22/3)*$E76*SIN($K$23)-($N$22/3)*$F76*SIN($K$23)-($N$22/3)*$G76*SIN($K$23)</f>
        <v>#VALUE!</v>
      </c>
      <c r="AE76" s="106" t="e">
        <f>IF(($A76&lt;'Alternative 2'!$B$27),(($H76*'Alternative 2'!$B$39)+(3*($N$22/3)*COS($K$23))),IF(($A76&lt;'Alternative 2'!$B$28),(($H76*'Alternative 2'!$B$39)+(2*(($N$22/3)*COS($K$23)))),IF(($A76&lt;'Alternative 2'!$B$29),(($H$3*'Alternative 2'!$B$39+(($N$22/3)*COS($K$23)))),($H76*'Alternative 2'!$B$39))))</f>
        <v>#VALUE!</v>
      </c>
      <c r="AF76" s="105" t="e">
        <f>AD76*'Alternative 2'!$K77/'Alternative 2'!$L77</f>
        <v>#VALUE!</v>
      </c>
      <c r="AG76" s="105" t="e">
        <f>AE76/'Alternative 2'!$M77</f>
        <v>#VALUE!</v>
      </c>
      <c r="AH76" s="105" t="e">
        <f t="shared" si="22"/>
        <v>#VALUE!</v>
      </c>
      <c r="AJ76" s="105" t="e">
        <f>'Alternative 2'!$B$39*$B76*$C76*COS($K$33)-($N$32/3)*$E76*SIN($K$33)-($N$32/3)*$F76*SIN($K$33)-($N$32/3)*$G76*SIN($K$33)</f>
        <v>#VALUE!</v>
      </c>
      <c r="AK76" s="106" t="e">
        <f>IF(($A76&lt;'Alternative 2'!$B$27),(($H76*'Alternative 2'!$B$39)+(3*($N$32/3)*COS($K$33))),IF(($A76&lt;'Alternative 2'!$B$28),(($H76*'Alternative 2'!$B$39)+(2*(($N$32/3)*COS($K$33)))),IF(($A76&lt;'Alternative 2'!$B$29),(($H$3*'Alternative 2'!$B$39+(($N$32/3)*COS($K$33)))),($H76*'Alternative 2'!$B$39))))</f>
        <v>#VALUE!</v>
      </c>
      <c r="AL76" s="105" t="e">
        <f>AJ76*'Alternative 2'!$K77/'Alternative 2'!$L77</f>
        <v>#VALUE!</v>
      </c>
      <c r="AM76" s="105" t="e">
        <f>AK76/'Alternative 2'!$M77</f>
        <v>#VALUE!</v>
      </c>
      <c r="AN76" s="105" t="e">
        <f t="shared" si="23"/>
        <v>#VALUE!</v>
      </c>
      <c r="AP76" s="105" t="e">
        <f>'Alternative 2'!$B$39*$B76*$C76*COS($K$43)-($N$42/3)*$E76*SIN($K$43)-($N$42/3)*$F76*SIN($K$43)-($N$42/3)*$G76*SIN($K$43)</f>
        <v>#VALUE!</v>
      </c>
      <c r="AQ76" s="106" t="e">
        <f>IF(($A76&lt;'Alternative 2'!$B$27),(($H76*'Alternative 2'!$B$39)+(3*($N$42/3)*COS($K$43))),IF(($A76&lt;'Alternative 2'!$B$28),(($H76*'Alternative 2'!$B$39)+(2*(($N$42/3)*COS($K$43)))),IF(($A76&lt;'Alternative 2'!$B$29),(($H$3*'Alternative 2'!$B$39+(($N$42/3)*COS($K$43)))),($H76*'Alternative 2'!$B$39))))</f>
        <v>#VALUE!</v>
      </c>
      <c r="AR76" s="105" t="e">
        <f>AP76*'Alternative 2'!$K77/'Alternative 2'!$L77</f>
        <v>#VALUE!</v>
      </c>
      <c r="AS76" s="105" t="e">
        <f>AQ76/'Alternative 2'!$M77</f>
        <v>#VALUE!</v>
      </c>
      <c r="AT76" s="105" t="e">
        <f t="shared" si="24"/>
        <v>#VALUE!</v>
      </c>
      <c r="AV76" s="105" t="e">
        <f>'Alternative 2'!$B$39*$B76*$C76*COS($K$53)-($N$52/3)*$E76*SIN($K$53)-($N$52/3)*$F76*SIN($K$53)-($N$52/3)*$G76*SIN($K$53)</f>
        <v>#VALUE!</v>
      </c>
      <c r="AW76" s="106" t="e">
        <f>IF(($A76&lt;'Alternative 2'!$B$27),(($H76*'Alternative 2'!$B$39)+(3*($N$52/3)*COS($K$53))),IF(($A76&lt;'Alternative 2'!$B$28),(($H76*'Alternative 2'!$B$39)+(2*(($N$52/3)*COS($K$53)))),IF(($A76&lt;'Alternative 2'!$B$29),(($H$3*'Alternative 2'!$B$39+(($N$52/3)*COS($K$53)))),($H76*'Alternative 2'!$B$39))))</f>
        <v>#VALUE!</v>
      </c>
      <c r="AX76" s="105" t="e">
        <f>AV76*'Alternative 2'!$K77/'Alternative 2'!$L77</f>
        <v>#VALUE!</v>
      </c>
      <c r="AY76" s="105" t="e">
        <f>AW76/'Alternative 2'!$M77</f>
        <v>#VALUE!</v>
      </c>
      <c r="AZ76" s="105" t="e">
        <f t="shared" si="25"/>
        <v>#VALUE!</v>
      </c>
      <c r="BB76" s="105" t="e">
        <f>'Alternative 2'!$B$39*$B76*$C76*COS($K$63)-($N$62/3)*$E76*SIN($K$63)-($N$62/3)*$F76*SIN($K$63)-($N$62/3)*$G76*SIN($K$63)</f>
        <v>#VALUE!</v>
      </c>
      <c r="BC76" s="106" t="e">
        <f>IF(($A76&lt;'Alternative 2'!$B$27),(($H76*'Alternative 2'!$B$39)+(3*($N$62/3)*COS($K$63))),IF(($A76&lt;'Alternative 2'!$B$28),(($H76*'Alternative 2'!$B$39)+(2*(($N$62/3)*COS($K$63)))),IF(($A76&lt;'Alternative 2'!$B$29),(($H$3*'Alternative 2'!$B$39+(($N$62/3)*COS($K$63)))),($H76*'Alternative 2'!$B$39))))</f>
        <v>#VALUE!</v>
      </c>
      <c r="BD76" s="105" t="e">
        <f>BB76*'Alternative 2'!$K77/'Alternative 2'!$L77</f>
        <v>#VALUE!</v>
      </c>
      <c r="BE76" s="105" t="e">
        <f>BC76/'Alternative 2'!$M77</f>
        <v>#VALUE!</v>
      </c>
      <c r="BF76" s="105" t="e">
        <f t="shared" si="26"/>
        <v>#VALUE!</v>
      </c>
      <c r="BH76" s="105" t="e">
        <f>'Alternative 2'!$B$39*$B76*$C76*COS($K$73)-($N$72/3)*$E76*SIN($K$73)-($N$72/3)*$F76*SIN($K$73)-($N$72/3)*$G76*SIN($K$73)</f>
        <v>#VALUE!</v>
      </c>
      <c r="BI76" s="106" t="e">
        <f>IF(($A76&lt;'Alternative 2'!$B$27),(($H76*'Alternative 2'!$B$39)+(3*($N$72/3)*COS($K$73))),IF(($A76&lt;'Alternative 2'!$B$28),(($H76*'Alternative 2'!$B$39)+(2*(($N$72/3)*COS($K$73)))),IF(($A76&lt;'Alternative 2'!$B$29),(($H$3*'Alternative 2'!$B$39+(($N$72/3)*COS($K$73)))),($H76*'Alternative 2'!$B$39))))</f>
        <v>#VALUE!</v>
      </c>
      <c r="BJ76" s="105" t="e">
        <f>BH76*'Alternative 2'!$K77/'Alternative 2'!$L77</f>
        <v>#VALUE!</v>
      </c>
      <c r="BK76" s="105" t="e">
        <f>BI76/'Alternative 2'!$M77</f>
        <v>#VALUE!</v>
      </c>
      <c r="BL76" s="105" t="e">
        <f t="shared" si="27"/>
        <v>#VALUE!</v>
      </c>
      <c r="BN76" s="105" t="e">
        <f>'Alternative 2'!$B$39*$B76*$C76*COS($K$83)-($N$82/3)*$E76*SIN($K$83)-($N$82/3)*$F76*SIN($K$83)-($N$82/3)*$G76*SIN($K$83)</f>
        <v>#VALUE!</v>
      </c>
      <c r="BO76" s="106" t="e">
        <f>IF(($A76&lt;'Alternative 2'!$B$27),(($H76*'Alternative 2'!$B$39)+(3*($N$82/3)*COS($K$83))),IF(($A76&lt;'Alternative 2'!$B$28),(($H76*'Alternative 2'!$B$39)+(2*(($N$82/3)*COS($K$83)))),IF(($A76&lt;'Alternative 2'!$B$29),(($H$3*'Alternative 2'!$B$39+(($N$82/3)*COS($K$83)))),($H76*'Alternative 2'!$B$39))))</f>
        <v>#VALUE!</v>
      </c>
      <c r="BP76" s="105" t="e">
        <f>BN76*'Alternative 2'!$K77/'Alternative 2'!$L77</f>
        <v>#VALUE!</v>
      </c>
      <c r="BQ76" s="105" t="e">
        <f>BO76/'Alternative 2'!$M77</f>
        <v>#VALUE!</v>
      </c>
      <c r="BR76" s="105" t="e">
        <f t="shared" si="28"/>
        <v>#VALUE!</v>
      </c>
      <c r="BT76" s="105" t="e">
        <f>'Alternative 2'!$B$39*$B76*$C76*COS($K$93)-($K$92/3)*$E76*SIN($K$93)-($K$92/3)*$F76*SIN($K$93)-($K$92/3)*$G76*SIN($K$93)</f>
        <v>#VALUE!</v>
      </c>
      <c r="BU76" s="106" t="e">
        <f>IF(($A76&lt;'Alternative 2'!$B$27),(($H76*'Alternative 2'!$B$39)+(3*($N$92/3)*COS($K$93))),IF(($A76&lt;'Alternative 2'!$B$28),(($H76*'Alternative 2'!$B$39)+(2*(($N$92/3)*COS($K$93)))),IF(($A76&lt;'Alternative 2'!$B$29),(($H$3*'Alternative 2'!$B$39+(($N$92/3)*COS($K$93)))),($H76*'Alternative 2'!$B$39))))</f>
        <v>#VALUE!</v>
      </c>
      <c r="BV76" s="105" t="e">
        <f>BT76*'Alternative 2'!$K77/'Alternative 2'!$L77</f>
        <v>#VALUE!</v>
      </c>
      <c r="BW76" s="105" t="e">
        <f>BU76/'Alternative 2'!$M77</f>
        <v>#VALUE!</v>
      </c>
      <c r="BX76" s="105" t="e">
        <f t="shared" si="29"/>
        <v>#VALUE!</v>
      </c>
    </row>
    <row r="77" spans="1:79" ht="15" customHeight="1" x14ac:dyDescent="0.25">
      <c r="A77" s="18" t="str">
        <f>IF('Alternative 2'!F78&gt;0,'Alternative 2'!F78,"x")</f>
        <v>x</v>
      </c>
      <c r="B77" s="18" t="e">
        <f t="shared" si="35"/>
        <v>#VALUE!</v>
      </c>
      <c r="C77" s="18">
        <f t="shared" si="30"/>
        <v>0</v>
      </c>
      <c r="D77" s="18" t="str">
        <f t="shared" si="31"/>
        <v>x</v>
      </c>
      <c r="E77" s="101">
        <f>IF($A77&lt;='Alternative 2'!$B$27, IF($A77='Alternative 2'!$B$27,0,E78+1),0)</f>
        <v>0</v>
      </c>
      <c r="F77" s="101">
        <f>IF($A77&lt;=('Alternative 2'!$B$28), IF($A77=ROUNDDOWN('Alternative 2'!$B$28,0),0,F78+1),0)</f>
        <v>0</v>
      </c>
      <c r="G77" s="101">
        <f>IF($A77&lt;=('Alternative 2'!$B$29), IF($A77=ROUNDDOWN('Alternative 2'!$B$29,0),0,G78+1),0)</f>
        <v>0</v>
      </c>
      <c r="H77" s="18" t="e">
        <f t="shared" si="32"/>
        <v>#VALUE!</v>
      </c>
      <c r="J77" s="104">
        <f t="shared" si="33"/>
        <v>74</v>
      </c>
      <c r="K77" s="104">
        <f t="shared" si="34"/>
        <v>1.2915436464758039</v>
      </c>
      <c r="L77" s="105">
        <f>'Alternative 2'!$B$27*SIN(K77)+'Alternative 2'!$B$28*SIN(K77)+'Alternative 2'!$B$29*SIN(K77)</f>
        <v>41.324640308388325</v>
      </c>
      <c r="M77" s="104">
        <f>(('Alternative 2'!$B$27)*(((('Alternative 2'!$B$28-'Alternative 2'!$B$27)/2)+'Alternative 2'!$B$27)*'Alternative 2'!$B$39)*COS('Alternative 2-Tilt Up (3pt)'!K77))+(('Alternative 2'!$B$28)*((('Alternative 2'!$B$28-'Alternative 2'!$B$27)/2)+(('Alternative 2'!$B$29-'Alternative 2'!$B$28)/2))*('Alternative 2'!$B$39)*COS('Alternative 2-Tilt Up (3pt)'!K77))+(('Alternative 2'!$B$29)*((('Alternative 2'!$B$12-'Alternative 2'!$B$29+(('Alternative 2'!$B$29-'Alternative 2'!$B$28)/2)*('Alternative 2'!$B$39)*COS('Alternative 2-Tilt Up (3pt)'!K77)))))</f>
        <v>168142.54637025599</v>
      </c>
      <c r="N77" s="104">
        <f t="shared" si="18"/>
        <v>12206.461698067731</v>
      </c>
      <c r="O77" s="104">
        <f>(((('Alternative 2'!$B$28-'Alternative 2'!$B$27)/2)+'Alternative 2'!$B$27)*('Alternative 2'!$B$39)*COS('Alternative 2-Tilt Up (3pt)'!K77))+(((('Alternative 2'!$B$28-'Alternative 2'!$B$27)/2)+(('Alternative 2'!$B$29-'Alternative 2'!$B$28)/2))*('Alternative 2'!$B$39)*COS('Alternative 2-Tilt Up (3pt)'!K77))+(((('Alternative 2'!$B$12-'Alternative 2'!$B$29)+(('Alternative 2'!$B$29-'Alternative 2'!$B$28)/2))*('Alternative 2'!$B$39)*COS('Alternative 2-Tilt Up (3pt)'!K77)))</f>
        <v>17248.790150175006</v>
      </c>
      <c r="P77" s="104">
        <f t="shared" si="19"/>
        <v>3364.5568263368668</v>
      </c>
      <c r="R77" s="105" t="e">
        <f>'Alternative 2'!$B$39*$B77*$C77*COS($K$5)-($N$5/3)*$E77*SIN($K$5)-($N$5/3)*$F77*SIN($K$5)-($N$5/3)*$G77*SIN($K$5)</f>
        <v>#VALUE!</v>
      </c>
      <c r="S77" s="106" t="e">
        <f>IF(($A77&lt;'Alternative 2'!$B$27),(($H77*'Alternative 2'!$B$39)+(3*($N$5/3)*COS($K$5))),IF(($A77&lt;'Alternative 2'!$B$28),(($H77*'Alternative 2'!$B$39)+(2*(($N$5/3)*COS($K$5)))),IF(($A77&lt;'Alternative 2'!$B$29),(($H$3*'Alternative 2'!$B$39+(($N$5/3)*COS($K$5)))),($H77*'Alternative 2'!$B$39))))</f>
        <v>#VALUE!</v>
      </c>
      <c r="T77" s="105" t="e">
        <f>R77*'Alternative 2'!$K78/'Alternative 2'!$L78</f>
        <v>#VALUE!</v>
      </c>
      <c r="U77" s="105" t="e">
        <f>S77/'Alternative 2'!$M78</f>
        <v>#VALUE!</v>
      </c>
      <c r="V77" s="105" t="e">
        <f t="shared" si="20"/>
        <v>#VALUE!</v>
      </c>
      <c r="X77" s="105" t="e">
        <f>'Alternative 2'!$B$39*$B77*$C77*COS($K$13)-($N$12/3)*$E77*SIN($K$13)-($N$12/3)*$F77*SIN($K$13)-($N$12/3)*$G77*SIN($K$13)</f>
        <v>#VALUE!</v>
      </c>
      <c r="Y77" s="106" t="e">
        <f>IF(($A77&lt;'Alternative 2'!$B$27),(($H77*'Alternative 2'!$B$39)+(3*($N$12/3)*COS($K$13))),IF(($A77&lt;'Alternative 2'!$B$28),(($H77*'Alternative 2'!$B$39)+(2*(($N$12/3)*COS($K$13)))),IF(($A77&lt;'Alternative 2'!$B$29),(($H$3*'Alternative 2'!$B$39+(($N$12/3)*COS($K$13)))),($H77*'Alternative 2'!$B$39))))</f>
        <v>#VALUE!</v>
      </c>
      <c r="Z77" s="105" t="e">
        <f>X77*'Alternative 2'!$K78/'Alternative 2'!$L78</f>
        <v>#VALUE!</v>
      </c>
      <c r="AA77" s="105" t="e">
        <f>Y77/'Alternative 2'!$M78</f>
        <v>#VALUE!</v>
      </c>
      <c r="AB77" s="105" t="e">
        <f t="shared" si="21"/>
        <v>#VALUE!</v>
      </c>
      <c r="AD77" s="105" t="e">
        <f>'Alternative 2'!$B$39*$B77*$C77*COS($K$23)-($N$22/3)*$E77*SIN($K$23)-($N$22/3)*$F77*SIN($K$23)-($N$22/3)*$G77*SIN($K$23)</f>
        <v>#VALUE!</v>
      </c>
      <c r="AE77" s="106" t="e">
        <f>IF(($A77&lt;'Alternative 2'!$B$27),(($H77*'Alternative 2'!$B$39)+(3*($N$22/3)*COS($K$23))),IF(($A77&lt;'Alternative 2'!$B$28),(($H77*'Alternative 2'!$B$39)+(2*(($N$22/3)*COS($K$23)))),IF(($A77&lt;'Alternative 2'!$B$29),(($H$3*'Alternative 2'!$B$39+(($N$22/3)*COS($K$23)))),($H77*'Alternative 2'!$B$39))))</f>
        <v>#VALUE!</v>
      </c>
      <c r="AF77" s="105" t="e">
        <f>AD77*'Alternative 2'!$K78/'Alternative 2'!$L78</f>
        <v>#VALUE!</v>
      </c>
      <c r="AG77" s="105" t="e">
        <f>AE77/'Alternative 2'!$M78</f>
        <v>#VALUE!</v>
      </c>
      <c r="AH77" s="105" t="e">
        <f t="shared" si="22"/>
        <v>#VALUE!</v>
      </c>
      <c r="AJ77" s="105" t="e">
        <f>'Alternative 2'!$B$39*$B77*$C77*COS($K$33)-($N$32/3)*$E77*SIN($K$33)-($N$32/3)*$F77*SIN($K$33)-($N$32/3)*$G77*SIN($K$33)</f>
        <v>#VALUE!</v>
      </c>
      <c r="AK77" s="106" t="e">
        <f>IF(($A77&lt;'Alternative 2'!$B$27),(($H77*'Alternative 2'!$B$39)+(3*($N$32/3)*COS($K$33))),IF(($A77&lt;'Alternative 2'!$B$28),(($H77*'Alternative 2'!$B$39)+(2*(($N$32/3)*COS($K$33)))),IF(($A77&lt;'Alternative 2'!$B$29),(($H$3*'Alternative 2'!$B$39+(($N$32/3)*COS($K$33)))),($H77*'Alternative 2'!$B$39))))</f>
        <v>#VALUE!</v>
      </c>
      <c r="AL77" s="105" t="e">
        <f>AJ77*'Alternative 2'!$K78/'Alternative 2'!$L78</f>
        <v>#VALUE!</v>
      </c>
      <c r="AM77" s="105" t="e">
        <f>AK77/'Alternative 2'!$M78</f>
        <v>#VALUE!</v>
      </c>
      <c r="AN77" s="105" t="e">
        <f t="shared" si="23"/>
        <v>#VALUE!</v>
      </c>
      <c r="AP77" s="105" t="e">
        <f>'Alternative 2'!$B$39*$B77*$C77*COS($K$43)-($N$42/3)*$E77*SIN($K$43)-($N$42/3)*$F77*SIN($K$43)-($N$42/3)*$G77*SIN($K$43)</f>
        <v>#VALUE!</v>
      </c>
      <c r="AQ77" s="106" t="e">
        <f>IF(($A77&lt;'Alternative 2'!$B$27),(($H77*'Alternative 2'!$B$39)+(3*($N$42/3)*COS($K$43))),IF(($A77&lt;'Alternative 2'!$B$28),(($H77*'Alternative 2'!$B$39)+(2*(($N$42/3)*COS($K$43)))),IF(($A77&lt;'Alternative 2'!$B$29),(($H$3*'Alternative 2'!$B$39+(($N$42/3)*COS($K$43)))),($H77*'Alternative 2'!$B$39))))</f>
        <v>#VALUE!</v>
      </c>
      <c r="AR77" s="105" t="e">
        <f>AP77*'Alternative 2'!$K78/'Alternative 2'!$L78</f>
        <v>#VALUE!</v>
      </c>
      <c r="AS77" s="105" t="e">
        <f>AQ77/'Alternative 2'!$M78</f>
        <v>#VALUE!</v>
      </c>
      <c r="AT77" s="105" t="e">
        <f t="shared" si="24"/>
        <v>#VALUE!</v>
      </c>
      <c r="AV77" s="105" t="e">
        <f>'Alternative 2'!$B$39*$B77*$C77*COS($K$53)-($N$52/3)*$E77*SIN($K$53)-($N$52/3)*$F77*SIN($K$53)-($N$52/3)*$G77*SIN($K$53)</f>
        <v>#VALUE!</v>
      </c>
      <c r="AW77" s="106" t="e">
        <f>IF(($A77&lt;'Alternative 2'!$B$27),(($H77*'Alternative 2'!$B$39)+(3*($N$52/3)*COS($K$53))),IF(($A77&lt;'Alternative 2'!$B$28),(($H77*'Alternative 2'!$B$39)+(2*(($N$52/3)*COS($K$53)))),IF(($A77&lt;'Alternative 2'!$B$29),(($H$3*'Alternative 2'!$B$39+(($N$52/3)*COS($K$53)))),($H77*'Alternative 2'!$B$39))))</f>
        <v>#VALUE!</v>
      </c>
      <c r="AX77" s="105" t="e">
        <f>AV77*'Alternative 2'!$K78/'Alternative 2'!$L78</f>
        <v>#VALUE!</v>
      </c>
      <c r="AY77" s="105" t="e">
        <f>AW77/'Alternative 2'!$M78</f>
        <v>#VALUE!</v>
      </c>
      <c r="AZ77" s="105" t="e">
        <f t="shared" si="25"/>
        <v>#VALUE!</v>
      </c>
      <c r="BB77" s="105" t="e">
        <f>'Alternative 2'!$B$39*$B77*$C77*COS($K$63)-($N$62/3)*$E77*SIN($K$63)-($N$62/3)*$F77*SIN($K$63)-($N$62/3)*$G77*SIN($K$63)</f>
        <v>#VALUE!</v>
      </c>
      <c r="BC77" s="106" t="e">
        <f>IF(($A77&lt;'Alternative 2'!$B$27),(($H77*'Alternative 2'!$B$39)+(3*($N$62/3)*COS($K$63))),IF(($A77&lt;'Alternative 2'!$B$28),(($H77*'Alternative 2'!$B$39)+(2*(($N$62/3)*COS($K$63)))),IF(($A77&lt;'Alternative 2'!$B$29),(($H$3*'Alternative 2'!$B$39+(($N$62/3)*COS($K$63)))),($H77*'Alternative 2'!$B$39))))</f>
        <v>#VALUE!</v>
      </c>
      <c r="BD77" s="105" t="e">
        <f>BB77*'Alternative 2'!$K78/'Alternative 2'!$L78</f>
        <v>#VALUE!</v>
      </c>
      <c r="BE77" s="105" t="e">
        <f>BC77/'Alternative 2'!$M78</f>
        <v>#VALUE!</v>
      </c>
      <c r="BF77" s="105" t="e">
        <f t="shared" si="26"/>
        <v>#VALUE!</v>
      </c>
      <c r="BH77" s="105" t="e">
        <f>'Alternative 2'!$B$39*$B77*$C77*COS($K$73)-($N$72/3)*$E77*SIN($K$73)-($N$72/3)*$F77*SIN($K$73)-($N$72/3)*$G77*SIN($K$73)</f>
        <v>#VALUE!</v>
      </c>
      <c r="BI77" s="106" t="e">
        <f>IF(($A77&lt;'Alternative 2'!$B$27),(($H77*'Alternative 2'!$B$39)+(3*($N$72/3)*COS($K$73))),IF(($A77&lt;'Alternative 2'!$B$28),(($H77*'Alternative 2'!$B$39)+(2*(($N$72/3)*COS($K$73)))),IF(($A77&lt;'Alternative 2'!$B$29),(($H$3*'Alternative 2'!$B$39+(($N$72/3)*COS($K$73)))),($H77*'Alternative 2'!$B$39))))</f>
        <v>#VALUE!</v>
      </c>
      <c r="BJ77" s="105" t="e">
        <f>BH77*'Alternative 2'!$K78/'Alternative 2'!$L78</f>
        <v>#VALUE!</v>
      </c>
      <c r="BK77" s="105" t="e">
        <f>BI77/'Alternative 2'!$M78</f>
        <v>#VALUE!</v>
      </c>
      <c r="BL77" s="105" t="e">
        <f t="shared" si="27"/>
        <v>#VALUE!</v>
      </c>
      <c r="BN77" s="105" t="e">
        <f>'Alternative 2'!$B$39*$B77*$C77*COS($K$83)-($N$82/3)*$E77*SIN($K$83)-($N$82/3)*$F77*SIN($K$83)-($N$82/3)*$G77*SIN($K$83)</f>
        <v>#VALUE!</v>
      </c>
      <c r="BO77" s="106" t="e">
        <f>IF(($A77&lt;'Alternative 2'!$B$27),(($H77*'Alternative 2'!$B$39)+(3*($N$82/3)*COS($K$83))),IF(($A77&lt;'Alternative 2'!$B$28),(($H77*'Alternative 2'!$B$39)+(2*(($N$82/3)*COS($K$83)))),IF(($A77&lt;'Alternative 2'!$B$29),(($H$3*'Alternative 2'!$B$39+(($N$82/3)*COS($K$83)))),($H77*'Alternative 2'!$B$39))))</f>
        <v>#VALUE!</v>
      </c>
      <c r="BP77" s="105" t="e">
        <f>BN77*'Alternative 2'!$K78/'Alternative 2'!$L78</f>
        <v>#VALUE!</v>
      </c>
      <c r="BQ77" s="105" t="e">
        <f>BO77/'Alternative 2'!$M78</f>
        <v>#VALUE!</v>
      </c>
      <c r="BR77" s="105" t="e">
        <f t="shared" si="28"/>
        <v>#VALUE!</v>
      </c>
      <c r="BT77" s="105" t="e">
        <f>'Alternative 2'!$B$39*$B77*$C77*COS($K$93)-($K$92/3)*$E77*SIN($K$93)-($K$92/3)*$F77*SIN($K$93)-($K$92/3)*$G77*SIN($K$93)</f>
        <v>#VALUE!</v>
      </c>
      <c r="BU77" s="106" t="e">
        <f>IF(($A77&lt;'Alternative 2'!$B$27),(($H77*'Alternative 2'!$B$39)+(3*($N$92/3)*COS($K$93))),IF(($A77&lt;'Alternative 2'!$B$28),(($H77*'Alternative 2'!$B$39)+(2*(($N$92/3)*COS($K$93)))),IF(($A77&lt;'Alternative 2'!$B$29),(($H$3*'Alternative 2'!$B$39+(($N$92/3)*COS($K$93)))),($H77*'Alternative 2'!$B$39))))</f>
        <v>#VALUE!</v>
      </c>
      <c r="BV77" s="105" t="e">
        <f>BT77*'Alternative 2'!$K78/'Alternative 2'!$L78</f>
        <v>#VALUE!</v>
      </c>
      <c r="BW77" s="105" t="e">
        <f>BU77/'Alternative 2'!$M78</f>
        <v>#VALUE!</v>
      </c>
      <c r="BX77" s="105" t="e">
        <f t="shared" si="29"/>
        <v>#VALUE!</v>
      </c>
    </row>
    <row r="78" spans="1:79" ht="15" customHeight="1" x14ac:dyDescent="0.25">
      <c r="A78" s="18" t="str">
        <f>IF('Alternative 2'!F79&gt;0,'Alternative 2'!F79,"x")</f>
        <v>x</v>
      </c>
      <c r="B78" s="18" t="e">
        <f t="shared" si="35"/>
        <v>#VALUE!</v>
      </c>
      <c r="C78" s="18">
        <f t="shared" si="30"/>
        <v>0</v>
      </c>
      <c r="D78" s="18" t="str">
        <f t="shared" si="31"/>
        <v>x</v>
      </c>
      <c r="E78" s="101">
        <f>IF($A78&lt;='Alternative 2'!$B$27, IF($A78='Alternative 2'!$B$27,0,E79+1),0)</f>
        <v>0</v>
      </c>
      <c r="F78" s="101">
        <f>IF($A78&lt;=('Alternative 2'!$B$28), IF($A78=ROUNDDOWN('Alternative 2'!$B$28,0),0,F79+1),0)</f>
        <v>0</v>
      </c>
      <c r="G78" s="101">
        <f>IF($A78&lt;=('Alternative 2'!$B$29), IF($A78=ROUNDDOWN('Alternative 2'!$B$29,0),0,G79+1),0)</f>
        <v>0</v>
      </c>
      <c r="H78" s="18" t="e">
        <f t="shared" si="32"/>
        <v>#VALUE!</v>
      </c>
      <c r="J78" s="104">
        <f t="shared" si="33"/>
        <v>75</v>
      </c>
      <c r="K78" s="104">
        <f t="shared" si="34"/>
        <v>1.3089969389957472</v>
      </c>
      <c r="L78" s="105">
        <f>'Alternative 2'!$B$27*SIN(K78)+'Alternative 2'!$B$28*SIN(K78)+'Alternative 2'!$B$29*SIN(K78)</f>
        <v>41.525151272167051</v>
      </c>
      <c r="M78" s="104">
        <f>(('Alternative 2'!$B$27)*(((('Alternative 2'!$B$28-'Alternative 2'!$B$27)/2)+'Alternative 2'!$B$27)*'Alternative 2'!$B$39)*COS('Alternative 2-Tilt Up (3pt)'!K78))+(('Alternative 2'!$B$28)*((('Alternative 2'!$B$28-'Alternative 2'!$B$27)/2)+(('Alternative 2'!$B$29-'Alternative 2'!$B$28)/2))*('Alternative 2'!$B$39)*COS('Alternative 2-Tilt Up (3pt)'!K78))+(('Alternative 2'!$B$29)*((('Alternative 2'!$B$12-'Alternative 2'!$B$29+(('Alternative 2'!$B$29-'Alternative 2'!$B$28)/2)*('Alternative 2'!$B$39)*COS('Alternative 2-Tilt Up (3pt)'!K78)))))</f>
        <v>157888.08880590138</v>
      </c>
      <c r="N78" s="104">
        <f t="shared" si="18"/>
        <v>11406.683706295991</v>
      </c>
      <c r="O78" s="104">
        <f>(((('Alternative 2'!$B$28-'Alternative 2'!$B$27)/2)+'Alternative 2'!$B$27)*('Alternative 2'!$B$39)*COS('Alternative 2-Tilt Up (3pt)'!K78))+(((('Alternative 2'!$B$28-'Alternative 2'!$B$27)/2)+(('Alternative 2'!$B$29-'Alternative 2'!$B$28)/2))*('Alternative 2'!$B$39)*COS('Alternative 2-Tilt Up (3pt)'!K78))+(((('Alternative 2'!$B$12-'Alternative 2'!$B$29)+(('Alternative 2'!$B$29-'Alternative 2'!$B$28)/2))*('Alternative 2'!$B$39)*COS('Alternative 2-Tilt Up (3pt)'!K78)))</f>
        <v>16196.336605427328</v>
      </c>
      <c r="P78" s="104">
        <f t="shared" si="19"/>
        <v>2952.2669846500107</v>
      </c>
      <c r="R78" s="105" t="e">
        <f>'Alternative 2'!$B$39*$B78*$C78*COS($K$5)-($N$5/3)*$E78*SIN($K$5)-($N$5/3)*$F78*SIN($K$5)-($N$5/3)*$G78*SIN($K$5)</f>
        <v>#VALUE!</v>
      </c>
      <c r="S78" s="106" t="e">
        <f>IF(($A78&lt;'Alternative 2'!$B$27),(($H78*'Alternative 2'!$B$39)+(3*($N$5/3)*COS($K$5))),IF(($A78&lt;'Alternative 2'!$B$28),(($H78*'Alternative 2'!$B$39)+(2*(($N$5/3)*COS($K$5)))),IF(($A78&lt;'Alternative 2'!$B$29),(($H$3*'Alternative 2'!$B$39+(($N$5/3)*COS($K$5)))),($H78*'Alternative 2'!$B$39))))</f>
        <v>#VALUE!</v>
      </c>
      <c r="T78" s="105" t="e">
        <f>R78*'Alternative 2'!$K79/'Alternative 2'!$L79</f>
        <v>#VALUE!</v>
      </c>
      <c r="U78" s="105" t="e">
        <f>S78/'Alternative 2'!$M79</f>
        <v>#VALUE!</v>
      </c>
      <c r="V78" s="105" t="e">
        <f t="shared" si="20"/>
        <v>#VALUE!</v>
      </c>
      <c r="X78" s="105" t="e">
        <f>'Alternative 2'!$B$39*$B78*$C78*COS($K$13)-($N$12/3)*$E78*SIN($K$13)-($N$12/3)*$F78*SIN($K$13)-($N$12/3)*$G78*SIN($K$13)</f>
        <v>#VALUE!</v>
      </c>
      <c r="Y78" s="106" t="e">
        <f>IF(($A78&lt;'Alternative 2'!$B$27),(($H78*'Alternative 2'!$B$39)+(3*($N$12/3)*COS($K$13))),IF(($A78&lt;'Alternative 2'!$B$28),(($H78*'Alternative 2'!$B$39)+(2*(($N$12/3)*COS($K$13)))),IF(($A78&lt;'Alternative 2'!$B$29),(($H$3*'Alternative 2'!$B$39+(($N$12/3)*COS($K$13)))),($H78*'Alternative 2'!$B$39))))</f>
        <v>#VALUE!</v>
      </c>
      <c r="Z78" s="105" t="e">
        <f>X78*'Alternative 2'!$K79/'Alternative 2'!$L79</f>
        <v>#VALUE!</v>
      </c>
      <c r="AA78" s="105" t="e">
        <f>Y78/'Alternative 2'!$M79</f>
        <v>#VALUE!</v>
      </c>
      <c r="AB78" s="105" t="e">
        <f t="shared" si="21"/>
        <v>#VALUE!</v>
      </c>
      <c r="AD78" s="105" t="e">
        <f>'Alternative 2'!$B$39*$B78*$C78*COS($K$23)-($N$22/3)*$E78*SIN($K$23)-($N$22/3)*$F78*SIN($K$23)-($N$22/3)*$G78*SIN($K$23)</f>
        <v>#VALUE!</v>
      </c>
      <c r="AE78" s="106" t="e">
        <f>IF(($A78&lt;'Alternative 2'!$B$27),(($H78*'Alternative 2'!$B$39)+(3*($N$22/3)*COS($K$23))),IF(($A78&lt;'Alternative 2'!$B$28),(($H78*'Alternative 2'!$B$39)+(2*(($N$22/3)*COS($K$23)))),IF(($A78&lt;'Alternative 2'!$B$29),(($H$3*'Alternative 2'!$B$39+(($N$22/3)*COS($K$23)))),($H78*'Alternative 2'!$B$39))))</f>
        <v>#VALUE!</v>
      </c>
      <c r="AF78" s="105" t="e">
        <f>AD78*'Alternative 2'!$K79/'Alternative 2'!$L79</f>
        <v>#VALUE!</v>
      </c>
      <c r="AG78" s="105" t="e">
        <f>AE78/'Alternative 2'!$M79</f>
        <v>#VALUE!</v>
      </c>
      <c r="AH78" s="105" t="e">
        <f t="shared" si="22"/>
        <v>#VALUE!</v>
      </c>
      <c r="AJ78" s="105" t="e">
        <f>'Alternative 2'!$B$39*$B78*$C78*COS($K$33)-($N$32/3)*$E78*SIN($K$33)-($N$32/3)*$F78*SIN($K$33)-($N$32/3)*$G78*SIN($K$33)</f>
        <v>#VALUE!</v>
      </c>
      <c r="AK78" s="106" t="e">
        <f>IF(($A78&lt;'Alternative 2'!$B$27),(($H78*'Alternative 2'!$B$39)+(3*($N$32/3)*COS($K$33))),IF(($A78&lt;'Alternative 2'!$B$28),(($H78*'Alternative 2'!$B$39)+(2*(($N$32/3)*COS($K$33)))),IF(($A78&lt;'Alternative 2'!$B$29),(($H$3*'Alternative 2'!$B$39+(($N$32/3)*COS($K$33)))),($H78*'Alternative 2'!$B$39))))</f>
        <v>#VALUE!</v>
      </c>
      <c r="AL78" s="105" t="e">
        <f>AJ78*'Alternative 2'!$K79/'Alternative 2'!$L79</f>
        <v>#VALUE!</v>
      </c>
      <c r="AM78" s="105" t="e">
        <f>AK78/'Alternative 2'!$M79</f>
        <v>#VALUE!</v>
      </c>
      <c r="AN78" s="105" t="e">
        <f t="shared" si="23"/>
        <v>#VALUE!</v>
      </c>
      <c r="AP78" s="105" t="e">
        <f>'Alternative 2'!$B$39*$B78*$C78*COS($K$43)-($N$42/3)*$E78*SIN($K$43)-($N$42/3)*$F78*SIN($K$43)-($N$42/3)*$G78*SIN($K$43)</f>
        <v>#VALUE!</v>
      </c>
      <c r="AQ78" s="106" t="e">
        <f>IF(($A78&lt;'Alternative 2'!$B$27),(($H78*'Alternative 2'!$B$39)+(3*($N$42/3)*COS($K$43))),IF(($A78&lt;'Alternative 2'!$B$28),(($H78*'Alternative 2'!$B$39)+(2*(($N$42/3)*COS($K$43)))),IF(($A78&lt;'Alternative 2'!$B$29),(($H$3*'Alternative 2'!$B$39+(($N$42/3)*COS($K$43)))),($H78*'Alternative 2'!$B$39))))</f>
        <v>#VALUE!</v>
      </c>
      <c r="AR78" s="105" t="e">
        <f>AP78*'Alternative 2'!$K79/'Alternative 2'!$L79</f>
        <v>#VALUE!</v>
      </c>
      <c r="AS78" s="105" t="e">
        <f>AQ78/'Alternative 2'!$M79</f>
        <v>#VALUE!</v>
      </c>
      <c r="AT78" s="105" t="e">
        <f t="shared" si="24"/>
        <v>#VALUE!</v>
      </c>
      <c r="AV78" s="105" t="e">
        <f>'Alternative 2'!$B$39*$B78*$C78*COS($K$53)-($N$52/3)*$E78*SIN($K$53)-($N$52/3)*$F78*SIN($K$53)-($N$52/3)*$G78*SIN($K$53)</f>
        <v>#VALUE!</v>
      </c>
      <c r="AW78" s="106" t="e">
        <f>IF(($A78&lt;'Alternative 2'!$B$27),(($H78*'Alternative 2'!$B$39)+(3*($N$52/3)*COS($K$53))),IF(($A78&lt;'Alternative 2'!$B$28),(($H78*'Alternative 2'!$B$39)+(2*(($N$52/3)*COS($K$53)))),IF(($A78&lt;'Alternative 2'!$B$29),(($H$3*'Alternative 2'!$B$39+(($N$52/3)*COS($K$53)))),($H78*'Alternative 2'!$B$39))))</f>
        <v>#VALUE!</v>
      </c>
      <c r="AX78" s="105" t="e">
        <f>AV78*'Alternative 2'!$K79/'Alternative 2'!$L79</f>
        <v>#VALUE!</v>
      </c>
      <c r="AY78" s="105" t="e">
        <f>AW78/'Alternative 2'!$M79</f>
        <v>#VALUE!</v>
      </c>
      <c r="AZ78" s="105" t="e">
        <f t="shared" si="25"/>
        <v>#VALUE!</v>
      </c>
      <c r="BB78" s="105" t="e">
        <f>'Alternative 2'!$B$39*$B78*$C78*COS($K$63)-($N$62/3)*$E78*SIN($K$63)-($N$62/3)*$F78*SIN($K$63)-($N$62/3)*$G78*SIN($K$63)</f>
        <v>#VALUE!</v>
      </c>
      <c r="BC78" s="106" t="e">
        <f>IF(($A78&lt;'Alternative 2'!$B$27),(($H78*'Alternative 2'!$B$39)+(3*($N$62/3)*COS($K$63))),IF(($A78&lt;'Alternative 2'!$B$28),(($H78*'Alternative 2'!$B$39)+(2*(($N$62/3)*COS($K$63)))),IF(($A78&lt;'Alternative 2'!$B$29),(($H$3*'Alternative 2'!$B$39+(($N$62/3)*COS($K$63)))),($H78*'Alternative 2'!$B$39))))</f>
        <v>#VALUE!</v>
      </c>
      <c r="BD78" s="105" t="e">
        <f>BB78*'Alternative 2'!$K79/'Alternative 2'!$L79</f>
        <v>#VALUE!</v>
      </c>
      <c r="BE78" s="105" t="e">
        <f>BC78/'Alternative 2'!$M79</f>
        <v>#VALUE!</v>
      </c>
      <c r="BF78" s="105" t="e">
        <f t="shared" si="26"/>
        <v>#VALUE!</v>
      </c>
      <c r="BH78" s="105" t="e">
        <f>'Alternative 2'!$B$39*$B78*$C78*COS($K$73)-($N$72/3)*$E78*SIN($K$73)-($N$72/3)*$F78*SIN($K$73)-($N$72/3)*$G78*SIN($K$73)</f>
        <v>#VALUE!</v>
      </c>
      <c r="BI78" s="106" t="e">
        <f>IF(($A78&lt;'Alternative 2'!$B$27),(($H78*'Alternative 2'!$B$39)+(3*($N$72/3)*COS($K$73))),IF(($A78&lt;'Alternative 2'!$B$28),(($H78*'Alternative 2'!$B$39)+(2*(($N$72/3)*COS($K$73)))),IF(($A78&lt;'Alternative 2'!$B$29),(($H$3*'Alternative 2'!$B$39+(($N$72/3)*COS($K$73)))),($H78*'Alternative 2'!$B$39))))</f>
        <v>#VALUE!</v>
      </c>
      <c r="BJ78" s="105" t="e">
        <f>BH78*'Alternative 2'!$K79/'Alternative 2'!$L79</f>
        <v>#VALUE!</v>
      </c>
      <c r="BK78" s="105" t="e">
        <f>BI78/'Alternative 2'!$M79</f>
        <v>#VALUE!</v>
      </c>
      <c r="BL78" s="105" t="e">
        <f t="shared" si="27"/>
        <v>#VALUE!</v>
      </c>
      <c r="BN78" s="105" t="e">
        <f>'Alternative 2'!$B$39*$B78*$C78*COS($K$83)-($N$82/3)*$E78*SIN($K$83)-($N$82/3)*$F78*SIN($K$83)-($N$82/3)*$G78*SIN($K$83)</f>
        <v>#VALUE!</v>
      </c>
      <c r="BO78" s="106" t="e">
        <f>IF(($A78&lt;'Alternative 2'!$B$27),(($H78*'Alternative 2'!$B$39)+(3*($N$82/3)*COS($K$83))),IF(($A78&lt;'Alternative 2'!$B$28),(($H78*'Alternative 2'!$B$39)+(2*(($N$82/3)*COS($K$83)))),IF(($A78&lt;'Alternative 2'!$B$29),(($H$3*'Alternative 2'!$B$39+(($N$82/3)*COS($K$83)))),($H78*'Alternative 2'!$B$39))))</f>
        <v>#VALUE!</v>
      </c>
      <c r="BP78" s="105" t="e">
        <f>BN78*'Alternative 2'!$K79/'Alternative 2'!$L79</f>
        <v>#VALUE!</v>
      </c>
      <c r="BQ78" s="105" t="e">
        <f>BO78/'Alternative 2'!$M79</f>
        <v>#VALUE!</v>
      </c>
      <c r="BR78" s="105" t="e">
        <f t="shared" si="28"/>
        <v>#VALUE!</v>
      </c>
      <c r="BT78" s="105" t="e">
        <f>'Alternative 2'!$B$39*$B78*$C78*COS($K$93)-($K$92/3)*$E78*SIN($K$93)-($K$92/3)*$F78*SIN($K$93)-($K$92/3)*$G78*SIN($K$93)</f>
        <v>#VALUE!</v>
      </c>
      <c r="BU78" s="106" t="e">
        <f>IF(($A78&lt;'Alternative 2'!$B$27),(($H78*'Alternative 2'!$B$39)+(3*($N$92/3)*COS($K$93))),IF(($A78&lt;'Alternative 2'!$B$28),(($H78*'Alternative 2'!$B$39)+(2*(($N$92/3)*COS($K$93)))),IF(($A78&lt;'Alternative 2'!$B$29),(($H$3*'Alternative 2'!$B$39+(($N$92/3)*COS($K$93)))),($H78*'Alternative 2'!$B$39))))</f>
        <v>#VALUE!</v>
      </c>
      <c r="BV78" s="105" t="e">
        <f>BT78*'Alternative 2'!$K79/'Alternative 2'!$L79</f>
        <v>#VALUE!</v>
      </c>
      <c r="BW78" s="105" t="e">
        <f>BU78/'Alternative 2'!$M79</f>
        <v>#VALUE!</v>
      </c>
      <c r="BX78" s="105" t="e">
        <f t="shared" si="29"/>
        <v>#VALUE!</v>
      </c>
    </row>
    <row r="79" spans="1:79" ht="15" customHeight="1" x14ac:dyDescent="0.25">
      <c r="A79" s="18" t="str">
        <f>IF('Alternative 2'!F80&gt;0,'Alternative 2'!F80,"x")</f>
        <v>x</v>
      </c>
      <c r="B79" s="18" t="e">
        <f t="shared" si="35"/>
        <v>#VALUE!</v>
      </c>
      <c r="C79" s="18">
        <f t="shared" si="30"/>
        <v>0</v>
      </c>
      <c r="D79" s="18" t="str">
        <f t="shared" si="31"/>
        <v>x</v>
      </c>
      <c r="E79" s="101">
        <f>IF($A79&lt;='Alternative 2'!$B$27, IF($A79='Alternative 2'!$B$27,0,E80+1),0)</f>
        <v>0</v>
      </c>
      <c r="F79" s="101">
        <f>IF($A79&lt;=('Alternative 2'!$B$28), IF($A79=ROUNDDOWN('Alternative 2'!$B$28,0),0,F80+1),0)</f>
        <v>0</v>
      </c>
      <c r="G79" s="101">
        <f>IF($A79&lt;=('Alternative 2'!$B$29), IF($A79=ROUNDDOWN('Alternative 2'!$B$29,0),0,G80+1),0)</f>
        <v>0</v>
      </c>
      <c r="H79" s="18" t="e">
        <f t="shared" si="32"/>
        <v>#VALUE!</v>
      </c>
      <c r="J79" s="104">
        <f t="shared" si="33"/>
        <v>76</v>
      </c>
      <c r="K79" s="104">
        <f t="shared" si="34"/>
        <v>1.3264502315156903</v>
      </c>
      <c r="L79" s="105">
        <f>'Alternative 2'!$B$27*SIN(K79)+'Alternative 2'!$B$28*SIN(K79)+'Alternative 2'!$B$29*SIN(K79)</f>
        <v>41.713013272605089</v>
      </c>
      <c r="M79" s="104">
        <f>(('Alternative 2'!$B$27)*(((('Alternative 2'!$B$28-'Alternative 2'!$B$27)/2)+'Alternative 2'!$B$27)*'Alternative 2'!$B$39)*COS('Alternative 2-Tilt Up (3pt)'!K79))+(('Alternative 2'!$B$28)*((('Alternative 2'!$B$28-'Alternative 2'!$B$27)/2)+(('Alternative 2'!$B$29-'Alternative 2'!$B$28)/2))*('Alternative 2'!$B$39)*COS('Alternative 2-Tilt Up (3pt)'!K79))+(('Alternative 2'!$B$29)*((('Alternative 2'!$B$12-'Alternative 2'!$B$29+(('Alternative 2'!$B$29-'Alternative 2'!$B$28)/2)*('Alternative 2'!$B$39)*COS('Alternative 2-Tilt Up (3pt)'!K79)))))</f>
        <v>147585.56166883308</v>
      </c>
      <c r="N79" s="104">
        <f t="shared" si="18"/>
        <v>10614.353897498902</v>
      </c>
      <c r="O79" s="104">
        <f>(((('Alternative 2'!$B$28-'Alternative 2'!$B$27)/2)+'Alternative 2'!$B$27)*('Alternative 2'!$B$39)*COS('Alternative 2-Tilt Up (3pt)'!K79))+(((('Alternative 2'!$B$28-'Alternative 2'!$B$27)/2)+(('Alternative 2'!$B$29-'Alternative 2'!$B$28)/2))*('Alternative 2'!$B$39)*COS('Alternative 2-Tilt Up (3pt)'!K79))+(((('Alternative 2'!$B$12-'Alternative 2'!$B$29)+(('Alternative 2'!$B$29-'Alternative 2'!$B$28)/2))*('Alternative 2'!$B$39)*COS('Alternative 2-Tilt Up (3pt)'!K79)))</f>
        <v>15138.94949965221</v>
      </c>
      <c r="P79" s="104">
        <f t="shared" si="19"/>
        <v>2567.8446154486574</v>
      </c>
      <c r="R79" s="105" t="e">
        <f>'Alternative 2'!$B$39*$B79*$C79*COS($K$5)-($N$5/3)*$E79*SIN($K$5)-($N$5/3)*$F79*SIN($K$5)-($N$5/3)*$G79*SIN($K$5)</f>
        <v>#VALUE!</v>
      </c>
      <c r="S79" s="106" t="e">
        <f>IF(($A79&lt;'Alternative 2'!$B$27),(($H79*'Alternative 2'!$B$39)+(3*($N$5/3)*COS($K$5))),IF(($A79&lt;'Alternative 2'!$B$28),(($H79*'Alternative 2'!$B$39)+(2*(($N$5/3)*COS($K$5)))),IF(($A79&lt;'Alternative 2'!$B$29),(($H$3*'Alternative 2'!$B$39+(($N$5/3)*COS($K$5)))),($H79*'Alternative 2'!$B$39))))</f>
        <v>#VALUE!</v>
      </c>
      <c r="T79" s="105" t="e">
        <f>R79*'Alternative 2'!$K80/'Alternative 2'!$L80</f>
        <v>#VALUE!</v>
      </c>
      <c r="U79" s="105" t="e">
        <f>S79/'Alternative 2'!$M80</f>
        <v>#VALUE!</v>
      </c>
      <c r="V79" s="105" t="e">
        <f t="shared" si="20"/>
        <v>#VALUE!</v>
      </c>
      <c r="X79" s="105" t="e">
        <f>'Alternative 2'!$B$39*$B79*$C79*COS($K$13)-($N$12/3)*$E79*SIN($K$13)-($N$12/3)*$F79*SIN($K$13)-($N$12/3)*$G79*SIN($K$13)</f>
        <v>#VALUE!</v>
      </c>
      <c r="Y79" s="106" t="e">
        <f>IF(($A79&lt;'Alternative 2'!$B$27),(($H79*'Alternative 2'!$B$39)+(3*($N$12/3)*COS($K$13))),IF(($A79&lt;'Alternative 2'!$B$28),(($H79*'Alternative 2'!$B$39)+(2*(($N$12/3)*COS($K$13)))),IF(($A79&lt;'Alternative 2'!$B$29),(($H$3*'Alternative 2'!$B$39+(($N$12/3)*COS($K$13)))),($H79*'Alternative 2'!$B$39))))</f>
        <v>#VALUE!</v>
      </c>
      <c r="Z79" s="105" t="e">
        <f>X79*'Alternative 2'!$K80/'Alternative 2'!$L80</f>
        <v>#VALUE!</v>
      </c>
      <c r="AA79" s="105" t="e">
        <f>Y79/'Alternative 2'!$M80</f>
        <v>#VALUE!</v>
      </c>
      <c r="AB79" s="105" t="e">
        <f t="shared" si="21"/>
        <v>#VALUE!</v>
      </c>
      <c r="AD79" s="105" t="e">
        <f>'Alternative 2'!$B$39*$B79*$C79*COS($K$23)-($N$22/3)*$E79*SIN($K$23)-($N$22/3)*$F79*SIN($K$23)-($N$22/3)*$G79*SIN($K$23)</f>
        <v>#VALUE!</v>
      </c>
      <c r="AE79" s="106" t="e">
        <f>IF(($A79&lt;'Alternative 2'!$B$27),(($H79*'Alternative 2'!$B$39)+(3*($N$22/3)*COS($K$23))),IF(($A79&lt;'Alternative 2'!$B$28),(($H79*'Alternative 2'!$B$39)+(2*(($N$22/3)*COS($K$23)))),IF(($A79&lt;'Alternative 2'!$B$29),(($H$3*'Alternative 2'!$B$39+(($N$22/3)*COS($K$23)))),($H79*'Alternative 2'!$B$39))))</f>
        <v>#VALUE!</v>
      </c>
      <c r="AF79" s="105" t="e">
        <f>AD79*'Alternative 2'!$K80/'Alternative 2'!$L80</f>
        <v>#VALUE!</v>
      </c>
      <c r="AG79" s="105" t="e">
        <f>AE79/'Alternative 2'!$M80</f>
        <v>#VALUE!</v>
      </c>
      <c r="AH79" s="105" t="e">
        <f t="shared" si="22"/>
        <v>#VALUE!</v>
      </c>
      <c r="AJ79" s="105" t="e">
        <f>'Alternative 2'!$B$39*$B79*$C79*COS($K$33)-($N$32/3)*$E79*SIN($K$33)-($N$32/3)*$F79*SIN($K$33)-($N$32/3)*$G79*SIN($K$33)</f>
        <v>#VALUE!</v>
      </c>
      <c r="AK79" s="106" t="e">
        <f>IF(($A79&lt;'Alternative 2'!$B$27),(($H79*'Alternative 2'!$B$39)+(3*($N$32/3)*COS($K$33))),IF(($A79&lt;'Alternative 2'!$B$28),(($H79*'Alternative 2'!$B$39)+(2*(($N$32/3)*COS($K$33)))),IF(($A79&lt;'Alternative 2'!$B$29),(($H$3*'Alternative 2'!$B$39+(($N$32/3)*COS($K$33)))),($H79*'Alternative 2'!$B$39))))</f>
        <v>#VALUE!</v>
      </c>
      <c r="AL79" s="105" t="e">
        <f>AJ79*'Alternative 2'!$K80/'Alternative 2'!$L80</f>
        <v>#VALUE!</v>
      </c>
      <c r="AM79" s="105" t="e">
        <f>AK79/'Alternative 2'!$M80</f>
        <v>#VALUE!</v>
      </c>
      <c r="AN79" s="105" t="e">
        <f t="shared" si="23"/>
        <v>#VALUE!</v>
      </c>
      <c r="AP79" s="105" t="e">
        <f>'Alternative 2'!$B$39*$B79*$C79*COS($K$43)-($N$42/3)*$E79*SIN($K$43)-($N$42/3)*$F79*SIN($K$43)-($N$42/3)*$G79*SIN($K$43)</f>
        <v>#VALUE!</v>
      </c>
      <c r="AQ79" s="106" t="e">
        <f>IF(($A79&lt;'Alternative 2'!$B$27),(($H79*'Alternative 2'!$B$39)+(3*($N$42/3)*COS($K$43))),IF(($A79&lt;'Alternative 2'!$B$28),(($H79*'Alternative 2'!$B$39)+(2*(($N$42/3)*COS($K$43)))),IF(($A79&lt;'Alternative 2'!$B$29),(($H$3*'Alternative 2'!$B$39+(($N$42/3)*COS($K$43)))),($H79*'Alternative 2'!$B$39))))</f>
        <v>#VALUE!</v>
      </c>
      <c r="AR79" s="105" t="e">
        <f>AP79*'Alternative 2'!$K80/'Alternative 2'!$L80</f>
        <v>#VALUE!</v>
      </c>
      <c r="AS79" s="105" t="e">
        <f>AQ79/'Alternative 2'!$M80</f>
        <v>#VALUE!</v>
      </c>
      <c r="AT79" s="105" t="e">
        <f t="shared" si="24"/>
        <v>#VALUE!</v>
      </c>
      <c r="AV79" s="105" t="e">
        <f>'Alternative 2'!$B$39*$B79*$C79*COS($K$53)-($N$52/3)*$E79*SIN($K$53)-($N$52/3)*$F79*SIN($K$53)-($N$52/3)*$G79*SIN($K$53)</f>
        <v>#VALUE!</v>
      </c>
      <c r="AW79" s="106" t="e">
        <f>IF(($A79&lt;'Alternative 2'!$B$27),(($H79*'Alternative 2'!$B$39)+(3*($N$52/3)*COS($K$53))),IF(($A79&lt;'Alternative 2'!$B$28),(($H79*'Alternative 2'!$B$39)+(2*(($N$52/3)*COS($K$53)))),IF(($A79&lt;'Alternative 2'!$B$29),(($H$3*'Alternative 2'!$B$39+(($N$52/3)*COS($K$53)))),($H79*'Alternative 2'!$B$39))))</f>
        <v>#VALUE!</v>
      </c>
      <c r="AX79" s="105" t="e">
        <f>AV79*'Alternative 2'!$K80/'Alternative 2'!$L80</f>
        <v>#VALUE!</v>
      </c>
      <c r="AY79" s="105" t="e">
        <f>AW79/'Alternative 2'!$M80</f>
        <v>#VALUE!</v>
      </c>
      <c r="AZ79" s="105" t="e">
        <f t="shared" si="25"/>
        <v>#VALUE!</v>
      </c>
      <c r="BB79" s="105" t="e">
        <f>'Alternative 2'!$B$39*$B79*$C79*COS($K$63)-($N$62/3)*$E79*SIN($K$63)-($N$62/3)*$F79*SIN($K$63)-($N$62/3)*$G79*SIN($K$63)</f>
        <v>#VALUE!</v>
      </c>
      <c r="BC79" s="106" t="e">
        <f>IF(($A79&lt;'Alternative 2'!$B$27),(($H79*'Alternative 2'!$B$39)+(3*($N$62/3)*COS($K$63))),IF(($A79&lt;'Alternative 2'!$B$28),(($H79*'Alternative 2'!$B$39)+(2*(($N$62/3)*COS($K$63)))),IF(($A79&lt;'Alternative 2'!$B$29),(($H$3*'Alternative 2'!$B$39+(($N$62/3)*COS($K$63)))),($H79*'Alternative 2'!$B$39))))</f>
        <v>#VALUE!</v>
      </c>
      <c r="BD79" s="105" t="e">
        <f>BB79*'Alternative 2'!$K80/'Alternative 2'!$L80</f>
        <v>#VALUE!</v>
      </c>
      <c r="BE79" s="105" t="e">
        <f>BC79/'Alternative 2'!$M80</f>
        <v>#VALUE!</v>
      </c>
      <c r="BF79" s="105" t="e">
        <f t="shared" si="26"/>
        <v>#VALUE!</v>
      </c>
      <c r="BH79" s="105" t="e">
        <f>'Alternative 2'!$B$39*$B79*$C79*COS($K$73)-($N$72/3)*$E79*SIN($K$73)-($N$72/3)*$F79*SIN($K$73)-($N$72/3)*$G79*SIN($K$73)</f>
        <v>#VALUE!</v>
      </c>
      <c r="BI79" s="106" t="e">
        <f>IF(($A79&lt;'Alternative 2'!$B$27),(($H79*'Alternative 2'!$B$39)+(3*($N$72/3)*COS($K$73))),IF(($A79&lt;'Alternative 2'!$B$28),(($H79*'Alternative 2'!$B$39)+(2*(($N$72/3)*COS($K$73)))),IF(($A79&lt;'Alternative 2'!$B$29),(($H$3*'Alternative 2'!$B$39+(($N$72/3)*COS($K$73)))),($H79*'Alternative 2'!$B$39))))</f>
        <v>#VALUE!</v>
      </c>
      <c r="BJ79" s="105" t="e">
        <f>BH79*'Alternative 2'!$K80/'Alternative 2'!$L80</f>
        <v>#VALUE!</v>
      </c>
      <c r="BK79" s="105" t="e">
        <f>BI79/'Alternative 2'!$M80</f>
        <v>#VALUE!</v>
      </c>
      <c r="BL79" s="105" t="e">
        <f t="shared" si="27"/>
        <v>#VALUE!</v>
      </c>
      <c r="BN79" s="105" t="e">
        <f>'Alternative 2'!$B$39*$B79*$C79*COS($K$83)-($N$82/3)*$E79*SIN($K$83)-($N$82/3)*$F79*SIN($K$83)-($N$82/3)*$G79*SIN($K$83)</f>
        <v>#VALUE!</v>
      </c>
      <c r="BO79" s="106" t="e">
        <f>IF(($A79&lt;'Alternative 2'!$B$27),(($H79*'Alternative 2'!$B$39)+(3*($N$82/3)*COS($K$83))),IF(($A79&lt;'Alternative 2'!$B$28),(($H79*'Alternative 2'!$B$39)+(2*(($N$82/3)*COS($K$83)))),IF(($A79&lt;'Alternative 2'!$B$29),(($H$3*'Alternative 2'!$B$39+(($N$82/3)*COS($K$83)))),($H79*'Alternative 2'!$B$39))))</f>
        <v>#VALUE!</v>
      </c>
      <c r="BP79" s="105" t="e">
        <f>BN79*'Alternative 2'!$K80/'Alternative 2'!$L80</f>
        <v>#VALUE!</v>
      </c>
      <c r="BQ79" s="105" t="e">
        <f>BO79/'Alternative 2'!$M80</f>
        <v>#VALUE!</v>
      </c>
      <c r="BR79" s="105" t="e">
        <f t="shared" si="28"/>
        <v>#VALUE!</v>
      </c>
      <c r="BT79" s="105" t="e">
        <f>'Alternative 2'!$B$39*$B79*$C79*COS($K$93)-($K$92/3)*$E79*SIN($K$93)-($K$92/3)*$F79*SIN($K$93)-($K$92/3)*$G79*SIN($K$93)</f>
        <v>#VALUE!</v>
      </c>
      <c r="BU79" s="106" t="e">
        <f>IF(($A79&lt;'Alternative 2'!$B$27),(($H79*'Alternative 2'!$B$39)+(3*($N$92/3)*COS($K$93))),IF(($A79&lt;'Alternative 2'!$B$28),(($H79*'Alternative 2'!$B$39)+(2*(($N$92/3)*COS($K$93)))),IF(($A79&lt;'Alternative 2'!$B$29),(($H$3*'Alternative 2'!$B$39+(($N$92/3)*COS($K$93)))),($H79*'Alternative 2'!$B$39))))</f>
        <v>#VALUE!</v>
      </c>
      <c r="BV79" s="105" t="e">
        <f>BT79*'Alternative 2'!$K80/'Alternative 2'!$L80</f>
        <v>#VALUE!</v>
      </c>
      <c r="BW79" s="105" t="e">
        <f>BU79/'Alternative 2'!$M80</f>
        <v>#VALUE!</v>
      </c>
      <c r="BX79" s="105" t="e">
        <f t="shared" si="29"/>
        <v>#VALUE!</v>
      </c>
    </row>
    <row r="80" spans="1:79" ht="15" customHeight="1" x14ac:dyDescent="0.25">
      <c r="A80" s="18" t="str">
        <f>IF('Alternative 2'!F81&gt;0,'Alternative 2'!F81,"x")</f>
        <v>x</v>
      </c>
      <c r="B80" s="18" t="e">
        <f t="shared" si="35"/>
        <v>#VALUE!</v>
      </c>
      <c r="C80" s="18">
        <f t="shared" si="30"/>
        <v>0</v>
      </c>
      <c r="D80" s="18" t="str">
        <f t="shared" si="31"/>
        <v>x</v>
      </c>
      <c r="E80" s="101">
        <f>IF($A80&lt;='Alternative 2'!$B$27, IF($A80='Alternative 2'!$B$27,0,E81+1),0)</f>
        <v>0</v>
      </c>
      <c r="F80" s="101">
        <f>IF($A80&lt;=('Alternative 2'!$B$28), IF($A80=ROUNDDOWN('Alternative 2'!$B$28,0),0,F81+1),0)</f>
        <v>0</v>
      </c>
      <c r="G80" s="101">
        <f>IF($A80&lt;=('Alternative 2'!$B$29), IF($A80=ROUNDDOWN('Alternative 2'!$B$29,0),0,G81+1),0)</f>
        <v>0</v>
      </c>
      <c r="H80" s="18" t="e">
        <f t="shared" si="32"/>
        <v>#VALUE!</v>
      </c>
      <c r="J80" s="104">
        <f t="shared" si="33"/>
        <v>77</v>
      </c>
      <c r="K80" s="104">
        <f t="shared" si="34"/>
        <v>1.3439035240356338</v>
      </c>
      <c r="L80" s="105">
        <f>'Alternative 2'!$B$27*SIN(K80)+'Alternative 2'!$B$28*SIN(K80)+'Alternative 2'!$B$29*SIN(K80)</f>
        <v>41.888169085117262</v>
      </c>
      <c r="M80" s="104">
        <f>(('Alternative 2'!$B$27)*(((('Alternative 2'!$B$28-'Alternative 2'!$B$27)/2)+'Alternative 2'!$B$27)*'Alternative 2'!$B$39)*COS('Alternative 2-Tilt Up (3pt)'!K80))+(('Alternative 2'!$B$28)*((('Alternative 2'!$B$28-'Alternative 2'!$B$27)/2)+(('Alternative 2'!$B$29-'Alternative 2'!$B$28)/2))*('Alternative 2'!$B$39)*COS('Alternative 2-Tilt Up (3pt)'!K80))+(('Alternative 2'!$B$29)*((('Alternative 2'!$B$12-'Alternative 2'!$B$29+(('Alternative 2'!$B$29-'Alternative 2'!$B$28)/2)*('Alternative 2'!$B$39)*COS('Alternative 2-Tilt Up (3pt)'!K80)))))</f>
        <v>137238.10320861952</v>
      </c>
      <c r="N80" s="104">
        <f t="shared" si="18"/>
        <v>9828.8924681632689</v>
      </c>
      <c r="O80" s="104">
        <f>(((('Alternative 2'!$B$28-'Alternative 2'!$B$27)/2)+'Alternative 2'!$B$27)*('Alternative 2'!$B$39)*COS('Alternative 2-Tilt Up (3pt)'!K80))+(((('Alternative 2'!$B$28-'Alternative 2'!$B$27)/2)+(('Alternative 2'!$B$29-'Alternative 2'!$B$28)/2))*('Alternative 2'!$B$39)*COS('Alternative 2-Tilt Up (3pt)'!K80))+(((('Alternative 2'!$B$12-'Alternative 2'!$B$29)+(('Alternative 2'!$B$29-'Alternative 2'!$B$28)/2))*('Alternative 2'!$B$39)*COS('Alternative 2-Tilt Up (3pt)'!K80)))</f>
        <v>14076.950923205175</v>
      </c>
      <c r="P80" s="104">
        <f t="shared" si="19"/>
        <v>2211.0197237458001</v>
      </c>
      <c r="R80" s="105" t="e">
        <f>'Alternative 2'!$B$39*$B80*$C80*COS($K$5)-($N$5/3)*$E80*SIN($K$5)-($N$5/3)*$F80*SIN($K$5)-($N$5/3)*$G80*SIN($K$5)</f>
        <v>#VALUE!</v>
      </c>
      <c r="S80" s="106" t="e">
        <f>IF(($A80&lt;'Alternative 2'!$B$27),(($H80*'Alternative 2'!$B$39)+(3*($N$5/3)*COS($K$5))),IF(($A80&lt;'Alternative 2'!$B$28),(($H80*'Alternative 2'!$B$39)+(2*(($N$5/3)*COS($K$5)))),IF(($A80&lt;'Alternative 2'!$B$29),(($H$3*'Alternative 2'!$B$39+(($N$5/3)*COS($K$5)))),($H80*'Alternative 2'!$B$39))))</f>
        <v>#VALUE!</v>
      </c>
      <c r="T80" s="105" t="e">
        <f>R80*'Alternative 2'!$K81/'Alternative 2'!$L81</f>
        <v>#VALUE!</v>
      </c>
      <c r="U80" s="105" t="e">
        <f>S80/'Alternative 2'!$M81</f>
        <v>#VALUE!</v>
      </c>
      <c r="V80" s="105" t="e">
        <f t="shared" si="20"/>
        <v>#VALUE!</v>
      </c>
      <c r="X80" s="105" t="e">
        <f>'Alternative 2'!$B$39*$B80*$C80*COS($K$13)-($N$12/3)*$E80*SIN($K$13)-($N$12/3)*$F80*SIN($K$13)-($N$12/3)*$G80*SIN($K$13)</f>
        <v>#VALUE!</v>
      </c>
      <c r="Y80" s="106" t="e">
        <f>IF(($A80&lt;'Alternative 2'!$B$27),(($H80*'Alternative 2'!$B$39)+(3*($N$12/3)*COS($K$13))),IF(($A80&lt;'Alternative 2'!$B$28),(($H80*'Alternative 2'!$B$39)+(2*(($N$12/3)*COS($K$13)))),IF(($A80&lt;'Alternative 2'!$B$29),(($H$3*'Alternative 2'!$B$39+(($N$12/3)*COS($K$13)))),($H80*'Alternative 2'!$B$39))))</f>
        <v>#VALUE!</v>
      </c>
      <c r="Z80" s="105" t="e">
        <f>X80*'Alternative 2'!$K81/'Alternative 2'!$L81</f>
        <v>#VALUE!</v>
      </c>
      <c r="AA80" s="105" t="e">
        <f>Y80/'Alternative 2'!$M81</f>
        <v>#VALUE!</v>
      </c>
      <c r="AB80" s="105" t="e">
        <f t="shared" si="21"/>
        <v>#VALUE!</v>
      </c>
      <c r="AD80" s="105" t="e">
        <f>'Alternative 2'!$B$39*$B80*$C80*COS($K$23)-($N$22/3)*$E80*SIN($K$23)-($N$22/3)*$F80*SIN($K$23)-($N$22/3)*$G80*SIN($K$23)</f>
        <v>#VALUE!</v>
      </c>
      <c r="AE80" s="106" t="e">
        <f>IF(($A80&lt;'Alternative 2'!$B$27),(($H80*'Alternative 2'!$B$39)+(3*($N$22/3)*COS($K$23))),IF(($A80&lt;'Alternative 2'!$B$28),(($H80*'Alternative 2'!$B$39)+(2*(($N$22/3)*COS($K$23)))),IF(($A80&lt;'Alternative 2'!$B$29),(($H$3*'Alternative 2'!$B$39+(($N$22/3)*COS($K$23)))),($H80*'Alternative 2'!$B$39))))</f>
        <v>#VALUE!</v>
      </c>
      <c r="AF80" s="105" t="e">
        <f>AD80*'Alternative 2'!$K81/'Alternative 2'!$L81</f>
        <v>#VALUE!</v>
      </c>
      <c r="AG80" s="105" t="e">
        <f>AE80/'Alternative 2'!$M81</f>
        <v>#VALUE!</v>
      </c>
      <c r="AH80" s="105" t="e">
        <f t="shared" si="22"/>
        <v>#VALUE!</v>
      </c>
      <c r="AJ80" s="105" t="e">
        <f>'Alternative 2'!$B$39*$B80*$C80*COS($K$33)-($N$32/3)*$E80*SIN($K$33)-($N$32/3)*$F80*SIN($K$33)-($N$32/3)*$G80*SIN($K$33)</f>
        <v>#VALUE!</v>
      </c>
      <c r="AK80" s="106" t="e">
        <f>IF(($A80&lt;'Alternative 2'!$B$27),(($H80*'Alternative 2'!$B$39)+(3*($N$32/3)*COS($K$33))),IF(($A80&lt;'Alternative 2'!$B$28),(($H80*'Alternative 2'!$B$39)+(2*(($N$32/3)*COS($K$33)))),IF(($A80&lt;'Alternative 2'!$B$29),(($H$3*'Alternative 2'!$B$39+(($N$32/3)*COS($K$33)))),($H80*'Alternative 2'!$B$39))))</f>
        <v>#VALUE!</v>
      </c>
      <c r="AL80" s="105" t="e">
        <f>AJ80*'Alternative 2'!$K81/'Alternative 2'!$L81</f>
        <v>#VALUE!</v>
      </c>
      <c r="AM80" s="105" t="e">
        <f>AK80/'Alternative 2'!$M81</f>
        <v>#VALUE!</v>
      </c>
      <c r="AN80" s="105" t="e">
        <f t="shared" si="23"/>
        <v>#VALUE!</v>
      </c>
      <c r="AP80" s="105" t="e">
        <f>'Alternative 2'!$B$39*$B80*$C80*COS($K$43)-($N$42/3)*$E80*SIN($K$43)-($N$42/3)*$F80*SIN($K$43)-($N$42/3)*$G80*SIN($K$43)</f>
        <v>#VALUE!</v>
      </c>
      <c r="AQ80" s="106" t="e">
        <f>IF(($A80&lt;'Alternative 2'!$B$27),(($H80*'Alternative 2'!$B$39)+(3*($N$42/3)*COS($K$43))),IF(($A80&lt;'Alternative 2'!$B$28),(($H80*'Alternative 2'!$B$39)+(2*(($N$42/3)*COS($K$43)))),IF(($A80&lt;'Alternative 2'!$B$29),(($H$3*'Alternative 2'!$B$39+(($N$42/3)*COS($K$43)))),($H80*'Alternative 2'!$B$39))))</f>
        <v>#VALUE!</v>
      </c>
      <c r="AR80" s="105" t="e">
        <f>AP80*'Alternative 2'!$K81/'Alternative 2'!$L81</f>
        <v>#VALUE!</v>
      </c>
      <c r="AS80" s="105" t="e">
        <f>AQ80/'Alternative 2'!$M81</f>
        <v>#VALUE!</v>
      </c>
      <c r="AT80" s="105" t="e">
        <f t="shared" si="24"/>
        <v>#VALUE!</v>
      </c>
      <c r="AV80" s="105" t="e">
        <f>'Alternative 2'!$B$39*$B80*$C80*COS($K$53)-($N$52/3)*$E80*SIN($K$53)-($N$52/3)*$F80*SIN($K$53)-($N$52/3)*$G80*SIN($K$53)</f>
        <v>#VALUE!</v>
      </c>
      <c r="AW80" s="106" t="e">
        <f>IF(($A80&lt;'Alternative 2'!$B$27),(($H80*'Alternative 2'!$B$39)+(3*($N$52/3)*COS($K$53))),IF(($A80&lt;'Alternative 2'!$B$28),(($H80*'Alternative 2'!$B$39)+(2*(($N$52/3)*COS($K$53)))),IF(($A80&lt;'Alternative 2'!$B$29),(($H$3*'Alternative 2'!$B$39+(($N$52/3)*COS($K$53)))),($H80*'Alternative 2'!$B$39))))</f>
        <v>#VALUE!</v>
      </c>
      <c r="AX80" s="105" t="e">
        <f>AV80*'Alternative 2'!$K81/'Alternative 2'!$L81</f>
        <v>#VALUE!</v>
      </c>
      <c r="AY80" s="105" t="e">
        <f>AW80/'Alternative 2'!$M81</f>
        <v>#VALUE!</v>
      </c>
      <c r="AZ80" s="105" t="e">
        <f t="shared" si="25"/>
        <v>#VALUE!</v>
      </c>
      <c r="BB80" s="105" t="e">
        <f>'Alternative 2'!$B$39*$B80*$C80*COS($K$63)-($N$62/3)*$E80*SIN($K$63)-($N$62/3)*$F80*SIN($K$63)-($N$62/3)*$G80*SIN($K$63)</f>
        <v>#VALUE!</v>
      </c>
      <c r="BC80" s="106" t="e">
        <f>IF(($A80&lt;'Alternative 2'!$B$27),(($H80*'Alternative 2'!$B$39)+(3*($N$62/3)*COS($K$63))),IF(($A80&lt;'Alternative 2'!$B$28),(($H80*'Alternative 2'!$B$39)+(2*(($N$62/3)*COS($K$63)))),IF(($A80&lt;'Alternative 2'!$B$29),(($H$3*'Alternative 2'!$B$39+(($N$62/3)*COS($K$63)))),($H80*'Alternative 2'!$B$39))))</f>
        <v>#VALUE!</v>
      </c>
      <c r="BD80" s="105" t="e">
        <f>BB80*'Alternative 2'!$K81/'Alternative 2'!$L81</f>
        <v>#VALUE!</v>
      </c>
      <c r="BE80" s="105" t="e">
        <f>BC80/'Alternative 2'!$M81</f>
        <v>#VALUE!</v>
      </c>
      <c r="BF80" s="105" t="e">
        <f t="shared" si="26"/>
        <v>#VALUE!</v>
      </c>
      <c r="BH80" s="105" t="e">
        <f>'Alternative 2'!$B$39*$B80*$C80*COS($K$73)-($N$72/3)*$E80*SIN($K$73)-($N$72/3)*$F80*SIN($K$73)-($N$72/3)*$G80*SIN($K$73)</f>
        <v>#VALUE!</v>
      </c>
      <c r="BI80" s="106" t="e">
        <f>IF(($A80&lt;'Alternative 2'!$B$27),(($H80*'Alternative 2'!$B$39)+(3*($N$72/3)*COS($K$73))),IF(($A80&lt;'Alternative 2'!$B$28),(($H80*'Alternative 2'!$B$39)+(2*(($N$72/3)*COS($K$73)))),IF(($A80&lt;'Alternative 2'!$B$29),(($H$3*'Alternative 2'!$B$39+(($N$72/3)*COS($K$73)))),($H80*'Alternative 2'!$B$39))))</f>
        <v>#VALUE!</v>
      </c>
      <c r="BJ80" s="105" t="e">
        <f>BH80*'Alternative 2'!$K81/'Alternative 2'!$L81</f>
        <v>#VALUE!</v>
      </c>
      <c r="BK80" s="105" t="e">
        <f>BI80/'Alternative 2'!$M81</f>
        <v>#VALUE!</v>
      </c>
      <c r="BL80" s="105" t="e">
        <f t="shared" si="27"/>
        <v>#VALUE!</v>
      </c>
      <c r="BN80" s="105" t="e">
        <f>'Alternative 2'!$B$39*$B80*$C80*COS($K$83)-($N$82/3)*$E80*SIN($K$83)-($N$82/3)*$F80*SIN($K$83)-($N$82/3)*$G80*SIN($K$83)</f>
        <v>#VALUE!</v>
      </c>
      <c r="BO80" s="106" t="e">
        <f>IF(($A80&lt;'Alternative 2'!$B$27),(($H80*'Alternative 2'!$B$39)+(3*($N$82/3)*COS($K$83))),IF(($A80&lt;'Alternative 2'!$B$28),(($H80*'Alternative 2'!$B$39)+(2*(($N$82/3)*COS($K$83)))),IF(($A80&lt;'Alternative 2'!$B$29),(($H$3*'Alternative 2'!$B$39+(($N$82/3)*COS($K$83)))),($H80*'Alternative 2'!$B$39))))</f>
        <v>#VALUE!</v>
      </c>
      <c r="BP80" s="105" t="e">
        <f>BN80*'Alternative 2'!$K81/'Alternative 2'!$L81</f>
        <v>#VALUE!</v>
      </c>
      <c r="BQ80" s="105" t="e">
        <f>BO80/'Alternative 2'!$M81</f>
        <v>#VALUE!</v>
      </c>
      <c r="BR80" s="105" t="e">
        <f t="shared" si="28"/>
        <v>#VALUE!</v>
      </c>
      <c r="BT80" s="105" t="e">
        <f>'Alternative 2'!$B$39*$B80*$C80*COS($K$93)-($K$92/3)*$E80*SIN($K$93)-($K$92/3)*$F80*SIN($K$93)-($K$92/3)*$G80*SIN($K$93)</f>
        <v>#VALUE!</v>
      </c>
      <c r="BU80" s="106" t="e">
        <f>IF(($A80&lt;'Alternative 2'!$B$27),(($H80*'Alternative 2'!$B$39)+(3*($N$92/3)*COS($K$93))),IF(($A80&lt;'Alternative 2'!$B$28),(($H80*'Alternative 2'!$B$39)+(2*(($N$92/3)*COS($K$93)))),IF(($A80&lt;'Alternative 2'!$B$29),(($H$3*'Alternative 2'!$B$39+(($N$92/3)*COS($K$93)))),($H80*'Alternative 2'!$B$39))))</f>
        <v>#VALUE!</v>
      </c>
      <c r="BV80" s="105" t="e">
        <f>BT80*'Alternative 2'!$K81/'Alternative 2'!$L81</f>
        <v>#VALUE!</v>
      </c>
      <c r="BW80" s="105" t="e">
        <f>BU80/'Alternative 2'!$M81</f>
        <v>#VALUE!</v>
      </c>
      <c r="BX80" s="105" t="e">
        <f t="shared" si="29"/>
        <v>#VALUE!</v>
      </c>
    </row>
    <row r="81" spans="1:76" ht="15" customHeight="1" x14ac:dyDescent="0.25">
      <c r="A81" s="18" t="str">
        <f>IF('Alternative 2'!F82&gt;0,'Alternative 2'!F82,"x")</f>
        <v>x</v>
      </c>
      <c r="B81" s="18" t="e">
        <f t="shared" si="35"/>
        <v>#VALUE!</v>
      </c>
      <c r="C81" s="18">
        <f t="shared" si="30"/>
        <v>0</v>
      </c>
      <c r="D81" s="18" t="str">
        <f t="shared" si="31"/>
        <v>x</v>
      </c>
      <c r="E81" s="101">
        <f>IF($A81&lt;='Alternative 2'!$B$27, IF($A81='Alternative 2'!$B$27,0,E82+1),0)</f>
        <v>0</v>
      </c>
      <c r="F81" s="101">
        <f>IF($A81&lt;=('Alternative 2'!$B$28), IF($A81=ROUNDDOWN('Alternative 2'!$B$28,0),0,F82+1),0)</f>
        <v>0</v>
      </c>
      <c r="G81" s="101">
        <f>IF($A81&lt;=('Alternative 2'!$B$29), IF($A81=ROUNDDOWN('Alternative 2'!$B$29,0),0,G82+1),0)</f>
        <v>0</v>
      </c>
      <c r="H81" s="18" t="e">
        <f t="shared" si="32"/>
        <v>#VALUE!</v>
      </c>
      <c r="J81" s="104">
        <f t="shared" si="33"/>
        <v>78</v>
      </c>
      <c r="K81" s="104">
        <f t="shared" si="34"/>
        <v>1.3613568165555769</v>
      </c>
      <c r="L81" s="105">
        <f>'Alternative 2'!$B$27*SIN(K81)+'Alternative 2'!$B$28*SIN(K81)+'Alternative 2'!$B$29*SIN(K81)</f>
        <v>42.050565355546297</v>
      </c>
      <c r="M81" s="104">
        <f>(('Alternative 2'!$B$27)*(((('Alternative 2'!$B$28-'Alternative 2'!$B$27)/2)+'Alternative 2'!$B$27)*'Alternative 2'!$B$39)*COS('Alternative 2-Tilt Up (3pt)'!K81))+(('Alternative 2'!$B$28)*((('Alternative 2'!$B$28-'Alternative 2'!$B$27)/2)+(('Alternative 2'!$B$29-'Alternative 2'!$B$28)/2))*('Alternative 2'!$B$39)*COS('Alternative 2-Tilt Up (3pt)'!K81))+(('Alternative 2'!$B$29)*((('Alternative 2'!$B$12-'Alternative 2'!$B$29+(('Alternative 2'!$B$29-'Alternative 2'!$B$28)/2)*('Alternative 2'!$B$39)*COS('Alternative 2-Tilt Up (3pt)'!K81)))))</f>
        <v>126848.86536134625</v>
      </c>
      <c r="N81" s="104">
        <f t="shared" si="18"/>
        <v>9049.7379254342468</v>
      </c>
      <c r="O81" s="104">
        <f>(((('Alternative 2'!$B$28-'Alternative 2'!$B$27)/2)+'Alternative 2'!$B$27)*('Alternative 2'!$B$39)*COS('Alternative 2-Tilt Up (3pt)'!K81))+(((('Alternative 2'!$B$28-'Alternative 2'!$B$27)/2)+(('Alternative 2'!$B$29-'Alternative 2'!$B$28)/2))*('Alternative 2'!$B$39)*COS('Alternative 2-Tilt Up (3pt)'!K81))+(((('Alternative 2'!$B$12-'Alternative 2'!$B$29)+(('Alternative 2'!$B$29-'Alternative 2'!$B$28)/2))*('Alternative 2'!$B$39)*COS('Alternative 2-Tilt Up (3pt)'!K81)))</f>
        <v>13010.664371140472</v>
      </c>
      <c r="P81" s="104">
        <f t="shared" si="19"/>
        <v>1881.546313534637</v>
      </c>
      <c r="R81" s="105" t="e">
        <f>'Alternative 2'!$B$39*$B81*$C81*COS($K$5)-($N$5/3)*$E81*SIN($K$5)-($N$5/3)*$F81*SIN($K$5)-($N$5/3)*$G81*SIN($K$5)</f>
        <v>#VALUE!</v>
      </c>
      <c r="S81" s="106" t="e">
        <f>IF(($A81&lt;'Alternative 2'!$B$27),(($H81*'Alternative 2'!$B$39)+(3*($N$5/3)*COS($K$5))),IF(($A81&lt;'Alternative 2'!$B$28),(($H81*'Alternative 2'!$B$39)+(2*(($N$5/3)*COS($K$5)))),IF(($A81&lt;'Alternative 2'!$B$29),(($H$3*'Alternative 2'!$B$39+(($N$5/3)*COS($K$5)))),($H81*'Alternative 2'!$B$39))))</f>
        <v>#VALUE!</v>
      </c>
      <c r="T81" s="105" t="e">
        <f>R81*'Alternative 2'!$K82/'Alternative 2'!$L82</f>
        <v>#VALUE!</v>
      </c>
      <c r="U81" s="105" t="e">
        <f>S81/'Alternative 2'!$M82</f>
        <v>#VALUE!</v>
      </c>
      <c r="V81" s="105" t="e">
        <f t="shared" si="20"/>
        <v>#VALUE!</v>
      </c>
      <c r="X81" s="105" t="e">
        <f>'Alternative 2'!$B$39*$B81*$C81*COS($K$13)-($N$12/3)*$E81*SIN($K$13)-($N$12/3)*$F81*SIN($K$13)-($N$12/3)*$G81*SIN($K$13)</f>
        <v>#VALUE!</v>
      </c>
      <c r="Y81" s="106" t="e">
        <f>IF(($A81&lt;'Alternative 2'!$B$27),(($H81*'Alternative 2'!$B$39)+(3*($N$12/3)*COS($K$13))),IF(($A81&lt;'Alternative 2'!$B$28),(($H81*'Alternative 2'!$B$39)+(2*(($N$12/3)*COS($K$13)))),IF(($A81&lt;'Alternative 2'!$B$29),(($H$3*'Alternative 2'!$B$39+(($N$12/3)*COS($K$13)))),($H81*'Alternative 2'!$B$39))))</f>
        <v>#VALUE!</v>
      </c>
      <c r="Z81" s="105" t="e">
        <f>X81*'Alternative 2'!$K82/'Alternative 2'!$L82</f>
        <v>#VALUE!</v>
      </c>
      <c r="AA81" s="105" t="e">
        <f>Y81/'Alternative 2'!$M82</f>
        <v>#VALUE!</v>
      </c>
      <c r="AB81" s="105" t="e">
        <f t="shared" si="21"/>
        <v>#VALUE!</v>
      </c>
      <c r="AD81" s="105" t="e">
        <f>'Alternative 2'!$B$39*$B81*$C81*COS($K$23)-($N$22/3)*$E81*SIN($K$23)-($N$22/3)*$F81*SIN($K$23)-($N$22/3)*$G81*SIN($K$23)</f>
        <v>#VALUE!</v>
      </c>
      <c r="AE81" s="106" t="e">
        <f>IF(($A81&lt;'Alternative 2'!$B$27),(($H81*'Alternative 2'!$B$39)+(3*($N$22/3)*COS($K$23))),IF(($A81&lt;'Alternative 2'!$B$28),(($H81*'Alternative 2'!$B$39)+(2*(($N$22/3)*COS($K$23)))),IF(($A81&lt;'Alternative 2'!$B$29),(($H$3*'Alternative 2'!$B$39+(($N$22/3)*COS($K$23)))),($H81*'Alternative 2'!$B$39))))</f>
        <v>#VALUE!</v>
      </c>
      <c r="AF81" s="105" t="e">
        <f>AD81*'Alternative 2'!$K82/'Alternative 2'!$L82</f>
        <v>#VALUE!</v>
      </c>
      <c r="AG81" s="105" t="e">
        <f>AE81/'Alternative 2'!$M82</f>
        <v>#VALUE!</v>
      </c>
      <c r="AH81" s="105" t="e">
        <f t="shared" si="22"/>
        <v>#VALUE!</v>
      </c>
      <c r="AJ81" s="105" t="e">
        <f>'Alternative 2'!$B$39*$B81*$C81*COS($K$33)-($N$32/3)*$E81*SIN($K$33)-($N$32/3)*$F81*SIN($K$33)-($N$32/3)*$G81*SIN($K$33)</f>
        <v>#VALUE!</v>
      </c>
      <c r="AK81" s="106" t="e">
        <f>IF(($A81&lt;'Alternative 2'!$B$27),(($H81*'Alternative 2'!$B$39)+(3*($N$32/3)*COS($K$33))),IF(($A81&lt;'Alternative 2'!$B$28),(($H81*'Alternative 2'!$B$39)+(2*(($N$32/3)*COS($K$33)))),IF(($A81&lt;'Alternative 2'!$B$29),(($H$3*'Alternative 2'!$B$39+(($N$32/3)*COS($K$33)))),($H81*'Alternative 2'!$B$39))))</f>
        <v>#VALUE!</v>
      </c>
      <c r="AL81" s="105" t="e">
        <f>AJ81*'Alternative 2'!$K82/'Alternative 2'!$L82</f>
        <v>#VALUE!</v>
      </c>
      <c r="AM81" s="105" t="e">
        <f>AK81/'Alternative 2'!$M82</f>
        <v>#VALUE!</v>
      </c>
      <c r="AN81" s="105" t="e">
        <f t="shared" si="23"/>
        <v>#VALUE!</v>
      </c>
      <c r="AP81" s="105" t="e">
        <f>'Alternative 2'!$B$39*$B81*$C81*COS($K$43)-($N$42/3)*$E81*SIN($K$43)-($N$42/3)*$F81*SIN($K$43)-($N$42/3)*$G81*SIN($K$43)</f>
        <v>#VALUE!</v>
      </c>
      <c r="AQ81" s="106" t="e">
        <f>IF(($A81&lt;'Alternative 2'!$B$27),(($H81*'Alternative 2'!$B$39)+(3*($N$42/3)*COS($K$43))),IF(($A81&lt;'Alternative 2'!$B$28),(($H81*'Alternative 2'!$B$39)+(2*(($N$42/3)*COS($K$43)))),IF(($A81&lt;'Alternative 2'!$B$29),(($H$3*'Alternative 2'!$B$39+(($N$42/3)*COS($K$43)))),($H81*'Alternative 2'!$B$39))))</f>
        <v>#VALUE!</v>
      </c>
      <c r="AR81" s="105" t="e">
        <f>AP81*'Alternative 2'!$K82/'Alternative 2'!$L82</f>
        <v>#VALUE!</v>
      </c>
      <c r="AS81" s="105" t="e">
        <f>AQ81/'Alternative 2'!$M82</f>
        <v>#VALUE!</v>
      </c>
      <c r="AT81" s="105" t="e">
        <f t="shared" si="24"/>
        <v>#VALUE!</v>
      </c>
      <c r="AV81" s="105" t="e">
        <f>'Alternative 2'!$B$39*$B81*$C81*COS($K$53)-($N$52/3)*$E81*SIN($K$53)-($N$52/3)*$F81*SIN($K$53)-($N$52/3)*$G81*SIN($K$53)</f>
        <v>#VALUE!</v>
      </c>
      <c r="AW81" s="106" t="e">
        <f>IF(($A81&lt;'Alternative 2'!$B$27),(($H81*'Alternative 2'!$B$39)+(3*($N$52/3)*COS($K$53))),IF(($A81&lt;'Alternative 2'!$B$28),(($H81*'Alternative 2'!$B$39)+(2*(($N$52/3)*COS($K$53)))),IF(($A81&lt;'Alternative 2'!$B$29),(($H$3*'Alternative 2'!$B$39+(($N$52/3)*COS($K$53)))),($H81*'Alternative 2'!$B$39))))</f>
        <v>#VALUE!</v>
      </c>
      <c r="AX81" s="105" t="e">
        <f>AV81*'Alternative 2'!$K82/'Alternative 2'!$L82</f>
        <v>#VALUE!</v>
      </c>
      <c r="AY81" s="105" t="e">
        <f>AW81/'Alternative 2'!$M82</f>
        <v>#VALUE!</v>
      </c>
      <c r="AZ81" s="105" t="e">
        <f t="shared" si="25"/>
        <v>#VALUE!</v>
      </c>
      <c r="BB81" s="105" t="e">
        <f>'Alternative 2'!$B$39*$B81*$C81*COS($K$63)-($N$62/3)*$E81*SIN($K$63)-($N$62/3)*$F81*SIN($K$63)-($N$62/3)*$G81*SIN($K$63)</f>
        <v>#VALUE!</v>
      </c>
      <c r="BC81" s="106" t="e">
        <f>IF(($A81&lt;'Alternative 2'!$B$27),(($H81*'Alternative 2'!$B$39)+(3*($N$62/3)*COS($K$63))),IF(($A81&lt;'Alternative 2'!$B$28),(($H81*'Alternative 2'!$B$39)+(2*(($N$62/3)*COS($K$63)))),IF(($A81&lt;'Alternative 2'!$B$29),(($H$3*'Alternative 2'!$B$39+(($N$62/3)*COS($K$63)))),($H81*'Alternative 2'!$B$39))))</f>
        <v>#VALUE!</v>
      </c>
      <c r="BD81" s="105" t="e">
        <f>BB81*'Alternative 2'!$K82/'Alternative 2'!$L82</f>
        <v>#VALUE!</v>
      </c>
      <c r="BE81" s="105" t="e">
        <f>BC81/'Alternative 2'!$M82</f>
        <v>#VALUE!</v>
      </c>
      <c r="BF81" s="105" t="e">
        <f t="shared" si="26"/>
        <v>#VALUE!</v>
      </c>
      <c r="BH81" s="105" t="e">
        <f>'Alternative 2'!$B$39*$B81*$C81*COS($K$73)-($N$72/3)*$E81*SIN($K$73)-($N$72/3)*$F81*SIN($K$73)-($N$72/3)*$G81*SIN($K$73)</f>
        <v>#VALUE!</v>
      </c>
      <c r="BI81" s="106" t="e">
        <f>IF(($A81&lt;'Alternative 2'!$B$27),(($H81*'Alternative 2'!$B$39)+(3*($N$72/3)*COS($K$73))),IF(($A81&lt;'Alternative 2'!$B$28),(($H81*'Alternative 2'!$B$39)+(2*(($N$72/3)*COS($K$73)))),IF(($A81&lt;'Alternative 2'!$B$29),(($H$3*'Alternative 2'!$B$39+(($N$72/3)*COS($K$73)))),($H81*'Alternative 2'!$B$39))))</f>
        <v>#VALUE!</v>
      </c>
      <c r="BJ81" s="105" t="e">
        <f>BH81*'Alternative 2'!$K82/'Alternative 2'!$L82</f>
        <v>#VALUE!</v>
      </c>
      <c r="BK81" s="105" t="e">
        <f>BI81/'Alternative 2'!$M82</f>
        <v>#VALUE!</v>
      </c>
      <c r="BL81" s="105" t="e">
        <f t="shared" si="27"/>
        <v>#VALUE!</v>
      </c>
      <c r="BN81" s="105" t="e">
        <f>'Alternative 2'!$B$39*$B81*$C81*COS($K$83)-($N$82/3)*$E81*SIN($K$83)-($N$82/3)*$F81*SIN($K$83)-($N$82/3)*$G81*SIN($K$83)</f>
        <v>#VALUE!</v>
      </c>
      <c r="BO81" s="106" t="e">
        <f>IF(($A81&lt;'Alternative 2'!$B$27),(($H81*'Alternative 2'!$B$39)+(3*($N$82/3)*COS($K$83))),IF(($A81&lt;'Alternative 2'!$B$28),(($H81*'Alternative 2'!$B$39)+(2*(($N$82/3)*COS($K$83)))),IF(($A81&lt;'Alternative 2'!$B$29),(($H$3*'Alternative 2'!$B$39+(($N$82/3)*COS($K$83)))),($H81*'Alternative 2'!$B$39))))</f>
        <v>#VALUE!</v>
      </c>
      <c r="BP81" s="105" t="e">
        <f>BN81*'Alternative 2'!$K82/'Alternative 2'!$L82</f>
        <v>#VALUE!</v>
      </c>
      <c r="BQ81" s="105" t="e">
        <f>BO81/'Alternative 2'!$M82</f>
        <v>#VALUE!</v>
      </c>
      <c r="BR81" s="105" t="e">
        <f t="shared" si="28"/>
        <v>#VALUE!</v>
      </c>
      <c r="BT81" s="105" t="e">
        <f>'Alternative 2'!$B$39*$B81*$C81*COS($K$93)-($K$92/3)*$E81*SIN($K$93)-($K$92/3)*$F81*SIN($K$93)-($K$92/3)*$G81*SIN($K$93)</f>
        <v>#VALUE!</v>
      </c>
      <c r="BU81" s="106" t="e">
        <f>IF(($A81&lt;'Alternative 2'!$B$27),(($H81*'Alternative 2'!$B$39)+(3*($N$92/3)*COS($K$93))),IF(($A81&lt;'Alternative 2'!$B$28),(($H81*'Alternative 2'!$B$39)+(2*(($N$92/3)*COS($K$93)))),IF(($A81&lt;'Alternative 2'!$B$29),(($H$3*'Alternative 2'!$B$39+(($N$92/3)*COS($K$93)))),($H81*'Alternative 2'!$B$39))))</f>
        <v>#VALUE!</v>
      </c>
      <c r="BV81" s="105" t="e">
        <f>BT81*'Alternative 2'!$K82/'Alternative 2'!$L82</f>
        <v>#VALUE!</v>
      </c>
      <c r="BW81" s="105" t="e">
        <f>BU81/'Alternative 2'!$M82</f>
        <v>#VALUE!</v>
      </c>
      <c r="BX81" s="105" t="e">
        <f t="shared" si="29"/>
        <v>#VALUE!</v>
      </c>
    </row>
    <row r="82" spans="1:76" ht="15" customHeight="1" x14ac:dyDescent="0.25">
      <c r="A82" s="18" t="str">
        <f>IF('Alternative 2'!F83&gt;0,'Alternative 2'!F83,"x")</f>
        <v>x</v>
      </c>
      <c r="B82" s="18" t="e">
        <f t="shared" si="35"/>
        <v>#VALUE!</v>
      </c>
      <c r="C82" s="18">
        <f t="shared" si="30"/>
        <v>0</v>
      </c>
      <c r="D82" s="18" t="str">
        <f t="shared" si="31"/>
        <v>x</v>
      </c>
      <c r="E82" s="101">
        <f>IF($A82&lt;='Alternative 2'!$B$27, IF($A82='Alternative 2'!$B$27,0,E83+1),0)</f>
        <v>0</v>
      </c>
      <c r="F82" s="101">
        <f>IF($A82&lt;=('Alternative 2'!$B$28), IF($A82=ROUNDDOWN('Alternative 2'!$B$28,0),0,F83+1),0)</f>
        <v>0</v>
      </c>
      <c r="G82" s="101">
        <f>IF($A82&lt;=('Alternative 2'!$B$29), IF($A82=ROUNDDOWN('Alternative 2'!$B$29,0),0,G83+1),0)</f>
        <v>0</v>
      </c>
      <c r="H82" s="18" t="e">
        <f t="shared" si="32"/>
        <v>#VALUE!</v>
      </c>
      <c r="J82" s="104">
        <f t="shared" si="33"/>
        <v>79</v>
      </c>
      <c r="K82" s="104">
        <f t="shared" si="34"/>
        <v>1.3788101090755203</v>
      </c>
      <c r="L82" s="105">
        <f>'Alternative 2'!$B$27*SIN(K82)+'Alternative 2'!$B$28*SIN(K82)+'Alternative 2'!$B$29*SIN(K82)</f>
        <v>42.200152616415075</v>
      </c>
      <c r="M82" s="104">
        <f>(('Alternative 2'!$B$27)*(((('Alternative 2'!$B$28-'Alternative 2'!$B$27)/2)+'Alternative 2'!$B$27)*'Alternative 2'!$B$39)*COS('Alternative 2-Tilt Up (3pt)'!K82))+(('Alternative 2'!$B$28)*((('Alternative 2'!$B$28-'Alternative 2'!$B$27)/2)+(('Alternative 2'!$B$29-'Alternative 2'!$B$28)/2))*('Alternative 2'!$B$39)*COS('Alternative 2-Tilt Up (3pt)'!K82))+(('Alternative 2'!$B$29)*((('Alternative 2'!$B$12-'Alternative 2'!$B$29+(('Alternative 2'!$B$29-'Alternative 2'!$B$28)/2)*('Alternative 2'!$B$39)*COS('Alternative 2-Tilt Up (3pt)'!K82)))))</f>
        <v>116421.01278950399</v>
      </c>
      <c r="N82" s="109">
        <f t="shared" si="18"/>
        <v>8276.3453853637275</v>
      </c>
      <c r="O82" s="104">
        <f>(((('Alternative 2'!$B$28-'Alternative 2'!$B$27)/2)+'Alternative 2'!$B$27)*('Alternative 2'!$B$39)*COS('Alternative 2-Tilt Up (3pt)'!K82))+(((('Alternative 2'!$B$28-'Alternative 2'!$B$27)/2)+(('Alternative 2'!$B$29-'Alternative 2'!$B$28)/2))*('Alternative 2'!$B$39)*COS('Alternative 2-Tilt Up (3pt)'!K82))+(((('Alternative 2'!$B$12-'Alternative 2'!$B$29)+(('Alternative 2'!$B$29-'Alternative 2'!$B$28)/2))*('Alternative 2'!$B$39)*COS('Alternative 2-Tilt Up (3pt)'!K82)))</f>
        <v>11940.414644671175</v>
      </c>
      <c r="P82" s="107">
        <f t="shared" si="19"/>
        <v>1579.2011483705562</v>
      </c>
      <c r="R82" s="105" t="e">
        <f>'Alternative 2'!$B$39*$B82*$C82*COS($K$5)-($N$5/3)*$E82*SIN($K$5)-($N$5/3)*$F82*SIN($K$5)-($N$5/3)*$G82*SIN($K$5)</f>
        <v>#VALUE!</v>
      </c>
      <c r="S82" s="106" t="e">
        <f>IF(($A82&lt;'Alternative 2'!$B$27),(($H82*'Alternative 2'!$B$39)+(3*($N$5/3)*COS($K$5))),IF(($A82&lt;'Alternative 2'!$B$28),(($H82*'Alternative 2'!$B$39)+(2*(($N$5/3)*COS($K$5)))),IF(($A82&lt;'Alternative 2'!$B$29),(($H$3*'Alternative 2'!$B$39+(($N$5/3)*COS($K$5)))),($H82*'Alternative 2'!$B$39))))</f>
        <v>#VALUE!</v>
      </c>
      <c r="T82" s="105" t="e">
        <f>R82*'Alternative 2'!$K83/'Alternative 2'!$L83</f>
        <v>#VALUE!</v>
      </c>
      <c r="U82" s="105" t="e">
        <f>S82/'Alternative 2'!$M83</f>
        <v>#VALUE!</v>
      </c>
      <c r="V82" s="105" t="e">
        <f t="shared" si="20"/>
        <v>#VALUE!</v>
      </c>
      <c r="X82" s="105" t="e">
        <f>'Alternative 2'!$B$39*$B82*$C82*COS($K$13)-($N$12/3)*$E82*SIN($K$13)-($N$12/3)*$F82*SIN($K$13)-($N$12/3)*$G82*SIN($K$13)</f>
        <v>#VALUE!</v>
      </c>
      <c r="Y82" s="106" t="e">
        <f>IF(($A82&lt;'Alternative 2'!$B$27),(($H82*'Alternative 2'!$B$39)+(3*($N$12/3)*COS($K$13))),IF(($A82&lt;'Alternative 2'!$B$28),(($H82*'Alternative 2'!$B$39)+(2*(($N$12/3)*COS($K$13)))),IF(($A82&lt;'Alternative 2'!$B$29),(($H$3*'Alternative 2'!$B$39+(($N$12/3)*COS($K$13)))),($H82*'Alternative 2'!$B$39))))</f>
        <v>#VALUE!</v>
      </c>
      <c r="Z82" s="105" t="e">
        <f>X82*'Alternative 2'!$K83/'Alternative 2'!$L83</f>
        <v>#VALUE!</v>
      </c>
      <c r="AA82" s="105" t="e">
        <f>Y82/'Alternative 2'!$M83</f>
        <v>#VALUE!</v>
      </c>
      <c r="AB82" s="105" t="e">
        <f t="shared" si="21"/>
        <v>#VALUE!</v>
      </c>
      <c r="AD82" s="105" t="e">
        <f>'Alternative 2'!$B$39*$B82*$C82*COS($K$23)-($N$22/3)*$E82*SIN($K$23)-($N$22/3)*$F82*SIN($K$23)-($N$22/3)*$G82*SIN($K$23)</f>
        <v>#VALUE!</v>
      </c>
      <c r="AE82" s="106" t="e">
        <f>IF(($A82&lt;'Alternative 2'!$B$27),(($H82*'Alternative 2'!$B$39)+(3*($N$22/3)*COS($K$23))),IF(($A82&lt;'Alternative 2'!$B$28),(($H82*'Alternative 2'!$B$39)+(2*(($N$22/3)*COS($K$23)))),IF(($A82&lt;'Alternative 2'!$B$29),(($H$3*'Alternative 2'!$B$39+(($N$22/3)*COS($K$23)))),($H82*'Alternative 2'!$B$39))))</f>
        <v>#VALUE!</v>
      </c>
      <c r="AF82" s="105" t="e">
        <f>AD82*'Alternative 2'!$K83/'Alternative 2'!$L83</f>
        <v>#VALUE!</v>
      </c>
      <c r="AG82" s="105" t="e">
        <f>AE82/'Alternative 2'!$M83</f>
        <v>#VALUE!</v>
      </c>
      <c r="AH82" s="105" t="e">
        <f t="shared" si="22"/>
        <v>#VALUE!</v>
      </c>
      <c r="AJ82" s="105" t="e">
        <f>'Alternative 2'!$B$39*$B82*$C82*COS($K$33)-($N$32/3)*$E82*SIN($K$33)-($N$32/3)*$F82*SIN($K$33)-($N$32/3)*$G82*SIN($K$33)</f>
        <v>#VALUE!</v>
      </c>
      <c r="AK82" s="106" t="e">
        <f>IF(($A82&lt;'Alternative 2'!$B$27),(($H82*'Alternative 2'!$B$39)+(3*($N$32/3)*COS($K$33))),IF(($A82&lt;'Alternative 2'!$B$28),(($H82*'Alternative 2'!$B$39)+(2*(($N$32/3)*COS($K$33)))),IF(($A82&lt;'Alternative 2'!$B$29),(($H$3*'Alternative 2'!$B$39+(($N$32/3)*COS($K$33)))),($H82*'Alternative 2'!$B$39))))</f>
        <v>#VALUE!</v>
      </c>
      <c r="AL82" s="105" t="e">
        <f>AJ82*'Alternative 2'!$K83/'Alternative 2'!$L83</f>
        <v>#VALUE!</v>
      </c>
      <c r="AM82" s="105" t="e">
        <f>AK82/'Alternative 2'!$M83</f>
        <v>#VALUE!</v>
      </c>
      <c r="AN82" s="105" t="e">
        <f t="shared" si="23"/>
        <v>#VALUE!</v>
      </c>
      <c r="AP82" s="105" t="e">
        <f>'Alternative 2'!$B$39*$B82*$C82*COS($K$43)-($N$42/3)*$E82*SIN($K$43)-($N$42/3)*$F82*SIN($K$43)-($N$42/3)*$G82*SIN($K$43)</f>
        <v>#VALUE!</v>
      </c>
      <c r="AQ82" s="106" t="e">
        <f>IF(($A82&lt;'Alternative 2'!$B$27),(($H82*'Alternative 2'!$B$39)+(3*($N$42/3)*COS($K$43))),IF(($A82&lt;'Alternative 2'!$B$28),(($H82*'Alternative 2'!$B$39)+(2*(($N$42/3)*COS($K$43)))),IF(($A82&lt;'Alternative 2'!$B$29),(($H$3*'Alternative 2'!$B$39+(($N$42/3)*COS($K$43)))),($H82*'Alternative 2'!$B$39))))</f>
        <v>#VALUE!</v>
      </c>
      <c r="AR82" s="105" t="e">
        <f>AP82*'Alternative 2'!$K83/'Alternative 2'!$L83</f>
        <v>#VALUE!</v>
      </c>
      <c r="AS82" s="105" t="e">
        <f>AQ82/'Alternative 2'!$M83</f>
        <v>#VALUE!</v>
      </c>
      <c r="AT82" s="105" t="e">
        <f t="shared" si="24"/>
        <v>#VALUE!</v>
      </c>
      <c r="AV82" s="105" t="e">
        <f>'Alternative 2'!$B$39*$B82*$C82*COS($K$53)-($N$52/3)*$E82*SIN($K$53)-($N$52/3)*$F82*SIN($K$53)-($N$52/3)*$G82*SIN($K$53)</f>
        <v>#VALUE!</v>
      </c>
      <c r="AW82" s="106" t="e">
        <f>IF(($A82&lt;'Alternative 2'!$B$27),(($H82*'Alternative 2'!$B$39)+(3*($N$52/3)*COS($K$53))),IF(($A82&lt;'Alternative 2'!$B$28),(($H82*'Alternative 2'!$B$39)+(2*(($N$52/3)*COS($K$53)))),IF(($A82&lt;'Alternative 2'!$B$29),(($H$3*'Alternative 2'!$B$39+(($N$52/3)*COS($K$53)))),($H82*'Alternative 2'!$B$39))))</f>
        <v>#VALUE!</v>
      </c>
      <c r="AX82" s="105" t="e">
        <f>AV82*'Alternative 2'!$K83/'Alternative 2'!$L83</f>
        <v>#VALUE!</v>
      </c>
      <c r="AY82" s="105" t="e">
        <f>AW82/'Alternative 2'!$M83</f>
        <v>#VALUE!</v>
      </c>
      <c r="AZ82" s="105" t="e">
        <f t="shared" si="25"/>
        <v>#VALUE!</v>
      </c>
      <c r="BB82" s="105" t="e">
        <f>'Alternative 2'!$B$39*$B82*$C82*COS($K$63)-($N$62/3)*$E82*SIN($K$63)-($N$62/3)*$F82*SIN($K$63)-($N$62/3)*$G82*SIN($K$63)</f>
        <v>#VALUE!</v>
      </c>
      <c r="BC82" s="106" t="e">
        <f>IF(($A82&lt;'Alternative 2'!$B$27),(($H82*'Alternative 2'!$B$39)+(3*($N$62/3)*COS($K$63))),IF(($A82&lt;'Alternative 2'!$B$28),(($H82*'Alternative 2'!$B$39)+(2*(($N$62/3)*COS($K$63)))),IF(($A82&lt;'Alternative 2'!$B$29),(($H$3*'Alternative 2'!$B$39+(($N$62/3)*COS($K$63)))),($H82*'Alternative 2'!$B$39))))</f>
        <v>#VALUE!</v>
      </c>
      <c r="BD82" s="105" t="e">
        <f>BB82*'Alternative 2'!$K83/'Alternative 2'!$L83</f>
        <v>#VALUE!</v>
      </c>
      <c r="BE82" s="105" t="e">
        <f>BC82/'Alternative 2'!$M83</f>
        <v>#VALUE!</v>
      </c>
      <c r="BF82" s="105" t="e">
        <f t="shared" si="26"/>
        <v>#VALUE!</v>
      </c>
      <c r="BH82" s="105" t="e">
        <f>'Alternative 2'!$B$39*$B82*$C82*COS($K$73)-($N$72/3)*$E82*SIN($K$73)-($N$72/3)*$F82*SIN($K$73)-($N$72/3)*$G82*SIN($K$73)</f>
        <v>#VALUE!</v>
      </c>
      <c r="BI82" s="106" t="e">
        <f>IF(($A82&lt;'Alternative 2'!$B$27),(($H82*'Alternative 2'!$B$39)+(3*($N$72/3)*COS($K$73))),IF(($A82&lt;'Alternative 2'!$B$28),(($H82*'Alternative 2'!$B$39)+(2*(($N$72/3)*COS($K$73)))),IF(($A82&lt;'Alternative 2'!$B$29),(($H$3*'Alternative 2'!$B$39+(($N$72/3)*COS($K$73)))),($H82*'Alternative 2'!$B$39))))</f>
        <v>#VALUE!</v>
      </c>
      <c r="BJ82" s="105" t="e">
        <f>BH82*'Alternative 2'!$K83/'Alternative 2'!$L83</f>
        <v>#VALUE!</v>
      </c>
      <c r="BK82" s="105" t="e">
        <f>BI82/'Alternative 2'!$M83</f>
        <v>#VALUE!</v>
      </c>
      <c r="BL82" s="105" t="e">
        <f t="shared" si="27"/>
        <v>#VALUE!</v>
      </c>
      <c r="BN82" s="105" t="e">
        <f>'Alternative 2'!$B$39*$B82*$C82*COS($K$83)-($N$82/3)*$E82*SIN($K$83)-($N$82/3)*$F82*SIN($K$83)-($N$82/3)*$G82*SIN($K$83)</f>
        <v>#VALUE!</v>
      </c>
      <c r="BO82" s="106" t="e">
        <f>IF(($A82&lt;'Alternative 2'!$B$27),(($H82*'Alternative 2'!$B$39)+(3*($N$82/3)*COS($K$83))),IF(($A82&lt;'Alternative 2'!$B$28),(($H82*'Alternative 2'!$B$39)+(2*(($N$82/3)*COS($K$83)))),IF(($A82&lt;'Alternative 2'!$B$29),(($H$3*'Alternative 2'!$B$39+(($N$82/3)*COS($K$83)))),($H82*'Alternative 2'!$B$39))))</f>
        <v>#VALUE!</v>
      </c>
      <c r="BP82" s="105" t="e">
        <f>BN82*'Alternative 2'!$K83/'Alternative 2'!$L83</f>
        <v>#VALUE!</v>
      </c>
      <c r="BQ82" s="105" t="e">
        <f>BO82/'Alternative 2'!$M83</f>
        <v>#VALUE!</v>
      </c>
      <c r="BR82" s="105" t="e">
        <f t="shared" si="28"/>
        <v>#VALUE!</v>
      </c>
      <c r="BT82" s="105" t="e">
        <f>'Alternative 2'!$B$39*$B82*$C82*COS($K$93)-($K$92/3)*$E82*SIN($K$93)-($K$92/3)*$F82*SIN($K$93)-($K$92/3)*$G82*SIN($K$93)</f>
        <v>#VALUE!</v>
      </c>
      <c r="BU82" s="106" t="e">
        <f>IF(($A82&lt;'Alternative 2'!$B$27),(($H82*'Alternative 2'!$B$39)+(3*($N$92/3)*COS($K$93))),IF(($A82&lt;'Alternative 2'!$B$28),(($H82*'Alternative 2'!$B$39)+(2*(($N$92/3)*COS($K$93)))),IF(($A82&lt;'Alternative 2'!$B$29),(($H$3*'Alternative 2'!$B$39+(($N$92/3)*COS($K$93)))),($H82*'Alternative 2'!$B$39))))</f>
        <v>#VALUE!</v>
      </c>
      <c r="BV82" s="105" t="e">
        <f>BT82*'Alternative 2'!$K83/'Alternative 2'!$L83</f>
        <v>#VALUE!</v>
      </c>
      <c r="BW82" s="105" t="e">
        <f>BU82/'Alternative 2'!$M83</f>
        <v>#VALUE!</v>
      </c>
      <c r="BX82" s="105" t="e">
        <f t="shared" si="29"/>
        <v>#VALUE!</v>
      </c>
    </row>
    <row r="83" spans="1:76" ht="15" customHeight="1" x14ac:dyDescent="0.25">
      <c r="A83" s="18" t="str">
        <f>IF('Alternative 2'!F84&gt;0,'Alternative 2'!F84,"x")</f>
        <v>x</v>
      </c>
      <c r="B83" s="18" t="e">
        <f t="shared" si="35"/>
        <v>#VALUE!</v>
      </c>
      <c r="C83" s="18">
        <f t="shared" si="30"/>
        <v>0</v>
      </c>
      <c r="D83" s="18" t="str">
        <f t="shared" si="31"/>
        <v>x</v>
      </c>
      <c r="E83" s="101">
        <f>IF($A83&lt;='Alternative 2'!$B$27, IF($A83='Alternative 2'!$B$27,0,E84+1),0)</f>
        <v>0</v>
      </c>
      <c r="F83" s="101">
        <f>IF($A83&lt;=('Alternative 2'!$B$28), IF($A83=ROUNDDOWN('Alternative 2'!$B$28,0),0,F84+1),0)</f>
        <v>0</v>
      </c>
      <c r="G83" s="101">
        <f>IF($A83&lt;=('Alternative 2'!$B$29), IF($A83=ROUNDDOWN('Alternative 2'!$B$29,0),0,G84+1),0)</f>
        <v>0</v>
      </c>
      <c r="H83" s="18" t="e">
        <f t="shared" si="32"/>
        <v>#VALUE!</v>
      </c>
      <c r="J83" s="104">
        <f t="shared" si="33"/>
        <v>80</v>
      </c>
      <c r="K83" s="109">
        <f t="shared" si="34"/>
        <v>1.3962634015954636</v>
      </c>
      <c r="L83" s="105">
        <f>'Alternative 2'!$B$27*SIN(K83)+'Alternative 2'!$B$28*SIN(K83)+'Alternative 2'!$B$29*SIN(K83)</f>
        <v>42.336885301994826</v>
      </c>
      <c r="M83" s="104">
        <f>(('Alternative 2'!$B$27)*(((('Alternative 2'!$B$28-'Alternative 2'!$B$27)/2)+'Alternative 2'!$B$27)*'Alternative 2'!$B$39)*COS('Alternative 2-Tilt Up (3pt)'!K83))+(('Alternative 2'!$B$28)*((('Alternative 2'!$B$28-'Alternative 2'!$B$27)/2)+(('Alternative 2'!$B$29-'Alternative 2'!$B$28)/2))*('Alternative 2'!$B$39)*COS('Alternative 2-Tilt Up (3pt)'!K83))+(('Alternative 2'!$B$29)*((('Alternative 2'!$B$12-'Alternative 2'!$B$29+(('Alternative 2'!$B$29-'Alternative 2'!$B$28)/2)*('Alternative 2'!$B$39)*COS('Alternative 2-Tilt Up (3pt)'!K83)))))</f>
        <v>105957.72191800312</v>
      </c>
      <c r="N83" s="104">
        <f t="shared" si="18"/>
        <v>7508.1849665268564</v>
      </c>
      <c r="O83" s="104">
        <f>(((('Alternative 2'!$B$28-'Alternative 2'!$B$27)/2)+'Alternative 2'!$B$27)*('Alternative 2'!$B$39)*COS('Alternative 2-Tilt Up (3pt)'!K83))+(((('Alternative 2'!$B$28-'Alternative 2'!$B$27)/2)+(('Alternative 2'!$B$29-'Alternative 2'!$B$28)/2))*('Alternative 2'!$B$39)*COS('Alternative 2-Tilt Up (3pt)'!K83))+(((('Alternative 2'!$B$12-'Alternative 2'!$B$29)+(('Alternative 2'!$B$29-'Alternative 2'!$B$28)/2))*('Alternative 2'!$B$39)*COS('Alternative 2-Tilt Up (3pt)'!K83)))</f>
        <v>10866.527752231712</v>
      </c>
      <c r="P83" s="109">
        <f t="shared" si="19"/>
        <v>1303.7826370236317</v>
      </c>
      <c r="R83" s="105" t="e">
        <f>'Alternative 2'!$B$39*$B83*$C83*COS($K$5)-($N$5/3)*$E83*SIN($K$5)-($N$5/3)*$F83*SIN($K$5)-($N$5/3)*$G83*SIN($K$5)</f>
        <v>#VALUE!</v>
      </c>
      <c r="S83" s="106" t="e">
        <f>IF(($A83&lt;'Alternative 2'!$B$27),(($H83*'Alternative 2'!$B$39)+(3*($N$5/3)*COS($K$5))),IF(($A83&lt;'Alternative 2'!$B$28),(($H83*'Alternative 2'!$B$39)+(2*(($N$5/3)*COS($K$5)))),IF(($A83&lt;'Alternative 2'!$B$29),(($H$3*'Alternative 2'!$B$39+(($N$5/3)*COS($K$5)))),($H83*'Alternative 2'!$B$39))))</f>
        <v>#VALUE!</v>
      </c>
      <c r="T83" s="105" t="e">
        <f>R83*'Alternative 2'!$K84/'Alternative 2'!$L84</f>
        <v>#VALUE!</v>
      </c>
      <c r="U83" s="105" t="e">
        <f>S83/'Alternative 2'!$M84</f>
        <v>#VALUE!</v>
      </c>
      <c r="V83" s="105" t="e">
        <f t="shared" si="20"/>
        <v>#VALUE!</v>
      </c>
      <c r="X83" s="105" t="e">
        <f>'Alternative 2'!$B$39*$B83*$C83*COS($K$13)-($N$12/3)*$E83*SIN($K$13)-($N$12/3)*$F83*SIN($K$13)-($N$12/3)*$G83*SIN($K$13)</f>
        <v>#VALUE!</v>
      </c>
      <c r="Y83" s="106" t="e">
        <f>IF(($A83&lt;'Alternative 2'!$B$27),(($H83*'Alternative 2'!$B$39)+(3*($N$12/3)*COS($K$13))),IF(($A83&lt;'Alternative 2'!$B$28),(($H83*'Alternative 2'!$B$39)+(2*(($N$12/3)*COS($K$13)))),IF(($A83&lt;'Alternative 2'!$B$29),(($H$3*'Alternative 2'!$B$39+(($N$12/3)*COS($K$13)))),($H83*'Alternative 2'!$B$39))))</f>
        <v>#VALUE!</v>
      </c>
      <c r="Z83" s="105" t="e">
        <f>X83*'Alternative 2'!$K84/'Alternative 2'!$L84</f>
        <v>#VALUE!</v>
      </c>
      <c r="AA83" s="105" t="e">
        <f>Y83/'Alternative 2'!$M84</f>
        <v>#VALUE!</v>
      </c>
      <c r="AB83" s="105" t="e">
        <f t="shared" si="21"/>
        <v>#VALUE!</v>
      </c>
      <c r="AD83" s="105" t="e">
        <f>'Alternative 2'!$B$39*$B83*$C83*COS($K$23)-($N$22/3)*$E83*SIN($K$23)-($N$22/3)*$F83*SIN($K$23)-($N$22/3)*$G83*SIN($K$23)</f>
        <v>#VALUE!</v>
      </c>
      <c r="AE83" s="106" t="e">
        <f>IF(($A83&lt;'Alternative 2'!$B$27),(($H83*'Alternative 2'!$B$39)+(3*($N$22/3)*COS($K$23))),IF(($A83&lt;'Alternative 2'!$B$28),(($H83*'Alternative 2'!$B$39)+(2*(($N$22/3)*COS($K$23)))),IF(($A83&lt;'Alternative 2'!$B$29),(($H$3*'Alternative 2'!$B$39+(($N$22/3)*COS($K$23)))),($H83*'Alternative 2'!$B$39))))</f>
        <v>#VALUE!</v>
      </c>
      <c r="AF83" s="105" t="e">
        <f>AD83*'Alternative 2'!$K84/'Alternative 2'!$L84</f>
        <v>#VALUE!</v>
      </c>
      <c r="AG83" s="105" t="e">
        <f>AE83/'Alternative 2'!$M84</f>
        <v>#VALUE!</v>
      </c>
      <c r="AH83" s="105" t="e">
        <f t="shared" si="22"/>
        <v>#VALUE!</v>
      </c>
      <c r="AJ83" s="105" t="e">
        <f>'Alternative 2'!$B$39*$B83*$C83*COS($K$33)-($N$32/3)*$E83*SIN($K$33)-($N$32/3)*$F83*SIN($K$33)-($N$32/3)*$G83*SIN($K$33)</f>
        <v>#VALUE!</v>
      </c>
      <c r="AK83" s="106" t="e">
        <f>IF(($A83&lt;'Alternative 2'!$B$27),(($H83*'Alternative 2'!$B$39)+(3*($N$32/3)*COS($K$33))),IF(($A83&lt;'Alternative 2'!$B$28),(($H83*'Alternative 2'!$B$39)+(2*(($N$32/3)*COS($K$33)))),IF(($A83&lt;'Alternative 2'!$B$29),(($H$3*'Alternative 2'!$B$39+(($N$32/3)*COS($K$33)))),($H83*'Alternative 2'!$B$39))))</f>
        <v>#VALUE!</v>
      </c>
      <c r="AL83" s="105" t="e">
        <f>AJ83*'Alternative 2'!$K84/'Alternative 2'!$L84</f>
        <v>#VALUE!</v>
      </c>
      <c r="AM83" s="105" t="e">
        <f>AK83/'Alternative 2'!$M84</f>
        <v>#VALUE!</v>
      </c>
      <c r="AN83" s="105" t="e">
        <f t="shared" si="23"/>
        <v>#VALUE!</v>
      </c>
      <c r="AP83" s="105" t="e">
        <f>'Alternative 2'!$B$39*$B83*$C83*COS($K$43)-($N$42/3)*$E83*SIN($K$43)-($N$42/3)*$F83*SIN($K$43)-($N$42/3)*$G83*SIN($K$43)</f>
        <v>#VALUE!</v>
      </c>
      <c r="AQ83" s="106" t="e">
        <f>IF(($A83&lt;'Alternative 2'!$B$27),(($H83*'Alternative 2'!$B$39)+(3*($N$42/3)*COS($K$43))),IF(($A83&lt;'Alternative 2'!$B$28),(($H83*'Alternative 2'!$B$39)+(2*(($N$42/3)*COS($K$43)))),IF(($A83&lt;'Alternative 2'!$B$29),(($H$3*'Alternative 2'!$B$39+(($N$42/3)*COS($K$43)))),($H83*'Alternative 2'!$B$39))))</f>
        <v>#VALUE!</v>
      </c>
      <c r="AR83" s="105" t="e">
        <f>AP83*'Alternative 2'!$K84/'Alternative 2'!$L84</f>
        <v>#VALUE!</v>
      </c>
      <c r="AS83" s="105" t="e">
        <f>AQ83/'Alternative 2'!$M84</f>
        <v>#VALUE!</v>
      </c>
      <c r="AT83" s="105" t="e">
        <f t="shared" si="24"/>
        <v>#VALUE!</v>
      </c>
      <c r="AV83" s="105" t="e">
        <f>'Alternative 2'!$B$39*$B83*$C83*COS($K$53)-($N$52/3)*$E83*SIN($K$53)-($N$52/3)*$F83*SIN($K$53)-($N$52/3)*$G83*SIN($K$53)</f>
        <v>#VALUE!</v>
      </c>
      <c r="AW83" s="106" t="e">
        <f>IF(($A83&lt;'Alternative 2'!$B$27),(($H83*'Alternative 2'!$B$39)+(3*($N$52/3)*COS($K$53))),IF(($A83&lt;'Alternative 2'!$B$28),(($H83*'Alternative 2'!$B$39)+(2*(($N$52/3)*COS($K$53)))),IF(($A83&lt;'Alternative 2'!$B$29),(($H$3*'Alternative 2'!$B$39+(($N$52/3)*COS($K$53)))),($H83*'Alternative 2'!$B$39))))</f>
        <v>#VALUE!</v>
      </c>
      <c r="AX83" s="105" t="e">
        <f>AV83*'Alternative 2'!$K84/'Alternative 2'!$L84</f>
        <v>#VALUE!</v>
      </c>
      <c r="AY83" s="105" t="e">
        <f>AW83/'Alternative 2'!$M84</f>
        <v>#VALUE!</v>
      </c>
      <c r="AZ83" s="105" t="e">
        <f t="shared" si="25"/>
        <v>#VALUE!</v>
      </c>
      <c r="BB83" s="105" t="e">
        <f>'Alternative 2'!$B$39*$B83*$C83*COS($K$63)-($N$62/3)*$E83*SIN($K$63)-($N$62/3)*$F83*SIN($K$63)-($N$62/3)*$G83*SIN($K$63)</f>
        <v>#VALUE!</v>
      </c>
      <c r="BC83" s="106" t="e">
        <f>IF(($A83&lt;'Alternative 2'!$B$27),(($H83*'Alternative 2'!$B$39)+(3*($N$62/3)*COS($K$63))),IF(($A83&lt;'Alternative 2'!$B$28),(($H83*'Alternative 2'!$B$39)+(2*(($N$62/3)*COS($K$63)))),IF(($A83&lt;'Alternative 2'!$B$29),(($H$3*'Alternative 2'!$B$39+(($N$62/3)*COS($K$63)))),($H83*'Alternative 2'!$B$39))))</f>
        <v>#VALUE!</v>
      </c>
      <c r="BD83" s="105" t="e">
        <f>BB83*'Alternative 2'!$K84/'Alternative 2'!$L84</f>
        <v>#VALUE!</v>
      </c>
      <c r="BE83" s="105" t="e">
        <f>BC83/'Alternative 2'!$M84</f>
        <v>#VALUE!</v>
      </c>
      <c r="BF83" s="105" t="e">
        <f t="shared" si="26"/>
        <v>#VALUE!</v>
      </c>
      <c r="BH83" s="105" t="e">
        <f>'Alternative 2'!$B$39*$B83*$C83*COS($K$73)-($N$72/3)*$E83*SIN($K$73)-($N$72/3)*$F83*SIN($K$73)-($N$72/3)*$G83*SIN($K$73)</f>
        <v>#VALUE!</v>
      </c>
      <c r="BI83" s="106" t="e">
        <f>IF(($A83&lt;'Alternative 2'!$B$27),(($H83*'Alternative 2'!$B$39)+(3*($N$72/3)*COS($K$73))),IF(($A83&lt;'Alternative 2'!$B$28),(($H83*'Alternative 2'!$B$39)+(2*(($N$72/3)*COS($K$73)))),IF(($A83&lt;'Alternative 2'!$B$29),(($H$3*'Alternative 2'!$B$39+(($N$72/3)*COS($K$73)))),($H83*'Alternative 2'!$B$39))))</f>
        <v>#VALUE!</v>
      </c>
      <c r="BJ83" s="105" t="e">
        <f>BH83*'Alternative 2'!$K84/'Alternative 2'!$L84</f>
        <v>#VALUE!</v>
      </c>
      <c r="BK83" s="105" t="e">
        <f>BI83/'Alternative 2'!$M84</f>
        <v>#VALUE!</v>
      </c>
      <c r="BL83" s="105" t="e">
        <f t="shared" si="27"/>
        <v>#VALUE!</v>
      </c>
      <c r="BN83" s="105" t="e">
        <f>'Alternative 2'!$B$39*$B83*$C83*COS($K$83)-($N$82/3)*$E83*SIN($K$83)-($N$82/3)*$F83*SIN($K$83)-($N$82/3)*$G83*SIN($K$83)</f>
        <v>#VALUE!</v>
      </c>
      <c r="BO83" s="106" t="e">
        <f>IF(($A83&lt;'Alternative 2'!$B$27),(($H83*'Alternative 2'!$B$39)+(3*($N$82/3)*COS($K$83))),IF(($A83&lt;'Alternative 2'!$B$28),(($H83*'Alternative 2'!$B$39)+(2*(($N$82/3)*COS($K$83)))),IF(($A83&lt;'Alternative 2'!$B$29),(($H$3*'Alternative 2'!$B$39+(($N$82/3)*COS($K$83)))),($H83*'Alternative 2'!$B$39))))</f>
        <v>#VALUE!</v>
      </c>
      <c r="BP83" s="105" t="e">
        <f>BN83*'Alternative 2'!$K84/'Alternative 2'!$L84</f>
        <v>#VALUE!</v>
      </c>
      <c r="BQ83" s="105" t="e">
        <f>BO83/'Alternative 2'!$M84</f>
        <v>#VALUE!</v>
      </c>
      <c r="BR83" s="105" t="e">
        <f t="shared" si="28"/>
        <v>#VALUE!</v>
      </c>
      <c r="BT83" s="105" t="e">
        <f>'Alternative 2'!$B$39*$B83*$C83*COS($K$93)-($K$92/3)*$E83*SIN($K$93)-($K$92/3)*$F83*SIN($K$93)-($K$92/3)*$G83*SIN($K$93)</f>
        <v>#VALUE!</v>
      </c>
      <c r="BU83" s="106" t="e">
        <f>IF(($A83&lt;'Alternative 2'!$B$27),(($H83*'Alternative 2'!$B$39)+(3*($N$92/3)*COS($K$93))),IF(($A83&lt;'Alternative 2'!$B$28),(($H83*'Alternative 2'!$B$39)+(2*(($N$92/3)*COS($K$93)))),IF(($A83&lt;'Alternative 2'!$B$29),(($H$3*'Alternative 2'!$B$39+(($N$92/3)*COS($K$93)))),($H83*'Alternative 2'!$B$39))))</f>
        <v>#VALUE!</v>
      </c>
      <c r="BV83" s="105" t="e">
        <f>BT83*'Alternative 2'!$K84/'Alternative 2'!$L84</f>
        <v>#VALUE!</v>
      </c>
      <c r="BW83" s="105" t="e">
        <f>BU83/'Alternative 2'!$M84</f>
        <v>#VALUE!</v>
      </c>
      <c r="BX83" s="105" t="e">
        <f t="shared" si="29"/>
        <v>#VALUE!</v>
      </c>
    </row>
    <row r="84" spans="1:76" ht="15" customHeight="1" x14ac:dyDescent="0.25">
      <c r="A84" s="18" t="str">
        <f>IF('Alternative 2'!F85&gt;0,'Alternative 2'!F85,"x")</f>
        <v>x</v>
      </c>
      <c r="B84" s="18" t="e">
        <f t="shared" si="35"/>
        <v>#VALUE!</v>
      </c>
      <c r="C84" s="18">
        <f t="shared" si="30"/>
        <v>0</v>
      </c>
      <c r="D84" s="18" t="str">
        <f t="shared" si="31"/>
        <v>x</v>
      </c>
      <c r="E84" s="101">
        <f>IF($A84&lt;='Alternative 2'!$B$27, IF($A84='Alternative 2'!$B$27,0,E85+1),0)</f>
        <v>0</v>
      </c>
      <c r="F84" s="101">
        <f>IF($A84&lt;=('Alternative 2'!$B$28), IF($A84=ROUNDDOWN('Alternative 2'!$B$28,0),0,F85+1),0)</f>
        <v>0</v>
      </c>
      <c r="G84" s="101">
        <f>IF($A84&lt;=('Alternative 2'!$B$29), IF($A84=ROUNDDOWN('Alternative 2'!$B$29,0),0,G85+1),0)</f>
        <v>0</v>
      </c>
      <c r="H84" s="18" t="e">
        <f t="shared" si="32"/>
        <v>#VALUE!</v>
      </c>
      <c r="J84" s="104">
        <f t="shared" si="33"/>
        <v>81</v>
      </c>
      <c r="K84" s="104">
        <f t="shared" si="34"/>
        <v>1.4137166941154069</v>
      </c>
      <c r="L84" s="105">
        <f>'Alternative 2'!$B$27*SIN(K84)+'Alternative 2'!$B$28*SIN(K84)+'Alternative 2'!$B$29*SIN(K84)</f>
        <v>42.460721762184974</v>
      </c>
      <c r="M84" s="104">
        <f>(('Alternative 2'!$B$27)*(((('Alternative 2'!$B$28-'Alternative 2'!$B$27)/2)+'Alternative 2'!$B$27)*'Alternative 2'!$B$39)*COS('Alternative 2-Tilt Up (3pt)'!K84))+(('Alternative 2'!$B$28)*((('Alternative 2'!$B$28-'Alternative 2'!$B$27)/2)+(('Alternative 2'!$B$29-'Alternative 2'!$B$28)/2))*('Alternative 2'!$B$39)*COS('Alternative 2-Tilt Up (3pt)'!K84))+(('Alternative 2'!$B$29)*((('Alternative 2'!$B$12-'Alternative 2'!$B$29+(('Alternative 2'!$B$29-'Alternative 2'!$B$28)/2)*('Alternative 2'!$B$39)*COS('Alternative 2-Tilt Up (3pt)'!K84)))))</f>
        <v>95462.179966603318</v>
      </c>
      <c r="N84" s="104">
        <f t="shared" si="18"/>
        <v>6744.7402685194702</v>
      </c>
      <c r="O84" s="104">
        <f>(((('Alternative 2'!$B$28-'Alternative 2'!$B$27)/2)+'Alternative 2'!$B$27)*('Alternative 2'!$B$39)*COS('Alternative 2-Tilt Up (3pt)'!K84))+(((('Alternative 2'!$B$28-'Alternative 2'!$B$27)/2)+(('Alternative 2'!$B$29-'Alternative 2'!$B$28)/2))*('Alternative 2'!$B$39)*COS('Alternative 2-Tilt Up (3pt)'!K84))+(((('Alternative 2'!$B$12-'Alternative 2'!$B$29)+(('Alternative 2'!$B$29-'Alternative 2'!$B$28)/2))*('Alternative 2'!$B$39)*COS('Alternative 2-Tilt Up (3pt)'!K84)))</f>
        <v>9789.3308101725052</v>
      </c>
      <c r="P84" s="104">
        <f t="shared" si="19"/>
        <v>1055.1098357411468</v>
      </c>
      <c r="R84" s="105" t="e">
        <f>'Alternative 2'!$B$39*$B84*$C84*COS($K$5)-($N$5/3)*$E84*SIN($K$5)-($N$5/3)*$F84*SIN($K$5)-($N$5/3)*$G84*SIN($K$5)</f>
        <v>#VALUE!</v>
      </c>
      <c r="S84" s="106" t="e">
        <f>IF(($A84&lt;'Alternative 2'!$B$27),(($H84*'Alternative 2'!$B$39)+(3*($N$5/3)*COS($K$5))),IF(($A84&lt;'Alternative 2'!$B$28),(($H84*'Alternative 2'!$B$39)+(2*(($N$5/3)*COS($K$5)))),IF(($A84&lt;'Alternative 2'!$B$29),(($H$3*'Alternative 2'!$B$39+(($N$5/3)*COS($K$5)))),($H84*'Alternative 2'!$B$39))))</f>
        <v>#VALUE!</v>
      </c>
      <c r="T84" s="105" t="e">
        <f>R84*'Alternative 2'!$K85/'Alternative 2'!$L85</f>
        <v>#VALUE!</v>
      </c>
      <c r="U84" s="105" t="e">
        <f>S84/'Alternative 2'!$M85</f>
        <v>#VALUE!</v>
      </c>
      <c r="V84" s="105" t="e">
        <f t="shared" si="20"/>
        <v>#VALUE!</v>
      </c>
      <c r="X84" s="105" t="e">
        <f>'Alternative 2'!$B$39*$B84*$C84*COS($K$13)-($N$12/3)*$E84*SIN($K$13)-($N$12/3)*$F84*SIN($K$13)-($N$12/3)*$G84*SIN($K$13)</f>
        <v>#VALUE!</v>
      </c>
      <c r="Y84" s="106" t="e">
        <f>IF(($A84&lt;'Alternative 2'!$B$27),(($H84*'Alternative 2'!$B$39)+(3*($N$12/3)*COS($K$13))),IF(($A84&lt;'Alternative 2'!$B$28),(($H84*'Alternative 2'!$B$39)+(2*(($N$12/3)*COS($K$13)))),IF(($A84&lt;'Alternative 2'!$B$29),(($H$3*'Alternative 2'!$B$39+(($N$12/3)*COS($K$13)))),($H84*'Alternative 2'!$B$39))))</f>
        <v>#VALUE!</v>
      </c>
      <c r="Z84" s="105" t="e">
        <f>X84*'Alternative 2'!$K85/'Alternative 2'!$L85</f>
        <v>#VALUE!</v>
      </c>
      <c r="AA84" s="105" t="e">
        <f>Y84/'Alternative 2'!$M85</f>
        <v>#VALUE!</v>
      </c>
      <c r="AB84" s="105" t="e">
        <f t="shared" si="21"/>
        <v>#VALUE!</v>
      </c>
      <c r="AD84" s="105" t="e">
        <f>'Alternative 2'!$B$39*$B84*$C84*COS($K$23)-($N$22/3)*$E84*SIN($K$23)-($N$22/3)*$F84*SIN($K$23)-($N$22/3)*$G84*SIN($K$23)</f>
        <v>#VALUE!</v>
      </c>
      <c r="AE84" s="106" t="e">
        <f>IF(($A84&lt;'Alternative 2'!$B$27),(($H84*'Alternative 2'!$B$39)+(3*($N$22/3)*COS($K$23))),IF(($A84&lt;'Alternative 2'!$B$28),(($H84*'Alternative 2'!$B$39)+(2*(($N$22/3)*COS($K$23)))),IF(($A84&lt;'Alternative 2'!$B$29),(($H$3*'Alternative 2'!$B$39+(($N$22/3)*COS($K$23)))),($H84*'Alternative 2'!$B$39))))</f>
        <v>#VALUE!</v>
      </c>
      <c r="AF84" s="105" t="e">
        <f>AD84*'Alternative 2'!$K85/'Alternative 2'!$L85</f>
        <v>#VALUE!</v>
      </c>
      <c r="AG84" s="105" t="e">
        <f>AE84/'Alternative 2'!$M85</f>
        <v>#VALUE!</v>
      </c>
      <c r="AH84" s="105" t="e">
        <f t="shared" si="22"/>
        <v>#VALUE!</v>
      </c>
      <c r="AJ84" s="105" t="e">
        <f>'Alternative 2'!$B$39*$B84*$C84*COS($K$33)-($N$32/3)*$E84*SIN($K$33)-($N$32/3)*$F84*SIN($K$33)-($N$32/3)*$G84*SIN($K$33)</f>
        <v>#VALUE!</v>
      </c>
      <c r="AK84" s="106" t="e">
        <f>IF(($A84&lt;'Alternative 2'!$B$27),(($H84*'Alternative 2'!$B$39)+(3*($N$32/3)*COS($K$33))),IF(($A84&lt;'Alternative 2'!$B$28),(($H84*'Alternative 2'!$B$39)+(2*(($N$32/3)*COS($K$33)))),IF(($A84&lt;'Alternative 2'!$B$29),(($H$3*'Alternative 2'!$B$39+(($N$32/3)*COS($K$33)))),($H84*'Alternative 2'!$B$39))))</f>
        <v>#VALUE!</v>
      </c>
      <c r="AL84" s="105" t="e">
        <f>AJ84*'Alternative 2'!$K85/'Alternative 2'!$L85</f>
        <v>#VALUE!</v>
      </c>
      <c r="AM84" s="105" t="e">
        <f>AK84/'Alternative 2'!$M85</f>
        <v>#VALUE!</v>
      </c>
      <c r="AN84" s="105" t="e">
        <f t="shared" si="23"/>
        <v>#VALUE!</v>
      </c>
      <c r="AP84" s="105" t="e">
        <f>'Alternative 2'!$B$39*$B84*$C84*COS($K$43)-($N$42/3)*$E84*SIN($K$43)-($N$42/3)*$F84*SIN($K$43)-($N$42/3)*$G84*SIN($K$43)</f>
        <v>#VALUE!</v>
      </c>
      <c r="AQ84" s="106" t="e">
        <f>IF(($A84&lt;'Alternative 2'!$B$27),(($H84*'Alternative 2'!$B$39)+(3*($N$42/3)*COS($K$43))),IF(($A84&lt;'Alternative 2'!$B$28),(($H84*'Alternative 2'!$B$39)+(2*(($N$42/3)*COS($K$43)))),IF(($A84&lt;'Alternative 2'!$B$29),(($H$3*'Alternative 2'!$B$39+(($N$42/3)*COS($K$43)))),($H84*'Alternative 2'!$B$39))))</f>
        <v>#VALUE!</v>
      </c>
      <c r="AR84" s="105" t="e">
        <f>AP84*'Alternative 2'!$K85/'Alternative 2'!$L85</f>
        <v>#VALUE!</v>
      </c>
      <c r="AS84" s="105" t="e">
        <f>AQ84/'Alternative 2'!$M85</f>
        <v>#VALUE!</v>
      </c>
      <c r="AT84" s="105" t="e">
        <f t="shared" si="24"/>
        <v>#VALUE!</v>
      </c>
      <c r="AV84" s="105" t="e">
        <f>'Alternative 2'!$B$39*$B84*$C84*COS($K$53)-($N$52/3)*$E84*SIN($K$53)-($N$52/3)*$F84*SIN($K$53)-($N$52/3)*$G84*SIN($K$53)</f>
        <v>#VALUE!</v>
      </c>
      <c r="AW84" s="106" t="e">
        <f>IF(($A84&lt;'Alternative 2'!$B$27),(($H84*'Alternative 2'!$B$39)+(3*($N$52/3)*COS($K$53))),IF(($A84&lt;'Alternative 2'!$B$28),(($H84*'Alternative 2'!$B$39)+(2*(($N$52/3)*COS($K$53)))),IF(($A84&lt;'Alternative 2'!$B$29),(($H$3*'Alternative 2'!$B$39+(($N$52/3)*COS($K$53)))),($H84*'Alternative 2'!$B$39))))</f>
        <v>#VALUE!</v>
      </c>
      <c r="AX84" s="105" t="e">
        <f>AV84*'Alternative 2'!$K85/'Alternative 2'!$L85</f>
        <v>#VALUE!</v>
      </c>
      <c r="AY84" s="105" t="e">
        <f>AW84/'Alternative 2'!$M85</f>
        <v>#VALUE!</v>
      </c>
      <c r="AZ84" s="105" t="e">
        <f t="shared" si="25"/>
        <v>#VALUE!</v>
      </c>
      <c r="BB84" s="105" t="e">
        <f>'Alternative 2'!$B$39*$B84*$C84*COS($K$63)-($N$62/3)*$E84*SIN($K$63)-($N$62/3)*$F84*SIN($K$63)-($N$62/3)*$G84*SIN($K$63)</f>
        <v>#VALUE!</v>
      </c>
      <c r="BC84" s="106" t="e">
        <f>IF(($A84&lt;'Alternative 2'!$B$27),(($H84*'Alternative 2'!$B$39)+(3*($N$62/3)*COS($K$63))),IF(($A84&lt;'Alternative 2'!$B$28),(($H84*'Alternative 2'!$B$39)+(2*(($N$62/3)*COS($K$63)))),IF(($A84&lt;'Alternative 2'!$B$29),(($H$3*'Alternative 2'!$B$39+(($N$62/3)*COS($K$63)))),($H84*'Alternative 2'!$B$39))))</f>
        <v>#VALUE!</v>
      </c>
      <c r="BD84" s="105" t="e">
        <f>BB84*'Alternative 2'!$K85/'Alternative 2'!$L85</f>
        <v>#VALUE!</v>
      </c>
      <c r="BE84" s="105" t="e">
        <f>BC84/'Alternative 2'!$M85</f>
        <v>#VALUE!</v>
      </c>
      <c r="BF84" s="105" t="e">
        <f t="shared" si="26"/>
        <v>#VALUE!</v>
      </c>
      <c r="BH84" s="105" t="e">
        <f>'Alternative 2'!$B$39*$B84*$C84*COS($K$73)-($N$72/3)*$E84*SIN($K$73)-($N$72/3)*$F84*SIN($K$73)-($N$72/3)*$G84*SIN($K$73)</f>
        <v>#VALUE!</v>
      </c>
      <c r="BI84" s="106" t="e">
        <f>IF(($A84&lt;'Alternative 2'!$B$27),(($H84*'Alternative 2'!$B$39)+(3*($N$72/3)*COS($K$73))),IF(($A84&lt;'Alternative 2'!$B$28),(($H84*'Alternative 2'!$B$39)+(2*(($N$72/3)*COS($K$73)))),IF(($A84&lt;'Alternative 2'!$B$29),(($H$3*'Alternative 2'!$B$39+(($N$72/3)*COS($K$73)))),($H84*'Alternative 2'!$B$39))))</f>
        <v>#VALUE!</v>
      </c>
      <c r="BJ84" s="105" t="e">
        <f>BH84*'Alternative 2'!$K85/'Alternative 2'!$L85</f>
        <v>#VALUE!</v>
      </c>
      <c r="BK84" s="105" t="e">
        <f>BI84/'Alternative 2'!$M85</f>
        <v>#VALUE!</v>
      </c>
      <c r="BL84" s="105" t="e">
        <f t="shared" si="27"/>
        <v>#VALUE!</v>
      </c>
      <c r="BN84" s="105" t="e">
        <f>'Alternative 2'!$B$39*$B84*$C84*COS($K$83)-($N$82/3)*$E84*SIN($K$83)-($N$82/3)*$F84*SIN($K$83)-($N$82/3)*$G84*SIN($K$83)</f>
        <v>#VALUE!</v>
      </c>
      <c r="BO84" s="106" t="e">
        <f>IF(($A84&lt;'Alternative 2'!$B$27),(($H84*'Alternative 2'!$B$39)+(3*($N$82/3)*COS($K$83))),IF(($A84&lt;'Alternative 2'!$B$28),(($H84*'Alternative 2'!$B$39)+(2*(($N$82/3)*COS($K$83)))),IF(($A84&lt;'Alternative 2'!$B$29),(($H$3*'Alternative 2'!$B$39+(($N$82/3)*COS($K$83)))),($H84*'Alternative 2'!$B$39))))</f>
        <v>#VALUE!</v>
      </c>
      <c r="BP84" s="105" t="e">
        <f>BN84*'Alternative 2'!$K85/'Alternative 2'!$L85</f>
        <v>#VALUE!</v>
      </c>
      <c r="BQ84" s="105" t="e">
        <f>BO84/'Alternative 2'!$M85</f>
        <v>#VALUE!</v>
      </c>
      <c r="BR84" s="105" t="e">
        <f t="shared" si="28"/>
        <v>#VALUE!</v>
      </c>
      <c r="BT84" s="105" t="e">
        <f>'Alternative 2'!$B$39*$B84*$C84*COS($K$93)-($K$92/3)*$E84*SIN($K$93)-($K$92/3)*$F84*SIN($K$93)-($K$92/3)*$G84*SIN($K$93)</f>
        <v>#VALUE!</v>
      </c>
      <c r="BU84" s="106" t="e">
        <f>IF(($A84&lt;'Alternative 2'!$B$27),(($H84*'Alternative 2'!$B$39)+(3*($N$92/3)*COS($K$93))),IF(($A84&lt;'Alternative 2'!$B$28),(($H84*'Alternative 2'!$B$39)+(2*(($N$92/3)*COS($K$93)))),IF(($A84&lt;'Alternative 2'!$B$29),(($H$3*'Alternative 2'!$B$39+(($N$92/3)*COS($K$93)))),($H84*'Alternative 2'!$B$39))))</f>
        <v>#VALUE!</v>
      </c>
      <c r="BV84" s="105" t="e">
        <f>BT84*'Alternative 2'!$K85/'Alternative 2'!$L85</f>
        <v>#VALUE!</v>
      </c>
      <c r="BW84" s="105" t="e">
        <f>BU84/'Alternative 2'!$M85</f>
        <v>#VALUE!</v>
      </c>
      <c r="BX84" s="105" t="e">
        <f t="shared" si="29"/>
        <v>#VALUE!</v>
      </c>
    </row>
    <row r="85" spans="1:76" ht="15" customHeight="1" x14ac:dyDescent="0.25">
      <c r="A85" s="18" t="str">
        <f>IF('Alternative 2'!F86&gt;0,'Alternative 2'!F86,"x")</f>
        <v>x</v>
      </c>
      <c r="B85" s="18" t="e">
        <f t="shared" si="35"/>
        <v>#VALUE!</v>
      </c>
      <c r="C85" s="18">
        <f t="shared" si="30"/>
        <v>0</v>
      </c>
      <c r="D85" s="18" t="str">
        <f t="shared" si="31"/>
        <v>x</v>
      </c>
      <c r="E85" s="101">
        <f>IF($A85&lt;='Alternative 2'!$B$27, IF($A85='Alternative 2'!$B$27,0,E86+1),0)</f>
        <v>0</v>
      </c>
      <c r="F85" s="101">
        <f>IF($A85&lt;=('Alternative 2'!$B$28), IF($A85=ROUNDDOWN('Alternative 2'!$B$28,0),0,F86+1),0)</f>
        <v>0</v>
      </c>
      <c r="G85" s="101">
        <f>IF($A85&lt;=('Alternative 2'!$B$29), IF($A85=ROUNDDOWN('Alternative 2'!$B$29,0),0,G86+1),0)</f>
        <v>0</v>
      </c>
      <c r="H85" s="18" t="e">
        <f t="shared" si="32"/>
        <v>#VALUE!</v>
      </c>
      <c r="J85" s="104">
        <f t="shared" si="33"/>
        <v>82</v>
      </c>
      <c r="K85" s="104">
        <f t="shared" si="34"/>
        <v>1.43116998663535</v>
      </c>
      <c r="L85" s="105">
        <f>'Alternative 2'!$B$27*SIN(K85)+'Alternative 2'!$B$28*SIN(K85)+'Alternative 2'!$B$29*SIN(K85)</f>
        <v>42.571624275200108</v>
      </c>
      <c r="M85" s="104">
        <f>(('Alternative 2'!$B$27)*(((('Alternative 2'!$B$28-'Alternative 2'!$B$27)/2)+'Alternative 2'!$B$27)*'Alternative 2'!$B$39)*COS('Alternative 2-Tilt Up (3pt)'!K85))+(('Alternative 2'!$B$28)*((('Alternative 2'!$B$28-'Alternative 2'!$B$27)/2)+(('Alternative 2'!$B$29-'Alternative 2'!$B$28)/2))*('Alternative 2'!$B$39)*COS('Alternative 2-Tilt Up (3pt)'!K85))+(('Alternative 2'!$B$29)*((('Alternative 2'!$B$12-'Alternative 2'!$B$29+(('Alternative 2'!$B$29-'Alternative 2'!$B$28)/2)*('Alternative 2'!$B$39)*COS('Alternative 2-Tilt Up (3pt)'!K85)))))</f>
        <v>84937.58397905562</v>
      </c>
      <c r="N85" s="104">
        <f t="shared" si="18"/>
        <v>5985.5069256919751</v>
      </c>
      <c r="O85" s="104">
        <f>(((('Alternative 2'!$B$28-'Alternative 2'!$B$27)/2)+'Alternative 2'!$B$27)*('Alternative 2'!$B$39)*COS('Alternative 2-Tilt Up (3pt)'!K85))+(((('Alternative 2'!$B$28-'Alternative 2'!$B$27)/2)+(('Alternative 2'!$B$29-'Alternative 2'!$B$28)/2))*('Alternative 2'!$B$39)*COS('Alternative 2-Tilt Up (3pt)'!K85))+(((('Alternative 2'!$B$12-'Alternative 2'!$B$29)+(('Alternative 2'!$B$29-'Alternative 2'!$B$28)/2))*('Alternative 2'!$B$39)*COS('Alternative 2-Tilt Up (3pt)'!K85)))</f>
        <v>8709.1519431171546</v>
      </c>
      <c r="P85" s="104">
        <f t="shared" si="19"/>
        <v>833.02155966650162</v>
      </c>
      <c r="R85" s="105" t="e">
        <f>'Alternative 2'!$B$39*$B85*$C85*COS($K$5)-($N$5/3)*$E85*SIN($K$5)-($N$5/3)*$F85*SIN($K$5)-($N$5/3)*$G85*SIN($K$5)</f>
        <v>#VALUE!</v>
      </c>
      <c r="S85" s="106" t="e">
        <f>IF(($A85&lt;'Alternative 2'!$B$27),(($H85*'Alternative 2'!$B$39)+(3*($N$5/3)*COS($K$5))),IF(($A85&lt;'Alternative 2'!$B$28),(($H85*'Alternative 2'!$B$39)+(2*(($N$5/3)*COS($K$5)))),IF(($A85&lt;'Alternative 2'!$B$29),(($H$3*'Alternative 2'!$B$39+(($N$5/3)*COS($K$5)))),($H85*'Alternative 2'!$B$39))))</f>
        <v>#VALUE!</v>
      </c>
      <c r="T85" s="105" t="e">
        <f>R85*'Alternative 2'!$K86/'Alternative 2'!$L86</f>
        <v>#VALUE!</v>
      </c>
      <c r="U85" s="105" t="e">
        <f>S85/'Alternative 2'!$M86</f>
        <v>#VALUE!</v>
      </c>
      <c r="V85" s="105" t="e">
        <f t="shared" si="20"/>
        <v>#VALUE!</v>
      </c>
      <c r="X85" s="105" t="e">
        <f>'Alternative 2'!$B$39*$B85*$C85*COS($K$13)-($N$12/3)*$E85*SIN($K$13)-($N$12/3)*$F85*SIN($K$13)-($N$12/3)*$G85*SIN($K$13)</f>
        <v>#VALUE!</v>
      </c>
      <c r="Y85" s="106" t="e">
        <f>IF(($A85&lt;'Alternative 2'!$B$27),(($H85*'Alternative 2'!$B$39)+(3*($N$12/3)*COS($K$13))),IF(($A85&lt;'Alternative 2'!$B$28),(($H85*'Alternative 2'!$B$39)+(2*(($N$12/3)*COS($K$13)))),IF(($A85&lt;'Alternative 2'!$B$29),(($H$3*'Alternative 2'!$B$39+(($N$12/3)*COS($K$13)))),($H85*'Alternative 2'!$B$39))))</f>
        <v>#VALUE!</v>
      </c>
      <c r="Z85" s="105" t="e">
        <f>X85*'Alternative 2'!$K86/'Alternative 2'!$L86</f>
        <v>#VALUE!</v>
      </c>
      <c r="AA85" s="105" t="e">
        <f>Y85/'Alternative 2'!$M86</f>
        <v>#VALUE!</v>
      </c>
      <c r="AB85" s="105" t="e">
        <f t="shared" si="21"/>
        <v>#VALUE!</v>
      </c>
      <c r="AD85" s="105" t="e">
        <f>'Alternative 2'!$B$39*$B85*$C85*COS($K$23)-($N$22/3)*$E85*SIN($K$23)-($N$22/3)*$F85*SIN($K$23)-($N$22/3)*$G85*SIN($K$23)</f>
        <v>#VALUE!</v>
      </c>
      <c r="AE85" s="106" t="e">
        <f>IF(($A85&lt;'Alternative 2'!$B$27),(($H85*'Alternative 2'!$B$39)+(3*($N$22/3)*COS($K$23))),IF(($A85&lt;'Alternative 2'!$B$28),(($H85*'Alternative 2'!$B$39)+(2*(($N$22/3)*COS($K$23)))),IF(($A85&lt;'Alternative 2'!$B$29),(($H$3*'Alternative 2'!$B$39+(($N$22/3)*COS($K$23)))),($H85*'Alternative 2'!$B$39))))</f>
        <v>#VALUE!</v>
      </c>
      <c r="AF85" s="105" t="e">
        <f>AD85*'Alternative 2'!$K86/'Alternative 2'!$L86</f>
        <v>#VALUE!</v>
      </c>
      <c r="AG85" s="105" t="e">
        <f>AE85/'Alternative 2'!$M86</f>
        <v>#VALUE!</v>
      </c>
      <c r="AH85" s="105" t="e">
        <f t="shared" si="22"/>
        <v>#VALUE!</v>
      </c>
      <c r="AJ85" s="105" t="e">
        <f>'Alternative 2'!$B$39*$B85*$C85*COS($K$33)-($N$32/3)*$E85*SIN($K$33)-($N$32/3)*$F85*SIN($K$33)-($N$32/3)*$G85*SIN($K$33)</f>
        <v>#VALUE!</v>
      </c>
      <c r="AK85" s="106" t="e">
        <f>IF(($A85&lt;'Alternative 2'!$B$27),(($H85*'Alternative 2'!$B$39)+(3*($N$32/3)*COS($K$33))),IF(($A85&lt;'Alternative 2'!$B$28),(($H85*'Alternative 2'!$B$39)+(2*(($N$32/3)*COS($K$33)))),IF(($A85&lt;'Alternative 2'!$B$29),(($H$3*'Alternative 2'!$B$39+(($N$32/3)*COS($K$33)))),($H85*'Alternative 2'!$B$39))))</f>
        <v>#VALUE!</v>
      </c>
      <c r="AL85" s="105" t="e">
        <f>AJ85*'Alternative 2'!$K86/'Alternative 2'!$L86</f>
        <v>#VALUE!</v>
      </c>
      <c r="AM85" s="105" t="e">
        <f>AK85/'Alternative 2'!$M86</f>
        <v>#VALUE!</v>
      </c>
      <c r="AN85" s="105" t="e">
        <f t="shared" si="23"/>
        <v>#VALUE!</v>
      </c>
      <c r="AP85" s="105" t="e">
        <f>'Alternative 2'!$B$39*$B85*$C85*COS($K$43)-($N$42/3)*$E85*SIN($K$43)-($N$42/3)*$F85*SIN($K$43)-($N$42/3)*$G85*SIN($K$43)</f>
        <v>#VALUE!</v>
      </c>
      <c r="AQ85" s="106" t="e">
        <f>IF(($A85&lt;'Alternative 2'!$B$27),(($H85*'Alternative 2'!$B$39)+(3*($N$42/3)*COS($K$43))),IF(($A85&lt;'Alternative 2'!$B$28),(($H85*'Alternative 2'!$B$39)+(2*(($N$42/3)*COS($K$43)))),IF(($A85&lt;'Alternative 2'!$B$29),(($H$3*'Alternative 2'!$B$39+(($N$42/3)*COS($K$43)))),($H85*'Alternative 2'!$B$39))))</f>
        <v>#VALUE!</v>
      </c>
      <c r="AR85" s="105" t="e">
        <f>AP85*'Alternative 2'!$K86/'Alternative 2'!$L86</f>
        <v>#VALUE!</v>
      </c>
      <c r="AS85" s="105" t="e">
        <f>AQ85/'Alternative 2'!$M86</f>
        <v>#VALUE!</v>
      </c>
      <c r="AT85" s="105" t="e">
        <f t="shared" si="24"/>
        <v>#VALUE!</v>
      </c>
      <c r="AV85" s="105" t="e">
        <f>'Alternative 2'!$B$39*$B85*$C85*COS($K$53)-($N$52/3)*$E85*SIN($K$53)-($N$52/3)*$F85*SIN($K$53)-($N$52/3)*$G85*SIN($K$53)</f>
        <v>#VALUE!</v>
      </c>
      <c r="AW85" s="106" t="e">
        <f>IF(($A85&lt;'Alternative 2'!$B$27),(($H85*'Alternative 2'!$B$39)+(3*($N$52/3)*COS($K$53))),IF(($A85&lt;'Alternative 2'!$B$28),(($H85*'Alternative 2'!$B$39)+(2*(($N$52/3)*COS($K$53)))),IF(($A85&lt;'Alternative 2'!$B$29),(($H$3*'Alternative 2'!$B$39+(($N$52/3)*COS($K$53)))),($H85*'Alternative 2'!$B$39))))</f>
        <v>#VALUE!</v>
      </c>
      <c r="AX85" s="105" t="e">
        <f>AV85*'Alternative 2'!$K86/'Alternative 2'!$L86</f>
        <v>#VALUE!</v>
      </c>
      <c r="AY85" s="105" t="e">
        <f>AW85/'Alternative 2'!$M86</f>
        <v>#VALUE!</v>
      </c>
      <c r="AZ85" s="105" t="e">
        <f t="shared" si="25"/>
        <v>#VALUE!</v>
      </c>
      <c r="BB85" s="105" t="e">
        <f>'Alternative 2'!$B$39*$B85*$C85*COS($K$63)-($N$62/3)*$E85*SIN($K$63)-($N$62/3)*$F85*SIN($K$63)-($N$62/3)*$G85*SIN($K$63)</f>
        <v>#VALUE!</v>
      </c>
      <c r="BC85" s="106" t="e">
        <f>IF(($A85&lt;'Alternative 2'!$B$27),(($H85*'Alternative 2'!$B$39)+(3*($N$62/3)*COS($K$63))),IF(($A85&lt;'Alternative 2'!$B$28),(($H85*'Alternative 2'!$B$39)+(2*(($N$62/3)*COS($K$63)))),IF(($A85&lt;'Alternative 2'!$B$29),(($H$3*'Alternative 2'!$B$39+(($N$62/3)*COS($K$63)))),($H85*'Alternative 2'!$B$39))))</f>
        <v>#VALUE!</v>
      </c>
      <c r="BD85" s="105" t="e">
        <f>BB85*'Alternative 2'!$K86/'Alternative 2'!$L86</f>
        <v>#VALUE!</v>
      </c>
      <c r="BE85" s="105" t="e">
        <f>BC85/'Alternative 2'!$M86</f>
        <v>#VALUE!</v>
      </c>
      <c r="BF85" s="105" t="e">
        <f t="shared" si="26"/>
        <v>#VALUE!</v>
      </c>
      <c r="BH85" s="105" t="e">
        <f>'Alternative 2'!$B$39*$B85*$C85*COS($K$73)-($N$72/3)*$E85*SIN($K$73)-($N$72/3)*$F85*SIN($K$73)-($N$72/3)*$G85*SIN($K$73)</f>
        <v>#VALUE!</v>
      </c>
      <c r="BI85" s="106" t="e">
        <f>IF(($A85&lt;'Alternative 2'!$B$27),(($H85*'Alternative 2'!$B$39)+(3*($N$72/3)*COS($K$73))),IF(($A85&lt;'Alternative 2'!$B$28),(($H85*'Alternative 2'!$B$39)+(2*(($N$72/3)*COS($K$73)))),IF(($A85&lt;'Alternative 2'!$B$29),(($H$3*'Alternative 2'!$B$39+(($N$72/3)*COS($K$73)))),($H85*'Alternative 2'!$B$39))))</f>
        <v>#VALUE!</v>
      </c>
      <c r="BJ85" s="105" t="e">
        <f>BH85*'Alternative 2'!$K86/'Alternative 2'!$L86</f>
        <v>#VALUE!</v>
      </c>
      <c r="BK85" s="105" t="e">
        <f>BI85/'Alternative 2'!$M86</f>
        <v>#VALUE!</v>
      </c>
      <c r="BL85" s="105" t="e">
        <f t="shared" si="27"/>
        <v>#VALUE!</v>
      </c>
      <c r="BN85" s="105" t="e">
        <f>'Alternative 2'!$B$39*$B85*$C85*COS($K$83)-($N$82/3)*$E85*SIN($K$83)-($N$82/3)*$F85*SIN($K$83)-($N$82/3)*$G85*SIN($K$83)</f>
        <v>#VALUE!</v>
      </c>
      <c r="BO85" s="106" t="e">
        <f>IF(($A85&lt;'Alternative 2'!$B$27),(($H85*'Alternative 2'!$B$39)+(3*($N$82/3)*COS($K$83))),IF(($A85&lt;'Alternative 2'!$B$28),(($H85*'Alternative 2'!$B$39)+(2*(($N$82/3)*COS($K$83)))),IF(($A85&lt;'Alternative 2'!$B$29),(($H$3*'Alternative 2'!$B$39+(($N$82/3)*COS($K$83)))),($H85*'Alternative 2'!$B$39))))</f>
        <v>#VALUE!</v>
      </c>
      <c r="BP85" s="105" t="e">
        <f>BN85*'Alternative 2'!$K86/'Alternative 2'!$L86</f>
        <v>#VALUE!</v>
      </c>
      <c r="BQ85" s="105" t="e">
        <f>BO85/'Alternative 2'!$M86</f>
        <v>#VALUE!</v>
      </c>
      <c r="BR85" s="105" t="e">
        <f t="shared" si="28"/>
        <v>#VALUE!</v>
      </c>
      <c r="BT85" s="105" t="e">
        <f>'Alternative 2'!$B$39*$B85*$C85*COS($K$93)-($K$92/3)*$E85*SIN($K$93)-($K$92/3)*$F85*SIN($K$93)-($K$92/3)*$G85*SIN($K$93)</f>
        <v>#VALUE!</v>
      </c>
      <c r="BU85" s="106" t="e">
        <f>IF(($A85&lt;'Alternative 2'!$B$27),(($H85*'Alternative 2'!$B$39)+(3*($N$92/3)*COS($K$93))),IF(($A85&lt;'Alternative 2'!$B$28),(($H85*'Alternative 2'!$B$39)+(2*(($N$92/3)*COS($K$93)))),IF(($A85&lt;'Alternative 2'!$B$29),(($H$3*'Alternative 2'!$B$39+(($N$92/3)*COS($K$93)))),($H85*'Alternative 2'!$B$39))))</f>
        <v>#VALUE!</v>
      </c>
      <c r="BV85" s="105" t="e">
        <f>BT85*'Alternative 2'!$K86/'Alternative 2'!$L86</f>
        <v>#VALUE!</v>
      </c>
      <c r="BW85" s="105" t="e">
        <f>BU85/'Alternative 2'!$M86</f>
        <v>#VALUE!</v>
      </c>
      <c r="BX85" s="105" t="e">
        <f t="shared" si="29"/>
        <v>#VALUE!</v>
      </c>
    </row>
    <row r="86" spans="1:76" ht="15" customHeight="1" x14ac:dyDescent="0.25">
      <c r="A86" s="18" t="str">
        <f>IF('Alternative 2'!F87&gt;0,'Alternative 2'!F87,"x")</f>
        <v>x</v>
      </c>
      <c r="B86" s="18" t="e">
        <f t="shared" si="35"/>
        <v>#VALUE!</v>
      </c>
      <c r="C86" s="18">
        <f t="shared" si="30"/>
        <v>0</v>
      </c>
      <c r="D86" s="18" t="str">
        <f t="shared" si="31"/>
        <v>x</v>
      </c>
      <c r="E86" s="101">
        <f>IF($A86&lt;='Alternative 2'!$B$27, IF($A86='Alternative 2'!$B$27,0,E87+1),0)</f>
        <v>0</v>
      </c>
      <c r="F86" s="101">
        <f>IF($A86&lt;=('Alternative 2'!$B$28), IF($A86=ROUNDDOWN('Alternative 2'!$B$28,0),0,F87+1),0)</f>
        <v>0</v>
      </c>
      <c r="G86" s="101">
        <f>IF($A86&lt;=('Alternative 2'!$B$29), IF($A86=ROUNDDOWN('Alternative 2'!$B$29,0),0,G87+1),0)</f>
        <v>0</v>
      </c>
      <c r="H86" s="18" t="e">
        <f t="shared" si="32"/>
        <v>#VALUE!</v>
      </c>
      <c r="J86" s="104">
        <f t="shared" si="33"/>
        <v>83</v>
      </c>
      <c r="K86" s="104">
        <f t="shared" si="34"/>
        <v>1.4486232791552935</v>
      </c>
      <c r="L86" s="105">
        <f>'Alternative 2'!$B$27*SIN(K86)+'Alternative 2'!$B$28*SIN(K86)+'Alternative 2'!$B$29*SIN(K86)</f>
        <v>42.669559059060433</v>
      </c>
      <c r="M86" s="104">
        <f>(('Alternative 2'!$B$27)*(((('Alternative 2'!$B$28-'Alternative 2'!$B$27)/2)+'Alternative 2'!$B$27)*'Alternative 2'!$B$39)*COS('Alternative 2-Tilt Up (3pt)'!K86))+(('Alternative 2'!$B$28)*((('Alternative 2'!$B$28-'Alternative 2'!$B$27)/2)+(('Alternative 2'!$B$29-'Alternative 2'!$B$28)/2))*('Alternative 2'!$B$39)*COS('Alternative 2-Tilt Up (3pt)'!K86))+(('Alternative 2'!$B$29)*((('Alternative 2'!$B$12-'Alternative 2'!$B$29+(('Alternative 2'!$B$29-'Alternative 2'!$B$28)/2)*('Alternative 2'!$B$39)*COS('Alternative 2-Tilt Up (3pt)'!K86)))))</f>
        <v>74387.139849251573</v>
      </c>
      <c r="N86" s="104">
        <f t="shared" si="18"/>
        <v>5229.9912272088204</v>
      </c>
      <c r="O86" s="104">
        <f>(((('Alternative 2'!$B$28-'Alternative 2'!$B$27)/2)+'Alternative 2'!$B$27)*('Alternative 2'!$B$39)*COS('Alternative 2-Tilt Up (3pt)'!K86))+(((('Alternative 2'!$B$28-'Alternative 2'!$B$27)/2)+(('Alternative 2'!$B$29-'Alternative 2'!$B$28)/2))*('Alternative 2'!$B$39)*COS('Alternative 2-Tilt Up (3pt)'!K86))+(((('Alternative 2'!$B$12-'Alternative 2'!$B$29)+(('Alternative 2'!$B$29-'Alternative 2'!$B$28)/2))*('Alternative 2'!$B$39)*COS('Alternative 2-Tilt Up (3pt)'!K86)))</f>
        <v>7626.320184012453</v>
      </c>
      <c r="P86" s="104">
        <f t="shared" si="19"/>
        <v>637.37559687462044</v>
      </c>
      <c r="R86" s="105" t="e">
        <f>'Alternative 2'!$B$39*$B86*$C86*COS($K$5)-($N$5/3)*$E86*SIN($K$5)-($N$5/3)*$F86*SIN($K$5)-($N$5/3)*$G86*SIN($K$5)</f>
        <v>#VALUE!</v>
      </c>
      <c r="S86" s="106" t="e">
        <f>IF(($A86&lt;'Alternative 2'!$B$27),(($H86*'Alternative 2'!$B$39)+(3*($N$5/3)*COS($K$5))),IF(($A86&lt;'Alternative 2'!$B$28),(($H86*'Alternative 2'!$B$39)+(2*(($N$5/3)*COS($K$5)))),IF(($A86&lt;'Alternative 2'!$B$29),(($H$3*'Alternative 2'!$B$39+(($N$5/3)*COS($K$5)))),($H86*'Alternative 2'!$B$39))))</f>
        <v>#VALUE!</v>
      </c>
      <c r="T86" s="105" t="e">
        <f>R86*'Alternative 2'!$K87/'Alternative 2'!$L87</f>
        <v>#VALUE!</v>
      </c>
      <c r="U86" s="105" t="e">
        <f>S86/'Alternative 2'!$M87</f>
        <v>#VALUE!</v>
      </c>
      <c r="V86" s="105" t="e">
        <f t="shared" si="20"/>
        <v>#VALUE!</v>
      </c>
      <c r="X86" s="105" t="e">
        <f>'Alternative 2'!$B$39*$B86*$C86*COS($K$13)-($N$12/3)*$E86*SIN($K$13)-($N$12/3)*$F86*SIN($K$13)-($N$12/3)*$G86*SIN($K$13)</f>
        <v>#VALUE!</v>
      </c>
      <c r="Y86" s="106" t="e">
        <f>IF(($A86&lt;'Alternative 2'!$B$27),(($H86*'Alternative 2'!$B$39)+(3*($N$12/3)*COS($K$13))),IF(($A86&lt;'Alternative 2'!$B$28),(($H86*'Alternative 2'!$B$39)+(2*(($N$12/3)*COS($K$13)))),IF(($A86&lt;'Alternative 2'!$B$29),(($H$3*'Alternative 2'!$B$39+(($N$12/3)*COS($K$13)))),($H86*'Alternative 2'!$B$39))))</f>
        <v>#VALUE!</v>
      </c>
      <c r="Z86" s="105" t="e">
        <f>X86*'Alternative 2'!$K87/'Alternative 2'!$L87</f>
        <v>#VALUE!</v>
      </c>
      <c r="AA86" s="105" t="e">
        <f>Y86/'Alternative 2'!$M87</f>
        <v>#VALUE!</v>
      </c>
      <c r="AB86" s="105" t="e">
        <f t="shared" si="21"/>
        <v>#VALUE!</v>
      </c>
      <c r="AD86" s="105" t="e">
        <f>'Alternative 2'!$B$39*$B86*$C86*COS($K$23)-($N$22/3)*$E86*SIN($K$23)-($N$22/3)*$F86*SIN($K$23)-($N$22/3)*$G86*SIN($K$23)</f>
        <v>#VALUE!</v>
      </c>
      <c r="AE86" s="106" t="e">
        <f>IF(($A86&lt;'Alternative 2'!$B$27),(($H86*'Alternative 2'!$B$39)+(3*($N$22/3)*COS($K$23))),IF(($A86&lt;'Alternative 2'!$B$28),(($H86*'Alternative 2'!$B$39)+(2*(($N$22/3)*COS($K$23)))),IF(($A86&lt;'Alternative 2'!$B$29),(($H$3*'Alternative 2'!$B$39+(($N$22/3)*COS($K$23)))),($H86*'Alternative 2'!$B$39))))</f>
        <v>#VALUE!</v>
      </c>
      <c r="AF86" s="105" t="e">
        <f>AD86*'Alternative 2'!$K87/'Alternative 2'!$L87</f>
        <v>#VALUE!</v>
      </c>
      <c r="AG86" s="105" t="e">
        <f>AE86/'Alternative 2'!$M87</f>
        <v>#VALUE!</v>
      </c>
      <c r="AH86" s="105" t="e">
        <f t="shared" si="22"/>
        <v>#VALUE!</v>
      </c>
      <c r="AJ86" s="105" t="e">
        <f>'Alternative 2'!$B$39*$B86*$C86*COS($K$33)-($N$32/3)*$E86*SIN($K$33)-($N$32/3)*$F86*SIN($K$33)-($N$32/3)*$G86*SIN($K$33)</f>
        <v>#VALUE!</v>
      </c>
      <c r="AK86" s="106" t="e">
        <f>IF(($A86&lt;'Alternative 2'!$B$27),(($H86*'Alternative 2'!$B$39)+(3*($N$32/3)*COS($K$33))),IF(($A86&lt;'Alternative 2'!$B$28),(($H86*'Alternative 2'!$B$39)+(2*(($N$32/3)*COS($K$33)))),IF(($A86&lt;'Alternative 2'!$B$29),(($H$3*'Alternative 2'!$B$39+(($N$32/3)*COS($K$33)))),($H86*'Alternative 2'!$B$39))))</f>
        <v>#VALUE!</v>
      </c>
      <c r="AL86" s="105" t="e">
        <f>AJ86*'Alternative 2'!$K87/'Alternative 2'!$L87</f>
        <v>#VALUE!</v>
      </c>
      <c r="AM86" s="105" t="e">
        <f>AK86/'Alternative 2'!$M87</f>
        <v>#VALUE!</v>
      </c>
      <c r="AN86" s="105" t="e">
        <f t="shared" si="23"/>
        <v>#VALUE!</v>
      </c>
      <c r="AP86" s="105" t="e">
        <f>'Alternative 2'!$B$39*$B86*$C86*COS($K$43)-($N$42/3)*$E86*SIN($K$43)-($N$42/3)*$F86*SIN($K$43)-($N$42/3)*$G86*SIN($K$43)</f>
        <v>#VALUE!</v>
      </c>
      <c r="AQ86" s="106" t="e">
        <f>IF(($A86&lt;'Alternative 2'!$B$27),(($H86*'Alternative 2'!$B$39)+(3*($N$42/3)*COS($K$43))),IF(($A86&lt;'Alternative 2'!$B$28),(($H86*'Alternative 2'!$B$39)+(2*(($N$42/3)*COS($K$43)))),IF(($A86&lt;'Alternative 2'!$B$29),(($H$3*'Alternative 2'!$B$39+(($N$42/3)*COS($K$43)))),($H86*'Alternative 2'!$B$39))))</f>
        <v>#VALUE!</v>
      </c>
      <c r="AR86" s="105" t="e">
        <f>AP86*'Alternative 2'!$K87/'Alternative 2'!$L87</f>
        <v>#VALUE!</v>
      </c>
      <c r="AS86" s="105" t="e">
        <f>AQ86/'Alternative 2'!$M87</f>
        <v>#VALUE!</v>
      </c>
      <c r="AT86" s="105" t="e">
        <f t="shared" si="24"/>
        <v>#VALUE!</v>
      </c>
      <c r="AV86" s="105" t="e">
        <f>'Alternative 2'!$B$39*$B86*$C86*COS($K$53)-($N$52/3)*$E86*SIN($K$53)-($N$52/3)*$F86*SIN($K$53)-($N$52/3)*$G86*SIN($K$53)</f>
        <v>#VALUE!</v>
      </c>
      <c r="AW86" s="106" t="e">
        <f>IF(($A86&lt;'Alternative 2'!$B$27),(($H86*'Alternative 2'!$B$39)+(3*($N$52/3)*COS($K$53))),IF(($A86&lt;'Alternative 2'!$B$28),(($H86*'Alternative 2'!$B$39)+(2*(($N$52/3)*COS($K$53)))),IF(($A86&lt;'Alternative 2'!$B$29),(($H$3*'Alternative 2'!$B$39+(($N$52/3)*COS($K$53)))),($H86*'Alternative 2'!$B$39))))</f>
        <v>#VALUE!</v>
      </c>
      <c r="AX86" s="105" t="e">
        <f>AV86*'Alternative 2'!$K87/'Alternative 2'!$L87</f>
        <v>#VALUE!</v>
      </c>
      <c r="AY86" s="105" t="e">
        <f>AW86/'Alternative 2'!$M87</f>
        <v>#VALUE!</v>
      </c>
      <c r="AZ86" s="105" t="e">
        <f t="shared" si="25"/>
        <v>#VALUE!</v>
      </c>
      <c r="BB86" s="105" t="e">
        <f>'Alternative 2'!$B$39*$B86*$C86*COS($K$63)-($N$62/3)*$E86*SIN($K$63)-($N$62/3)*$F86*SIN($K$63)-($N$62/3)*$G86*SIN($K$63)</f>
        <v>#VALUE!</v>
      </c>
      <c r="BC86" s="106" t="e">
        <f>IF(($A86&lt;'Alternative 2'!$B$27),(($H86*'Alternative 2'!$B$39)+(3*($N$62/3)*COS($K$63))),IF(($A86&lt;'Alternative 2'!$B$28),(($H86*'Alternative 2'!$B$39)+(2*(($N$62/3)*COS($K$63)))),IF(($A86&lt;'Alternative 2'!$B$29),(($H$3*'Alternative 2'!$B$39+(($N$62/3)*COS($K$63)))),($H86*'Alternative 2'!$B$39))))</f>
        <v>#VALUE!</v>
      </c>
      <c r="BD86" s="105" t="e">
        <f>BB86*'Alternative 2'!$K87/'Alternative 2'!$L87</f>
        <v>#VALUE!</v>
      </c>
      <c r="BE86" s="105" t="e">
        <f>BC86/'Alternative 2'!$M87</f>
        <v>#VALUE!</v>
      </c>
      <c r="BF86" s="105" t="e">
        <f t="shared" si="26"/>
        <v>#VALUE!</v>
      </c>
      <c r="BH86" s="105" t="e">
        <f>'Alternative 2'!$B$39*$B86*$C86*COS($K$73)-($N$72/3)*$E86*SIN($K$73)-($N$72/3)*$F86*SIN($K$73)-($N$72/3)*$G86*SIN($K$73)</f>
        <v>#VALUE!</v>
      </c>
      <c r="BI86" s="106" t="e">
        <f>IF(($A86&lt;'Alternative 2'!$B$27),(($H86*'Alternative 2'!$B$39)+(3*($N$72/3)*COS($K$73))),IF(($A86&lt;'Alternative 2'!$B$28),(($H86*'Alternative 2'!$B$39)+(2*(($N$72/3)*COS($K$73)))),IF(($A86&lt;'Alternative 2'!$B$29),(($H$3*'Alternative 2'!$B$39+(($N$72/3)*COS($K$73)))),($H86*'Alternative 2'!$B$39))))</f>
        <v>#VALUE!</v>
      </c>
      <c r="BJ86" s="105" t="e">
        <f>BH86*'Alternative 2'!$K87/'Alternative 2'!$L87</f>
        <v>#VALUE!</v>
      </c>
      <c r="BK86" s="105" t="e">
        <f>BI86/'Alternative 2'!$M87</f>
        <v>#VALUE!</v>
      </c>
      <c r="BL86" s="105" t="e">
        <f t="shared" si="27"/>
        <v>#VALUE!</v>
      </c>
      <c r="BN86" s="105" t="e">
        <f>'Alternative 2'!$B$39*$B86*$C86*COS($K$83)-($N$82/3)*$E86*SIN($K$83)-($N$82/3)*$F86*SIN($K$83)-($N$82/3)*$G86*SIN($K$83)</f>
        <v>#VALUE!</v>
      </c>
      <c r="BO86" s="106" t="e">
        <f>IF(($A86&lt;'Alternative 2'!$B$27),(($H86*'Alternative 2'!$B$39)+(3*($N$82/3)*COS($K$83))),IF(($A86&lt;'Alternative 2'!$B$28),(($H86*'Alternative 2'!$B$39)+(2*(($N$82/3)*COS($K$83)))),IF(($A86&lt;'Alternative 2'!$B$29),(($H$3*'Alternative 2'!$B$39+(($N$82/3)*COS($K$83)))),($H86*'Alternative 2'!$B$39))))</f>
        <v>#VALUE!</v>
      </c>
      <c r="BP86" s="105" t="e">
        <f>BN86*'Alternative 2'!$K87/'Alternative 2'!$L87</f>
        <v>#VALUE!</v>
      </c>
      <c r="BQ86" s="105" t="e">
        <f>BO86/'Alternative 2'!$M87</f>
        <v>#VALUE!</v>
      </c>
      <c r="BR86" s="105" t="e">
        <f t="shared" si="28"/>
        <v>#VALUE!</v>
      </c>
      <c r="BT86" s="105" t="e">
        <f>'Alternative 2'!$B$39*$B86*$C86*COS($K$93)-($K$92/3)*$E86*SIN($K$93)-($K$92/3)*$F86*SIN($K$93)-($K$92/3)*$G86*SIN($K$93)</f>
        <v>#VALUE!</v>
      </c>
      <c r="BU86" s="106" t="e">
        <f>IF(($A86&lt;'Alternative 2'!$B$27),(($H86*'Alternative 2'!$B$39)+(3*($N$92/3)*COS($K$93))),IF(($A86&lt;'Alternative 2'!$B$28),(($H86*'Alternative 2'!$B$39)+(2*(($N$92/3)*COS($K$93)))),IF(($A86&lt;'Alternative 2'!$B$29),(($H$3*'Alternative 2'!$B$39+(($N$92/3)*COS($K$93)))),($H86*'Alternative 2'!$B$39))))</f>
        <v>#VALUE!</v>
      </c>
      <c r="BV86" s="105" t="e">
        <f>BT86*'Alternative 2'!$K87/'Alternative 2'!$L87</f>
        <v>#VALUE!</v>
      </c>
      <c r="BW86" s="105" t="e">
        <f>BU86/'Alternative 2'!$M87</f>
        <v>#VALUE!</v>
      </c>
      <c r="BX86" s="105" t="e">
        <f t="shared" si="29"/>
        <v>#VALUE!</v>
      </c>
    </row>
    <row r="87" spans="1:76" ht="15" customHeight="1" x14ac:dyDescent="0.25">
      <c r="A87" s="18" t="str">
        <f>IF('Alternative 2'!F88&gt;0,'Alternative 2'!F88,"x")</f>
        <v>x</v>
      </c>
      <c r="B87" s="18" t="e">
        <f t="shared" si="35"/>
        <v>#VALUE!</v>
      </c>
      <c r="C87" s="18">
        <f t="shared" si="30"/>
        <v>0</v>
      </c>
      <c r="D87" s="18" t="str">
        <f t="shared" si="31"/>
        <v>x</v>
      </c>
      <c r="E87" s="101">
        <f>IF($A87&lt;='Alternative 2'!$B$27, IF($A87='Alternative 2'!$B$27,0,E88+1),0)</f>
        <v>0</v>
      </c>
      <c r="F87" s="101">
        <f>IF($A87&lt;=('Alternative 2'!$B$28), IF($A87=ROUNDDOWN('Alternative 2'!$B$28,0),0,F88+1),0)</f>
        <v>0</v>
      </c>
      <c r="G87" s="101">
        <f>IF($A87&lt;=('Alternative 2'!$B$29), IF($A87=ROUNDDOWN('Alternative 2'!$B$29,0),0,G88+1),0)</f>
        <v>0</v>
      </c>
      <c r="H87" s="18" t="e">
        <f t="shared" si="32"/>
        <v>#VALUE!</v>
      </c>
      <c r="J87" s="104">
        <f t="shared" si="33"/>
        <v>84</v>
      </c>
      <c r="K87" s="104">
        <f t="shared" si="34"/>
        <v>1.4660765716752369</v>
      </c>
      <c r="L87" s="105">
        <f>'Alternative 2'!$B$27*SIN(K87)+'Alternative 2'!$B$28*SIN(K87)+'Alternative 2'!$B$29*SIN(K87)</f>
        <v>42.754496281882069</v>
      </c>
      <c r="M87" s="104">
        <f>(('Alternative 2'!$B$27)*(((('Alternative 2'!$B$28-'Alternative 2'!$B$27)/2)+'Alternative 2'!$B$27)*'Alternative 2'!$B$39)*COS('Alternative 2-Tilt Up (3pt)'!K87))+(('Alternative 2'!$B$28)*((('Alternative 2'!$B$28-'Alternative 2'!$B$27)/2)+(('Alternative 2'!$B$29-'Alternative 2'!$B$28)/2))*('Alternative 2'!$B$39)*COS('Alternative 2-Tilt Up (3pt)'!K87))+(('Alternative 2'!$B$29)*((('Alternative 2'!$B$12-'Alternative 2'!$B$29+(('Alternative 2'!$B$29-'Alternative 2'!$B$28)/2)*('Alternative 2'!$B$39)*COS('Alternative 2-Tilt Up (3pt)'!K87)))))</f>
        <v>63814.06134467791</v>
      </c>
      <c r="N87" s="104">
        <f t="shared" si="18"/>
        <v>4477.708795160348</v>
      </c>
      <c r="O87" s="104">
        <f>(((('Alternative 2'!$B$28-'Alternative 2'!$B$27)/2)+'Alternative 2'!$B$27)*('Alternative 2'!$B$39)*COS('Alternative 2-Tilt Up (3pt)'!K87))+(((('Alternative 2'!$B$28-'Alternative 2'!$B$27)/2)+(('Alternative 2'!$B$29-'Alternative 2'!$B$28)/2))*('Alternative 2'!$B$39)*COS('Alternative 2-Tilt Up (3pt)'!K87))+(((('Alternative 2'!$B$12-'Alternative 2'!$B$29)+(('Alternative 2'!$B$29-'Alternative 2'!$B$28)/2))*('Alternative 2'!$B$39)*COS('Alternative 2-Tilt Up (3pt)'!K87)))</f>
        <v>6541.1653739018939</v>
      </c>
      <c r="P87" s="104">
        <f t="shared" si="19"/>
        <v>468.04801931816723</v>
      </c>
      <c r="R87" s="105" t="e">
        <f>'Alternative 2'!$B$39*$B87*$C87*COS($K$5)-($N$5/3)*$E87*SIN($K$5)-($N$5/3)*$F87*SIN($K$5)-($N$5/3)*$G87*SIN($K$5)</f>
        <v>#VALUE!</v>
      </c>
      <c r="S87" s="106" t="e">
        <f>IF(($A87&lt;'Alternative 2'!$B$27),(($H87*'Alternative 2'!$B$39)+(3*($N$5/3)*COS($K$5))),IF(($A87&lt;'Alternative 2'!$B$28),(($H87*'Alternative 2'!$B$39)+(2*(($N$5/3)*COS($K$5)))),IF(($A87&lt;'Alternative 2'!$B$29),(($H$3*'Alternative 2'!$B$39+(($N$5/3)*COS($K$5)))),($H87*'Alternative 2'!$B$39))))</f>
        <v>#VALUE!</v>
      </c>
      <c r="T87" s="105" t="e">
        <f>R87*'Alternative 2'!$K88/'Alternative 2'!$L88</f>
        <v>#VALUE!</v>
      </c>
      <c r="U87" s="105" t="e">
        <f>S87/'Alternative 2'!$M88</f>
        <v>#VALUE!</v>
      </c>
      <c r="V87" s="105" t="e">
        <f t="shared" si="20"/>
        <v>#VALUE!</v>
      </c>
      <c r="X87" s="105" t="e">
        <f>'Alternative 2'!$B$39*$B87*$C87*COS($K$13)-($N$12/3)*$E87*SIN($K$13)-($N$12/3)*$F87*SIN($K$13)-($N$12/3)*$G87*SIN($K$13)</f>
        <v>#VALUE!</v>
      </c>
      <c r="Y87" s="106" t="e">
        <f>IF(($A87&lt;'Alternative 2'!$B$27),(($H87*'Alternative 2'!$B$39)+(3*($N$12/3)*COS($K$13))),IF(($A87&lt;'Alternative 2'!$B$28),(($H87*'Alternative 2'!$B$39)+(2*(($N$12/3)*COS($K$13)))),IF(($A87&lt;'Alternative 2'!$B$29),(($H$3*'Alternative 2'!$B$39+(($N$12/3)*COS($K$13)))),($H87*'Alternative 2'!$B$39))))</f>
        <v>#VALUE!</v>
      </c>
      <c r="Z87" s="105" t="e">
        <f>X87*'Alternative 2'!$K88/'Alternative 2'!$L88</f>
        <v>#VALUE!</v>
      </c>
      <c r="AA87" s="105" t="e">
        <f>Y87/'Alternative 2'!$M88</f>
        <v>#VALUE!</v>
      </c>
      <c r="AB87" s="105" t="e">
        <f t="shared" si="21"/>
        <v>#VALUE!</v>
      </c>
      <c r="AD87" s="105" t="e">
        <f>'Alternative 2'!$B$39*$B87*$C87*COS($K$23)-($N$22/3)*$E87*SIN($K$23)-($N$22/3)*$F87*SIN($K$23)-($N$22/3)*$G87*SIN($K$23)</f>
        <v>#VALUE!</v>
      </c>
      <c r="AE87" s="106" t="e">
        <f>IF(($A87&lt;'Alternative 2'!$B$27),(($H87*'Alternative 2'!$B$39)+(3*($N$22/3)*COS($K$23))),IF(($A87&lt;'Alternative 2'!$B$28),(($H87*'Alternative 2'!$B$39)+(2*(($N$22/3)*COS($K$23)))),IF(($A87&lt;'Alternative 2'!$B$29),(($H$3*'Alternative 2'!$B$39+(($N$22/3)*COS($K$23)))),($H87*'Alternative 2'!$B$39))))</f>
        <v>#VALUE!</v>
      </c>
      <c r="AF87" s="105" t="e">
        <f>AD87*'Alternative 2'!$K88/'Alternative 2'!$L88</f>
        <v>#VALUE!</v>
      </c>
      <c r="AG87" s="105" t="e">
        <f>AE87/'Alternative 2'!$M88</f>
        <v>#VALUE!</v>
      </c>
      <c r="AH87" s="105" t="e">
        <f t="shared" si="22"/>
        <v>#VALUE!</v>
      </c>
      <c r="AJ87" s="105" t="e">
        <f>'Alternative 2'!$B$39*$B87*$C87*COS($K$33)-($N$32/3)*$E87*SIN($K$33)-($N$32/3)*$F87*SIN($K$33)-($N$32/3)*$G87*SIN($K$33)</f>
        <v>#VALUE!</v>
      </c>
      <c r="AK87" s="106" t="e">
        <f>IF(($A87&lt;'Alternative 2'!$B$27),(($H87*'Alternative 2'!$B$39)+(3*($N$32/3)*COS($K$33))),IF(($A87&lt;'Alternative 2'!$B$28),(($H87*'Alternative 2'!$B$39)+(2*(($N$32/3)*COS($K$33)))),IF(($A87&lt;'Alternative 2'!$B$29),(($H$3*'Alternative 2'!$B$39+(($N$32/3)*COS($K$33)))),($H87*'Alternative 2'!$B$39))))</f>
        <v>#VALUE!</v>
      </c>
      <c r="AL87" s="105" t="e">
        <f>AJ87*'Alternative 2'!$K88/'Alternative 2'!$L88</f>
        <v>#VALUE!</v>
      </c>
      <c r="AM87" s="105" t="e">
        <f>AK87/'Alternative 2'!$M88</f>
        <v>#VALUE!</v>
      </c>
      <c r="AN87" s="105" t="e">
        <f t="shared" si="23"/>
        <v>#VALUE!</v>
      </c>
      <c r="AP87" s="105" t="e">
        <f>'Alternative 2'!$B$39*$B87*$C87*COS($K$43)-($N$42/3)*$E87*SIN($K$43)-($N$42/3)*$F87*SIN($K$43)-($N$42/3)*$G87*SIN($K$43)</f>
        <v>#VALUE!</v>
      </c>
      <c r="AQ87" s="106" t="e">
        <f>IF(($A87&lt;'Alternative 2'!$B$27),(($H87*'Alternative 2'!$B$39)+(3*($N$42/3)*COS($K$43))),IF(($A87&lt;'Alternative 2'!$B$28),(($H87*'Alternative 2'!$B$39)+(2*(($N$42/3)*COS($K$43)))),IF(($A87&lt;'Alternative 2'!$B$29),(($H$3*'Alternative 2'!$B$39+(($N$42/3)*COS($K$43)))),($H87*'Alternative 2'!$B$39))))</f>
        <v>#VALUE!</v>
      </c>
      <c r="AR87" s="105" t="e">
        <f>AP87*'Alternative 2'!$K88/'Alternative 2'!$L88</f>
        <v>#VALUE!</v>
      </c>
      <c r="AS87" s="105" t="e">
        <f>AQ87/'Alternative 2'!$M88</f>
        <v>#VALUE!</v>
      </c>
      <c r="AT87" s="105" t="e">
        <f t="shared" si="24"/>
        <v>#VALUE!</v>
      </c>
      <c r="AV87" s="105" t="e">
        <f>'Alternative 2'!$B$39*$B87*$C87*COS($K$53)-($N$52/3)*$E87*SIN($K$53)-($N$52/3)*$F87*SIN($K$53)-($N$52/3)*$G87*SIN($K$53)</f>
        <v>#VALUE!</v>
      </c>
      <c r="AW87" s="106" t="e">
        <f>IF(($A87&lt;'Alternative 2'!$B$27),(($H87*'Alternative 2'!$B$39)+(3*($N$52/3)*COS($K$53))),IF(($A87&lt;'Alternative 2'!$B$28),(($H87*'Alternative 2'!$B$39)+(2*(($N$52/3)*COS($K$53)))),IF(($A87&lt;'Alternative 2'!$B$29),(($H$3*'Alternative 2'!$B$39+(($N$52/3)*COS($K$53)))),($H87*'Alternative 2'!$B$39))))</f>
        <v>#VALUE!</v>
      </c>
      <c r="AX87" s="105" t="e">
        <f>AV87*'Alternative 2'!$K88/'Alternative 2'!$L88</f>
        <v>#VALUE!</v>
      </c>
      <c r="AY87" s="105" t="e">
        <f>AW87/'Alternative 2'!$M88</f>
        <v>#VALUE!</v>
      </c>
      <c r="AZ87" s="105" t="e">
        <f t="shared" si="25"/>
        <v>#VALUE!</v>
      </c>
      <c r="BB87" s="105" t="e">
        <f>'Alternative 2'!$B$39*$B87*$C87*COS($K$63)-($N$62/3)*$E87*SIN($K$63)-($N$62/3)*$F87*SIN($K$63)-($N$62/3)*$G87*SIN($K$63)</f>
        <v>#VALUE!</v>
      </c>
      <c r="BC87" s="106" t="e">
        <f>IF(($A87&lt;'Alternative 2'!$B$27),(($H87*'Alternative 2'!$B$39)+(3*($N$62/3)*COS($K$63))),IF(($A87&lt;'Alternative 2'!$B$28),(($H87*'Alternative 2'!$B$39)+(2*(($N$62/3)*COS($K$63)))),IF(($A87&lt;'Alternative 2'!$B$29),(($H$3*'Alternative 2'!$B$39+(($N$62/3)*COS($K$63)))),($H87*'Alternative 2'!$B$39))))</f>
        <v>#VALUE!</v>
      </c>
      <c r="BD87" s="105" t="e">
        <f>BB87*'Alternative 2'!$K88/'Alternative 2'!$L88</f>
        <v>#VALUE!</v>
      </c>
      <c r="BE87" s="105" t="e">
        <f>BC87/'Alternative 2'!$M88</f>
        <v>#VALUE!</v>
      </c>
      <c r="BF87" s="105" t="e">
        <f t="shared" si="26"/>
        <v>#VALUE!</v>
      </c>
      <c r="BH87" s="105" t="e">
        <f>'Alternative 2'!$B$39*$B87*$C87*COS($K$73)-($N$72/3)*$E87*SIN($K$73)-($N$72/3)*$F87*SIN($K$73)-($N$72/3)*$G87*SIN($K$73)</f>
        <v>#VALUE!</v>
      </c>
      <c r="BI87" s="106" t="e">
        <f>IF(($A87&lt;'Alternative 2'!$B$27),(($H87*'Alternative 2'!$B$39)+(3*($N$72/3)*COS($K$73))),IF(($A87&lt;'Alternative 2'!$B$28),(($H87*'Alternative 2'!$B$39)+(2*(($N$72/3)*COS($K$73)))),IF(($A87&lt;'Alternative 2'!$B$29),(($H$3*'Alternative 2'!$B$39+(($N$72/3)*COS($K$73)))),($H87*'Alternative 2'!$B$39))))</f>
        <v>#VALUE!</v>
      </c>
      <c r="BJ87" s="105" t="e">
        <f>BH87*'Alternative 2'!$K88/'Alternative 2'!$L88</f>
        <v>#VALUE!</v>
      </c>
      <c r="BK87" s="105" t="e">
        <f>BI87/'Alternative 2'!$M88</f>
        <v>#VALUE!</v>
      </c>
      <c r="BL87" s="105" t="e">
        <f t="shared" si="27"/>
        <v>#VALUE!</v>
      </c>
      <c r="BN87" s="105" t="e">
        <f>'Alternative 2'!$B$39*$B87*$C87*COS($K$83)-($N$82/3)*$E87*SIN($K$83)-($N$82/3)*$F87*SIN($K$83)-($N$82/3)*$G87*SIN($K$83)</f>
        <v>#VALUE!</v>
      </c>
      <c r="BO87" s="106" t="e">
        <f>IF(($A87&lt;'Alternative 2'!$B$27),(($H87*'Alternative 2'!$B$39)+(3*($N$82/3)*COS($K$83))),IF(($A87&lt;'Alternative 2'!$B$28),(($H87*'Alternative 2'!$B$39)+(2*(($N$82/3)*COS($K$83)))),IF(($A87&lt;'Alternative 2'!$B$29),(($H$3*'Alternative 2'!$B$39+(($N$82/3)*COS($K$83)))),($H87*'Alternative 2'!$B$39))))</f>
        <v>#VALUE!</v>
      </c>
      <c r="BP87" s="105" t="e">
        <f>BN87*'Alternative 2'!$K88/'Alternative 2'!$L88</f>
        <v>#VALUE!</v>
      </c>
      <c r="BQ87" s="105" t="e">
        <f>BO87/'Alternative 2'!$M88</f>
        <v>#VALUE!</v>
      </c>
      <c r="BR87" s="105" t="e">
        <f t="shared" si="28"/>
        <v>#VALUE!</v>
      </c>
      <c r="BT87" s="105" t="e">
        <f>'Alternative 2'!$B$39*$B87*$C87*COS($K$93)-($K$92/3)*$E87*SIN($K$93)-($K$92/3)*$F87*SIN($K$93)-($K$92/3)*$G87*SIN($K$93)</f>
        <v>#VALUE!</v>
      </c>
      <c r="BU87" s="106" t="e">
        <f>IF(($A87&lt;'Alternative 2'!$B$27),(($H87*'Alternative 2'!$B$39)+(3*($N$92/3)*COS($K$93))),IF(($A87&lt;'Alternative 2'!$B$28),(($H87*'Alternative 2'!$B$39)+(2*(($N$92/3)*COS($K$93)))),IF(($A87&lt;'Alternative 2'!$B$29),(($H$3*'Alternative 2'!$B$39+(($N$92/3)*COS($K$93)))),($H87*'Alternative 2'!$B$39))))</f>
        <v>#VALUE!</v>
      </c>
      <c r="BV87" s="105" t="e">
        <f>BT87*'Alternative 2'!$K88/'Alternative 2'!$L88</f>
        <v>#VALUE!</v>
      </c>
      <c r="BW87" s="105" t="e">
        <f>BU87/'Alternative 2'!$M88</f>
        <v>#VALUE!</v>
      </c>
      <c r="BX87" s="105" t="e">
        <f t="shared" si="29"/>
        <v>#VALUE!</v>
      </c>
    </row>
    <row r="88" spans="1:76" ht="15" customHeight="1" x14ac:dyDescent="0.25">
      <c r="A88" s="18" t="str">
        <f>IF('Alternative 2'!F89&gt;0,'Alternative 2'!F89,"x")</f>
        <v>x</v>
      </c>
      <c r="B88" s="18" t="e">
        <f t="shared" si="35"/>
        <v>#VALUE!</v>
      </c>
      <c r="C88" s="18">
        <f t="shared" si="30"/>
        <v>0</v>
      </c>
      <c r="D88" s="18" t="str">
        <f t="shared" si="31"/>
        <v>x</v>
      </c>
      <c r="E88" s="101">
        <f>IF($A88&lt;='Alternative 2'!$B$27, IF($A88='Alternative 2'!$B$27,0,E89+1),0)</f>
        <v>0</v>
      </c>
      <c r="F88" s="101">
        <f>IF($A88&lt;=('Alternative 2'!$B$28), IF($A88=ROUNDDOWN('Alternative 2'!$B$28,0),0,F89+1),0)</f>
        <v>0</v>
      </c>
      <c r="G88" s="101">
        <f>IF($A88&lt;=('Alternative 2'!$B$29), IF($A88=ROUNDDOWN('Alternative 2'!$B$29,0),0,G89+1),0)</f>
        <v>0</v>
      </c>
      <c r="H88" s="18" t="e">
        <f t="shared" si="32"/>
        <v>#VALUE!</v>
      </c>
      <c r="J88" s="104">
        <f t="shared" si="33"/>
        <v>85</v>
      </c>
      <c r="K88" s="104">
        <f t="shared" si="34"/>
        <v>1.4835298641951802</v>
      </c>
      <c r="L88" s="105">
        <f>'Alternative 2'!$B$27*SIN(K88)+'Alternative 2'!$B$28*SIN(K88)+'Alternative 2'!$B$29*SIN(K88)</f>
        <v>42.826410070964144</v>
      </c>
      <c r="M88" s="104">
        <f>(('Alternative 2'!$B$27)*(((('Alternative 2'!$B$28-'Alternative 2'!$B$27)/2)+'Alternative 2'!$B$27)*'Alternative 2'!$B$39)*COS('Alternative 2-Tilt Up (3pt)'!K88))+(('Alternative 2'!$B$28)*((('Alternative 2'!$B$28-'Alternative 2'!$B$27)/2)+(('Alternative 2'!$B$29-'Alternative 2'!$B$28)/2))*('Alternative 2'!$B$39)*COS('Alternative 2-Tilt Up (3pt)'!K88))+(('Alternative 2'!$B$29)*((('Alternative 2'!$B$12-'Alternative 2'!$B$29+(('Alternative 2'!$B$29-'Alternative 2'!$B$28)/2)*('Alternative 2'!$B$39)*COS('Alternative 2-Tilt Up (3pt)'!K88)))))</f>
        <v>53221.569127470728</v>
      </c>
      <c r="N88" s="104">
        <f t="shared" si="18"/>
        <v>3728.1833130034679</v>
      </c>
      <c r="O88" s="104">
        <f>(((('Alternative 2'!$B$28-'Alternative 2'!$B$27)/2)+'Alternative 2'!$B$27)*('Alternative 2'!$B$39)*COS('Alternative 2-Tilt Up (3pt)'!K88))+(((('Alternative 2'!$B$28-'Alternative 2'!$B$27)/2)+(('Alternative 2'!$B$29-'Alternative 2'!$B$28)/2))*('Alternative 2'!$B$39)*COS('Alternative 2-Tilt Up (3pt)'!K88))+(((('Alternative 2'!$B$12-'Alternative 2'!$B$29)+(('Alternative 2'!$B$29-'Alternative 2'!$B$28)/2))*('Alternative 2'!$B$39)*COS('Alternative 2-Tilt Up (3pt)'!K88)))</f>
        <v>5454.0180614527526</v>
      </c>
      <c r="P88" s="104">
        <f t="shared" si="19"/>
        <v>324.93258574424209</v>
      </c>
      <c r="R88" s="105" t="e">
        <f>'Alternative 2'!$B$39*$B88*$C88*COS($K$5)-($N$5/3)*$E88*SIN($K$5)-($N$5/3)*$F88*SIN($K$5)-($N$5/3)*$G88*SIN($K$5)</f>
        <v>#VALUE!</v>
      </c>
      <c r="S88" s="106" t="e">
        <f>IF(($A88&lt;'Alternative 2'!$B$27),(($H88*'Alternative 2'!$B$39)+(3*($N$5/3)*COS($K$5))),IF(($A88&lt;'Alternative 2'!$B$28),(($H88*'Alternative 2'!$B$39)+(2*(($N$5/3)*COS($K$5)))),IF(($A88&lt;'Alternative 2'!$B$29),(($H$3*'Alternative 2'!$B$39+(($N$5/3)*COS($K$5)))),($H88*'Alternative 2'!$B$39))))</f>
        <v>#VALUE!</v>
      </c>
      <c r="T88" s="105" t="e">
        <f>R88*'Alternative 2'!$K89/'Alternative 2'!$L89</f>
        <v>#VALUE!</v>
      </c>
      <c r="U88" s="105" t="e">
        <f>S88/'Alternative 2'!$M89</f>
        <v>#VALUE!</v>
      </c>
      <c r="V88" s="105" t="e">
        <f t="shared" si="20"/>
        <v>#VALUE!</v>
      </c>
      <c r="X88" s="105" t="e">
        <f>'Alternative 2'!$B$39*$B88*$C88*COS($K$13)-($N$12/3)*$E88*SIN($K$13)-($N$12/3)*$F88*SIN($K$13)-($N$12/3)*$G88*SIN($K$13)</f>
        <v>#VALUE!</v>
      </c>
      <c r="Y88" s="106" t="e">
        <f>IF(($A88&lt;'Alternative 2'!$B$27),(($H88*'Alternative 2'!$B$39)+(3*($N$12/3)*COS($K$13))),IF(($A88&lt;'Alternative 2'!$B$28),(($H88*'Alternative 2'!$B$39)+(2*(($N$12/3)*COS($K$13)))),IF(($A88&lt;'Alternative 2'!$B$29),(($H$3*'Alternative 2'!$B$39+(($N$12/3)*COS($K$13)))),($H88*'Alternative 2'!$B$39))))</f>
        <v>#VALUE!</v>
      </c>
      <c r="Z88" s="105" t="e">
        <f>X88*'Alternative 2'!$K89/'Alternative 2'!$L89</f>
        <v>#VALUE!</v>
      </c>
      <c r="AA88" s="105" t="e">
        <f>Y88/'Alternative 2'!$M89</f>
        <v>#VALUE!</v>
      </c>
      <c r="AB88" s="105" t="e">
        <f t="shared" si="21"/>
        <v>#VALUE!</v>
      </c>
      <c r="AD88" s="105" t="e">
        <f>'Alternative 2'!$B$39*$B88*$C88*COS($K$23)-($N$22/3)*$E88*SIN($K$23)-($N$22/3)*$F88*SIN($K$23)-($N$22/3)*$G88*SIN($K$23)</f>
        <v>#VALUE!</v>
      </c>
      <c r="AE88" s="106" t="e">
        <f>IF(($A88&lt;'Alternative 2'!$B$27),(($H88*'Alternative 2'!$B$39)+(3*($N$22/3)*COS($K$23))),IF(($A88&lt;'Alternative 2'!$B$28),(($H88*'Alternative 2'!$B$39)+(2*(($N$22/3)*COS($K$23)))),IF(($A88&lt;'Alternative 2'!$B$29),(($H$3*'Alternative 2'!$B$39+(($N$22/3)*COS($K$23)))),($H88*'Alternative 2'!$B$39))))</f>
        <v>#VALUE!</v>
      </c>
      <c r="AF88" s="105" t="e">
        <f>AD88*'Alternative 2'!$K89/'Alternative 2'!$L89</f>
        <v>#VALUE!</v>
      </c>
      <c r="AG88" s="105" t="e">
        <f>AE88/'Alternative 2'!$M89</f>
        <v>#VALUE!</v>
      </c>
      <c r="AH88" s="105" t="e">
        <f t="shared" si="22"/>
        <v>#VALUE!</v>
      </c>
      <c r="AJ88" s="105" t="e">
        <f>'Alternative 2'!$B$39*$B88*$C88*COS($K$33)-($N$32/3)*$E88*SIN($K$33)-($N$32/3)*$F88*SIN($K$33)-($N$32/3)*$G88*SIN($K$33)</f>
        <v>#VALUE!</v>
      </c>
      <c r="AK88" s="106" t="e">
        <f>IF(($A88&lt;'Alternative 2'!$B$27),(($H88*'Alternative 2'!$B$39)+(3*($N$32/3)*COS($K$33))),IF(($A88&lt;'Alternative 2'!$B$28),(($H88*'Alternative 2'!$B$39)+(2*(($N$32/3)*COS($K$33)))),IF(($A88&lt;'Alternative 2'!$B$29),(($H$3*'Alternative 2'!$B$39+(($N$32/3)*COS($K$33)))),($H88*'Alternative 2'!$B$39))))</f>
        <v>#VALUE!</v>
      </c>
      <c r="AL88" s="105" t="e">
        <f>AJ88*'Alternative 2'!$K89/'Alternative 2'!$L89</f>
        <v>#VALUE!</v>
      </c>
      <c r="AM88" s="105" t="e">
        <f>AK88/'Alternative 2'!$M89</f>
        <v>#VALUE!</v>
      </c>
      <c r="AN88" s="105" t="e">
        <f t="shared" si="23"/>
        <v>#VALUE!</v>
      </c>
      <c r="AP88" s="105" t="e">
        <f>'Alternative 2'!$B$39*$B88*$C88*COS($K$43)-($N$42/3)*$E88*SIN($K$43)-($N$42/3)*$F88*SIN($K$43)-($N$42/3)*$G88*SIN($K$43)</f>
        <v>#VALUE!</v>
      </c>
      <c r="AQ88" s="106" t="e">
        <f>IF(($A88&lt;'Alternative 2'!$B$27),(($H88*'Alternative 2'!$B$39)+(3*($N$42/3)*COS($K$43))),IF(($A88&lt;'Alternative 2'!$B$28),(($H88*'Alternative 2'!$B$39)+(2*(($N$42/3)*COS($K$43)))),IF(($A88&lt;'Alternative 2'!$B$29),(($H$3*'Alternative 2'!$B$39+(($N$42/3)*COS($K$43)))),($H88*'Alternative 2'!$B$39))))</f>
        <v>#VALUE!</v>
      </c>
      <c r="AR88" s="105" t="e">
        <f>AP88*'Alternative 2'!$K89/'Alternative 2'!$L89</f>
        <v>#VALUE!</v>
      </c>
      <c r="AS88" s="105" t="e">
        <f>AQ88/'Alternative 2'!$M89</f>
        <v>#VALUE!</v>
      </c>
      <c r="AT88" s="105" t="e">
        <f t="shared" si="24"/>
        <v>#VALUE!</v>
      </c>
      <c r="AV88" s="105" t="e">
        <f>'Alternative 2'!$B$39*$B88*$C88*COS($K$53)-($N$52/3)*$E88*SIN($K$53)-($N$52/3)*$F88*SIN($K$53)-($N$52/3)*$G88*SIN($K$53)</f>
        <v>#VALUE!</v>
      </c>
      <c r="AW88" s="106" t="e">
        <f>IF(($A88&lt;'Alternative 2'!$B$27),(($H88*'Alternative 2'!$B$39)+(3*($N$52/3)*COS($K$53))),IF(($A88&lt;'Alternative 2'!$B$28),(($H88*'Alternative 2'!$B$39)+(2*(($N$52/3)*COS($K$53)))),IF(($A88&lt;'Alternative 2'!$B$29),(($H$3*'Alternative 2'!$B$39+(($N$52/3)*COS($K$53)))),($H88*'Alternative 2'!$B$39))))</f>
        <v>#VALUE!</v>
      </c>
      <c r="AX88" s="105" t="e">
        <f>AV88*'Alternative 2'!$K89/'Alternative 2'!$L89</f>
        <v>#VALUE!</v>
      </c>
      <c r="AY88" s="105" t="e">
        <f>AW88/'Alternative 2'!$M89</f>
        <v>#VALUE!</v>
      </c>
      <c r="AZ88" s="105" t="e">
        <f t="shared" si="25"/>
        <v>#VALUE!</v>
      </c>
      <c r="BB88" s="105" t="e">
        <f>'Alternative 2'!$B$39*$B88*$C88*COS($K$63)-($N$62/3)*$E88*SIN($K$63)-($N$62/3)*$F88*SIN($K$63)-($N$62/3)*$G88*SIN($K$63)</f>
        <v>#VALUE!</v>
      </c>
      <c r="BC88" s="106" t="e">
        <f>IF(($A88&lt;'Alternative 2'!$B$27),(($H88*'Alternative 2'!$B$39)+(3*($N$62/3)*COS($K$63))),IF(($A88&lt;'Alternative 2'!$B$28),(($H88*'Alternative 2'!$B$39)+(2*(($N$62/3)*COS($K$63)))),IF(($A88&lt;'Alternative 2'!$B$29),(($H$3*'Alternative 2'!$B$39+(($N$62/3)*COS($K$63)))),($H88*'Alternative 2'!$B$39))))</f>
        <v>#VALUE!</v>
      </c>
      <c r="BD88" s="105" t="e">
        <f>BB88*'Alternative 2'!$K89/'Alternative 2'!$L89</f>
        <v>#VALUE!</v>
      </c>
      <c r="BE88" s="105" t="e">
        <f>BC88/'Alternative 2'!$M89</f>
        <v>#VALUE!</v>
      </c>
      <c r="BF88" s="105" t="e">
        <f t="shared" si="26"/>
        <v>#VALUE!</v>
      </c>
      <c r="BH88" s="105" t="e">
        <f>'Alternative 2'!$B$39*$B88*$C88*COS($K$73)-($N$72/3)*$E88*SIN($K$73)-($N$72/3)*$F88*SIN($K$73)-($N$72/3)*$G88*SIN($K$73)</f>
        <v>#VALUE!</v>
      </c>
      <c r="BI88" s="106" t="e">
        <f>IF(($A88&lt;'Alternative 2'!$B$27),(($H88*'Alternative 2'!$B$39)+(3*($N$72/3)*COS($K$73))),IF(($A88&lt;'Alternative 2'!$B$28),(($H88*'Alternative 2'!$B$39)+(2*(($N$72/3)*COS($K$73)))),IF(($A88&lt;'Alternative 2'!$B$29),(($H$3*'Alternative 2'!$B$39+(($N$72/3)*COS($K$73)))),($H88*'Alternative 2'!$B$39))))</f>
        <v>#VALUE!</v>
      </c>
      <c r="BJ88" s="105" t="e">
        <f>BH88*'Alternative 2'!$K89/'Alternative 2'!$L89</f>
        <v>#VALUE!</v>
      </c>
      <c r="BK88" s="105" t="e">
        <f>BI88/'Alternative 2'!$M89</f>
        <v>#VALUE!</v>
      </c>
      <c r="BL88" s="105" t="e">
        <f t="shared" si="27"/>
        <v>#VALUE!</v>
      </c>
      <c r="BN88" s="105" t="e">
        <f>'Alternative 2'!$B$39*$B88*$C88*COS($K$83)-($N$82/3)*$E88*SIN($K$83)-($N$82/3)*$F88*SIN($K$83)-($N$82/3)*$G88*SIN($K$83)</f>
        <v>#VALUE!</v>
      </c>
      <c r="BO88" s="106" t="e">
        <f>IF(($A88&lt;'Alternative 2'!$B$27),(($H88*'Alternative 2'!$B$39)+(3*($N$82/3)*COS($K$83))),IF(($A88&lt;'Alternative 2'!$B$28),(($H88*'Alternative 2'!$B$39)+(2*(($N$82/3)*COS($K$83)))),IF(($A88&lt;'Alternative 2'!$B$29),(($H$3*'Alternative 2'!$B$39+(($N$82/3)*COS($K$83)))),($H88*'Alternative 2'!$B$39))))</f>
        <v>#VALUE!</v>
      </c>
      <c r="BP88" s="105" t="e">
        <f>BN88*'Alternative 2'!$K89/'Alternative 2'!$L89</f>
        <v>#VALUE!</v>
      </c>
      <c r="BQ88" s="105" t="e">
        <f>BO88/'Alternative 2'!$M89</f>
        <v>#VALUE!</v>
      </c>
      <c r="BR88" s="105" t="e">
        <f t="shared" si="28"/>
        <v>#VALUE!</v>
      </c>
      <c r="BT88" s="105" t="e">
        <f>'Alternative 2'!$B$39*$B88*$C88*COS($K$93)-($K$92/3)*$E88*SIN($K$93)-($K$92/3)*$F88*SIN($K$93)-($K$92/3)*$G88*SIN($K$93)</f>
        <v>#VALUE!</v>
      </c>
      <c r="BU88" s="106" t="e">
        <f>IF(($A88&lt;'Alternative 2'!$B$27),(($H88*'Alternative 2'!$B$39)+(3*($N$92/3)*COS($K$93))),IF(($A88&lt;'Alternative 2'!$B$28),(($H88*'Alternative 2'!$B$39)+(2*(($N$92/3)*COS($K$93)))),IF(($A88&lt;'Alternative 2'!$B$29),(($H$3*'Alternative 2'!$B$39+(($N$92/3)*COS($K$93)))),($H88*'Alternative 2'!$B$39))))</f>
        <v>#VALUE!</v>
      </c>
      <c r="BV88" s="105" t="e">
        <f>BT88*'Alternative 2'!$K89/'Alternative 2'!$L89</f>
        <v>#VALUE!</v>
      </c>
      <c r="BW88" s="105" t="e">
        <f>BU88/'Alternative 2'!$M89</f>
        <v>#VALUE!</v>
      </c>
      <c r="BX88" s="105" t="e">
        <f t="shared" si="29"/>
        <v>#VALUE!</v>
      </c>
    </row>
    <row r="89" spans="1:76" ht="15" customHeight="1" x14ac:dyDescent="0.25">
      <c r="A89" s="18" t="str">
        <f>IF('Alternative 2'!F90&gt;0,'Alternative 2'!F90,"x")</f>
        <v>x</v>
      </c>
      <c r="B89" s="18" t="e">
        <f t="shared" si="35"/>
        <v>#VALUE!</v>
      </c>
      <c r="C89" s="18">
        <f t="shared" si="30"/>
        <v>0</v>
      </c>
      <c r="D89" s="18" t="str">
        <f t="shared" si="31"/>
        <v>x</v>
      </c>
      <c r="E89" s="101">
        <f>IF($A89&lt;='Alternative 2'!$B$27, IF($A89='Alternative 2'!$B$27,0,E90+1),0)</f>
        <v>0</v>
      </c>
      <c r="F89" s="101">
        <f>IF($A89&lt;=('Alternative 2'!$B$28), IF($A89=ROUNDDOWN('Alternative 2'!$B$28,0),0,F90+1),0)</f>
        <v>0</v>
      </c>
      <c r="G89" s="101">
        <f>IF($A89&lt;=('Alternative 2'!$B$29), IF($A89=ROUNDDOWN('Alternative 2'!$B$29,0),0,G90+1),0)</f>
        <v>0</v>
      </c>
      <c r="H89" s="18" t="e">
        <f t="shared" si="32"/>
        <v>#VALUE!</v>
      </c>
      <c r="J89" s="104">
        <f t="shared" si="33"/>
        <v>86</v>
      </c>
      <c r="K89" s="104">
        <f t="shared" si="34"/>
        <v>1.5009831567151233</v>
      </c>
      <c r="L89" s="105">
        <f>'Alternative 2'!$B$27*SIN(K89)+'Alternative 2'!$B$28*SIN(K89)+'Alternative 2'!$B$29*SIN(K89)</f>
        <v>42.885278520669843</v>
      </c>
      <c r="M89" s="104">
        <f>(('Alternative 2'!$B$27)*(((('Alternative 2'!$B$28-'Alternative 2'!$B$27)/2)+'Alternative 2'!$B$27)*'Alternative 2'!$B$39)*COS('Alternative 2-Tilt Up (3pt)'!K89))+(('Alternative 2'!$B$28)*((('Alternative 2'!$B$28-'Alternative 2'!$B$27)/2)+(('Alternative 2'!$B$29-'Alternative 2'!$B$28)/2))*('Alternative 2'!$B$39)*COS('Alternative 2-Tilt Up (3pt)'!K89))+(('Alternative 2'!$B$29)*((('Alternative 2'!$B$12-'Alternative 2'!$B$29+(('Alternative 2'!$B$29-'Alternative 2'!$B$28)/2)*('Alternative 2'!$B$39)*COS('Alternative 2-Tilt Up (3pt)'!K89)))))</f>
        <v>42612.88977337128</v>
      </c>
      <c r="N89" s="104">
        <f t="shared" si="18"/>
        <v>2980.9452970790003</v>
      </c>
      <c r="O89" s="104">
        <f>(((('Alternative 2'!$B$28-'Alternative 2'!$B$27)/2)+'Alternative 2'!$B$27)*('Alternative 2'!$B$39)*COS('Alternative 2-Tilt Up (3pt)'!K89))+(((('Alternative 2'!$B$28-'Alternative 2'!$B$27)/2)+(('Alternative 2'!$B$29-'Alternative 2'!$B$28)/2))*('Alternative 2'!$B$39)*COS('Alternative 2-Tilt Up (3pt)'!K89))+(((('Alternative 2'!$B$12-'Alternative 2'!$B$29)+(('Alternative 2'!$B$29-'Alternative 2'!$B$28)/2))*('Alternative 2'!$B$39)*COS('Alternative 2-Tilt Up (3pt)'!K89)))</f>
        <v>4365.2094022678466</v>
      </c>
      <c r="P89" s="104">
        <f t="shared" si="19"/>
        <v>207.94023234836553</v>
      </c>
      <c r="R89" s="105" t="e">
        <f>'Alternative 2'!$B$39*$B89*$C89*COS($K$5)-($N$5/3)*$E89*SIN($K$5)-($N$5/3)*$F89*SIN($K$5)-($N$5/3)*$G89*SIN($K$5)</f>
        <v>#VALUE!</v>
      </c>
      <c r="S89" s="106" t="e">
        <f>IF(($A89&lt;'Alternative 2'!$B$27),(($H89*'Alternative 2'!$B$39)+(3*($N$5/3)*COS($K$5))),IF(($A89&lt;'Alternative 2'!$B$28),(($H89*'Alternative 2'!$B$39)+(2*(($N$5/3)*COS($K$5)))),IF(($A89&lt;'Alternative 2'!$B$29),(($H$3*'Alternative 2'!$B$39+(($N$5/3)*COS($K$5)))),($H89*'Alternative 2'!$B$39))))</f>
        <v>#VALUE!</v>
      </c>
      <c r="T89" s="105" t="e">
        <f>R89*'Alternative 2'!$K90/'Alternative 2'!$L90</f>
        <v>#VALUE!</v>
      </c>
      <c r="U89" s="105" t="e">
        <f>S89/'Alternative 2'!$M90</f>
        <v>#VALUE!</v>
      </c>
      <c r="V89" s="105" t="e">
        <f t="shared" si="20"/>
        <v>#VALUE!</v>
      </c>
      <c r="X89" s="105" t="e">
        <f>'Alternative 2'!$B$39*$B89*$C89*COS($K$13)-($N$12/3)*$E89*SIN($K$13)-($N$12/3)*$F89*SIN($K$13)-($N$12/3)*$G89*SIN($K$13)</f>
        <v>#VALUE!</v>
      </c>
      <c r="Y89" s="106" t="e">
        <f>IF(($A89&lt;'Alternative 2'!$B$27),(($H89*'Alternative 2'!$B$39)+(3*($N$12/3)*COS($K$13))),IF(($A89&lt;'Alternative 2'!$B$28),(($H89*'Alternative 2'!$B$39)+(2*(($N$12/3)*COS($K$13)))),IF(($A89&lt;'Alternative 2'!$B$29),(($H$3*'Alternative 2'!$B$39+(($N$12/3)*COS($K$13)))),($H89*'Alternative 2'!$B$39))))</f>
        <v>#VALUE!</v>
      </c>
      <c r="Z89" s="105" t="e">
        <f>X89*'Alternative 2'!$K90/'Alternative 2'!$L90</f>
        <v>#VALUE!</v>
      </c>
      <c r="AA89" s="105" t="e">
        <f>Y89/'Alternative 2'!$M90</f>
        <v>#VALUE!</v>
      </c>
      <c r="AB89" s="105" t="e">
        <f t="shared" si="21"/>
        <v>#VALUE!</v>
      </c>
      <c r="AD89" s="105" t="e">
        <f>'Alternative 2'!$B$39*$B89*$C89*COS($K$23)-($N$22/3)*$E89*SIN($K$23)-($N$22/3)*$F89*SIN($K$23)-($N$22/3)*$G89*SIN($K$23)</f>
        <v>#VALUE!</v>
      </c>
      <c r="AE89" s="106" t="e">
        <f>IF(($A89&lt;'Alternative 2'!$B$27),(($H89*'Alternative 2'!$B$39)+(3*($N$22/3)*COS($K$23))),IF(($A89&lt;'Alternative 2'!$B$28),(($H89*'Alternative 2'!$B$39)+(2*(($N$22/3)*COS($K$23)))),IF(($A89&lt;'Alternative 2'!$B$29),(($H$3*'Alternative 2'!$B$39+(($N$22/3)*COS($K$23)))),($H89*'Alternative 2'!$B$39))))</f>
        <v>#VALUE!</v>
      </c>
      <c r="AF89" s="105" t="e">
        <f>AD89*'Alternative 2'!$K90/'Alternative 2'!$L90</f>
        <v>#VALUE!</v>
      </c>
      <c r="AG89" s="105" t="e">
        <f>AE89/'Alternative 2'!$M90</f>
        <v>#VALUE!</v>
      </c>
      <c r="AH89" s="105" t="e">
        <f t="shared" si="22"/>
        <v>#VALUE!</v>
      </c>
      <c r="AJ89" s="105" t="e">
        <f>'Alternative 2'!$B$39*$B89*$C89*COS($K$33)-($N$32/3)*$E89*SIN($K$33)-($N$32/3)*$F89*SIN($K$33)-($N$32/3)*$G89*SIN($K$33)</f>
        <v>#VALUE!</v>
      </c>
      <c r="AK89" s="106" t="e">
        <f>IF(($A89&lt;'Alternative 2'!$B$27),(($H89*'Alternative 2'!$B$39)+(3*($N$32/3)*COS($K$33))),IF(($A89&lt;'Alternative 2'!$B$28),(($H89*'Alternative 2'!$B$39)+(2*(($N$32/3)*COS($K$33)))),IF(($A89&lt;'Alternative 2'!$B$29),(($H$3*'Alternative 2'!$B$39+(($N$32/3)*COS($K$33)))),($H89*'Alternative 2'!$B$39))))</f>
        <v>#VALUE!</v>
      </c>
      <c r="AL89" s="105" t="e">
        <f>AJ89*'Alternative 2'!$K90/'Alternative 2'!$L90</f>
        <v>#VALUE!</v>
      </c>
      <c r="AM89" s="105" t="e">
        <f>AK89/'Alternative 2'!$M90</f>
        <v>#VALUE!</v>
      </c>
      <c r="AN89" s="105" t="e">
        <f t="shared" si="23"/>
        <v>#VALUE!</v>
      </c>
      <c r="AP89" s="105" t="e">
        <f>'Alternative 2'!$B$39*$B89*$C89*COS($K$43)-($N$42/3)*$E89*SIN($K$43)-($N$42/3)*$F89*SIN($K$43)-($N$42/3)*$G89*SIN($K$43)</f>
        <v>#VALUE!</v>
      </c>
      <c r="AQ89" s="106" t="e">
        <f>IF(($A89&lt;'Alternative 2'!$B$27),(($H89*'Alternative 2'!$B$39)+(3*($N$42/3)*COS($K$43))),IF(($A89&lt;'Alternative 2'!$B$28),(($H89*'Alternative 2'!$B$39)+(2*(($N$42/3)*COS($K$43)))),IF(($A89&lt;'Alternative 2'!$B$29),(($H$3*'Alternative 2'!$B$39+(($N$42/3)*COS($K$43)))),($H89*'Alternative 2'!$B$39))))</f>
        <v>#VALUE!</v>
      </c>
      <c r="AR89" s="105" t="e">
        <f>AP89*'Alternative 2'!$K90/'Alternative 2'!$L90</f>
        <v>#VALUE!</v>
      </c>
      <c r="AS89" s="105" t="e">
        <f>AQ89/'Alternative 2'!$M90</f>
        <v>#VALUE!</v>
      </c>
      <c r="AT89" s="105" t="e">
        <f t="shared" si="24"/>
        <v>#VALUE!</v>
      </c>
      <c r="AV89" s="105" t="e">
        <f>'Alternative 2'!$B$39*$B89*$C89*COS($K$53)-($N$52/3)*$E89*SIN($K$53)-($N$52/3)*$F89*SIN($K$53)-($N$52/3)*$G89*SIN($K$53)</f>
        <v>#VALUE!</v>
      </c>
      <c r="AW89" s="106" t="e">
        <f>IF(($A89&lt;'Alternative 2'!$B$27),(($H89*'Alternative 2'!$B$39)+(3*($N$52/3)*COS($K$53))),IF(($A89&lt;'Alternative 2'!$B$28),(($H89*'Alternative 2'!$B$39)+(2*(($N$52/3)*COS($K$53)))),IF(($A89&lt;'Alternative 2'!$B$29),(($H$3*'Alternative 2'!$B$39+(($N$52/3)*COS($K$53)))),($H89*'Alternative 2'!$B$39))))</f>
        <v>#VALUE!</v>
      </c>
      <c r="AX89" s="105" t="e">
        <f>AV89*'Alternative 2'!$K90/'Alternative 2'!$L90</f>
        <v>#VALUE!</v>
      </c>
      <c r="AY89" s="105" t="e">
        <f>AW89/'Alternative 2'!$M90</f>
        <v>#VALUE!</v>
      </c>
      <c r="AZ89" s="105" t="e">
        <f t="shared" si="25"/>
        <v>#VALUE!</v>
      </c>
      <c r="BB89" s="105" t="e">
        <f>'Alternative 2'!$B$39*$B89*$C89*COS($K$63)-($N$62/3)*$E89*SIN($K$63)-($N$62/3)*$F89*SIN($K$63)-($N$62/3)*$G89*SIN($K$63)</f>
        <v>#VALUE!</v>
      </c>
      <c r="BC89" s="106" t="e">
        <f>IF(($A89&lt;'Alternative 2'!$B$27),(($H89*'Alternative 2'!$B$39)+(3*($N$62/3)*COS($K$63))),IF(($A89&lt;'Alternative 2'!$B$28),(($H89*'Alternative 2'!$B$39)+(2*(($N$62/3)*COS($K$63)))),IF(($A89&lt;'Alternative 2'!$B$29),(($H$3*'Alternative 2'!$B$39+(($N$62/3)*COS($K$63)))),($H89*'Alternative 2'!$B$39))))</f>
        <v>#VALUE!</v>
      </c>
      <c r="BD89" s="105" t="e">
        <f>BB89*'Alternative 2'!$K90/'Alternative 2'!$L90</f>
        <v>#VALUE!</v>
      </c>
      <c r="BE89" s="105" t="e">
        <f>BC89/'Alternative 2'!$M90</f>
        <v>#VALUE!</v>
      </c>
      <c r="BF89" s="105" t="e">
        <f t="shared" si="26"/>
        <v>#VALUE!</v>
      </c>
      <c r="BH89" s="105" t="e">
        <f>'Alternative 2'!$B$39*$B89*$C89*COS($K$73)-($N$72/3)*$E89*SIN($K$73)-($N$72/3)*$F89*SIN($K$73)-($N$72/3)*$G89*SIN($K$73)</f>
        <v>#VALUE!</v>
      </c>
      <c r="BI89" s="106" t="e">
        <f>IF(($A89&lt;'Alternative 2'!$B$27),(($H89*'Alternative 2'!$B$39)+(3*($N$72/3)*COS($K$73))),IF(($A89&lt;'Alternative 2'!$B$28),(($H89*'Alternative 2'!$B$39)+(2*(($N$72/3)*COS($K$73)))),IF(($A89&lt;'Alternative 2'!$B$29),(($H$3*'Alternative 2'!$B$39+(($N$72/3)*COS($K$73)))),($H89*'Alternative 2'!$B$39))))</f>
        <v>#VALUE!</v>
      </c>
      <c r="BJ89" s="105" t="e">
        <f>BH89*'Alternative 2'!$K90/'Alternative 2'!$L90</f>
        <v>#VALUE!</v>
      </c>
      <c r="BK89" s="105" t="e">
        <f>BI89/'Alternative 2'!$M90</f>
        <v>#VALUE!</v>
      </c>
      <c r="BL89" s="105" t="e">
        <f t="shared" si="27"/>
        <v>#VALUE!</v>
      </c>
      <c r="BN89" s="105" t="e">
        <f>'Alternative 2'!$B$39*$B89*$C89*COS($K$83)-($N$82/3)*$E89*SIN($K$83)-($N$82/3)*$F89*SIN($K$83)-($N$82/3)*$G89*SIN($K$83)</f>
        <v>#VALUE!</v>
      </c>
      <c r="BO89" s="106" t="e">
        <f>IF(($A89&lt;'Alternative 2'!$B$27),(($H89*'Alternative 2'!$B$39)+(3*($N$82/3)*COS($K$83))),IF(($A89&lt;'Alternative 2'!$B$28),(($H89*'Alternative 2'!$B$39)+(2*(($N$82/3)*COS($K$83)))),IF(($A89&lt;'Alternative 2'!$B$29),(($H$3*'Alternative 2'!$B$39+(($N$82/3)*COS($K$83)))),($H89*'Alternative 2'!$B$39))))</f>
        <v>#VALUE!</v>
      </c>
      <c r="BP89" s="105" t="e">
        <f>BN89*'Alternative 2'!$K90/'Alternative 2'!$L90</f>
        <v>#VALUE!</v>
      </c>
      <c r="BQ89" s="105" t="e">
        <f>BO89/'Alternative 2'!$M90</f>
        <v>#VALUE!</v>
      </c>
      <c r="BR89" s="105" t="e">
        <f t="shared" si="28"/>
        <v>#VALUE!</v>
      </c>
      <c r="BT89" s="105" t="e">
        <f>'Alternative 2'!$B$39*$B89*$C89*COS($K$93)-($K$92/3)*$E89*SIN($K$93)-($K$92/3)*$F89*SIN($K$93)-($K$92/3)*$G89*SIN($K$93)</f>
        <v>#VALUE!</v>
      </c>
      <c r="BU89" s="106" t="e">
        <f>IF(($A89&lt;'Alternative 2'!$B$27),(($H89*'Alternative 2'!$B$39)+(3*($N$92/3)*COS($K$93))),IF(($A89&lt;'Alternative 2'!$B$28),(($H89*'Alternative 2'!$B$39)+(2*(($N$92/3)*COS($K$93)))),IF(($A89&lt;'Alternative 2'!$B$29),(($H$3*'Alternative 2'!$B$39+(($N$92/3)*COS($K$93)))),($H89*'Alternative 2'!$B$39))))</f>
        <v>#VALUE!</v>
      </c>
      <c r="BV89" s="105" t="e">
        <f>BT89*'Alternative 2'!$K90/'Alternative 2'!$L90</f>
        <v>#VALUE!</v>
      </c>
      <c r="BW89" s="105" t="e">
        <f>BU89/'Alternative 2'!$M90</f>
        <v>#VALUE!</v>
      </c>
      <c r="BX89" s="105" t="e">
        <f t="shared" si="29"/>
        <v>#VALUE!</v>
      </c>
    </row>
    <row r="90" spans="1:76" ht="15" customHeight="1" x14ac:dyDescent="0.25">
      <c r="A90" s="18" t="str">
        <f>IF('Alternative 2'!F91&gt;0,'Alternative 2'!F91,"x")</f>
        <v>x</v>
      </c>
      <c r="B90" s="18" t="e">
        <f t="shared" si="35"/>
        <v>#VALUE!</v>
      </c>
      <c r="C90" s="18">
        <f t="shared" si="30"/>
        <v>0</v>
      </c>
      <c r="D90" s="18" t="str">
        <f t="shared" si="31"/>
        <v>x</v>
      </c>
      <c r="E90" s="101">
        <f>IF($A90&lt;='Alternative 2'!$B$27, IF($A90='Alternative 2'!$B$27,0,E91+1),0)</f>
        <v>0</v>
      </c>
      <c r="F90" s="101">
        <f>IF($A90&lt;=('Alternative 2'!$B$28), IF($A90=ROUNDDOWN('Alternative 2'!$B$28,0),0,F91+1),0)</f>
        <v>0</v>
      </c>
      <c r="G90" s="101">
        <f>IF($A90&lt;=('Alternative 2'!$B$29), IF($A90=ROUNDDOWN('Alternative 2'!$B$29,0),0,G91+1),0)</f>
        <v>0</v>
      </c>
      <c r="H90" s="18" t="e">
        <f t="shared" si="32"/>
        <v>#VALUE!</v>
      </c>
      <c r="J90" s="104">
        <f t="shared" si="33"/>
        <v>87</v>
      </c>
      <c r="K90" s="104">
        <f t="shared" si="34"/>
        <v>1.5184364492350666</v>
      </c>
      <c r="L90" s="105">
        <f>'Alternative 2'!$B$27*SIN(K90)+'Alternative 2'!$B$28*SIN(K90)+'Alternative 2'!$B$29*SIN(K90)</f>
        <v>42.931083699099133</v>
      </c>
      <c r="M90" s="104">
        <f>(('Alternative 2'!$B$27)*(((('Alternative 2'!$B$28-'Alternative 2'!$B$27)/2)+'Alternative 2'!$B$27)*'Alternative 2'!$B$39)*COS('Alternative 2-Tilt Up (3pt)'!K90))+(('Alternative 2'!$B$28)*((('Alternative 2'!$B$28-'Alternative 2'!$B$27)/2)+(('Alternative 2'!$B$29-'Alternative 2'!$B$28)/2))*('Alternative 2'!$B$39)*COS('Alternative 2-Tilt Up (3pt)'!K90))+(('Alternative 2'!$B$29)*((('Alternative 2'!$B$12-'Alternative 2'!$B$29+(('Alternative 2'!$B$29-'Alternative 2'!$B$28)/2)*('Alternative 2'!$B$39)*COS('Alternative 2-Tilt Up (3pt)'!K90)))))</f>
        <v>31991.254788879152</v>
      </c>
      <c r="N90" s="104">
        <f t="shared" si="18"/>
        <v>2235.5309043515099</v>
      </c>
      <c r="O90" s="104">
        <f>(((('Alternative 2'!$B$28-'Alternative 2'!$B$27)/2)+'Alternative 2'!$B$27)*('Alternative 2'!$B$39)*COS('Alternative 2-Tilt Up (3pt)'!K90))+(((('Alternative 2'!$B$28-'Alternative 2'!$B$27)/2)+(('Alternative 2'!$B$29-'Alternative 2'!$B$28)/2))*('Alternative 2'!$B$39)*COS('Alternative 2-Tilt Up (3pt)'!K90))+(((('Alternative 2'!$B$12-'Alternative 2'!$B$29)+(('Alternative 2'!$B$29-'Alternative 2'!$B$28)/2))*('Alternative 2'!$B$39)*COS('Alternative 2-Tilt Up (3pt)'!K90)))</f>
        <v>3275.0710580122632</v>
      </c>
      <c r="P90" s="104">
        <f t="shared" si="19"/>
        <v>116.99864758988957</v>
      </c>
      <c r="R90" s="105" t="e">
        <f>'Alternative 2'!$B$39*$B90*$C90*COS($K$5)-($N$5/3)*$E90*SIN($K$5)-($N$5/3)*$F90*SIN($K$5)-($N$5/3)*$G90*SIN($K$5)</f>
        <v>#VALUE!</v>
      </c>
      <c r="S90" s="106" t="e">
        <f>IF(($A90&lt;'Alternative 2'!$B$27),(($H90*'Alternative 2'!$B$39)+(3*($N$5/3)*COS($K$5))),IF(($A90&lt;'Alternative 2'!$B$28),(($H90*'Alternative 2'!$B$39)+(2*(($N$5/3)*COS($K$5)))),IF(($A90&lt;'Alternative 2'!$B$29),(($H$3*'Alternative 2'!$B$39+(($N$5/3)*COS($K$5)))),($H90*'Alternative 2'!$B$39))))</f>
        <v>#VALUE!</v>
      </c>
      <c r="T90" s="105" t="e">
        <f>R90*'Alternative 2'!$K91/'Alternative 2'!$L91</f>
        <v>#VALUE!</v>
      </c>
      <c r="U90" s="105" t="e">
        <f>S90/'Alternative 2'!$M91</f>
        <v>#VALUE!</v>
      </c>
      <c r="V90" s="105" t="e">
        <f t="shared" si="20"/>
        <v>#VALUE!</v>
      </c>
      <c r="X90" s="105" t="e">
        <f>'Alternative 2'!$B$39*$B90*$C90*COS($K$13)-($N$12/3)*$E90*SIN($K$13)-($N$12/3)*$F90*SIN($K$13)-($N$12/3)*$G90*SIN($K$13)</f>
        <v>#VALUE!</v>
      </c>
      <c r="Y90" s="106" t="e">
        <f>IF(($A90&lt;'Alternative 2'!$B$27),(($H90*'Alternative 2'!$B$39)+(3*($N$12/3)*COS($K$13))),IF(($A90&lt;'Alternative 2'!$B$28),(($H90*'Alternative 2'!$B$39)+(2*(($N$12/3)*COS($K$13)))),IF(($A90&lt;'Alternative 2'!$B$29),(($H$3*'Alternative 2'!$B$39+(($N$12/3)*COS($K$13)))),($H90*'Alternative 2'!$B$39))))</f>
        <v>#VALUE!</v>
      </c>
      <c r="Z90" s="105" t="e">
        <f>X90*'Alternative 2'!$K91/'Alternative 2'!$L91</f>
        <v>#VALUE!</v>
      </c>
      <c r="AA90" s="105" t="e">
        <f>Y90/'Alternative 2'!$M91</f>
        <v>#VALUE!</v>
      </c>
      <c r="AB90" s="105" t="e">
        <f t="shared" si="21"/>
        <v>#VALUE!</v>
      </c>
      <c r="AD90" s="105" t="e">
        <f>'Alternative 2'!$B$39*$B90*$C90*COS($K$23)-($N$22/3)*$E90*SIN($K$23)-($N$22/3)*$F90*SIN($K$23)-($N$22/3)*$G90*SIN($K$23)</f>
        <v>#VALUE!</v>
      </c>
      <c r="AE90" s="106" t="e">
        <f>IF(($A90&lt;'Alternative 2'!$B$27),(($H90*'Alternative 2'!$B$39)+(3*($N$22/3)*COS($K$23))),IF(($A90&lt;'Alternative 2'!$B$28),(($H90*'Alternative 2'!$B$39)+(2*(($N$22/3)*COS($K$23)))),IF(($A90&lt;'Alternative 2'!$B$29),(($H$3*'Alternative 2'!$B$39+(($N$22/3)*COS($K$23)))),($H90*'Alternative 2'!$B$39))))</f>
        <v>#VALUE!</v>
      </c>
      <c r="AF90" s="105" t="e">
        <f>AD90*'Alternative 2'!$K91/'Alternative 2'!$L91</f>
        <v>#VALUE!</v>
      </c>
      <c r="AG90" s="105" t="e">
        <f>AE90/'Alternative 2'!$M91</f>
        <v>#VALUE!</v>
      </c>
      <c r="AH90" s="105" t="e">
        <f t="shared" si="22"/>
        <v>#VALUE!</v>
      </c>
      <c r="AJ90" s="105" t="e">
        <f>'Alternative 2'!$B$39*$B90*$C90*COS($K$33)-($N$32/3)*$E90*SIN($K$33)-($N$32/3)*$F90*SIN($K$33)-($N$32/3)*$G90*SIN($K$33)</f>
        <v>#VALUE!</v>
      </c>
      <c r="AK90" s="106" t="e">
        <f>IF(($A90&lt;'Alternative 2'!$B$27),(($H90*'Alternative 2'!$B$39)+(3*($N$32/3)*COS($K$33))),IF(($A90&lt;'Alternative 2'!$B$28),(($H90*'Alternative 2'!$B$39)+(2*(($N$32/3)*COS($K$33)))),IF(($A90&lt;'Alternative 2'!$B$29),(($H$3*'Alternative 2'!$B$39+(($N$32/3)*COS($K$33)))),($H90*'Alternative 2'!$B$39))))</f>
        <v>#VALUE!</v>
      </c>
      <c r="AL90" s="105" t="e">
        <f>AJ90*'Alternative 2'!$K91/'Alternative 2'!$L91</f>
        <v>#VALUE!</v>
      </c>
      <c r="AM90" s="105" t="e">
        <f>AK90/'Alternative 2'!$M91</f>
        <v>#VALUE!</v>
      </c>
      <c r="AN90" s="105" t="e">
        <f t="shared" si="23"/>
        <v>#VALUE!</v>
      </c>
      <c r="AP90" s="105" t="e">
        <f>'Alternative 2'!$B$39*$B90*$C90*COS($K$43)-($N$42/3)*$E90*SIN($K$43)-($N$42/3)*$F90*SIN($K$43)-($N$42/3)*$G90*SIN($K$43)</f>
        <v>#VALUE!</v>
      </c>
      <c r="AQ90" s="106" t="e">
        <f>IF(($A90&lt;'Alternative 2'!$B$27),(($H90*'Alternative 2'!$B$39)+(3*($N$42/3)*COS($K$43))),IF(($A90&lt;'Alternative 2'!$B$28),(($H90*'Alternative 2'!$B$39)+(2*(($N$42/3)*COS($K$43)))),IF(($A90&lt;'Alternative 2'!$B$29),(($H$3*'Alternative 2'!$B$39+(($N$42/3)*COS($K$43)))),($H90*'Alternative 2'!$B$39))))</f>
        <v>#VALUE!</v>
      </c>
      <c r="AR90" s="105" t="e">
        <f>AP90*'Alternative 2'!$K91/'Alternative 2'!$L91</f>
        <v>#VALUE!</v>
      </c>
      <c r="AS90" s="105" t="e">
        <f>AQ90/'Alternative 2'!$M91</f>
        <v>#VALUE!</v>
      </c>
      <c r="AT90" s="105" t="e">
        <f t="shared" si="24"/>
        <v>#VALUE!</v>
      </c>
      <c r="AV90" s="105" t="e">
        <f>'Alternative 2'!$B$39*$B90*$C90*COS($K$53)-($N$52/3)*$E90*SIN($K$53)-($N$52/3)*$F90*SIN($K$53)-($N$52/3)*$G90*SIN($K$53)</f>
        <v>#VALUE!</v>
      </c>
      <c r="AW90" s="106" t="e">
        <f>IF(($A90&lt;'Alternative 2'!$B$27),(($H90*'Alternative 2'!$B$39)+(3*($N$52/3)*COS($K$53))),IF(($A90&lt;'Alternative 2'!$B$28),(($H90*'Alternative 2'!$B$39)+(2*(($N$52/3)*COS($K$53)))),IF(($A90&lt;'Alternative 2'!$B$29),(($H$3*'Alternative 2'!$B$39+(($N$52/3)*COS($K$53)))),($H90*'Alternative 2'!$B$39))))</f>
        <v>#VALUE!</v>
      </c>
      <c r="AX90" s="105" t="e">
        <f>AV90*'Alternative 2'!$K91/'Alternative 2'!$L91</f>
        <v>#VALUE!</v>
      </c>
      <c r="AY90" s="105" t="e">
        <f>AW90/'Alternative 2'!$M91</f>
        <v>#VALUE!</v>
      </c>
      <c r="AZ90" s="105" t="e">
        <f t="shared" si="25"/>
        <v>#VALUE!</v>
      </c>
      <c r="BB90" s="105" t="e">
        <f>'Alternative 2'!$B$39*$B90*$C90*COS($K$63)-($N$62/3)*$E90*SIN($K$63)-($N$62/3)*$F90*SIN($K$63)-($N$62/3)*$G90*SIN($K$63)</f>
        <v>#VALUE!</v>
      </c>
      <c r="BC90" s="106" t="e">
        <f>IF(($A90&lt;'Alternative 2'!$B$27),(($H90*'Alternative 2'!$B$39)+(3*($N$62/3)*COS($K$63))),IF(($A90&lt;'Alternative 2'!$B$28),(($H90*'Alternative 2'!$B$39)+(2*(($N$62/3)*COS($K$63)))),IF(($A90&lt;'Alternative 2'!$B$29),(($H$3*'Alternative 2'!$B$39+(($N$62/3)*COS($K$63)))),($H90*'Alternative 2'!$B$39))))</f>
        <v>#VALUE!</v>
      </c>
      <c r="BD90" s="105" t="e">
        <f>BB90*'Alternative 2'!$K91/'Alternative 2'!$L91</f>
        <v>#VALUE!</v>
      </c>
      <c r="BE90" s="105" t="e">
        <f>BC90/'Alternative 2'!$M91</f>
        <v>#VALUE!</v>
      </c>
      <c r="BF90" s="105" t="e">
        <f t="shared" si="26"/>
        <v>#VALUE!</v>
      </c>
      <c r="BH90" s="105" t="e">
        <f>'Alternative 2'!$B$39*$B90*$C90*COS($K$73)-($N$72/3)*$E90*SIN($K$73)-($N$72/3)*$F90*SIN($K$73)-($N$72/3)*$G90*SIN($K$73)</f>
        <v>#VALUE!</v>
      </c>
      <c r="BI90" s="106" t="e">
        <f>IF(($A90&lt;'Alternative 2'!$B$27),(($H90*'Alternative 2'!$B$39)+(3*($N$72/3)*COS($K$73))),IF(($A90&lt;'Alternative 2'!$B$28),(($H90*'Alternative 2'!$B$39)+(2*(($N$72/3)*COS($K$73)))),IF(($A90&lt;'Alternative 2'!$B$29),(($H$3*'Alternative 2'!$B$39+(($N$72/3)*COS($K$73)))),($H90*'Alternative 2'!$B$39))))</f>
        <v>#VALUE!</v>
      </c>
      <c r="BJ90" s="105" t="e">
        <f>BH90*'Alternative 2'!$K91/'Alternative 2'!$L91</f>
        <v>#VALUE!</v>
      </c>
      <c r="BK90" s="105" t="e">
        <f>BI90/'Alternative 2'!$M91</f>
        <v>#VALUE!</v>
      </c>
      <c r="BL90" s="105" t="e">
        <f t="shared" si="27"/>
        <v>#VALUE!</v>
      </c>
      <c r="BN90" s="105" t="e">
        <f>'Alternative 2'!$B$39*$B90*$C90*COS($K$83)-($N$82/3)*$E90*SIN($K$83)-($N$82/3)*$F90*SIN($K$83)-($N$82/3)*$G90*SIN($K$83)</f>
        <v>#VALUE!</v>
      </c>
      <c r="BO90" s="106" t="e">
        <f>IF(($A90&lt;'Alternative 2'!$B$27),(($H90*'Alternative 2'!$B$39)+(3*($N$82/3)*COS($K$83))),IF(($A90&lt;'Alternative 2'!$B$28),(($H90*'Alternative 2'!$B$39)+(2*(($N$82/3)*COS($K$83)))),IF(($A90&lt;'Alternative 2'!$B$29),(($H$3*'Alternative 2'!$B$39+(($N$82/3)*COS($K$83)))),($H90*'Alternative 2'!$B$39))))</f>
        <v>#VALUE!</v>
      </c>
      <c r="BP90" s="105" t="e">
        <f>BN90*'Alternative 2'!$K91/'Alternative 2'!$L91</f>
        <v>#VALUE!</v>
      </c>
      <c r="BQ90" s="105" t="e">
        <f>BO90/'Alternative 2'!$M91</f>
        <v>#VALUE!</v>
      </c>
      <c r="BR90" s="105" t="e">
        <f t="shared" si="28"/>
        <v>#VALUE!</v>
      </c>
      <c r="BT90" s="105" t="e">
        <f>'Alternative 2'!$B$39*$B90*$C90*COS($K$93)-($K$92/3)*$E90*SIN($K$93)-($K$92/3)*$F90*SIN($K$93)-($K$92/3)*$G90*SIN($K$93)</f>
        <v>#VALUE!</v>
      </c>
      <c r="BU90" s="106" t="e">
        <f>IF(($A90&lt;'Alternative 2'!$B$27),(($H90*'Alternative 2'!$B$39)+(3*($N$92/3)*COS($K$93))),IF(($A90&lt;'Alternative 2'!$B$28),(($H90*'Alternative 2'!$B$39)+(2*(($N$92/3)*COS($K$93)))),IF(($A90&lt;'Alternative 2'!$B$29),(($H$3*'Alternative 2'!$B$39+(($N$92/3)*COS($K$93)))),($H90*'Alternative 2'!$B$39))))</f>
        <v>#VALUE!</v>
      </c>
      <c r="BV90" s="105" t="e">
        <f>BT90*'Alternative 2'!$K91/'Alternative 2'!$L91</f>
        <v>#VALUE!</v>
      </c>
      <c r="BW90" s="105" t="e">
        <f>BU90/'Alternative 2'!$M91</f>
        <v>#VALUE!</v>
      </c>
      <c r="BX90" s="105" t="e">
        <f t="shared" si="29"/>
        <v>#VALUE!</v>
      </c>
    </row>
    <row r="91" spans="1:76" ht="15" customHeight="1" x14ac:dyDescent="0.25">
      <c r="A91" s="18" t="str">
        <f>IF('Alternative 2'!F92&gt;0,'Alternative 2'!F92,"x")</f>
        <v>x</v>
      </c>
      <c r="B91" s="18" t="e">
        <f t="shared" si="35"/>
        <v>#VALUE!</v>
      </c>
      <c r="C91" s="18">
        <f t="shared" si="30"/>
        <v>0</v>
      </c>
      <c r="D91" s="18" t="str">
        <f t="shared" si="31"/>
        <v>x</v>
      </c>
      <c r="E91" s="101">
        <f>IF($A91&lt;='Alternative 2'!$B$27, IF($A91='Alternative 2'!$B$27,0,E92+1),0)</f>
        <v>0</v>
      </c>
      <c r="F91" s="101">
        <f>IF($A91&lt;=('Alternative 2'!$B$28), IF($A91=ROUNDDOWN('Alternative 2'!$B$28,0),0,F92+1),0)</f>
        <v>0</v>
      </c>
      <c r="G91" s="101">
        <f>IF($A91&lt;=('Alternative 2'!$B$29), IF($A91=ROUNDDOWN('Alternative 2'!$B$29,0),0,G92+1),0)</f>
        <v>0</v>
      </c>
      <c r="H91" s="18" t="e">
        <f t="shared" si="32"/>
        <v>#VALUE!</v>
      </c>
      <c r="J91" s="104">
        <f t="shared" si="33"/>
        <v>88</v>
      </c>
      <c r="K91" s="104">
        <f t="shared" si="34"/>
        <v>1.5358897417550099</v>
      </c>
      <c r="L91" s="105">
        <f>'Alternative 2'!$B$27*SIN(K91)+'Alternative 2'!$B$28*SIN(K91)+'Alternative 2'!$B$29*SIN(K91)</f>
        <v>42.963811653550934</v>
      </c>
      <c r="M91" s="104">
        <f>(('Alternative 2'!$B$27)*(((('Alternative 2'!$B$28-'Alternative 2'!$B$27)/2)+'Alternative 2'!$B$27)*'Alternative 2'!$B$39)*COS('Alternative 2-Tilt Up (3pt)'!K91))+(('Alternative 2'!$B$28)*((('Alternative 2'!$B$28-'Alternative 2'!$B$27)/2)+(('Alternative 2'!$B$29-'Alternative 2'!$B$28)/2))*('Alternative 2'!$B$39)*COS('Alternative 2-Tilt Up (3pt)'!K91))+(('Alternative 2'!$B$29)*((('Alternative 2'!$B$12-'Alternative 2'!$B$29+(('Alternative 2'!$B$29-'Alternative 2'!$B$28)/2)*('Alternative 2'!$B$39)*COS('Alternative 2-Tilt Up (3pt)'!K91)))))</f>
        <v>21359.89962690484</v>
      </c>
      <c r="N91" s="104">
        <f t="shared" si="18"/>
        <v>1491.4807698496736</v>
      </c>
      <c r="O91" s="104">
        <f>(((('Alternative 2'!$B$28-'Alternative 2'!$B$27)/2)+'Alternative 2'!$B$27)*('Alternative 2'!$B$39)*COS('Alternative 2-Tilt Up (3pt)'!K91))+(((('Alternative 2'!$B$28-'Alternative 2'!$B$27)/2)+(('Alternative 2'!$B$29-'Alternative 2'!$B$28)/2))*('Alternative 2'!$B$39)*COS('Alternative 2-Tilt Up (3pt)'!K91))+(((('Alternative 2'!$B$12-'Alternative 2'!$B$29)+(('Alternative 2'!$B$29-'Alternative 2'!$B$28)/2))*('Alternative 2'!$B$39)*COS('Alternative 2-Tilt Up (3pt)'!K91)))</f>
        <v>2183.935095386083</v>
      </c>
      <c r="P91" s="104">
        <f t="shared" si="19"/>
        <v>52.051928209212456</v>
      </c>
      <c r="R91" s="105" t="e">
        <f>'Alternative 2'!$B$39*$B91*$C91*COS($K$5)-($N$5/3)*$E91*SIN($K$5)-($N$5/3)*$F91*SIN($K$5)-($N$5/3)*$G91*SIN($K$5)</f>
        <v>#VALUE!</v>
      </c>
      <c r="S91" s="106" t="e">
        <f>IF(($A91&lt;'Alternative 2'!$B$27),(($H91*'Alternative 2'!$B$39)+(3*($N$5/3)*COS($K$5))),IF(($A91&lt;'Alternative 2'!$B$28),(($H91*'Alternative 2'!$B$39)+(2*(($N$5/3)*COS($K$5)))),IF(($A91&lt;'Alternative 2'!$B$29),(($H$3*'Alternative 2'!$B$39+(($N$5/3)*COS($K$5)))),($H91*'Alternative 2'!$B$39))))</f>
        <v>#VALUE!</v>
      </c>
      <c r="T91" s="105" t="e">
        <f>R91*'Alternative 2'!$K92/'Alternative 2'!$L92</f>
        <v>#VALUE!</v>
      </c>
      <c r="U91" s="105" t="e">
        <f>S91/'Alternative 2'!$M92</f>
        <v>#VALUE!</v>
      </c>
      <c r="V91" s="105" t="e">
        <f t="shared" si="20"/>
        <v>#VALUE!</v>
      </c>
      <c r="X91" s="105" t="e">
        <f>'Alternative 2'!$B$39*$B91*$C91*COS($K$13)-($N$12/3)*$E91*SIN($K$13)-($N$12/3)*$F91*SIN($K$13)-($N$12/3)*$G91*SIN($K$13)</f>
        <v>#VALUE!</v>
      </c>
      <c r="Y91" s="106" t="e">
        <f>IF(($A91&lt;'Alternative 2'!$B$27),(($H91*'Alternative 2'!$B$39)+(3*($N$12/3)*COS($K$13))),IF(($A91&lt;'Alternative 2'!$B$28),(($H91*'Alternative 2'!$B$39)+(2*(($N$12/3)*COS($K$13)))),IF(($A91&lt;'Alternative 2'!$B$29),(($H$3*'Alternative 2'!$B$39+(($N$12/3)*COS($K$13)))),($H91*'Alternative 2'!$B$39))))</f>
        <v>#VALUE!</v>
      </c>
      <c r="Z91" s="105" t="e">
        <f>X91*'Alternative 2'!$K92/'Alternative 2'!$L92</f>
        <v>#VALUE!</v>
      </c>
      <c r="AA91" s="105" t="e">
        <f>Y91/'Alternative 2'!$M92</f>
        <v>#VALUE!</v>
      </c>
      <c r="AB91" s="105" t="e">
        <f t="shared" si="21"/>
        <v>#VALUE!</v>
      </c>
      <c r="AD91" s="105" t="e">
        <f>'Alternative 2'!$B$39*$B91*$C91*COS($K$23)-($N$22/3)*$E91*SIN($K$23)-($N$22/3)*$F91*SIN($K$23)-($N$22/3)*$G91*SIN($K$23)</f>
        <v>#VALUE!</v>
      </c>
      <c r="AE91" s="106" t="e">
        <f>IF(($A91&lt;'Alternative 2'!$B$27),(($H91*'Alternative 2'!$B$39)+(3*($N$22/3)*COS($K$23))),IF(($A91&lt;'Alternative 2'!$B$28),(($H91*'Alternative 2'!$B$39)+(2*(($N$22/3)*COS($K$23)))),IF(($A91&lt;'Alternative 2'!$B$29),(($H$3*'Alternative 2'!$B$39+(($N$22/3)*COS($K$23)))),($H91*'Alternative 2'!$B$39))))</f>
        <v>#VALUE!</v>
      </c>
      <c r="AF91" s="105" t="e">
        <f>AD91*'Alternative 2'!$K92/'Alternative 2'!$L92</f>
        <v>#VALUE!</v>
      </c>
      <c r="AG91" s="105" t="e">
        <f>AE91/'Alternative 2'!$M92</f>
        <v>#VALUE!</v>
      </c>
      <c r="AH91" s="105" t="e">
        <f t="shared" si="22"/>
        <v>#VALUE!</v>
      </c>
      <c r="AJ91" s="105" t="e">
        <f>'Alternative 2'!$B$39*$B91*$C91*COS($K$33)-($N$32/3)*$E91*SIN($K$33)-($N$32/3)*$F91*SIN($K$33)-($N$32/3)*$G91*SIN($K$33)</f>
        <v>#VALUE!</v>
      </c>
      <c r="AK91" s="106" t="e">
        <f>IF(($A91&lt;'Alternative 2'!$B$27),(($H91*'Alternative 2'!$B$39)+(3*($N$32/3)*COS($K$33))),IF(($A91&lt;'Alternative 2'!$B$28),(($H91*'Alternative 2'!$B$39)+(2*(($N$32/3)*COS($K$33)))),IF(($A91&lt;'Alternative 2'!$B$29),(($H$3*'Alternative 2'!$B$39+(($N$32/3)*COS($K$33)))),($H91*'Alternative 2'!$B$39))))</f>
        <v>#VALUE!</v>
      </c>
      <c r="AL91" s="105" t="e">
        <f>AJ91*'Alternative 2'!$K92/'Alternative 2'!$L92</f>
        <v>#VALUE!</v>
      </c>
      <c r="AM91" s="105" t="e">
        <f>AK91/'Alternative 2'!$M92</f>
        <v>#VALUE!</v>
      </c>
      <c r="AN91" s="105" t="e">
        <f t="shared" si="23"/>
        <v>#VALUE!</v>
      </c>
      <c r="AP91" s="105" t="e">
        <f>'Alternative 2'!$B$39*$B91*$C91*COS($K$43)-($N$42/3)*$E91*SIN($K$43)-($N$42/3)*$F91*SIN($K$43)-($N$42/3)*$G91*SIN($K$43)</f>
        <v>#VALUE!</v>
      </c>
      <c r="AQ91" s="106" t="e">
        <f>IF(($A91&lt;'Alternative 2'!$B$27),(($H91*'Alternative 2'!$B$39)+(3*($N$42/3)*COS($K$43))),IF(($A91&lt;'Alternative 2'!$B$28),(($H91*'Alternative 2'!$B$39)+(2*(($N$42/3)*COS($K$43)))),IF(($A91&lt;'Alternative 2'!$B$29),(($H$3*'Alternative 2'!$B$39+(($N$42/3)*COS($K$43)))),($H91*'Alternative 2'!$B$39))))</f>
        <v>#VALUE!</v>
      </c>
      <c r="AR91" s="105" t="e">
        <f>AP91*'Alternative 2'!$K92/'Alternative 2'!$L92</f>
        <v>#VALUE!</v>
      </c>
      <c r="AS91" s="105" t="e">
        <f>AQ91/'Alternative 2'!$M92</f>
        <v>#VALUE!</v>
      </c>
      <c r="AT91" s="105" t="e">
        <f t="shared" si="24"/>
        <v>#VALUE!</v>
      </c>
      <c r="AV91" s="105" t="e">
        <f>'Alternative 2'!$B$39*$B91*$C91*COS($K$53)-($N$52/3)*$E91*SIN($K$53)-($N$52/3)*$F91*SIN($K$53)-($N$52/3)*$G91*SIN($K$53)</f>
        <v>#VALUE!</v>
      </c>
      <c r="AW91" s="106" t="e">
        <f>IF(($A91&lt;'Alternative 2'!$B$27),(($H91*'Alternative 2'!$B$39)+(3*($N$52/3)*COS($K$53))),IF(($A91&lt;'Alternative 2'!$B$28),(($H91*'Alternative 2'!$B$39)+(2*(($N$52/3)*COS($K$53)))),IF(($A91&lt;'Alternative 2'!$B$29),(($H$3*'Alternative 2'!$B$39+(($N$52/3)*COS($K$53)))),($H91*'Alternative 2'!$B$39))))</f>
        <v>#VALUE!</v>
      </c>
      <c r="AX91" s="105" t="e">
        <f>AV91*'Alternative 2'!$K92/'Alternative 2'!$L92</f>
        <v>#VALUE!</v>
      </c>
      <c r="AY91" s="105" t="e">
        <f>AW91/'Alternative 2'!$M92</f>
        <v>#VALUE!</v>
      </c>
      <c r="AZ91" s="105" t="e">
        <f t="shared" si="25"/>
        <v>#VALUE!</v>
      </c>
      <c r="BB91" s="105" t="e">
        <f>'Alternative 2'!$B$39*$B91*$C91*COS($K$63)-($N$62/3)*$E91*SIN($K$63)-($N$62/3)*$F91*SIN($K$63)-($N$62/3)*$G91*SIN($K$63)</f>
        <v>#VALUE!</v>
      </c>
      <c r="BC91" s="106" t="e">
        <f>IF(($A91&lt;'Alternative 2'!$B$27),(($H91*'Alternative 2'!$B$39)+(3*($N$62/3)*COS($K$63))),IF(($A91&lt;'Alternative 2'!$B$28),(($H91*'Alternative 2'!$B$39)+(2*(($N$62/3)*COS($K$63)))),IF(($A91&lt;'Alternative 2'!$B$29),(($H$3*'Alternative 2'!$B$39+(($N$62/3)*COS($K$63)))),($H91*'Alternative 2'!$B$39))))</f>
        <v>#VALUE!</v>
      </c>
      <c r="BD91" s="105" t="e">
        <f>BB91*'Alternative 2'!$K92/'Alternative 2'!$L92</f>
        <v>#VALUE!</v>
      </c>
      <c r="BE91" s="105" t="e">
        <f>BC91/'Alternative 2'!$M92</f>
        <v>#VALUE!</v>
      </c>
      <c r="BF91" s="105" t="e">
        <f t="shared" si="26"/>
        <v>#VALUE!</v>
      </c>
      <c r="BH91" s="105" t="e">
        <f>'Alternative 2'!$B$39*$B91*$C91*COS($K$73)-($N$72/3)*$E91*SIN($K$73)-($N$72/3)*$F91*SIN($K$73)-($N$72/3)*$G91*SIN($K$73)</f>
        <v>#VALUE!</v>
      </c>
      <c r="BI91" s="106" t="e">
        <f>IF(($A91&lt;'Alternative 2'!$B$27),(($H91*'Alternative 2'!$B$39)+(3*($N$72/3)*COS($K$73))),IF(($A91&lt;'Alternative 2'!$B$28),(($H91*'Alternative 2'!$B$39)+(2*(($N$72/3)*COS($K$73)))),IF(($A91&lt;'Alternative 2'!$B$29),(($H$3*'Alternative 2'!$B$39+(($N$72/3)*COS($K$73)))),($H91*'Alternative 2'!$B$39))))</f>
        <v>#VALUE!</v>
      </c>
      <c r="BJ91" s="105" t="e">
        <f>BH91*'Alternative 2'!$K92/'Alternative 2'!$L92</f>
        <v>#VALUE!</v>
      </c>
      <c r="BK91" s="105" t="e">
        <f>BI91/'Alternative 2'!$M92</f>
        <v>#VALUE!</v>
      </c>
      <c r="BL91" s="105" t="e">
        <f t="shared" si="27"/>
        <v>#VALUE!</v>
      </c>
      <c r="BN91" s="105" t="e">
        <f>'Alternative 2'!$B$39*$B91*$C91*COS($K$83)-($N$82/3)*$E91*SIN($K$83)-($N$82/3)*$F91*SIN($K$83)-($N$82/3)*$G91*SIN($K$83)</f>
        <v>#VALUE!</v>
      </c>
      <c r="BO91" s="106" t="e">
        <f>IF(($A91&lt;'Alternative 2'!$B$27),(($H91*'Alternative 2'!$B$39)+(3*($N$82/3)*COS($K$83))),IF(($A91&lt;'Alternative 2'!$B$28),(($H91*'Alternative 2'!$B$39)+(2*(($N$82/3)*COS($K$83)))),IF(($A91&lt;'Alternative 2'!$B$29),(($H$3*'Alternative 2'!$B$39+(($N$82/3)*COS($K$83)))),($H91*'Alternative 2'!$B$39))))</f>
        <v>#VALUE!</v>
      </c>
      <c r="BP91" s="105" t="e">
        <f>BN91*'Alternative 2'!$K92/'Alternative 2'!$L92</f>
        <v>#VALUE!</v>
      </c>
      <c r="BQ91" s="105" t="e">
        <f>BO91/'Alternative 2'!$M92</f>
        <v>#VALUE!</v>
      </c>
      <c r="BR91" s="105" t="e">
        <f t="shared" si="28"/>
        <v>#VALUE!</v>
      </c>
      <c r="BT91" s="105" t="e">
        <f>'Alternative 2'!$B$39*$B91*$C91*COS($K$93)-($K$92/3)*$E91*SIN($K$93)-($K$92/3)*$F91*SIN($K$93)-($K$92/3)*$G91*SIN($K$93)</f>
        <v>#VALUE!</v>
      </c>
      <c r="BU91" s="106" t="e">
        <f>IF(($A91&lt;'Alternative 2'!$B$27),(($H91*'Alternative 2'!$B$39)+(3*($N$92/3)*COS($K$93))),IF(($A91&lt;'Alternative 2'!$B$28),(($H91*'Alternative 2'!$B$39)+(2*(($N$92/3)*COS($K$93)))),IF(($A91&lt;'Alternative 2'!$B$29),(($H$3*'Alternative 2'!$B$39+(($N$92/3)*COS($K$93)))),($H91*'Alternative 2'!$B$39))))</f>
        <v>#VALUE!</v>
      </c>
      <c r="BV91" s="105" t="e">
        <f>BT91*'Alternative 2'!$K92/'Alternative 2'!$L92</f>
        <v>#VALUE!</v>
      </c>
      <c r="BW91" s="105" t="e">
        <f>BU91/'Alternative 2'!$M92</f>
        <v>#VALUE!</v>
      </c>
      <c r="BX91" s="105" t="e">
        <f t="shared" si="29"/>
        <v>#VALUE!</v>
      </c>
    </row>
    <row r="92" spans="1:76" ht="15" customHeight="1" x14ac:dyDescent="0.25">
      <c r="A92" s="18" t="str">
        <f>IF('Alternative 2'!F93&gt;0,'Alternative 2'!F93,"x")</f>
        <v>x</v>
      </c>
      <c r="B92" s="18" t="e">
        <f t="shared" si="35"/>
        <v>#VALUE!</v>
      </c>
      <c r="C92" s="18">
        <f t="shared" si="30"/>
        <v>0</v>
      </c>
      <c r="D92" s="18" t="str">
        <f t="shared" si="31"/>
        <v>x</v>
      </c>
      <c r="E92" s="101">
        <f>IF($A92&lt;='Alternative 2'!$B$27, IF($A92='Alternative 2'!$B$27,0,E93+1),0)</f>
        <v>0</v>
      </c>
      <c r="F92" s="101">
        <f>IF($A92&lt;=('Alternative 2'!$B$28), IF($A92=ROUNDDOWN('Alternative 2'!$B$28,0),0,F93+1),0)</f>
        <v>0</v>
      </c>
      <c r="G92" s="101">
        <f>IF($A92&lt;=('Alternative 2'!$B$29), IF($A92=ROUNDDOWN('Alternative 2'!$B$29,0),0,G93+1),0)</f>
        <v>0</v>
      </c>
      <c r="H92" s="18" t="e">
        <f t="shared" si="32"/>
        <v>#VALUE!</v>
      </c>
      <c r="J92" s="104">
        <f t="shared" si="33"/>
        <v>89</v>
      </c>
      <c r="K92" s="104">
        <f t="shared" si="34"/>
        <v>1.5533430342749535</v>
      </c>
      <c r="L92" s="105">
        <f>'Alternative 2'!$B$27*SIN(K92)+'Alternative 2'!$B$28*SIN(K92)+'Alternative 2'!$B$29*SIN(K92)</f>
        <v>42.983452414773261</v>
      </c>
      <c r="M92" s="104">
        <f>(('Alternative 2'!$B$27)*(((('Alternative 2'!$B$28-'Alternative 2'!$B$27)/2)+'Alternative 2'!$B$27)*'Alternative 2'!$B$39)*COS('Alternative 2-Tilt Up (3pt)'!K92))+(('Alternative 2'!$B$28)*((('Alternative 2'!$B$28-'Alternative 2'!$B$27)/2)+(('Alternative 2'!$B$29-'Alternative 2'!$B$28)/2))*('Alternative 2'!$B$39)*COS('Alternative 2-Tilt Up (3pt)'!K92))+(('Alternative 2'!$B$29)*((('Alternative 2'!$B$12-'Alternative 2'!$B$29+(('Alternative 2'!$B$29-'Alternative 2'!$B$28)/2)*('Alternative 2'!$B$39)*COS('Alternative 2-Tilt Up (3pt)'!K92)))))</f>
        <v>10722.0627012188</v>
      </c>
      <c r="N92" s="109">
        <f t="shared" si="18"/>
        <v>748.33886755455217</v>
      </c>
      <c r="O92" s="104">
        <f>(((('Alternative 2'!$B$28-'Alternative 2'!$B$27)/2)+'Alternative 2'!$B$27)*('Alternative 2'!$B$39)*COS('Alternative 2-Tilt Up (3pt)'!K92))+(((('Alternative 2'!$B$28-'Alternative 2'!$B$27)/2)+(('Alternative 2'!$B$29-'Alternative 2'!$B$28)/2))*('Alternative 2'!$B$39)*COS('Alternative 2-Tilt Up (3pt)'!K92))+(((('Alternative 2'!$B$12-'Alternative 2'!$B$29)+(('Alternative 2'!$B$29-'Alternative 2'!$B$28)/2))*('Alternative 2'!$B$39)*COS('Alternative 2-Tilt Up (3pt)'!K92)))</f>
        <v>1092.1338849735803</v>
      </c>
      <c r="P92" s="104">
        <f t="shared" si="19"/>
        <v>13.060314069378418</v>
      </c>
      <c r="R92" s="105" t="e">
        <f>'Alternative 2'!$B$39*$B92*$C92*COS($K$5)-($N$5/3)*$E92*SIN($K$5)-($N$5/3)*$F92*SIN($K$5)-($N$5/3)*$G92*SIN($K$5)</f>
        <v>#VALUE!</v>
      </c>
      <c r="S92" s="106" t="e">
        <f>IF(($A92&lt;'Alternative 2'!$B$27),(($H92*'Alternative 2'!$B$39)+(3*($N$5/3)*COS($K$5))),IF(($A92&lt;'Alternative 2'!$B$28),(($H92*'Alternative 2'!$B$39)+(2*(($N$5/3)*COS($K$5)))),IF(($A92&lt;'Alternative 2'!$B$29),(($H$3*'Alternative 2'!$B$39+(($N$5/3)*COS($K$5)))),($H92*'Alternative 2'!$B$39))))</f>
        <v>#VALUE!</v>
      </c>
      <c r="T92" s="105" t="e">
        <f>R92*'Alternative 2'!$K93/'Alternative 2'!$L93</f>
        <v>#VALUE!</v>
      </c>
      <c r="U92" s="105" t="e">
        <f>S92/'Alternative 2'!$M93</f>
        <v>#VALUE!</v>
      </c>
      <c r="V92" s="105" t="e">
        <f t="shared" si="20"/>
        <v>#VALUE!</v>
      </c>
      <c r="X92" s="105" t="e">
        <f>'Alternative 2'!$B$39*$B92*$C92*COS($K$13)-($N$12/3)*$E92*SIN($K$13)-($N$12/3)*$F92*SIN($K$13)-($N$12/3)*$G92*SIN($K$13)</f>
        <v>#VALUE!</v>
      </c>
      <c r="Y92" s="106" t="e">
        <f>IF(($A92&lt;'Alternative 2'!$B$27),(($H92*'Alternative 2'!$B$39)+(3*($N$12/3)*COS($K$13))),IF(($A92&lt;'Alternative 2'!$B$28),(($H92*'Alternative 2'!$B$39)+(2*(($N$12/3)*COS($K$13)))),IF(($A92&lt;'Alternative 2'!$B$29),(($H$3*'Alternative 2'!$B$39+(($N$12/3)*COS($K$13)))),($H92*'Alternative 2'!$B$39))))</f>
        <v>#VALUE!</v>
      </c>
      <c r="Z92" s="105" t="e">
        <f>X92*'Alternative 2'!$K93/'Alternative 2'!$L93</f>
        <v>#VALUE!</v>
      </c>
      <c r="AA92" s="105" t="e">
        <f>Y92/'Alternative 2'!$M93</f>
        <v>#VALUE!</v>
      </c>
      <c r="AB92" s="105" t="e">
        <f t="shared" si="21"/>
        <v>#VALUE!</v>
      </c>
      <c r="AD92" s="105" t="e">
        <f>'Alternative 2'!$B$39*$B92*$C92*COS($K$23)-($N$22/3)*$E92*SIN($K$23)-($N$22/3)*$F92*SIN($K$23)-($N$22/3)*$G92*SIN($K$23)</f>
        <v>#VALUE!</v>
      </c>
      <c r="AE92" s="106" t="e">
        <f>IF(($A92&lt;'Alternative 2'!$B$27),(($H92*'Alternative 2'!$B$39)+(3*($N$22/3)*COS($K$23))),IF(($A92&lt;'Alternative 2'!$B$28),(($H92*'Alternative 2'!$B$39)+(2*(($N$22/3)*COS($K$23)))),IF(($A92&lt;'Alternative 2'!$B$29),(($H$3*'Alternative 2'!$B$39+(($N$22/3)*COS($K$23)))),($H92*'Alternative 2'!$B$39))))</f>
        <v>#VALUE!</v>
      </c>
      <c r="AF92" s="105" t="e">
        <f>AD92*'Alternative 2'!$K93/'Alternative 2'!$L93</f>
        <v>#VALUE!</v>
      </c>
      <c r="AG92" s="105" t="e">
        <f>AE92/'Alternative 2'!$M93</f>
        <v>#VALUE!</v>
      </c>
      <c r="AH92" s="105" t="e">
        <f t="shared" si="22"/>
        <v>#VALUE!</v>
      </c>
      <c r="AJ92" s="105" t="e">
        <f>'Alternative 2'!$B$39*$B92*$C92*COS($K$33)-($N$32/3)*$E92*SIN($K$33)-($N$32/3)*$F92*SIN($K$33)-($N$32/3)*$G92*SIN($K$33)</f>
        <v>#VALUE!</v>
      </c>
      <c r="AK92" s="106" t="e">
        <f>IF(($A92&lt;'Alternative 2'!$B$27),(($H92*'Alternative 2'!$B$39)+(3*($N$32/3)*COS($K$33))),IF(($A92&lt;'Alternative 2'!$B$28),(($H92*'Alternative 2'!$B$39)+(2*(($N$32/3)*COS($K$33)))),IF(($A92&lt;'Alternative 2'!$B$29),(($H$3*'Alternative 2'!$B$39+(($N$32/3)*COS($K$33)))),($H92*'Alternative 2'!$B$39))))</f>
        <v>#VALUE!</v>
      </c>
      <c r="AL92" s="105" t="e">
        <f>AJ92*'Alternative 2'!$K93/'Alternative 2'!$L93</f>
        <v>#VALUE!</v>
      </c>
      <c r="AM92" s="105" t="e">
        <f>AK92/'Alternative 2'!$M93</f>
        <v>#VALUE!</v>
      </c>
      <c r="AN92" s="105" t="e">
        <f t="shared" si="23"/>
        <v>#VALUE!</v>
      </c>
      <c r="AP92" s="105" t="e">
        <f>'Alternative 2'!$B$39*$B92*$C92*COS($K$43)-($N$42/3)*$E92*SIN($K$43)-($N$42/3)*$F92*SIN($K$43)-($N$42/3)*$G92*SIN($K$43)</f>
        <v>#VALUE!</v>
      </c>
      <c r="AQ92" s="106" t="e">
        <f>IF(($A92&lt;'Alternative 2'!$B$27),(($H92*'Alternative 2'!$B$39)+(3*($N$42/3)*COS($K$43))),IF(($A92&lt;'Alternative 2'!$B$28),(($H92*'Alternative 2'!$B$39)+(2*(($N$42/3)*COS($K$43)))),IF(($A92&lt;'Alternative 2'!$B$29),(($H$3*'Alternative 2'!$B$39+(($N$42/3)*COS($K$43)))),($H92*'Alternative 2'!$B$39))))</f>
        <v>#VALUE!</v>
      </c>
      <c r="AR92" s="105" t="e">
        <f>AP92*'Alternative 2'!$K93/'Alternative 2'!$L93</f>
        <v>#VALUE!</v>
      </c>
      <c r="AS92" s="105" t="e">
        <f>AQ92/'Alternative 2'!$M93</f>
        <v>#VALUE!</v>
      </c>
      <c r="AT92" s="105" t="e">
        <f t="shared" si="24"/>
        <v>#VALUE!</v>
      </c>
      <c r="AV92" s="105" t="e">
        <f>'Alternative 2'!$B$39*$B92*$C92*COS($K$53)-($N$52/3)*$E92*SIN($K$53)-($N$52/3)*$F92*SIN($K$53)-($N$52/3)*$G92*SIN($K$53)</f>
        <v>#VALUE!</v>
      </c>
      <c r="AW92" s="106" t="e">
        <f>IF(($A92&lt;'Alternative 2'!$B$27),(($H92*'Alternative 2'!$B$39)+(3*($N$52/3)*COS($K$53))),IF(($A92&lt;'Alternative 2'!$B$28),(($H92*'Alternative 2'!$B$39)+(2*(($N$52/3)*COS($K$53)))),IF(($A92&lt;'Alternative 2'!$B$29),(($H$3*'Alternative 2'!$B$39+(($N$52/3)*COS($K$53)))),($H92*'Alternative 2'!$B$39))))</f>
        <v>#VALUE!</v>
      </c>
      <c r="AX92" s="105" t="e">
        <f>AV92*'Alternative 2'!$K93/'Alternative 2'!$L93</f>
        <v>#VALUE!</v>
      </c>
      <c r="AY92" s="105" t="e">
        <f>AW92/'Alternative 2'!$M93</f>
        <v>#VALUE!</v>
      </c>
      <c r="AZ92" s="105" t="e">
        <f t="shared" si="25"/>
        <v>#VALUE!</v>
      </c>
      <c r="BB92" s="105" t="e">
        <f>'Alternative 2'!$B$39*$B92*$C92*COS($K$63)-($N$62/3)*$E92*SIN($K$63)-($N$62/3)*$F92*SIN($K$63)-($N$62/3)*$G92*SIN($K$63)</f>
        <v>#VALUE!</v>
      </c>
      <c r="BC92" s="106" t="e">
        <f>IF(($A92&lt;'Alternative 2'!$B$27),(($H92*'Alternative 2'!$B$39)+(3*($N$62/3)*COS($K$63))),IF(($A92&lt;'Alternative 2'!$B$28),(($H92*'Alternative 2'!$B$39)+(2*(($N$62/3)*COS($K$63)))),IF(($A92&lt;'Alternative 2'!$B$29),(($H$3*'Alternative 2'!$B$39+(($N$62/3)*COS($K$63)))),($H92*'Alternative 2'!$B$39))))</f>
        <v>#VALUE!</v>
      </c>
      <c r="BD92" s="105" t="e">
        <f>BB92*'Alternative 2'!$K93/'Alternative 2'!$L93</f>
        <v>#VALUE!</v>
      </c>
      <c r="BE92" s="105" t="e">
        <f>BC92/'Alternative 2'!$M93</f>
        <v>#VALUE!</v>
      </c>
      <c r="BF92" s="105" t="e">
        <f t="shared" si="26"/>
        <v>#VALUE!</v>
      </c>
      <c r="BH92" s="105" t="e">
        <f>'Alternative 2'!$B$39*$B92*$C92*COS($K$73)-($N$72/3)*$E92*SIN($K$73)-($N$72/3)*$F92*SIN($K$73)-($N$72/3)*$G92*SIN($K$73)</f>
        <v>#VALUE!</v>
      </c>
      <c r="BI92" s="106" t="e">
        <f>IF(($A92&lt;'Alternative 2'!$B$27),(($H92*'Alternative 2'!$B$39)+(3*($N$72/3)*COS($K$73))),IF(($A92&lt;'Alternative 2'!$B$28),(($H92*'Alternative 2'!$B$39)+(2*(($N$72/3)*COS($K$73)))),IF(($A92&lt;'Alternative 2'!$B$29),(($H$3*'Alternative 2'!$B$39+(($N$72/3)*COS($K$73)))),($H92*'Alternative 2'!$B$39))))</f>
        <v>#VALUE!</v>
      </c>
      <c r="BJ92" s="105" t="e">
        <f>BH92*'Alternative 2'!$K93/'Alternative 2'!$L93</f>
        <v>#VALUE!</v>
      </c>
      <c r="BK92" s="105" t="e">
        <f>BI92/'Alternative 2'!$M93</f>
        <v>#VALUE!</v>
      </c>
      <c r="BL92" s="105" t="e">
        <f t="shared" si="27"/>
        <v>#VALUE!</v>
      </c>
      <c r="BN92" s="105" t="e">
        <f>'Alternative 2'!$B$39*$B92*$C92*COS($K$83)-($N$82/3)*$E92*SIN($K$83)-($N$82/3)*$F92*SIN($K$83)-($N$82/3)*$G92*SIN($K$83)</f>
        <v>#VALUE!</v>
      </c>
      <c r="BO92" s="106" t="e">
        <f>IF(($A92&lt;'Alternative 2'!$B$27),(($H92*'Alternative 2'!$B$39)+(3*($N$82/3)*COS($K$83))),IF(($A92&lt;'Alternative 2'!$B$28),(($H92*'Alternative 2'!$B$39)+(2*(($N$82/3)*COS($K$83)))),IF(($A92&lt;'Alternative 2'!$B$29),(($H$3*'Alternative 2'!$B$39+(($N$82/3)*COS($K$83)))),($H92*'Alternative 2'!$B$39))))</f>
        <v>#VALUE!</v>
      </c>
      <c r="BP92" s="105" t="e">
        <f>BN92*'Alternative 2'!$K93/'Alternative 2'!$L93</f>
        <v>#VALUE!</v>
      </c>
      <c r="BQ92" s="105" t="e">
        <f>BO92/'Alternative 2'!$M93</f>
        <v>#VALUE!</v>
      </c>
      <c r="BR92" s="105" t="e">
        <f t="shared" si="28"/>
        <v>#VALUE!</v>
      </c>
      <c r="BT92" s="105" t="e">
        <f>'Alternative 2'!$B$39*$B92*$C92*COS($K$93)-($K$92/3)*$E92*SIN($K$93)-($K$92/3)*$F92*SIN($K$93)-($K$92/3)*$G92*SIN($K$93)</f>
        <v>#VALUE!</v>
      </c>
      <c r="BU92" s="106" t="e">
        <f>IF(($A92&lt;'Alternative 2'!$B$27),(($H92*'Alternative 2'!$B$39)+(3*($N$92/3)*COS($K$93))),IF(($A92&lt;'Alternative 2'!$B$28),(($H92*'Alternative 2'!$B$39)+(2*(($N$92/3)*COS($K$93)))),IF(($A92&lt;'Alternative 2'!$B$29),(($H$3*'Alternative 2'!$B$39+(($N$92/3)*COS($K$93)))),($H92*'Alternative 2'!$B$39))))</f>
        <v>#VALUE!</v>
      </c>
      <c r="BV92" s="105" t="e">
        <f>BT92*'Alternative 2'!$K93/'Alternative 2'!$L93</f>
        <v>#VALUE!</v>
      </c>
      <c r="BW92" s="105" t="e">
        <f>BU92/'Alternative 2'!$M93</f>
        <v>#VALUE!</v>
      </c>
      <c r="BX92" s="105" t="e">
        <f t="shared" si="29"/>
        <v>#VALUE!</v>
      </c>
    </row>
    <row r="93" spans="1:76" ht="15" customHeight="1" x14ac:dyDescent="0.25">
      <c r="J93" s="104">
        <f t="shared" si="33"/>
        <v>90</v>
      </c>
      <c r="K93" s="109">
        <f t="shared" si="34"/>
        <v>1.5707963267948966</v>
      </c>
      <c r="L93" s="105">
        <f>'Alternative 2'!$B$27*SIN(K93)+'Alternative 2'!$B$28*SIN(K93)+'Alternative 2'!$B$29*SIN(K93)</f>
        <v>42.989999999999995</v>
      </c>
      <c r="M93" s="104">
        <f>(('Alternative 2'!$B$27)*(((('Alternative 2'!$B$28-'Alternative 2'!$B$27)/2)+'Alternative 2'!$B$27)*'Alternative 2'!$B$39)*COS('Alternative 2-Tilt Up (3pt)'!K93))+(('Alternative 2'!$B$28)*((('Alternative 2'!$B$28-'Alternative 2'!$B$27)/2)+(('Alternative 2'!$B$29-'Alternative 2'!$B$28)/2))*('Alternative 2'!$B$39)*COS('Alternative 2-Tilt Up (3pt)'!K93))+(('Alternative 2'!$B$29)*((('Alternative 2'!$B$12-'Alternative 2'!$B$29+(('Alternative 2'!$B$29-'Alternative 2'!$B$28)/2)*('Alternative 2'!$B$39)*COS('Alternative 2-Tilt Up (3pt)'!K93)))))</f>
        <v>80.98440000003734</v>
      </c>
      <c r="N93" s="104">
        <f t="shared" si="18"/>
        <v>5.6513886950479657</v>
      </c>
      <c r="O93" s="104">
        <f>(((('Alternative 2'!$B$28-'Alternative 2'!$B$27)/2)+'Alternative 2'!$B$27)*('Alternative 2'!$B$39)*COS('Alternative 2-Tilt Up (3pt)'!K93))+(((('Alternative 2'!$B$28-'Alternative 2'!$B$27)/2)+(('Alternative 2'!$B$29-'Alternative 2'!$B$28)/2))*('Alternative 2'!$B$39)*COS('Alternative 2-Tilt Up (3pt)'!K93))+(((('Alternative 2'!$B$12-'Alternative 2'!$B$29)+(('Alternative 2'!$B$29-'Alternative 2'!$B$28)/2))*('Alternative 2'!$B$39)*COS('Alternative 2-Tilt Up (3pt)'!K93)))</f>
        <v>3.8333571548916041E-12</v>
      </c>
      <c r="P93" s="109">
        <f t="shared" si="19"/>
        <v>3.4618950639130289E-16</v>
      </c>
      <c r="R93" s="105">
        <f>'Alternative 2'!$B$39*$B93*$C93*COS($K$5)-($N$5/3)*$E93*SIN($K$5)-($N$5/3)*$F93*SIN($K$5)-($N$5/3)*$G93*SIN($K$5)</f>
        <v>0</v>
      </c>
      <c r="S93" s="106">
        <f>IF(($A93&lt;'Alternative 2'!$B$27),(($H93*'Alternative 2'!$B$39)+(3*($N$5/3)*COS($K$5))),IF(($A93&lt;'Alternative 2'!$B$28),(($H93*'Alternative 2'!$B$39)+(2*(($N$5/3)*COS($K$5)))),IF(($A93&lt;'Alternative 2'!$B$29),(($H$3*'Alternative 2'!$B$39+(($N$5/3)*COS($K$5)))),($H93*'Alternative 2'!$B$39))))</f>
        <v>1217848.8752418333</v>
      </c>
      <c r="T93" s="105" t="e">
        <f>R93*'Alternative 2'!$K94/'Alternative 2'!$L94</f>
        <v>#DIV/0!</v>
      </c>
      <c r="U93" s="105" t="e">
        <f>S93/'Alternative 2'!$M94</f>
        <v>#DIV/0!</v>
      </c>
      <c r="V93" s="105" t="e">
        <f t="shared" si="20"/>
        <v>#DIV/0!</v>
      </c>
      <c r="X93" s="105">
        <f>'Alternative 2'!$B$39*$B93*$C93*COS($K$13)-($N$12/3)*$E93*SIN($K$13)-($N$12/3)*$F93*SIN($K$13)-($N$12/3)*$G93*SIN($K$13)</f>
        <v>0</v>
      </c>
      <c r="Y93" s="106">
        <f>IF(($A93&lt;'Alternative 2'!$B$27),(($H93*'Alternative 2'!$B$39)+(3*($N$12/3)*COS($K$13))),IF(($A93&lt;'Alternative 2'!$B$28),(($H93*'Alternative 2'!$B$39)+(2*(($N$12/3)*COS($K$13)))),IF(($A93&lt;'Alternative 2'!$B$29),(($H$3*'Alternative 2'!$B$39+(($N$12/3)*COS($K$13)))),($H93*'Alternative 2'!$B$39))))</f>
        <v>264594.90296403295</v>
      </c>
      <c r="Z93" s="105" t="e">
        <f>X93*'Alternative 2'!$K94/'Alternative 2'!$L94</f>
        <v>#DIV/0!</v>
      </c>
      <c r="AA93" s="105" t="e">
        <f>Y93/'Alternative 2'!$M94</f>
        <v>#DIV/0!</v>
      </c>
      <c r="AB93" s="105" t="e">
        <f t="shared" si="21"/>
        <v>#DIV/0!</v>
      </c>
      <c r="AD93" s="105">
        <f>'Alternative 2'!$B$39*$B93*$C93*COS($K$23)-($N$22/3)*$E93*SIN($K$23)-($N$22/3)*$F93*SIN($K$23)-($N$22/3)*$G93*SIN($K$23)</f>
        <v>0</v>
      </c>
      <c r="AE93" s="106">
        <f>IF(($A93&lt;'Alternative 2'!$B$27),(($H93*'Alternative 2'!$B$39)+(3*($N$22/3)*COS($K$23))),IF(($A93&lt;'Alternative 2'!$B$28),(($H93*'Alternative 2'!$B$39)+(2*(($N$22/3)*COS($K$23)))),IF(($A93&lt;'Alternative 2'!$B$29),(($H$3*'Alternative 2'!$B$39+(($N$22/3)*COS($K$23)))),($H93*'Alternative 2'!$B$39))))</f>
        <v>116133.92327640136</v>
      </c>
      <c r="AF93" s="105" t="e">
        <f>AD93*'Alternative 2'!$K94/'Alternative 2'!$L94</f>
        <v>#DIV/0!</v>
      </c>
      <c r="AG93" s="105" t="e">
        <f>AE93/'Alternative 2'!$M94</f>
        <v>#DIV/0!</v>
      </c>
      <c r="AH93" s="105" t="e">
        <f t="shared" si="22"/>
        <v>#DIV/0!</v>
      </c>
      <c r="AJ93" s="105">
        <f>'Alternative 2'!$B$39*$B93*$C93*COS($K$33)-($N$32/3)*$E93*SIN($K$33)-($N$32/3)*$F93*SIN($K$33)-($N$32/3)*$G93*SIN($K$33)</f>
        <v>0</v>
      </c>
      <c r="AK93" s="106">
        <f>IF(($A93&lt;'Alternative 2'!$B$27),(($H93*'Alternative 2'!$B$39)+(3*($N$32/3)*COS($K$33))),IF(($A93&lt;'Alternative 2'!$B$28),(($H93*'Alternative 2'!$B$39)+(2*(($N$32/3)*COS($K$33)))),IF(($A93&lt;'Alternative 2'!$B$29),(($H$3*'Alternative 2'!$B$39+(($N$32/3)*COS($K$33)))),($H93*'Alternative 2'!$B$39))))</f>
        <v>66485.775632158184</v>
      </c>
      <c r="AL93" s="105" t="e">
        <f>AJ93*'Alternative 2'!$K94/'Alternative 2'!$L94</f>
        <v>#DIV/0!</v>
      </c>
      <c r="AM93" s="105" t="e">
        <f>AK93/'Alternative 2'!$M94</f>
        <v>#DIV/0!</v>
      </c>
      <c r="AN93" s="105" t="e">
        <f t="shared" si="23"/>
        <v>#DIV/0!</v>
      </c>
      <c r="AP93" s="105">
        <f>'Alternative 2'!$B$39*$B93*$C93*COS($K$43)-($N$42/3)*$E93*SIN($K$43)-($N$42/3)*$F93*SIN($K$43)-($N$42/3)*$G93*SIN($K$43)</f>
        <v>0</v>
      </c>
      <c r="AQ93" s="106">
        <f>IF(($A93&lt;'Alternative 2'!$B$27),(($H93*'Alternative 2'!$B$39)+(3*($N$42/3)*COS($K$43))),IF(($A93&lt;'Alternative 2'!$B$28),(($H93*'Alternative 2'!$B$39)+(2*(($N$42/3)*COS($K$43)))),IF(($A93&lt;'Alternative 2'!$B$29),(($H$3*'Alternative 2'!$B$39+(($N$42/3)*COS($K$43)))),($H93*'Alternative 2'!$B$39))))</f>
        <v>40257.157466534307</v>
      </c>
      <c r="AR93" s="105" t="e">
        <f>AP93*'Alternative 2'!$K94/'Alternative 2'!$L94</f>
        <v>#DIV/0!</v>
      </c>
      <c r="AS93" s="105" t="e">
        <f>AQ93/'Alternative 2'!$M94</f>
        <v>#DIV/0!</v>
      </c>
      <c r="AT93" s="105" t="e">
        <f t="shared" si="24"/>
        <v>#DIV/0!</v>
      </c>
      <c r="AV93" s="105">
        <f>'Alternative 2'!$B$39*$B93*$C93*COS($K$53)-($N$52/3)*$E93*SIN($K$53)-($N$52/3)*$F93*SIN($K$53)-($N$52/3)*$G93*SIN($K$53)</f>
        <v>0</v>
      </c>
      <c r="AW93" s="106">
        <f>IF(($A93&lt;'Alternative 2'!$B$27),(($H93*'Alternative 2'!$B$39)+(3*($N$52/3)*COS($K$53))),IF(($A93&lt;'Alternative 2'!$B$28),(($H93*'Alternative 2'!$B$39)+(2*(($N$52/3)*COS($K$53)))),IF(($A93&lt;'Alternative 2'!$B$29),(($H$3*'Alternative 2'!$B$39+(($N$52/3)*COS($K$53)))),($H93*'Alternative 2'!$B$39))))</f>
        <v>23779.493330136222</v>
      </c>
      <c r="AX93" s="105" t="e">
        <f>AV93*'Alternative 2'!$K94/'Alternative 2'!$L94</f>
        <v>#DIV/0!</v>
      </c>
      <c r="AY93" s="105" t="e">
        <f>AW93/'Alternative 2'!$M94</f>
        <v>#DIV/0!</v>
      </c>
      <c r="AZ93" s="105" t="e">
        <f t="shared" si="25"/>
        <v>#DIV/0!</v>
      </c>
      <c r="BB93" s="105">
        <f>'Alternative 2'!$B$39*$B93*$C93*COS($K$63)-($N$62/3)*$E93*SIN($K$63)-($N$62/3)*$F93*SIN($K$63)-($N$62/3)*$G93*SIN($K$63)</f>
        <v>0</v>
      </c>
      <c r="BC93" s="106">
        <f>IF(($A93&lt;'Alternative 2'!$B$27),(($H93*'Alternative 2'!$B$39)+(3*($N$62/3)*COS($K$63))),IF(($A93&lt;'Alternative 2'!$B$28),(($H93*'Alternative 2'!$B$39)+(2*(($N$62/3)*COS($K$63)))),IF(($A93&lt;'Alternative 2'!$B$29),(($H$3*'Alternative 2'!$B$39+(($N$62/3)*COS($K$63)))),($H93*'Alternative 2'!$B$39))))</f>
        <v>12786.151923089845</v>
      </c>
      <c r="BD93" s="105" t="e">
        <f>BB93*'Alternative 2'!$K94/'Alternative 2'!$L94</f>
        <v>#DIV/0!</v>
      </c>
      <c r="BE93" s="105" t="e">
        <f>BC93/'Alternative 2'!$M94</f>
        <v>#DIV/0!</v>
      </c>
      <c r="BF93" s="105" t="e">
        <f t="shared" si="26"/>
        <v>#DIV/0!</v>
      </c>
      <c r="BH93" s="105">
        <f>'Alternative 2'!$B$39*$B93*$C93*COS($K$73)-($N$72/3)*$E93*SIN($K$73)-($N$72/3)*$F93*SIN($K$73)-($N$72/3)*$G93*SIN($K$73)</f>
        <v>0</v>
      </c>
      <c r="BI93" s="106">
        <f>IF(($A93&lt;'Alternative 2'!$B$27),(($H93*'Alternative 2'!$B$39)+(3*($N$72/3)*COS($K$73))),IF(($A93&lt;'Alternative 2'!$B$28),(($H93*'Alternative 2'!$B$39)+(2*(($N$72/3)*COS($K$73)))),IF(($A93&lt;'Alternative 2'!$B$29),(($H$3*'Alternative 2'!$B$39+(($N$72/3)*COS($K$73)))),($H93*'Alternative 2'!$B$39))))</f>
        <v>5588.2287084627178</v>
      </c>
      <c r="BJ93" s="105" t="e">
        <f>BH93*'Alternative 2'!$K94/'Alternative 2'!$L94</f>
        <v>#DIV/0!</v>
      </c>
      <c r="BK93" s="105" t="e">
        <f>BI93/'Alternative 2'!$M94</f>
        <v>#DIV/0!</v>
      </c>
      <c r="BL93" s="105" t="e">
        <f t="shared" si="27"/>
        <v>#DIV/0!</v>
      </c>
      <c r="BN93" s="105">
        <f>'Alternative 2'!$B$39*$B93*$C93*COS($K$83)-($N$82/3)*$E93*SIN($K$83)-($N$82/3)*$F93*SIN($K$83)-($N$82/3)*$G93*SIN($K$83)</f>
        <v>0</v>
      </c>
      <c r="BO93" s="106">
        <f>IF(($A93&lt;'Alternative 2'!$B$27),(($H93*'Alternative 2'!$B$39)+(3*($N$82/3)*COS($K$83))),IF(($A93&lt;'Alternative 2'!$B$28),(($H93*'Alternative 2'!$B$39)+(2*(($N$82/3)*COS($K$83)))),IF(($A93&lt;'Alternative 2'!$B$29),(($H$3*'Alternative 2'!$B$39+(($N$82/3)*COS($K$83)))),($H93*'Alternative 2'!$B$39))))</f>
        <v>1437.1722939105202</v>
      </c>
      <c r="BP93" s="105" t="e">
        <f>BN93*'Alternative 2'!$K94/'Alternative 2'!$L94</f>
        <v>#DIV/0!</v>
      </c>
      <c r="BQ93" s="105" t="e">
        <f>BO93/'Alternative 2'!$M94</f>
        <v>#DIV/0!</v>
      </c>
      <c r="BR93" s="105" t="e">
        <f t="shared" si="28"/>
        <v>#DIV/0!</v>
      </c>
      <c r="BT93" s="105">
        <f>'Alternative 2'!$B$39*$B93*$C93*COS($K$93)-($K$92/3)*$E93*SIN($K$93)-($K$92/3)*$F93*SIN($K$93)-($K$92/3)*$G93*SIN($K$93)</f>
        <v>0</v>
      </c>
      <c r="BU93" s="106">
        <f>IF(($A93&lt;'Alternative 2'!$B$27),(($H93*'Alternative 2'!$B$39)+(3*($N$92/3)*COS($K$93))),IF(($A93&lt;'Alternative 2'!$B$28),(($H93*'Alternative 2'!$B$39)+(2*(($N$92/3)*COS($K$93)))),IF(($A93&lt;'Alternative 2'!$B$29),(($H$3*'Alternative 2'!$B$39+(($N$92/3)*COS($K$93)))),($H93*'Alternative 2'!$B$39))))</f>
        <v>4.58413103666263E-14</v>
      </c>
      <c r="BV93" s="105" t="e">
        <f>BT93*'Alternative 2'!$K94/'Alternative 2'!$L94</f>
        <v>#DIV/0!</v>
      </c>
      <c r="BW93" s="105" t="e">
        <f>BU93/'Alternative 2'!$M94</f>
        <v>#DIV/0!</v>
      </c>
      <c r="BX93" s="105" t="e">
        <f t="shared" si="29"/>
        <v>#DIV/0!</v>
      </c>
    </row>
    <row r="94" spans="1:76" ht="15" customHeight="1" x14ac:dyDescent="0.25">
      <c r="BT94" s="105"/>
      <c r="BU94" s="106"/>
      <c r="BV94" s="105"/>
      <c r="BW94" s="105"/>
      <c r="BX94" s="105"/>
    </row>
    <row r="95" spans="1:76" ht="15" customHeight="1" x14ac:dyDescent="0.25"/>
    <row r="96" spans="1:76" ht="15" customHeight="1" x14ac:dyDescent="0.25"/>
  </sheetData>
  <mergeCells count="25">
    <mergeCell ref="AJ1:AN1"/>
    <mergeCell ref="AP1:AT1"/>
    <mergeCell ref="AV1:AZ1"/>
    <mergeCell ref="BB1:BF1"/>
    <mergeCell ref="BZ1:CA1"/>
    <mergeCell ref="BT1:BX1"/>
    <mergeCell ref="BN1:BR1"/>
    <mergeCell ref="BH1:BL1"/>
    <mergeCell ref="AO1:AO1048576"/>
    <mergeCell ref="BY1:BY1048576"/>
    <mergeCell ref="AU1:AU1048576"/>
    <mergeCell ref="BA1:BA1048576"/>
    <mergeCell ref="BG1:BG1048576"/>
    <mergeCell ref="BM1:BM1048576"/>
    <mergeCell ref="BS1:BS1048576"/>
    <mergeCell ref="AI1:AI1048576"/>
    <mergeCell ref="A1:H1"/>
    <mergeCell ref="R1:V1"/>
    <mergeCell ref="X1:AB1"/>
    <mergeCell ref="AD1:AH1"/>
    <mergeCell ref="I1:I1048576"/>
    <mergeCell ref="K1:P1"/>
    <mergeCell ref="Q1:Q1048576"/>
    <mergeCell ref="W1:W1048576"/>
    <mergeCell ref="AC1:AC104857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A96"/>
  <sheetViews>
    <sheetView topLeftCell="BI1" zoomScale="60" zoomScaleNormal="60" workbookViewId="0">
      <selection activeCell="CA12" sqref="CA12"/>
    </sheetView>
  </sheetViews>
  <sheetFormatPr defaultColWidth="9.140625" defaultRowHeight="15" x14ac:dyDescent="0.25"/>
  <cols>
    <col min="1" max="4" width="9.140625" style="18"/>
    <col min="5" max="5" width="13.42578125" style="101" customWidth="1"/>
    <col min="6" max="7" width="13.85546875" style="101" customWidth="1"/>
    <col min="8" max="8" width="8.7109375" style="18" customWidth="1"/>
    <col min="9" max="9" width="1.28515625" style="198" customWidth="1"/>
    <col min="10" max="10" width="0" style="18" hidden="1" customWidth="1"/>
    <col min="11" max="11" width="11.42578125" style="18" customWidth="1"/>
    <col min="12" max="12" width="9.140625" style="18"/>
    <col min="13" max="13" width="16.42578125" style="18" customWidth="1"/>
    <col min="14" max="14" width="17.28515625" style="18" customWidth="1"/>
    <col min="15" max="15" width="14.7109375" style="18" customWidth="1"/>
    <col min="16" max="16" width="17.28515625" style="18" customWidth="1"/>
    <col min="17" max="17" width="1.28515625" style="198" customWidth="1"/>
    <col min="18" max="19" width="18.28515625" style="18" customWidth="1"/>
    <col min="20" max="22" width="18.85546875" style="18" customWidth="1"/>
    <col min="23" max="23" width="1.28515625" style="198" customWidth="1"/>
    <col min="24" max="28" width="18.7109375" style="18" customWidth="1"/>
    <col min="29" max="29" width="1.28515625" style="198" customWidth="1"/>
    <col min="30" max="34" width="18.28515625" style="18" customWidth="1"/>
    <col min="35" max="35" width="1.28515625" style="198" customWidth="1"/>
    <col min="36" max="40" width="19.7109375" style="18" customWidth="1"/>
    <col min="41" max="41" width="1.28515625" style="198" customWidth="1"/>
    <col min="42" max="46" width="20.85546875" style="18" customWidth="1"/>
    <col min="47" max="47" width="1.28515625" style="198" customWidth="1"/>
    <col min="48" max="52" width="20.5703125" style="18" customWidth="1"/>
    <col min="53" max="53" width="1.28515625" style="198" customWidth="1"/>
    <col min="54" max="58" width="19.42578125" style="18" customWidth="1"/>
    <col min="59" max="59" width="1.28515625" style="198" customWidth="1"/>
    <col min="60" max="64" width="18.42578125" style="18" customWidth="1"/>
    <col min="65" max="65" width="1.28515625" style="198" customWidth="1"/>
    <col min="66" max="70" width="17.7109375" style="18" customWidth="1"/>
    <col min="71" max="71" width="1.28515625" style="198" customWidth="1"/>
    <col min="72" max="73" width="18.5703125" style="18" customWidth="1"/>
    <col min="74" max="74" width="17.28515625" style="18" bestFit="1" customWidth="1"/>
    <col min="75" max="76" width="17.28515625" style="18" customWidth="1"/>
    <col min="77" max="77" width="4.5703125" style="198" customWidth="1"/>
    <col min="78" max="78" width="19.28515625" style="18" customWidth="1"/>
    <col min="79" max="79" width="18.5703125" style="18" customWidth="1"/>
    <col min="80" max="16384" width="9.140625" style="18"/>
  </cols>
  <sheetData>
    <row r="1" spans="1:79" ht="45" customHeight="1" x14ac:dyDescent="0.25">
      <c r="A1" s="190" t="s">
        <v>132</v>
      </c>
      <c r="B1" s="190"/>
      <c r="C1" s="190"/>
      <c r="D1" s="190"/>
      <c r="E1" s="190"/>
      <c r="F1" s="190"/>
      <c r="G1" s="190"/>
      <c r="H1" s="190"/>
      <c r="K1" s="190" t="s">
        <v>133</v>
      </c>
      <c r="L1" s="190"/>
      <c r="M1" s="190"/>
      <c r="N1" s="190"/>
      <c r="O1" s="190"/>
      <c r="P1" s="190"/>
      <c r="R1" s="190" t="s">
        <v>134</v>
      </c>
      <c r="S1" s="190"/>
      <c r="T1" s="190"/>
      <c r="U1" s="190"/>
      <c r="V1" s="190"/>
      <c r="X1" s="190" t="s">
        <v>135</v>
      </c>
      <c r="Y1" s="190"/>
      <c r="Z1" s="190"/>
      <c r="AA1" s="190"/>
      <c r="AB1" s="190"/>
      <c r="AD1" s="190" t="s">
        <v>136</v>
      </c>
      <c r="AE1" s="190"/>
      <c r="AF1" s="190"/>
      <c r="AG1" s="190"/>
      <c r="AH1" s="190"/>
      <c r="AJ1" s="190" t="s">
        <v>137</v>
      </c>
      <c r="AK1" s="190"/>
      <c r="AL1" s="190"/>
      <c r="AM1" s="190"/>
      <c r="AN1" s="190"/>
      <c r="AP1" s="190" t="s">
        <v>138</v>
      </c>
      <c r="AQ1" s="190"/>
      <c r="AR1" s="190"/>
      <c r="AS1" s="190"/>
      <c r="AT1" s="190"/>
      <c r="AV1" s="190" t="s">
        <v>139</v>
      </c>
      <c r="AW1" s="190"/>
      <c r="AX1" s="190"/>
      <c r="AY1" s="190"/>
      <c r="AZ1" s="190"/>
      <c r="BB1" s="190" t="s">
        <v>140</v>
      </c>
      <c r="BC1" s="190"/>
      <c r="BD1" s="190"/>
      <c r="BE1" s="190"/>
      <c r="BF1" s="190"/>
      <c r="BH1" s="190" t="s">
        <v>141</v>
      </c>
      <c r="BI1" s="190"/>
      <c r="BJ1" s="190"/>
      <c r="BK1" s="190"/>
      <c r="BL1" s="190"/>
      <c r="BN1" s="190" t="s">
        <v>142</v>
      </c>
      <c r="BO1" s="190"/>
      <c r="BP1" s="190"/>
      <c r="BQ1" s="190"/>
      <c r="BR1" s="190"/>
      <c r="BT1" s="190" t="s">
        <v>143</v>
      </c>
      <c r="BU1" s="190"/>
      <c r="BV1" s="190"/>
      <c r="BW1" s="190"/>
      <c r="BX1" s="190"/>
      <c r="BZ1" s="246" t="s">
        <v>225</v>
      </c>
      <c r="CA1" s="247"/>
    </row>
    <row r="2" spans="1:79" ht="60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110" t="s">
        <v>182</v>
      </c>
      <c r="F2" s="110" t="s">
        <v>181</v>
      </c>
      <c r="G2" s="110" t="s">
        <v>183</v>
      </c>
      <c r="H2" s="99" t="s">
        <v>158</v>
      </c>
      <c r="J2" s="18" t="s">
        <v>122</v>
      </c>
      <c r="K2" s="100" t="s">
        <v>123</v>
      </c>
      <c r="L2" s="99" t="s">
        <v>129</v>
      </c>
      <c r="M2" s="99" t="s">
        <v>125</v>
      </c>
      <c r="N2" s="99" t="s">
        <v>126</v>
      </c>
      <c r="O2" s="100" t="s">
        <v>127</v>
      </c>
      <c r="P2" s="100" t="s">
        <v>128</v>
      </c>
      <c r="R2" s="99" t="s">
        <v>113</v>
      </c>
      <c r="S2" s="99" t="s">
        <v>157</v>
      </c>
      <c r="T2" s="100" t="s">
        <v>153</v>
      </c>
      <c r="U2" s="100" t="s">
        <v>155</v>
      </c>
      <c r="V2" s="100" t="s">
        <v>156</v>
      </c>
      <c r="X2" s="99" t="s">
        <v>113</v>
      </c>
      <c r="Y2" s="99" t="s">
        <v>157</v>
      </c>
      <c r="Z2" s="100" t="s">
        <v>153</v>
      </c>
      <c r="AA2" s="100" t="s">
        <v>155</v>
      </c>
      <c r="AB2" s="100" t="s">
        <v>156</v>
      </c>
      <c r="AD2" s="99" t="s">
        <v>113</v>
      </c>
      <c r="AE2" s="99" t="s">
        <v>157</v>
      </c>
      <c r="AF2" s="100" t="s">
        <v>153</v>
      </c>
      <c r="AG2" s="100" t="s">
        <v>155</v>
      </c>
      <c r="AH2" s="100" t="s">
        <v>156</v>
      </c>
      <c r="AJ2" s="99" t="s">
        <v>113</v>
      </c>
      <c r="AK2" s="99" t="s">
        <v>157</v>
      </c>
      <c r="AL2" s="100" t="s">
        <v>153</v>
      </c>
      <c r="AM2" s="100" t="s">
        <v>155</v>
      </c>
      <c r="AN2" s="100" t="s">
        <v>156</v>
      </c>
      <c r="AP2" s="99" t="s">
        <v>113</v>
      </c>
      <c r="AQ2" s="99" t="s">
        <v>157</v>
      </c>
      <c r="AR2" s="100" t="s">
        <v>153</v>
      </c>
      <c r="AS2" s="100" t="s">
        <v>155</v>
      </c>
      <c r="AT2" s="100" t="s">
        <v>156</v>
      </c>
      <c r="AV2" s="99" t="s">
        <v>113</v>
      </c>
      <c r="AW2" s="99" t="s">
        <v>157</v>
      </c>
      <c r="AX2" s="100" t="s">
        <v>153</v>
      </c>
      <c r="AY2" s="100" t="s">
        <v>155</v>
      </c>
      <c r="AZ2" s="100" t="s">
        <v>156</v>
      </c>
      <c r="BB2" s="99" t="s">
        <v>113</v>
      </c>
      <c r="BC2" s="99" t="s">
        <v>157</v>
      </c>
      <c r="BD2" s="100" t="s">
        <v>153</v>
      </c>
      <c r="BE2" s="100" t="s">
        <v>155</v>
      </c>
      <c r="BF2" s="100" t="s">
        <v>156</v>
      </c>
      <c r="BH2" s="99" t="s">
        <v>113</v>
      </c>
      <c r="BI2" s="99" t="s">
        <v>157</v>
      </c>
      <c r="BJ2" s="100" t="s">
        <v>153</v>
      </c>
      <c r="BK2" s="100" t="s">
        <v>155</v>
      </c>
      <c r="BL2" s="100" t="s">
        <v>156</v>
      </c>
      <c r="BN2" s="99" t="s">
        <v>113</v>
      </c>
      <c r="BO2" s="99" t="s">
        <v>157</v>
      </c>
      <c r="BP2" s="100" t="s">
        <v>153</v>
      </c>
      <c r="BQ2" s="100" t="s">
        <v>155</v>
      </c>
      <c r="BR2" s="100" t="s">
        <v>156</v>
      </c>
      <c r="BT2" s="99" t="s">
        <v>113</v>
      </c>
      <c r="BU2" s="99" t="s">
        <v>157</v>
      </c>
      <c r="BV2" s="100" t="s">
        <v>153</v>
      </c>
      <c r="BW2" s="100" t="s">
        <v>155</v>
      </c>
      <c r="BX2" s="100" t="s">
        <v>156</v>
      </c>
      <c r="BZ2" s="99" t="s">
        <v>191</v>
      </c>
      <c r="CA2" s="99" t="s">
        <v>190</v>
      </c>
    </row>
    <row r="3" spans="1:79" ht="15" customHeight="1" x14ac:dyDescent="0.25">
      <c r="A3" s="18">
        <f>IF('Alternative 3'!F4&gt;0,'Alternative 3'!F4,"x")</f>
        <v>1</v>
      </c>
      <c r="B3" s="18">
        <f>IF('Alternative 3'!B12&gt;0,'Alternative 3'!B12,"x")</f>
        <v>35</v>
      </c>
      <c r="C3" s="18">
        <f>IF((A3="x"),0,C4+0.5)</f>
        <v>17.5</v>
      </c>
      <c r="D3" s="18">
        <f>A3</f>
        <v>1</v>
      </c>
      <c r="E3" s="101">
        <f>IF($A3&lt;='Alternative 3'!$B$27, IF($A3='Alternative 3'!$B$27,0,E4+1),0)</f>
        <v>15</v>
      </c>
      <c r="F3" s="101">
        <f>IF($A3&lt;=('Alternative 3'!$B$28), IF($A3=ROUNDDOWN('Alternative 3'!$B$28,0),0,F4+1),0)</f>
        <v>21</v>
      </c>
      <c r="G3" s="101">
        <f>IF($A3&lt;=('Alternative 3'!$B$29), IF($A3=ROUNDDOWN('Alternative 3'!$B$29,0),0,G4+1),0)</f>
        <v>27</v>
      </c>
      <c r="H3" s="18">
        <f>B3</f>
        <v>35</v>
      </c>
      <c r="J3" s="103">
        <v>0</v>
      </c>
      <c r="K3" s="103"/>
      <c r="L3" s="18">
        <f>'Alternative 3'!$B$27*SIN(K3)+'Alternative 3'!$B$28*SIN(K3)+'Alternative 3'!$B$29*SIN(K3)</f>
        <v>0</v>
      </c>
      <c r="M3" s="104">
        <f>(('Alternative 3'!$B$27)*(((('Alternative 3'!$B$28-'Alternative 3'!$B$27)/2)+'Alternative 3'!$B$27)*'Alternative 3'!$B$39)*COS('Alternative 3-Tilt Up (3pt)'!K3))+(('Alternative 3'!$B$28)*((('Alternative 3'!$B$28-'Alternative 3'!$B$27)/2)+(('Alternative 3'!$B$29-'Alternative 3'!$B$28)/2))*('Alternative 3'!$B$39)*COS('Alternative 3-Tilt Up (3pt)'!K3))+(('Alternative 3'!$B$29)*((('Alternative 3'!$B$12-'Alternative 3'!$B$29+(('Alternative 3'!$B$29-'Alternative 3'!$B$28)/2)*('Alternative 3'!$B$39)*COS('Alternative 3-Tilt Up (3pt)'!K3)))))</f>
        <v>2247551.3274371186</v>
      </c>
      <c r="N3" s="104" t="e">
        <f t="shared" ref="N3:N66" si="0">M3*3/L3</f>
        <v>#DIV/0!</v>
      </c>
      <c r="O3" s="104">
        <f>(((('Alternative 3'!$B$28-'Alternative 3'!$B$27)/2)+'Alternative 3'!$B$27)*('Alternative 3'!$B$39)*COS('Alternative 3-Tilt Up (3pt)'!K3))+(((('Alternative 3'!$B$28-'Alternative 3'!$B$27)/2)+(('Alternative 3'!$B$29-'Alternative 3'!$B$28)/2))*('Alternative 3'!$B$39)*COS('Alternative 3-Tilt Up (3pt)'!K3))+(((('Alternative 3'!$B$12-'Alternative 3'!$B$29)+(('Alternative 3'!$B$29-'Alternative 3'!$B$28)/2))*('Alternative 3'!$B$39)*COS('Alternative 3-Tilt Up (3pt)'!K3)))</f>
        <v>146014.95830556419</v>
      </c>
      <c r="P3" s="104" t="e">
        <f t="shared" ref="P3:P66" si="1">N3*COS(K3)</f>
        <v>#DIV/0!</v>
      </c>
      <c r="R3" s="105">
        <f>'Alternative 3'!$B$39*$B3*$C3*COS($K$5)-($N$5/3)*$E3*SIN($K$5)-($N$5/3)*$F3*SIN($K$5)-($N$5/3)*$G3*SIN($K$5)</f>
        <v>441308.03543686878</v>
      </c>
      <c r="S3" s="106">
        <f>IF(($A3&lt;'Alternative 3'!$B$27),(($H3*'Alternative 3'!$B$39)+(3*($N$5/3)*COS($K$5))),IF(($A3&lt;'Alternative 3'!$B$28),(($H3*'Alternative 3'!$B$39)+(2*(($N$5/3)*COS($K$5)))),IF(($A3&lt;'Alternative 3'!$B$29),(($H$3*'Alternative 3'!$B$39+(($N$5/3)*COS($K$5)))),($H3*'Alternative 3'!$B$39))))</f>
        <v>3026545.4102886305</v>
      </c>
      <c r="T3" s="105">
        <f>R3*'Alternative 3'!$K4/'Alternative 3'!$L4</f>
        <v>7023641.4592112387</v>
      </c>
      <c r="U3" s="105">
        <f>S3/'Alternative 3'!$M4</f>
        <v>916702.66481360071</v>
      </c>
      <c r="V3" s="105">
        <f t="shared" ref="V3:V66" si="2">(T3+U3)/1000000</f>
        <v>7.9403441240248389</v>
      </c>
      <c r="X3" s="105">
        <f>'Alternative 3'!$B$39*$B3*$C3*COS($K$13)-($N$12/3)*$E3*SIN($K$13)-($N$12/3)*$F3*SIN($K$13)-($N$12/3)*$G3*SIN($K$13)</f>
        <v>199055.79116692138</v>
      </c>
      <c r="Y3" s="106">
        <f>IF(($A3&lt;'Alternative 3'!$B$27),(($H3*'Alternative 3'!$B$39)+(3*($N$12/3)*COS($K$13))),IF(($A3&lt;'Alternative 3'!$B$28),(($H3*'Alternative 3'!$B$39)+(2*(($N$12/3)*COS($K$13)))),IF(($A3&lt;'Alternative 3'!$B$29),(($H$3*'Alternative 3'!$B$39+(($N$12/3)*COS($K$13)))),($H3*'Alternative 3'!$B$39))))</f>
        <v>771850.57832291781</v>
      </c>
      <c r="Z3" s="105">
        <f>X3*'Alternative 3'!$K4/'Alternative 3'!$L4</f>
        <v>3168073.987485976</v>
      </c>
      <c r="AA3" s="105">
        <f>Y3/'Alternative 3'!$M4</f>
        <v>233783.86446184543</v>
      </c>
      <c r="AB3" s="105">
        <f t="shared" ref="AB3:AB66" si="3">(Z3+AA3)/1000000</f>
        <v>3.4018578519478213</v>
      </c>
      <c r="AD3" s="105">
        <f>'Alternative 3'!$B$39*$B3*$C3*COS($K$23)-($N$22/3)*$E3*SIN($K$23)-($N$22/3)*$F3*SIN($K$23)-($N$22/3)*$G3*SIN($K$23)</f>
        <v>301630.81807126175</v>
      </c>
      <c r="AE3" s="106">
        <f>IF(($A3&lt;'Alternative 3'!$B$27),(($H3*'Alternative 3'!$B$39)+(3*($N$22/3)*COS($K$23))),IF(($A3&lt;'Alternative 3'!$B$28),(($H3*'Alternative 3'!$B$39)+(2*(($N$22/3)*COS($K$23)))),IF(($A3&lt;'Alternative 3'!$B$29),(($H$3*'Alternative 3'!$B$39+(($N$22/3)*COS($K$23)))),($H3*'Alternative 3'!$B$39))))</f>
        <v>420701.18445408531</v>
      </c>
      <c r="AF3" s="105">
        <f>AD3*'Alternative 3'!$K4/'Alternative 3'!$L4</f>
        <v>4800607.6233891388</v>
      </c>
      <c r="AG3" s="105">
        <f>AE3/'Alternative 3'!$M4</f>
        <v>127425.11497374803</v>
      </c>
      <c r="AH3" s="105">
        <f t="shared" ref="AH3:AH66" si="4">(AF3+AG3)/1000000</f>
        <v>4.9280327383628872</v>
      </c>
      <c r="AJ3" s="105">
        <f>'Alternative 3'!$B$39*$B3*$C3*COS($K$33)-($N$32/3)*$E3*SIN($K$33)-($N$32/3)*$F3*SIN($K$33)-($N$32/3)*$G3*SIN($K$33)</f>
        <v>306305.50029273366</v>
      </c>
      <c r="AK3" s="106">
        <f>IF(($A3&lt;'Alternative 3'!$B$27),(($H3*'Alternative 3'!$B$39)+(3*($N$32/3)*COS($K$33))),IF(($A3&lt;'Alternative 3'!$B$28),(($H3*'Alternative 3'!$B$39)+(2*(($N$32/3)*COS($K$33)))),IF(($A3&lt;'Alternative 3'!$B$29),(($H$3*'Alternative 3'!$B$39+(($N$32/3)*COS($K$33)))),($H3*'Alternative 3'!$B$39))))</f>
        <v>303270.00432348053</v>
      </c>
      <c r="AL3" s="105">
        <f>AJ3*'Alternative 3'!$K4/'Alternative 3'!$L4</f>
        <v>4875007.5645251861</v>
      </c>
      <c r="AM3" s="105">
        <f>AK3/'Alternative 3'!$M4</f>
        <v>91856.682598016647</v>
      </c>
      <c r="AN3" s="105">
        <f t="shared" ref="AN3:AN66" si="5">(AL3+AM3)/1000000</f>
        <v>4.9668642471232021</v>
      </c>
      <c r="AP3" s="105">
        <f>'Alternative 3'!$B$39*$B3*$C3*COS($K$43)-($N$42/3)*$E3*SIN($K$43)-($N$42/3)*$F3*SIN($K$43)-($N$42/3)*$G3*SIN($K$43)</f>
        <v>279611.79908092809</v>
      </c>
      <c r="AQ3" s="106">
        <f>IF(($A3&lt;'Alternative 3'!$B$27),(($H3*'Alternative 3'!$B$39)+(3*($N$42/3)*COS($K$43))),IF(($A3&lt;'Alternative 3'!$B$28),(($H3*'Alternative 3'!$B$39)+(2*(($N$42/3)*COS($K$43)))),IF(($A3&lt;'Alternative 3'!$B$29),(($H$3*'Alternative 3'!$B$39+(($N$42/3)*COS($K$43)))),($H3*'Alternative 3'!$B$39))))</f>
        <v>241232.22727811272</v>
      </c>
      <c r="AR3" s="105">
        <f>AP3*'Alternative 3'!$K4/'Alternative 3'!$L4</f>
        <v>4450163.755947276</v>
      </c>
      <c r="AS3" s="105">
        <f>AQ3/'Alternative 3'!$M4</f>
        <v>73066.217619935516</v>
      </c>
      <c r="AT3" s="105">
        <f t="shared" ref="AT3:AT66" si="6">(AR3+AS3)/1000000</f>
        <v>4.5232299735672123</v>
      </c>
      <c r="AV3" s="105">
        <f>'Alternative 3'!$B$39*$B3*$C3*COS($K$53)-($N$52/3)*$E3*SIN($K$53)-($N$52/3)*$F3*SIN($K$53)-($N$52/3)*$G3*SIN($K$53)</f>
        <v>234902.40630982257</v>
      </c>
      <c r="AW3" s="106">
        <f>IF(($A3&lt;'Alternative 3'!$B$27),(($H3*'Alternative 3'!$B$39)+(3*($N$52/3)*COS($K$53))),IF(($A3&lt;'Alternative 3'!$B$28),(($H3*'Alternative 3'!$B$39)+(2*(($N$52/3)*COS($K$53)))),IF(($A3&lt;'Alternative 3'!$B$29),(($H$3*'Alternative 3'!$B$39+(($N$52/3)*COS($K$53)))),($H3*'Alternative 3'!$B$39))))</f>
        <v>202258.1363425818</v>
      </c>
      <c r="AX3" s="105">
        <f>AV3*'Alternative 3'!$K4/'Alternative 3'!$L4</f>
        <v>3738591.0686916905</v>
      </c>
      <c r="AY3" s="105">
        <f>AW3/'Alternative 3'!$M4</f>
        <v>61261.454044330821</v>
      </c>
      <c r="AZ3" s="105">
        <f t="shared" ref="AZ3:AZ66" si="7">(AX3+AY3)/1000000</f>
        <v>3.7998525227360211</v>
      </c>
      <c r="BB3" s="105">
        <f>'Alternative 3'!$B$39*$B3*$C3*COS($K$63)-($N$62/3)*$E3*SIN($K$63)-($N$62/3)*$F3*SIN($K$63)-($N$62/3)*$G3*SIN($K$63)</f>
        <v>177669.03732910851</v>
      </c>
      <c r="BC3" s="106">
        <f>IF(($A3&lt;'Alternative 3'!$B$27),(($H3*'Alternative 3'!$B$39)+(3*($N$62/3)*COS($K$63))),IF(($A3&lt;'Alternative 3'!$B$28),(($H3*'Alternative 3'!$B$39)+(2*(($N$62/3)*COS($K$63)))),IF(($A3&lt;'Alternative 3'!$B$29),(($H$3*'Alternative 3'!$B$39+(($N$62/3)*COS($K$63)))),($H3*'Alternative 3'!$B$39))))</f>
        <v>176256.06635086829</v>
      </c>
      <c r="BD3" s="105">
        <f>BB3*'Alternative 3'!$K4/'Alternative 3'!$L4</f>
        <v>2827692.9409806579</v>
      </c>
      <c r="BE3" s="105">
        <f>BC3/'Alternative 3'!$M4</f>
        <v>53385.752998827469</v>
      </c>
      <c r="BF3" s="105">
        <f t="shared" ref="BF3:BF66" si="8">(BD3+BE3)/1000000</f>
        <v>2.8810786939794855</v>
      </c>
      <c r="BH3" s="105">
        <f>'Alternative 3'!$B$39*$B3*$C3*COS($K$73)-($N$72/3)*$E3*SIN($K$73)-($N$72/3)*$F3*SIN($K$73)-($N$72/3)*$G3*SIN($K$73)</f>
        <v>111404.57166697812</v>
      </c>
      <c r="BI3" s="106">
        <f>IF(($A3&lt;'Alternative 3'!$B$27),(($H3*'Alternative 3'!$B$39)+(3*($N$72/3)*COS($K$73))),IF(($A3&lt;'Alternative 3'!$B$28),(($H3*'Alternative 3'!$B$39)+(2*(($N$72/3)*COS($K$73)))),IF(($A3&lt;'Alternative 3'!$B$29),(($H$3*'Alternative 3'!$B$39+(($N$72/3)*COS($K$73)))),($H3*'Alternative 3'!$B$39))))</f>
        <v>159231.34883134539</v>
      </c>
      <c r="BJ3" s="105">
        <f>BH3*'Alternative 3'!$K4/'Alternative 3'!$L4</f>
        <v>1773060.324023474</v>
      </c>
      <c r="BK3" s="105">
        <f>BI3/'Alternative 3'!$M4</f>
        <v>48229.179479463986</v>
      </c>
      <c r="BL3" s="105">
        <f t="shared" ref="BL3:BL66" si="9">(BJ3+BK3)/1000000</f>
        <v>1.8212895035029379</v>
      </c>
      <c r="BN3" s="105">
        <f>'Alternative 3'!$B$39*$B3*$C3*COS($K$83)-($N$82/3)*$E3*SIN($K$83)-($N$82/3)*$F3*SIN($K$83)-($N$82/3)*$G3*SIN($K$83)</f>
        <v>38961.019636915531</v>
      </c>
      <c r="BO3" s="106">
        <f>IF(($A3&lt;'Alternative 3'!$B$27),(($H3*'Alternative 3'!$B$39)+(3*($N$82/3)*COS($K$83))),IF(($A3&lt;'Alternative 3'!$B$28),(($H3*'Alternative 3'!$B$39)+(2*(($N$82/3)*COS($K$83)))),IF(($A3&lt;'Alternative 3'!$B$29),(($H$3*'Alternative 3'!$B$39+(($N$82/3)*COS($K$83)))),($H3*'Alternative 3'!$B$39))))</f>
        <v>149413.49738048372</v>
      </c>
      <c r="BP3" s="105">
        <f>BN3*'Alternative 3'!$K4/'Alternative 3'!$L4</f>
        <v>620084.41007444519</v>
      </c>
      <c r="BQ3" s="105">
        <f>BO3/'Alternative 3'!$M4</f>
        <v>45255.475348954787</v>
      </c>
      <c r="BR3" s="105">
        <f t="shared" ref="BR3:BR66" si="10">(BP3+BQ3)/1000000</f>
        <v>0.66533988542339995</v>
      </c>
      <c r="BT3" s="105">
        <f>'Alternative 3'!$B$39*$B3*$C3*COS($K$93)-($K$92/3)*$E3*SIN($K$93)-($K$92/3)*$F3*SIN($K$93)-($K$92/3)*$G3*SIN($K$93)</f>
        <v>-32.620203719617493</v>
      </c>
      <c r="BU3" s="106">
        <f>IF(($A3&lt;'Alternative 3'!$B$27),(($H3*'Alternative 3'!$B$39)+(3*($N$92/3)*COS($K$93))),IF(($A3&lt;'Alternative 3'!$B$28),(($H3*'Alternative 3'!$B$39)+(2*(($N$92/3)*COS($K$93)))),IF(($A3&lt;'Alternative 3'!$B$29),(($H$3*'Alternative 3'!$B$39+(($N$92/3)*COS($K$93)))),($H3*'Alternative 3'!$B$39))))</f>
        <v>146014.95830556421</v>
      </c>
      <c r="BV3" s="105">
        <f>BT3*'Alternative 3'!$K4/'Alternative 3'!$L4</f>
        <v>-519.16710518586899</v>
      </c>
      <c r="BW3" s="105">
        <f>BU3/'Alternative 3'!$M4</f>
        <v>44226.100466337462</v>
      </c>
      <c r="BX3" s="105">
        <f t="shared" ref="BX3:BX66" si="11">(BV3+BW3)/1000000</f>
        <v>4.3706933361151591E-2</v>
      </c>
      <c r="BZ3" s="104">
        <v>150</v>
      </c>
      <c r="CA3" s="104">
        <v>-150</v>
      </c>
    </row>
    <row r="4" spans="1:79" ht="15" customHeight="1" x14ac:dyDescent="0.25">
      <c r="A4" s="18">
        <f>IF('Alternative 3'!F5&gt;0,'Alternative 3'!F5,"x")</f>
        <v>2</v>
      </c>
      <c r="B4" s="18">
        <f>IF(B3-1&gt;0,B3-1,"x")</f>
        <v>34</v>
      </c>
      <c r="C4" s="18">
        <f t="shared" ref="C4:C67" si="12">IF((A4="x"),0,C5+0.5)</f>
        <v>17</v>
      </c>
      <c r="D4" s="18">
        <f t="shared" ref="D4:D67" si="13">A4</f>
        <v>2</v>
      </c>
      <c r="E4" s="101">
        <f>IF($A4&lt;='Alternative 3'!$B$27, IF($A4='Alternative 3'!$B$27,0,E5+1),0)</f>
        <v>14</v>
      </c>
      <c r="F4" s="101">
        <f>IF($A4&lt;=('Alternative 3'!$B$28), IF($A4=ROUNDDOWN('Alternative 3'!$B$28,0),0,F5+1),0)</f>
        <v>20</v>
      </c>
      <c r="G4" s="101">
        <f>IF($A4&lt;=('Alternative 3'!$B$29), IF($A4=ROUNDDOWN('Alternative 3'!$B$29,0),0,G5+1),0)</f>
        <v>26</v>
      </c>
      <c r="H4" s="18">
        <f t="shared" ref="H4:H67" si="14">B4</f>
        <v>34</v>
      </c>
      <c r="J4" s="104">
        <f t="shared" ref="J4:J67" si="15">J3+1</f>
        <v>1</v>
      </c>
      <c r="K4" s="104">
        <f t="shared" ref="K4:K67" si="16">J4*PI()/180</f>
        <v>1.7453292519943295E-2</v>
      </c>
      <c r="L4" s="105">
        <f>'Alternative 3'!$B$27*SIN(K4)+'Alternative 3'!$B$28*SIN(K4)+'Alternative 3'!$B$29*SIN(K4)</f>
        <v>1.1691367072336223</v>
      </c>
      <c r="M4" s="104">
        <f>(('Alternative 3'!$B$27)*(((('Alternative 3'!$B$28-'Alternative 3'!$B$27)/2)+'Alternative 3'!$B$27)*'Alternative 3'!$B$39)*COS('Alternative 3-Tilt Up (3pt)'!K4))+(('Alternative 3'!$B$28)*((('Alternative 3'!$B$28-'Alternative 3'!$B$27)/2)+(('Alternative 3'!$B$29-'Alternative 3'!$B$28)/2))*('Alternative 3'!$B$39)*COS('Alternative 3-Tilt Up (3pt)'!K4))+(('Alternative 3'!$B$29)*((('Alternative 3'!$B$12-'Alternative 3'!$B$29+(('Alternative 3'!$B$29-'Alternative 3'!$B$28)/2)*('Alternative 3'!$B$39)*COS('Alternative 3-Tilt Up (3pt)'!K4)))))</f>
        <v>2247209.0421581515</v>
      </c>
      <c r="N4" s="104">
        <f t="shared" si="0"/>
        <v>5766329.1938085658</v>
      </c>
      <c r="O4" s="104">
        <f>(((('Alternative 3'!$B$28-'Alternative 3'!$B$27)/2)+'Alternative 3'!$B$27)*('Alternative 3'!$B$39)*COS('Alternative 3-Tilt Up (3pt)'!K4))+(((('Alternative 3'!$B$28-'Alternative 3'!$B$27)/2)+(('Alternative 3'!$B$29-'Alternative 3'!$B$28)/2))*('Alternative 3'!$B$39)*COS('Alternative 3-Tilt Up (3pt)'!K4))+(((('Alternative 3'!$B$12-'Alternative 3'!$B$29)+(('Alternative 3'!$B$29-'Alternative 3'!$B$28)/2))*('Alternative 3'!$B$39)*COS('Alternative 3-Tilt Up (3pt)'!K4)))</f>
        <v>145992.71952017496</v>
      </c>
      <c r="P4" s="104">
        <f t="shared" si="1"/>
        <v>5765450.9539425066</v>
      </c>
      <c r="R4" s="105">
        <f>'Alternative 3'!$B$39*$B4*$C4*COS($K$5)-($N$5/3)*$E4*SIN($K$5)-($N$5/3)*$F4*SIN($K$5)-($N$5/3)*$G4*SIN($K$5)</f>
        <v>398057.02271120378</v>
      </c>
      <c r="S4" s="106">
        <f>IF(($A4&lt;'Alternative 3'!$B$27),(($H4*'Alternative 3'!$B$39)+(3*($N$5/3)*COS($K$5))),IF(($A4&lt;'Alternative 3'!$B$28),(($H4*'Alternative 3'!$B$39)+(2*(($N$5/3)*COS($K$5)))),IF(($A4&lt;'Alternative 3'!$B$29),(($H$3*'Alternative 3'!$B$39+(($N$5/3)*COS($K$5)))),($H4*'Alternative 3'!$B$39))))</f>
        <v>3022373.5543370428</v>
      </c>
      <c r="T4" s="105">
        <f>R4*'Alternative 3'!$K5/'Alternative 3'!$L5</f>
        <v>6335279.6308748722</v>
      </c>
      <c r="U4" s="105">
        <f>S4/'Alternative 3'!$M5</f>
        <v>933300.86662050535</v>
      </c>
      <c r="V4" s="105">
        <f t="shared" si="2"/>
        <v>7.2685804974953774</v>
      </c>
      <c r="X4" s="105">
        <f>'Alternative 3'!$B$39*$B4*$C4*COS($K$13)-($N$12/3)*$E4*SIN($K$13)-($N$12/3)*$F4*SIN($K$13)-($N$12/3)*$G4*SIN($K$13)</f>
        <v>167665.07151210378</v>
      </c>
      <c r="Y4" s="106">
        <f>IF(($A4&lt;'Alternative 3'!$B$27),(($H4*'Alternative 3'!$B$39)+(3*($N$12/3)*COS($K$13))),IF(($A4&lt;'Alternative 3'!$B$28),(($H4*'Alternative 3'!$B$39)+(2*(($N$12/3)*COS($K$13)))),IF(($A4&lt;'Alternative 3'!$B$29),(($H$3*'Alternative 3'!$B$39+(($N$12/3)*COS($K$13)))),($H4*'Alternative 3'!$B$39))))</f>
        <v>767678.72237133025</v>
      </c>
      <c r="Z4" s="105">
        <f>X4*'Alternative 3'!$K5/'Alternative 3'!$L5</f>
        <v>2668474.7454649359</v>
      </c>
      <c r="AA4" s="105">
        <f>Y4/'Alternative 3'!$M5</f>
        <v>237057.13539187037</v>
      </c>
      <c r="AB4" s="105">
        <f t="shared" si="3"/>
        <v>2.9055318808568065</v>
      </c>
      <c r="AD4" s="105">
        <f>'Alternative 3'!$B$39*$B4*$C4*COS($K$23)-($N$22/3)*$E4*SIN($K$23)-($N$22/3)*$F4*SIN($K$23)-($N$22/3)*$G4*SIN($K$23)</f>
        <v>266359.38043448108</v>
      </c>
      <c r="AE4" s="106">
        <f>IF(($A4&lt;'Alternative 3'!$B$27),(($H4*'Alternative 3'!$B$39)+(3*($N$22/3)*COS($K$23))),IF(($A4&lt;'Alternative 3'!$B$28),(($H4*'Alternative 3'!$B$39)+(2*(($N$22/3)*COS($K$23)))),IF(($A4&lt;'Alternative 3'!$B$29),(($H$3*'Alternative 3'!$B$39+(($N$22/3)*COS($K$23)))),($H4*'Alternative 3'!$B$39))))</f>
        <v>416529.32850249775</v>
      </c>
      <c r="AF4" s="105">
        <f>AD4*'Alternative 3'!$K5/'Alternative 3'!$L5</f>
        <v>4239244.7842411185</v>
      </c>
      <c r="AG4" s="105">
        <f>AE4/'Alternative 3'!$M5</f>
        <v>128623.14213489403</v>
      </c>
      <c r="AH4" s="105">
        <f t="shared" si="4"/>
        <v>4.3678679263760118</v>
      </c>
      <c r="AJ4" s="105">
        <f>'Alternative 3'!$B$39*$B4*$C4*COS($K$33)-($N$32/3)*$E4*SIN($K$33)-($N$32/3)*$F4*SIN($K$33)-($N$32/3)*$G4*SIN($K$33)</f>
        <v>272450.54683496221</v>
      </c>
      <c r="AK4" s="106">
        <f>IF(($A4&lt;'Alternative 3'!$B$27),(($H4*'Alternative 3'!$B$39)+(3*($N$32/3)*COS($K$33))),IF(($A4&lt;'Alternative 3'!$B$28),(($H4*'Alternative 3'!$B$39)+(2*(($N$32/3)*COS($K$33)))),IF(($A4&lt;'Alternative 3'!$B$29),(($H$3*'Alternative 3'!$B$39+(($N$32/3)*COS($K$33)))),($H4*'Alternative 3'!$B$39))))</f>
        <v>299098.14837189298</v>
      </c>
      <c r="AL4" s="105">
        <f>AJ4*'Alternative 3'!$K5/'Alternative 3'!$L5</f>
        <v>4336188.7903094003</v>
      </c>
      <c r="AM4" s="105">
        <f>AK4/'Alternative 3'!$M5</f>
        <v>92360.707920933157</v>
      </c>
      <c r="AN4" s="105">
        <f t="shared" si="5"/>
        <v>4.4285494982303337</v>
      </c>
      <c r="AP4" s="105">
        <f>'Alternative 3'!$B$39*$B4*$C4*COS($K$43)-($N$42/3)*$E4*SIN($K$43)-($N$42/3)*$F4*SIN($K$43)-($N$42/3)*$G4*SIN($K$43)</f>
        <v>249252.54046987847</v>
      </c>
      <c r="AQ4" s="106">
        <f>IF(($A4&lt;'Alternative 3'!$B$27),(($H4*'Alternative 3'!$B$39)+(3*($N$42/3)*COS($K$43))),IF(($A4&lt;'Alternative 3'!$B$28),(($H4*'Alternative 3'!$B$39)+(2*(($N$42/3)*COS($K$43)))),IF(($A4&lt;'Alternative 3'!$B$29),(($H$3*'Alternative 3'!$B$39+(($N$42/3)*COS($K$43)))),($H4*'Alternative 3'!$B$39))))</f>
        <v>237060.37132652517</v>
      </c>
      <c r="AR4" s="105">
        <f>AP4*'Alternative 3'!$K5/'Alternative 3'!$L5</f>
        <v>3966980.7401646697</v>
      </c>
      <c r="AS4" s="105">
        <f>AQ4/'Alternative 3'!$M5</f>
        <v>73203.608363677471</v>
      </c>
      <c r="AT4" s="105">
        <f t="shared" si="6"/>
        <v>4.0401843485283466</v>
      </c>
      <c r="AV4" s="105">
        <f>'Alternative 3'!$B$39*$B4*$C4*COS($K$53)-($N$52/3)*$E4*SIN($K$53)-($N$52/3)*$F4*SIN($K$53)-($N$52/3)*$G4*SIN($K$53)</f>
        <v>209414.61842417915</v>
      </c>
      <c r="AW4" s="106">
        <f>IF(($A4&lt;'Alternative 3'!$B$27),(($H4*'Alternative 3'!$B$39)+(3*($N$52/3)*COS($K$53))),IF(($A4&lt;'Alternative 3'!$B$28),(($H4*'Alternative 3'!$B$39)+(2*(($N$52/3)*COS($K$53)))),IF(($A4&lt;'Alternative 3'!$B$29),(($H$3*'Alternative 3'!$B$39+(($N$52/3)*COS($K$53)))),($H4*'Alternative 3'!$B$39))))</f>
        <v>198086.28039099424</v>
      </c>
      <c r="AX4" s="105">
        <f>AV4*'Alternative 3'!$K5/'Alternative 3'!$L5</f>
        <v>3332939.9830050892</v>
      </c>
      <c r="AY4" s="105">
        <f>AW4/'Alternative 3'!$M5</f>
        <v>61168.513365681378</v>
      </c>
      <c r="AZ4" s="105">
        <f t="shared" si="7"/>
        <v>3.3941084963707704</v>
      </c>
      <c r="BB4" s="105">
        <f>'Alternative 3'!$B$39*$B4*$C4*COS($K$63)-($N$62/3)*$E4*SIN($K$63)-($N$62/3)*$F4*SIN($K$63)-($N$62/3)*$G4*SIN($K$63)</f>
        <v>158083.65777586983</v>
      </c>
      <c r="BC4" s="106">
        <f>IF(($A4&lt;'Alternative 3'!$B$27),(($H4*'Alternative 3'!$B$39)+(3*($N$62/3)*COS($K$63))),IF(($A4&lt;'Alternative 3'!$B$28),(($H4*'Alternative 3'!$B$39)+(2*(($N$62/3)*COS($K$63)))),IF(($A4&lt;'Alternative 3'!$B$29),(($H$3*'Alternative 3'!$B$39+(($N$62/3)*COS($K$63)))),($H4*'Alternative 3'!$B$39))))</f>
        <v>172084.21039928074</v>
      </c>
      <c r="BD4" s="105">
        <f>BB4*'Alternative 3'!$K5/'Alternative 3'!$L5</f>
        <v>2515981.680866533</v>
      </c>
      <c r="BE4" s="105">
        <f>BC4/'Alternative 3'!$M5</f>
        <v>53139.143725926057</v>
      </c>
      <c r="BF4" s="105">
        <f t="shared" si="8"/>
        <v>2.5691208245924591</v>
      </c>
      <c r="BH4" s="105">
        <f>'Alternative 3'!$B$39*$B4*$C4*COS($K$73)-($N$72/3)*$E4*SIN($K$73)-($N$72/3)*$F4*SIN($K$73)-($N$72/3)*$G4*SIN($K$73)</f>
        <v>98489.678621143452</v>
      </c>
      <c r="BI4" s="106">
        <f>IF(($A4&lt;'Alternative 3'!$B$27),(($H4*'Alternative 3'!$B$39)+(3*($N$72/3)*COS($K$73))),IF(($A4&lt;'Alternative 3'!$B$28),(($H4*'Alternative 3'!$B$39)+(2*(($N$72/3)*COS($K$73)))),IF(($A4&lt;'Alternative 3'!$B$29),(($H$3*'Alternative 3'!$B$39+(($N$72/3)*COS($K$73)))),($H4*'Alternative 3'!$B$39))))</f>
        <v>155059.49287975783</v>
      </c>
      <c r="BJ4" s="105">
        <f>BH4*'Alternative 3'!$K5/'Alternative 3'!$L5</f>
        <v>1567513.2436305096</v>
      </c>
      <c r="BK4" s="105">
        <f>BI4/'Alternative 3'!$M5</f>
        <v>47881.956508899428</v>
      </c>
      <c r="BL4" s="105">
        <f t="shared" si="9"/>
        <v>1.615395200139409</v>
      </c>
      <c r="BN4" s="105">
        <f>'Alternative 3'!$B$39*$B4*$C4*COS($K$83)-($N$82/3)*$E4*SIN($K$83)-($N$82/3)*$F4*SIN($K$83)-($N$82/3)*$G4*SIN($K$83)</f>
        <v>33242.078675633937</v>
      </c>
      <c r="BO4" s="106">
        <f>IF(($A4&lt;'Alternative 3'!$B$27),(($H4*'Alternative 3'!$B$39)+(3*($N$82/3)*COS($K$83))),IF(($A4&lt;'Alternative 3'!$B$28),(($H4*'Alternative 3'!$B$39)+(2*(($N$82/3)*COS($K$83)))),IF(($A4&lt;'Alternative 3'!$B$29),(($H$3*'Alternative 3'!$B$39+(($N$82/3)*COS($K$83)))),($H4*'Alternative 3'!$B$39))))</f>
        <v>145241.64142889617</v>
      </c>
      <c r="BP4" s="105">
        <f>BN4*'Alternative 3'!$K5/'Alternative 3'!$L5</f>
        <v>529064.56086939946</v>
      </c>
      <c r="BQ4" s="105">
        <f>BO4/'Alternative 3'!$M5</f>
        <v>44850.230250478511</v>
      </c>
      <c r="BR4" s="105">
        <f t="shared" si="10"/>
        <v>0.57391479111987798</v>
      </c>
      <c r="BT4" s="105">
        <f>'Alternative 3'!$B$39*$B4*$C4*COS($K$93)-($K$92/3)*$E4*SIN($K$93)-($K$92/3)*$F4*SIN($K$93)-($K$92/3)*$G4*SIN($K$93)</f>
        <v>-31.066860685351351</v>
      </c>
      <c r="BU4" s="106">
        <f>IF(($A4&lt;'Alternative 3'!$B$27),(($H4*'Alternative 3'!$B$39)+(3*($N$92/3)*COS($K$93))),IF(($A4&lt;'Alternative 3'!$B$28),(($H4*'Alternative 3'!$B$39)+(2*(($N$92/3)*COS($K$93)))),IF(($A4&lt;'Alternative 3'!$B$29),(($H$3*'Alternative 3'!$B$39+(($N$92/3)*COS($K$93)))),($H4*'Alternative 3'!$B$39))))</f>
        <v>141843.10235397666</v>
      </c>
      <c r="BV4" s="105">
        <f>BT4*'Alternative 3'!$K5/'Alternative 3'!$L5</f>
        <v>-494.44486208180172</v>
      </c>
      <c r="BW4" s="105">
        <f>BU4/'Alternative 3'!$M5</f>
        <v>43800.770477607453</v>
      </c>
      <c r="BX4" s="105">
        <f t="shared" si="11"/>
        <v>4.3306325615525651E-2</v>
      </c>
      <c r="BZ4" s="104">
        <v>150</v>
      </c>
      <c r="CA4" s="104">
        <v>-150</v>
      </c>
    </row>
    <row r="5" spans="1:79" ht="15" customHeight="1" x14ac:dyDescent="0.25">
      <c r="A5" s="18">
        <f>IF('Alternative 3'!F6&gt;0,'Alternative 3'!F6,"x")</f>
        <v>3</v>
      </c>
      <c r="B5" s="18">
        <f t="shared" ref="B5:B68" si="17">IF(B4-1&gt;0,B4-1,"x")</f>
        <v>33</v>
      </c>
      <c r="C5" s="18">
        <f t="shared" si="12"/>
        <v>16.5</v>
      </c>
      <c r="D5" s="18">
        <f t="shared" si="13"/>
        <v>3</v>
      </c>
      <c r="E5" s="101">
        <f>IF($A5&lt;='Alternative 3'!$B$27, IF($A5='Alternative 3'!$B$27,0,E6+1),0)</f>
        <v>13</v>
      </c>
      <c r="F5" s="101">
        <f>IF($A5&lt;=('Alternative 3'!$B$28), IF($A5=ROUNDDOWN('Alternative 3'!$B$28,0),0,F6+1),0)</f>
        <v>19</v>
      </c>
      <c r="G5" s="101">
        <f>IF($A5&lt;=('Alternative 3'!$B$29), IF($A5=ROUNDDOWN('Alternative 3'!$B$29,0),0,G6+1),0)</f>
        <v>25</v>
      </c>
      <c r="H5" s="18">
        <f t="shared" si="14"/>
        <v>33</v>
      </c>
      <c r="J5" s="104">
        <f t="shared" si="15"/>
        <v>2</v>
      </c>
      <c r="K5" s="104">
        <f t="shared" si="16"/>
        <v>3.4906585039886591E-2</v>
      </c>
      <c r="L5" s="105">
        <f>'Alternative 3'!$B$27*SIN(K5)+'Alternative 3'!$B$28*SIN(K5)+'Alternative 3'!$B$29*SIN(K5)</f>
        <v>2.3379172841005396</v>
      </c>
      <c r="M5" s="104">
        <f>(('Alternative 3'!$B$27)*(((('Alternative 3'!$B$28-'Alternative 3'!$B$27)/2)+'Alternative 3'!$B$27)*'Alternative 3'!$B$39)*COS('Alternative 3-Tilt Up (3pt)'!K5))+(('Alternative 3'!$B$28)*((('Alternative 3'!$B$28-'Alternative 3'!$B$27)/2)+(('Alternative 3'!$B$29-'Alternative 3'!$B$28)/2))*('Alternative 3'!$B$39)*COS('Alternative 3-Tilt Up (3pt)'!K5))+(('Alternative 3'!$B$29)*((('Alternative 3'!$B$12-'Alternative 3'!$B$29+(('Alternative 3'!$B$29-'Alternative 3'!$B$28)/2)*('Alternative 3'!$B$39)*COS('Alternative 3-Tilt Up (3pt)'!K5)))))</f>
        <v>2246182.2905846597</v>
      </c>
      <c r="N5" s="108">
        <f t="shared" si="0"/>
        <v>2882286.2628976549</v>
      </c>
      <c r="O5" s="104">
        <f>(((('Alternative 3'!$B$28-'Alternative 3'!$B$27)/2)+'Alternative 3'!$B$27)*('Alternative 3'!$B$39)*COS('Alternative 3-Tilt Up (3pt)'!K5))+(((('Alternative 3'!$B$28-'Alternative 3'!$B$27)/2)+(('Alternative 3'!$B$29-'Alternative 3'!$B$28)/2))*('Alternative 3'!$B$39)*COS('Alternative 3-Tilt Up (3pt)'!K5))+(((('Alternative 3'!$B$12-'Alternative 3'!$B$29)+(('Alternative 3'!$B$29-'Alternative 3'!$B$28)/2))*('Alternative 3'!$B$39)*COS('Alternative 3-Tilt Up (3pt)'!K5)))</f>
        <v>145926.00993815658</v>
      </c>
      <c r="P5" s="104">
        <f t="shared" si="1"/>
        <v>2880530.4519830663</v>
      </c>
      <c r="R5" s="105">
        <f>'Alternative 3'!$B$39*$B5*$C5*COS($K$5)-($N$5/3)*$E5*SIN($K$5)-($N$5/3)*$F5*SIN($K$5)-($N$5/3)*$G5*SIN($K$5)</f>
        <v>358975.32455520018</v>
      </c>
      <c r="S5" s="106">
        <f>IF(($A5&lt;'Alternative 3'!$B$27),(($H5*'Alternative 3'!$B$39)+(3*($N$5/3)*COS($K$5))),IF(($A5&lt;'Alternative 3'!$B$28),(($H5*'Alternative 3'!$B$39)+(2*(($N$5/3)*COS($K$5)))),IF(($A5&lt;'Alternative 3'!$B$29),(($H$3*'Alternative 3'!$B$39+(($N$5/3)*COS($K$5)))),($H5*'Alternative 3'!$B$39))))</f>
        <v>3018201.6983854552</v>
      </c>
      <c r="T5" s="105">
        <f>R5*'Alternative 3'!$K6/'Alternative 3'!$L6</f>
        <v>5713274.5608943263</v>
      </c>
      <c r="U5" s="105">
        <f>S5/'Alternative 3'!$M6</f>
        <v>950376.94784025091</v>
      </c>
      <c r="V5" s="105">
        <f t="shared" si="2"/>
        <v>6.6636515087345769</v>
      </c>
      <c r="X5" s="105">
        <f>'Alternative 3'!$B$39*$B5*$C5*COS($K$13)-($N$12/3)*$E5*SIN($K$13)-($N$12/3)*$F5*SIN($K$13)-($N$12/3)*$G5*SIN($K$13)</f>
        <v>140382.82794286066</v>
      </c>
      <c r="Y5" s="106">
        <f>IF(($A5&lt;'Alternative 3'!$B$27),(($H5*'Alternative 3'!$B$39)+(3*($N$12/3)*COS($K$13))),IF(($A5&lt;'Alternative 3'!$B$28),(($H5*'Alternative 3'!$B$39)+(2*(($N$12/3)*COS($K$13)))),IF(($A5&lt;'Alternative 3'!$B$29),(($H$3*'Alternative 3'!$B$39+(($N$12/3)*COS($K$13)))),($H5*'Alternative 3'!$B$39))))</f>
        <v>763506.8664197427</v>
      </c>
      <c r="Z5" s="105">
        <f>X5*'Alternative 3'!$K6/'Alternative 3'!$L6</f>
        <v>2234263.9864345863</v>
      </c>
      <c r="AA5" s="105">
        <f>Y5/'Alternative 3'!$M6</f>
        <v>240414.45797052901</v>
      </c>
      <c r="AB5" s="105">
        <f t="shared" si="3"/>
        <v>2.4746784444051153</v>
      </c>
      <c r="AD5" s="105">
        <f>'Alternative 3'!$B$39*$B5*$C5*COS($K$23)-($N$22/3)*$E5*SIN($K$23)-($N$22/3)*$F5*SIN($K$23)-($N$22/3)*$G5*SIN($K$23)</f>
        <v>235008.20505038986</v>
      </c>
      <c r="AE5" s="106">
        <f>IF(($A5&lt;'Alternative 3'!$B$27),(($H5*'Alternative 3'!$B$39)+(3*($N$22/3)*COS($K$23))),IF(($A5&lt;'Alternative 3'!$B$28),(($H5*'Alternative 3'!$B$39)+(2*(($N$22/3)*COS($K$23)))),IF(($A5&lt;'Alternative 3'!$B$29),(($H$3*'Alternative 3'!$B$39+(($N$22/3)*COS($K$23)))),($H5*'Alternative 3'!$B$39))))</f>
        <v>412357.4725509102</v>
      </c>
      <c r="AF5" s="105">
        <f>AD5*'Alternative 3'!$K6/'Alternative 3'!$L6</f>
        <v>3740274.9093673876</v>
      </c>
      <c r="AG5" s="105">
        <f>AE5/'Alternative 3'!$M6</f>
        <v>129843.88564610935</v>
      </c>
      <c r="AH5" s="105">
        <f t="shared" si="4"/>
        <v>3.870118795013497</v>
      </c>
      <c r="AJ5" s="105">
        <f>'Alternative 3'!$B$39*$B5*$C5*COS($K$33)-($N$32/3)*$E5*SIN($K$33)-($N$32/3)*$F5*SIN($K$33)-($N$32/3)*$G5*SIN($K$33)</f>
        <v>242208.52661219565</v>
      </c>
      <c r="AK5" s="106">
        <f>IF(($A5&lt;'Alternative 3'!$B$27),(($H5*'Alternative 3'!$B$39)+(3*($N$32/3)*COS($K$33))),IF(($A5&lt;'Alternative 3'!$B$28),(($H5*'Alternative 3'!$B$39)+(2*(($N$32/3)*COS($K$33)))),IF(($A5&lt;'Alternative 3'!$B$29),(($H$3*'Alternative 3'!$B$39+(($N$32/3)*COS($K$33)))),($H5*'Alternative 3'!$B$39))))</f>
        <v>294926.29242030543</v>
      </c>
      <c r="AL5" s="105">
        <f>AJ5*'Alternative 3'!$K6/'Alternative 3'!$L6</f>
        <v>3854871.6830043965</v>
      </c>
      <c r="AM5" s="105">
        <f>AK5/'Alternative 3'!$M6</f>
        <v>92866.937878336306</v>
      </c>
      <c r="AN5" s="105">
        <f t="shared" si="5"/>
        <v>3.947738620882733</v>
      </c>
      <c r="AP5" s="105">
        <f>'Alternative 3'!$B$39*$B5*$C5*COS($K$43)-($N$42/3)*$E5*SIN($K$43)-($N$42/3)*$F5*SIN($K$43)-($N$42/3)*$G5*SIN($K$43)</f>
        <v>222089.10892803478</v>
      </c>
      <c r="AQ5" s="106">
        <f>IF(($A5&lt;'Alternative 3'!$B$27),(($H5*'Alternative 3'!$B$39)+(3*($N$42/3)*COS($K$43))),IF(($A5&lt;'Alternative 3'!$B$28),(($H5*'Alternative 3'!$B$39)+(2*(($N$42/3)*COS($K$43)))),IF(($A5&lt;'Alternative 3'!$B$29),(($H$3*'Alternative 3'!$B$39+(($N$42/3)*COS($K$43)))),($H5*'Alternative 3'!$B$39))))</f>
        <v>232888.51537493762</v>
      </c>
      <c r="AR5" s="105">
        <f>AP5*'Alternative 3'!$K6/'Alternative 3'!$L6</f>
        <v>3534660.9348774785</v>
      </c>
      <c r="AS5" s="105">
        <f>AQ5/'Alternative 3'!$M6</f>
        <v>73332.367597393823</v>
      </c>
      <c r="AT5" s="105">
        <f t="shared" si="6"/>
        <v>3.6079933024748723</v>
      </c>
      <c r="AV5" s="105">
        <f>'Alternative 3'!$B$39*$B5*$C5*COS($K$53)-($N$52/3)*$E5*SIN($K$53)-($N$52/3)*$F5*SIN($K$53)-($N$52/3)*$G5*SIN($K$53)</f>
        <v>186608.44785361364</v>
      </c>
      <c r="AW5" s="106">
        <f>IF(($A5&lt;'Alternative 3'!$B$27),(($H5*'Alternative 3'!$B$39)+(3*($N$52/3)*COS($K$53))),IF(($A5&lt;'Alternative 3'!$B$28),(($H5*'Alternative 3'!$B$39)+(2*(($N$52/3)*COS($K$53)))),IF(($A5&lt;'Alternative 3'!$B$29),(($H$3*'Alternative 3'!$B$39+(($N$52/3)*COS($K$53)))),($H5*'Alternative 3'!$B$39))))</f>
        <v>193914.42443940669</v>
      </c>
      <c r="AX5" s="105">
        <f>AV5*'Alternative 3'!$K6/'Alternative 3'!$L6</f>
        <v>2969968.1984856972</v>
      </c>
      <c r="AY5" s="105">
        <f>AW5/'Alternative 3'!$M6</f>
        <v>61060.133568775942</v>
      </c>
      <c r="AZ5" s="105">
        <f t="shared" si="7"/>
        <v>3.0310283320544729</v>
      </c>
      <c r="BB5" s="105">
        <f>'Alternative 3'!$B$39*$B5*$C5*COS($K$63)-($N$62/3)*$E5*SIN($K$63)-($N$62/3)*$F5*SIN($K$63)-($N$62/3)*$G5*SIN($K$63)</f>
        <v>140584.20619842497</v>
      </c>
      <c r="BC5" s="106">
        <f>IF(($A5&lt;'Alternative 3'!$B$27),(($H5*'Alternative 3'!$B$39)+(3*($N$62/3)*COS($K$63))),IF(($A5&lt;'Alternative 3'!$B$28),(($H5*'Alternative 3'!$B$39)+(2*(($N$62/3)*COS($K$63)))),IF(($A5&lt;'Alternative 3'!$B$29),(($H$3*'Alternative 3'!$B$39+(($N$62/3)*COS($K$63)))),($H5*'Alternative 3'!$B$39))))</f>
        <v>167912.35444769319</v>
      </c>
      <c r="BD5" s="105">
        <f>BB5*'Alternative 3'!$K6/'Alternative 3'!$L6</f>
        <v>2237469.0236221938</v>
      </c>
      <c r="BE5" s="105">
        <f>BC5/'Alternative 3'!$M6</f>
        <v>52872.55355069018</v>
      </c>
      <c r="BF5" s="105">
        <f t="shared" si="8"/>
        <v>2.2903415771728839</v>
      </c>
      <c r="BH5" s="105">
        <f>'Alternative 3'!$B$39*$B5*$C5*COS($K$73)-($N$72/3)*$E5*SIN($K$73)-($N$72/3)*$F5*SIN($K$73)-($N$72/3)*$G5*SIN($K$73)</f>
        <v>87001.644345804467</v>
      </c>
      <c r="BI5" s="106">
        <f>IF(($A5&lt;'Alternative 3'!$B$27),(($H5*'Alternative 3'!$B$39)+(3*($N$72/3)*COS($K$73))),IF(($A5&lt;'Alternative 3'!$B$28),(($H5*'Alternative 3'!$B$39)+(2*(($N$72/3)*COS($K$73)))),IF(($A5&lt;'Alternative 3'!$B$29),(($H$3*'Alternative 3'!$B$39+(($N$72/3)*COS($K$73)))),($H5*'Alternative 3'!$B$39))))</f>
        <v>150887.63692817028</v>
      </c>
      <c r="BJ5" s="105">
        <f>BH5*'Alternative 3'!$K6/'Alternative 3'!$L6</f>
        <v>1384675.3450610114</v>
      </c>
      <c r="BK5" s="105">
        <f>BI5/'Alternative 3'!$M6</f>
        <v>47511.778926945903</v>
      </c>
      <c r="BL5" s="105">
        <f t="shared" si="9"/>
        <v>1.4321871239879573</v>
      </c>
      <c r="BN5" s="105">
        <f>'Alternative 3'!$B$39*$B5*$C5*COS($K$83)-($N$82/3)*$E5*SIN($K$83)-($N$82/3)*$F5*SIN($K$83)-($N$82/3)*$G5*SIN($K$83)</f>
        <v>28247.572897834587</v>
      </c>
      <c r="BO5" s="106">
        <f>IF(($A5&lt;'Alternative 3'!$B$27),(($H5*'Alternative 3'!$B$39)+(3*($N$82/3)*COS($K$83))),IF(($A5&lt;'Alternative 3'!$B$28),(($H5*'Alternative 3'!$B$39)+(2*(($N$82/3)*COS($K$83)))),IF(($A5&lt;'Alternative 3'!$B$29),(($H$3*'Alternative 3'!$B$39+(($N$82/3)*COS($K$83)))),($H5*'Alternative 3'!$B$39))))</f>
        <v>141069.78547730861</v>
      </c>
      <c r="BP5" s="105">
        <f>BN5*'Alternative 3'!$K6/'Alternative 3'!$L6</f>
        <v>449574.46544320846</v>
      </c>
      <c r="BQ5" s="105">
        <f>BO5/'Alternative 3'!$M6</f>
        <v>44420.315655551487</v>
      </c>
      <c r="BR5" s="105">
        <f t="shared" si="10"/>
        <v>0.49399478109875994</v>
      </c>
      <c r="BT5" s="105">
        <f>'Alternative 3'!$B$39*$B5*$C5*COS($K$93)-($K$92/3)*$E5*SIN($K$93)-($K$92/3)*$F5*SIN($K$93)-($K$92/3)*$G5*SIN($K$93)</f>
        <v>-29.51351765108496</v>
      </c>
      <c r="BU5" s="106">
        <f>IF(($A5&lt;'Alternative 3'!$B$27),(($H5*'Alternative 3'!$B$39)+(3*($N$92/3)*COS($K$93))),IF(($A5&lt;'Alternative 3'!$B$28),(($H5*'Alternative 3'!$B$39)+(2*(($N$92/3)*COS($K$93)))),IF(($A5&lt;'Alternative 3'!$B$29),(($H$3*'Alternative 3'!$B$39+(($N$92/3)*COS($K$93)))),($H5*'Alternative 3'!$B$39))))</f>
        <v>137671.24640238911</v>
      </c>
      <c r="BV5" s="105">
        <f>BT5*'Alternative 3'!$K6/'Alternative 3'!$L6</f>
        <v>-469.72261897773035</v>
      </c>
      <c r="BW5" s="105">
        <f>BU5/'Alternative 3'!$M6</f>
        <v>43350.177369278033</v>
      </c>
      <c r="BX5" s="105">
        <f t="shared" si="11"/>
        <v>4.2880454750300306E-2</v>
      </c>
      <c r="BZ5" s="104">
        <v>150</v>
      </c>
      <c r="CA5" s="104">
        <v>-150</v>
      </c>
    </row>
    <row r="6" spans="1:79" ht="15" customHeight="1" x14ac:dyDescent="0.25">
      <c r="A6" s="18">
        <f>IF('Alternative 3'!F7&gt;0,'Alternative 3'!F7,"x")</f>
        <v>4</v>
      </c>
      <c r="B6" s="18">
        <f t="shared" si="17"/>
        <v>32</v>
      </c>
      <c r="C6" s="18">
        <f t="shared" si="12"/>
        <v>16</v>
      </c>
      <c r="D6" s="18">
        <f t="shared" si="13"/>
        <v>4</v>
      </c>
      <c r="E6" s="101">
        <f>IF($A6&lt;='Alternative 3'!$B$27, IF($A6='Alternative 3'!$B$27,0,E7+1),0)</f>
        <v>12</v>
      </c>
      <c r="F6" s="101">
        <f>IF($A6&lt;=('Alternative 3'!$B$28), IF($A6=ROUNDDOWN('Alternative 3'!$B$28,0),0,F7+1),0)</f>
        <v>18</v>
      </c>
      <c r="G6" s="101">
        <f>IF($A6&lt;=('Alternative 3'!$B$29), IF($A6=ROUNDDOWN('Alternative 3'!$B$29,0),0,G7+1),0)</f>
        <v>24</v>
      </c>
      <c r="H6" s="18">
        <f t="shared" si="14"/>
        <v>32</v>
      </c>
      <c r="J6" s="104">
        <f t="shared" si="15"/>
        <v>3</v>
      </c>
      <c r="K6" s="104">
        <f t="shared" si="16"/>
        <v>5.2359877559829883E-2</v>
      </c>
      <c r="L6" s="105">
        <f>'Alternative 3'!$B$27*SIN(K6)+'Alternative 3'!$B$28*SIN(K6)+'Alternative 3'!$B$29*SIN(K6)</f>
        <v>3.5059857087148072</v>
      </c>
      <c r="M6" s="104">
        <f>(('Alternative 3'!$B$27)*(((('Alternative 3'!$B$28-'Alternative 3'!$B$27)/2)+'Alternative 3'!$B$27)*'Alternative 3'!$B$39)*COS('Alternative 3-Tilt Up (3pt)'!K6))+(('Alternative 3'!$B$28)*((('Alternative 3'!$B$28-'Alternative 3'!$B$27)/2)+(('Alternative 3'!$B$29-'Alternative 3'!$B$28)/2))*('Alternative 3'!$B$39)*COS('Alternative 3-Tilt Up (3pt)'!K6))+(('Alternative 3'!$B$29)*((('Alternative 3'!$B$12-'Alternative 3'!$B$29+(('Alternative 3'!$B$29-'Alternative 3'!$B$28)/2)*('Alternative 3'!$B$39)*COS('Alternative 3-Tilt Up (3pt)'!K6)))))</f>
        <v>2244471.38547512</v>
      </c>
      <c r="N6" s="104">
        <f t="shared" si="0"/>
        <v>1920548.0899959616</v>
      </c>
      <c r="O6" s="104">
        <f>(((('Alternative 3'!$B$28-'Alternative 3'!$B$27)/2)+'Alternative 3'!$B$27)*('Alternative 3'!$B$39)*COS('Alternative 3-Tilt Up (3pt)'!K6))+(((('Alternative 3'!$B$28-'Alternative 3'!$B$27)/2)+(('Alternative 3'!$B$29-'Alternative 3'!$B$28)/2))*('Alternative 3'!$B$39)*COS('Alternative 3-Tilt Up (3pt)'!K6))+(((('Alternative 3'!$B$12-'Alternative 3'!$B$29)+(('Alternative 3'!$B$29-'Alternative 3'!$B$28)/2))*('Alternative 3'!$B$39)*COS('Alternative 3-Tilt Up (3pt)'!K6)))</f>
        <v>145814.84987989406</v>
      </c>
      <c r="P6" s="104">
        <f t="shared" si="1"/>
        <v>1917916.0455864526</v>
      </c>
      <c r="R6" s="105">
        <f>'Alternative 3'!$B$39*$B6*$C6*COS($K$5)-($N$5/3)*$E6*SIN($K$5)-($N$5/3)*$F6*SIN($K$5)-($N$5/3)*$G6*SIN($K$5)</f>
        <v>324062.94096885796</v>
      </c>
      <c r="S6" s="106">
        <f>IF(($A6&lt;'Alternative 3'!$B$27),(($H6*'Alternative 3'!$B$39)+(3*($N$5/3)*COS($K$5))),IF(($A6&lt;'Alternative 3'!$B$28),(($H6*'Alternative 3'!$B$39)+(2*(($N$5/3)*COS($K$5)))),IF(($A6&lt;'Alternative 3'!$B$29),(($H$3*'Alternative 3'!$B$39+(($N$5/3)*COS($K$5)))),($H6*'Alternative 3'!$B$39))))</f>
        <v>3014029.842433868</v>
      </c>
      <c r="T6" s="105">
        <f>R6*'Alternative 3'!$K7/'Alternative 3'!$L7</f>
        <v>5157626.2492696047</v>
      </c>
      <c r="U6" s="105">
        <f>S6/'Alternative 3'!$M7</f>
        <v>967949.67519684357</v>
      </c>
      <c r="V6" s="105">
        <f t="shared" si="2"/>
        <v>6.1255759244664478</v>
      </c>
      <c r="X6" s="105">
        <f>'Alternative 3'!$B$39*$B6*$C6*COS($K$13)-($N$12/3)*$E6*SIN($K$13)-($N$12/3)*$F6*SIN($K$13)-($N$12/3)*$G6*SIN($K$13)</f>
        <v>117209.06045919063</v>
      </c>
      <c r="Y6" s="106">
        <f>IF(($A6&lt;'Alternative 3'!$B$27),(($H6*'Alternative 3'!$B$39)+(3*($N$12/3)*COS($K$13))),IF(($A6&lt;'Alternative 3'!$B$28),(($H6*'Alternative 3'!$B$39)+(2*(($N$12/3)*COS($K$13)))),IF(($A6&lt;'Alternative 3'!$B$29),(($H$3*'Alternative 3'!$B$39+(($N$12/3)*COS($K$13)))),($H6*'Alternative 3'!$B$39))))</f>
        <v>759335.01046815515</v>
      </c>
      <c r="Z6" s="105">
        <f>X6*'Alternative 3'!$K7/'Alternative 3'!$L7</f>
        <v>1865441.7103949056</v>
      </c>
      <c r="AA6" s="105">
        <f>Y6/'Alternative 3'!$M7</f>
        <v>243858.92481897995</v>
      </c>
      <c r="AB6" s="105">
        <f t="shared" si="3"/>
        <v>2.1093006352138857</v>
      </c>
      <c r="AD6" s="105">
        <f>'Alternative 3'!$B$39*$B6*$C6*COS($K$23)-($N$22/3)*$E6*SIN($K$23)-($N$22/3)*$F6*SIN($K$23)-($N$22/3)*$G6*SIN($K$23)</f>
        <v>207577.29191898694</v>
      </c>
      <c r="AE6" s="106">
        <f>IF(($A6&lt;'Alternative 3'!$B$27),(($H6*'Alternative 3'!$B$39)+(3*($N$22/3)*COS($K$23))),IF(($A6&lt;'Alternative 3'!$B$28),(($H6*'Alternative 3'!$B$39)+(2*(($N$22/3)*COS($K$23)))),IF(($A6&lt;'Alternative 3'!$B$29),(($H$3*'Alternative 3'!$B$39+(($N$22/3)*COS($K$23)))),($H6*'Alternative 3'!$B$39))))</f>
        <v>408185.61659932265</v>
      </c>
      <c r="AF6" s="105">
        <f>AD6*'Alternative 3'!$K7/'Alternative 3'!$L7</f>
        <v>3303697.9987679319</v>
      </c>
      <c r="AG6" s="105">
        <f>AE6/'Alternative 3'!$M7</f>
        <v>131087.99702138544</v>
      </c>
      <c r="AH6" s="105">
        <f t="shared" si="4"/>
        <v>3.4347859957893174</v>
      </c>
      <c r="AJ6" s="105">
        <f>'Alternative 3'!$B$39*$B6*$C6*COS($K$33)-($N$32/3)*$E6*SIN($K$33)-($N$32/3)*$F6*SIN($K$33)-($N$32/3)*$G6*SIN($K$33)</f>
        <v>215579.43962443236</v>
      </c>
      <c r="AK6" s="106">
        <f>IF(($A6&lt;'Alternative 3'!$B$27),(($H6*'Alternative 3'!$B$39)+(3*($N$32/3)*COS($K$33))),IF(($A6&lt;'Alternative 3'!$B$28),(($H6*'Alternative 3'!$B$39)+(2*(($N$32/3)*COS($K$33)))),IF(($A6&lt;'Alternative 3'!$B$29),(($H$3*'Alternative 3'!$B$39+(($N$32/3)*COS($K$33)))),($H6*'Alternative 3'!$B$39))))</f>
        <v>290754.43646871787</v>
      </c>
      <c r="AL6" s="105">
        <f>AJ6*'Alternative 3'!$K7/'Alternative 3'!$L7</f>
        <v>3431056.2426101486</v>
      </c>
      <c r="AM6" s="105">
        <f>AK6/'Alternative 3'!$M7</f>
        <v>93375.20763055014</v>
      </c>
      <c r="AN6" s="105">
        <f t="shared" si="5"/>
        <v>3.5244314502406988</v>
      </c>
      <c r="AP6" s="105">
        <f>'Alternative 3'!$B$39*$B6*$C6*COS($K$43)-($N$42/3)*$E6*SIN($K$43)-($N$42/3)*$F6*SIN($K$43)-($N$42/3)*$G6*SIN($K$43)</f>
        <v>198121.50445539725</v>
      </c>
      <c r="AQ6" s="106">
        <f>IF(($A6&lt;'Alternative 3'!$B$27),(($H6*'Alternative 3'!$B$39)+(3*($N$42/3)*COS($K$43))),IF(($A6&lt;'Alternative 3'!$B$28),(($H6*'Alternative 3'!$B$39)+(2*(($N$42/3)*COS($K$43)))),IF(($A6&lt;'Alternative 3'!$B$29),(($H$3*'Alternative 3'!$B$39+(($N$42/3)*COS($K$43)))),($H6*'Alternative 3'!$B$39))))</f>
        <v>228716.65942335007</v>
      </c>
      <c r="AR6" s="105">
        <f>AP6*'Alternative 3'!$K7/'Alternative 3'!$L7</f>
        <v>3153204.340085709</v>
      </c>
      <c r="AS6" s="105">
        <f>AQ6/'Alternative 3'!$M7</f>
        <v>73451.899209520285</v>
      </c>
      <c r="AT6" s="105">
        <f t="shared" si="6"/>
        <v>3.2266562392952292</v>
      </c>
      <c r="AV6" s="105">
        <f>'Alternative 3'!$B$39*$B6*$C6*COS($K$53)-($N$52/3)*$E6*SIN($K$53)-($N$52/3)*$F6*SIN($K$53)-($N$52/3)*$G6*SIN($K$53)</f>
        <v>166483.8945981256</v>
      </c>
      <c r="AW6" s="106">
        <f>IF(($A6&lt;'Alternative 3'!$B$27),(($H6*'Alternative 3'!$B$39)+(3*($N$52/3)*COS($K$53))),IF(($A6&lt;'Alternative 3'!$B$28),(($H6*'Alternative 3'!$B$39)+(2*(($N$52/3)*COS($K$53)))),IF(($A6&lt;'Alternative 3'!$B$29),(($H$3*'Alternative 3'!$B$39+(($N$52/3)*COS($K$53)))),($H6*'Alternative 3'!$B$39))))</f>
        <v>189742.56848781914</v>
      </c>
      <c r="AX6" s="105">
        <f>AV6*'Alternative 3'!$K7/'Alternative 3'!$L7</f>
        <v>2649675.7151335087</v>
      </c>
      <c r="AY6" s="105">
        <f>AW6/'Alternative 3'!$M7</f>
        <v>60935.447603428685</v>
      </c>
      <c r="AZ6" s="105">
        <f t="shared" si="7"/>
        <v>2.7106111627369374</v>
      </c>
      <c r="BB6" s="105">
        <f>'Alternative 3'!$B$39*$B6*$C6*COS($K$63)-($N$62/3)*$E6*SIN($K$63)-($N$62/3)*$F6*SIN($K$63)-($N$62/3)*$G6*SIN($K$63)</f>
        <v>125170.6825967739</v>
      </c>
      <c r="BC6" s="106">
        <f>IF(($A6&lt;'Alternative 3'!$B$27),(($H6*'Alternative 3'!$B$39)+(3*($N$62/3)*COS($K$63))),IF(($A6&lt;'Alternative 3'!$B$28),(($H6*'Alternative 3'!$B$39)+(2*(($N$62/3)*COS($K$63)))),IF(($A6&lt;'Alternative 3'!$B$29),(($H$3*'Alternative 3'!$B$39+(($N$62/3)*COS($K$63)))),($H6*'Alternative 3'!$B$39))))</f>
        <v>163740.49849610563</v>
      </c>
      <c r="BD6" s="105">
        <f>BB6*'Alternative 3'!$K7/'Alternative 3'!$L7</f>
        <v>1992154.9692476403</v>
      </c>
      <c r="BE6" s="105">
        <f>BC6/'Alternative 3'!$M7</f>
        <v>52584.934662720494</v>
      </c>
      <c r="BF6" s="105">
        <f t="shared" si="8"/>
        <v>2.0447399039103606</v>
      </c>
      <c r="BH6" s="105">
        <f>'Alternative 3'!$B$39*$B6*$C6*COS($K$73)-($N$72/3)*$E6*SIN($K$73)-($N$72/3)*$F6*SIN($K$73)-($N$72/3)*$G6*SIN($K$73)</f>
        <v>76940.468840961461</v>
      </c>
      <c r="BI6" s="106">
        <f>IF(($A6&lt;'Alternative 3'!$B$27),(($H6*'Alternative 3'!$B$39)+(3*($N$72/3)*COS($K$73))),IF(($A6&lt;'Alternative 3'!$B$28),(($H6*'Alternative 3'!$B$39)+(2*(($N$72/3)*COS($K$73)))),IF(($A6&lt;'Alternative 3'!$B$29),(($H$3*'Alternative 3'!$B$39+(($N$72/3)*COS($K$73)))),($H6*'Alternative 3'!$B$39))))</f>
        <v>146715.78097658273</v>
      </c>
      <c r="BJ6" s="105">
        <f>BH6*'Alternative 3'!$K7/'Alternative 3'!$L7</f>
        <v>1224546.6283149847</v>
      </c>
      <c r="BK6" s="105">
        <f>BI6/'Alternative 3'!$M7</f>
        <v>47117.480571412249</v>
      </c>
      <c r="BL6" s="105">
        <f t="shared" si="9"/>
        <v>1.2716641088863969</v>
      </c>
      <c r="BN6" s="105">
        <f>'Alternative 3'!$B$39*$B6*$C6*COS($K$83)-($N$82/3)*$E6*SIN($K$83)-($N$82/3)*$F6*SIN($K$83)-($N$82/3)*$G6*SIN($K$83)</f>
        <v>23977.502303517191</v>
      </c>
      <c r="BO6" s="106">
        <f>IF(($A6&lt;'Alternative 3'!$B$27),(($H6*'Alternative 3'!$B$39)+(3*($N$82/3)*COS($K$83))),IF(($A6&lt;'Alternative 3'!$B$28),(($H6*'Alternative 3'!$B$39)+(2*(($N$82/3)*COS($K$83)))),IF(($A6&lt;'Alternative 3'!$B$29),(($H$3*'Alternative 3'!$B$39+(($N$82/3)*COS($K$83)))),($H6*'Alternative 3'!$B$39))))</f>
        <v>136897.92952572106</v>
      </c>
      <c r="BP6" s="105">
        <f>BN6*'Alternative 3'!$K7/'Alternative 3'!$L7</f>
        <v>381614.12379586749</v>
      </c>
      <c r="BQ6" s="105">
        <f>BO6/'Alternative 3'!$M7</f>
        <v>43964.497150611591</v>
      </c>
      <c r="BR6" s="105">
        <f t="shared" si="10"/>
        <v>0.42557862094647908</v>
      </c>
      <c r="BT6" s="105">
        <f>'Alternative 3'!$B$39*$B6*$C6*COS($K$93)-($K$92/3)*$E6*SIN($K$93)-($K$92/3)*$F6*SIN($K$93)-($K$92/3)*$G6*SIN($K$93)</f>
        <v>-27.960174616818318</v>
      </c>
      <c r="BU6" s="106">
        <f>IF(($A6&lt;'Alternative 3'!$B$27),(($H6*'Alternative 3'!$B$39)+(3*($N$92/3)*COS($K$93))),IF(($A6&lt;'Alternative 3'!$B$28),(($H6*'Alternative 3'!$B$39)+(2*(($N$92/3)*COS($K$93)))),IF(($A6&lt;'Alternative 3'!$B$29),(($H$3*'Alternative 3'!$B$39+(($N$92/3)*COS($K$93)))),($H6*'Alternative 3'!$B$39))))</f>
        <v>133499.39045080155</v>
      </c>
      <c r="BV6" s="105">
        <f>BT6*'Alternative 3'!$K7/'Alternative 3'!$L7</f>
        <v>-445.00037587365495</v>
      </c>
      <c r="BW6" s="105">
        <f>BU6/'Alternative 3'!$M7</f>
        <v>42873.063101950771</v>
      </c>
      <c r="BX6" s="105">
        <f t="shared" si="11"/>
        <v>4.2428062726077118E-2</v>
      </c>
      <c r="BZ6" s="104">
        <v>150</v>
      </c>
      <c r="CA6" s="104">
        <v>-150</v>
      </c>
    </row>
    <row r="7" spans="1:79" ht="15" customHeight="1" x14ac:dyDescent="0.25">
      <c r="A7" s="18">
        <f>IF('Alternative 3'!F8&gt;0,'Alternative 3'!F8,"x")</f>
        <v>5</v>
      </c>
      <c r="B7" s="18">
        <f t="shared" si="17"/>
        <v>31</v>
      </c>
      <c r="C7" s="18">
        <f t="shared" si="12"/>
        <v>15.5</v>
      </c>
      <c r="D7" s="18">
        <f t="shared" si="13"/>
        <v>5</v>
      </c>
      <c r="E7" s="101">
        <f>IF($A7&lt;='Alternative 3'!$B$27, IF($A7='Alternative 3'!$B$27,0,E8+1),0)</f>
        <v>11</v>
      </c>
      <c r="F7" s="101">
        <f>IF($A7&lt;=('Alternative 3'!$B$28), IF($A7=ROUNDDOWN('Alternative 3'!$B$28,0),0,F8+1),0)</f>
        <v>17</v>
      </c>
      <c r="G7" s="101">
        <f>IF($A7&lt;=('Alternative 3'!$B$29), IF($A7=ROUNDDOWN('Alternative 3'!$B$29,0),0,G8+1),0)</f>
        <v>23</v>
      </c>
      <c r="H7" s="18">
        <f t="shared" si="14"/>
        <v>31</v>
      </c>
      <c r="J7" s="104">
        <f t="shared" si="15"/>
        <v>4</v>
      </c>
      <c r="K7" s="104">
        <f t="shared" si="16"/>
        <v>6.9813170079773182E-2</v>
      </c>
      <c r="L7" s="105">
        <f>'Alternative 3'!$B$27*SIN(K7)+'Alternative 3'!$B$28*SIN(K7)+'Alternative 3'!$B$29*SIN(K7)</f>
        <v>4.6729861761189539</v>
      </c>
      <c r="M7" s="104">
        <f>(('Alternative 3'!$B$27)*(((('Alternative 3'!$B$28-'Alternative 3'!$B$27)/2)+'Alternative 3'!$B$27)*'Alternative 3'!$B$39)*COS('Alternative 3-Tilt Up (3pt)'!K7))+(('Alternative 3'!$B$28)*((('Alternative 3'!$B$28-'Alternative 3'!$B$27)/2)+(('Alternative 3'!$B$29-'Alternative 3'!$B$28)/2))*('Alternative 3'!$B$39)*COS('Alternative 3-Tilt Up (3pt)'!K7))+(('Alternative 3'!$B$29)*((('Alternative 3'!$B$12-'Alternative 3'!$B$29+(('Alternative 3'!$B$29-'Alternative 3'!$B$28)/2)*('Alternative 3'!$B$39)*COS('Alternative 3-Tilt Up (3pt)'!K7)))))</f>
        <v>2242076.8479878027</v>
      </c>
      <c r="N7" s="104">
        <f t="shared" si="0"/>
        <v>1439385.9280683196</v>
      </c>
      <c r="O7" s="104">
        <f>(((('Alternative 3'!$B$28-'Alternative 3'!$B$27)/2)+'Alternative 3'!$B$27)*('Alternative 3'!$B$39)*COS('Alternative 3-Tilt Up (3pt)'!K7))+(((('Alternative 3'!$B$28-'Alternative 3'!$B$27)/2)+(('Alternative 3'!$B$29-'Alternative 3'!$B$28)/2))*('Alternative 3'!$B$39)*COS('Alternative 3-Tilt Up (3pt)'!K7))+(((('Alternative 3'!$B$12-'Alternative 3'!$B$29)+(('Alternative 3'!$B$29-'Alternative 3'!$B$28)/2))*('Alternative 3'!$B$39)*COS('Alternative 3-Tilt Up (3pt)'!K7)))</f>
        <v>145659.273205818</v>
      </c>
      <c r="P7" s="104">
        <f t="shared" si="1"/>
        <v>1435879.6562908289</v>
      </c>
      <c r="R7" s="105">
        <f>'Alternative 3'!$B$39*$B7*$C7*COS($K$5)-($N$5/3)*$E7*SIN($K$5)-($N$5/3)*$F7*SIN($K$5)-($N$5/3)*$G7*SIN($K$5)</f>
        <v>293319.87195217761</v>
      </c>
      <c r="S7" s="106">
        <f>IF(($A7&lt;'Alternative 3'!$B$27),(($H7*'Alternative 3'!$B$39)+(3*($N$5/3)*COS($K$5))),IF(($A7&lt;'Alternative 3'!$B$28),(($H7*'Alternative 3'!$B$39)+(2*(($N$5/3)*COS($K$5)))),IF(($A7&lt;'Alternative 3'!$B$29),(($H$3*'Alternative 3'!$B$39+(($N$5/3)*COS($K$5)))),($H7*'Alternative 3'!$B$39))))</f>
        <v>3009857.9864822803</v>
      </c>
      <c r="T7" s="105">
        <f>R7*'Alternative 3'!$K8/'Alternative 3'!$L8</f>
        <v>4668334.6960007139</v>
      </c>
      <c r="U7" s="105">
        <f>S7/'Alternative 3'!$M8</f>
        <v>986038.75080360321</v>
      </c>
      <c r="V7" s="105">
        <f t="shared" si="2"/>
        <v>5.6543734468043167</v>
      </c>
      <c r="X7" s="105">
        <f>'Alternative 3'!$B$39*$B7*$C7*COS($K$13)-($N$12/3)*$E7*SIN($K$13)-($N$12/3)*$F7*SIN($K$13)-($N$12/3)*$G7*SIN($K$13)</f>
        <v>98143.76906109415</v>
      </c>
      <c r="Y7" s="106">
        <f>IF(($A7&lt;'Alternative 3'!$B$27),(($H7*'Alternative 3'!$B$39)+(3*($N$12/3)*COS($K$13))),IF(($A7&lt;'Alternative 3'!$B$28),(($H7*'Alternative 3'!$B$39)+(2*(($N$12/3)*COS($K$13)))),IF(($A7&lt;'Alternative 3'!$B$29),(($H$3*'Alternative 3'!$B$39+(($N$12/3)*COS($K$13)))),($H7*'Alternative 3'!$B$39))))</f>
        <v>755163.15451656759</v>
      </c>
      <c r="Z7" s="105">
        <f>X7*'Alternative 3'!$K8/'Alternative 3'!$L8</f>
        <v>1562007.9173459006</v>
      </c>
      <c r="AA7" s="105">
        <f>Y7/'Alternative 3'!$M8</f>
        <v>247393.77634314456</v>
      </c>
      <c r="AB7" s="105">
        <f t="shared" si="3"/>
        <v>1.8094016936890451</v>
      </c>
      <c r="AD7" s="105">
        <f>'Alternative 3'!$B$39*$B7*$C7*COS($K$23)-($N$22/3)*$E7*SIN($K$23)-($N$22/3)*$F7*SIN($K$23)-($N$22/3)*$G7*SIN($K$23)</f>
        <v>184066.64104027243</v>
      </c>
      <c r="AE7" s="106">
        <f>IF(($A7&lt;'Alternative 3'!$B$27),(($H7*'Alternative 3'!$B$39)+(3*($N$22/3)*COS($K$23))),IF(($A7&lt;'Alternative 3'!$B$28),(($H7*'Alternative 3'!$B$39)+(2*(($N$22/3)*COS($K$23)))),IF(($A7&lt;'Alternative 3'!$B$29),(($H$3*'Alternative 3'!$B$39+(($N$22/3)*COS($K$23)))),($H7*'Alternative 3'!$B$39))))</f>
        <v>404013.76064773509</v>
      </c>
      <c r="AF7" s="105">
        <f>AD7*'Alternative 3'!$K8/'Alternative 3'!$L8</f>
        <v>2929514.0524427509</v>
      </c>
      <c r="AG7" s="105">
        <f>AE7/'Alternative 3'!$M8</f>
        <v>132356.15289681838</v>
      </c>
      <c r="AH7" s="105">
        <f t="shared" si="4"/>
        <v>3.0618702053395692</v>
      </c>
      <c r="AJ7" s="105">
        <f>'Alternative 3'!$B$39*$B7*$C7*COS($K$33)-($N$32/3)*$E7*SIN($K$33)-($N$32/3)*$F7*SIN($K$33)-($N$32/3)*$G7*SIN($K$33)</f>
        <v>192563.28587167326</v>
      </c>
      <c r="AK7" s="106">
        <f>IF(($A7&lt;'Alternative 3'!$B$27),(($H7*'Alternative 3'!$B$39)+(3*($N$32/3)*COS($K$33))),IF(($A7&lt;'Alternative 3'!$B$28),(($H7*'Alternative 3'!$B$39)+(2*(($N$32/3)*COS($K$33)))),IF(($A7&lt;'Alternative 3'!$B$29),(($H$3*'Alternative 3'!$B$39+(($N$32/3)*COS($K$33)))),($H7*'Alternative 3'!$B$39))))</f>
        <v>286582.58051713032</v>
      </c>
      <c r="AL7" s="105">
        <f>AJ7*'Alternative 3'!$K8/'Alternative 3'!$L8</f>
        <v>3064742.4691266725</v>
      </c>
      <c r="AM7" s="105">
        <f>AK7/'Alternative 3'!$M8</f>
        <v>93885.336439227322</v>
      </c>
      <c r="AN7" s="105">
        <f t="shared" si="5"/>
        <v>3.1586278055658998</v>
      </c>
      <c r="AP7" s="105">
        <f>'Alternative 3'!$B$39*$B7*$C7*COS($K$43)-($N$42/3)*$E7*SIN($K$43)-($N$42/3)*$F7*SIN($K$43)-($N$42/3)*$G7*SIN($K$43)</f>
        <v>177349.72705196647</v>
      </c>
      <c r="AQ7" s="106">
        <f>IF(($A7&lt;'Alternative 3'!$B$27),(($H7*'Alternative 3'!$B$39)+(3*($N$42/3)*COS($K$43))),IF(($A7&lt;'Alternative 3'!$B$28),(($H7*'Alternative 3'!$B$39)+(2*(($N$42/3)*COS($K$43)))),IF(($A7&lt;'Alternative 3'!$B$29),(($H$3*'Alternative 3'!$B$39+(($N$42/3)*COS($K$43)))),($H7*'Alternative 3'!$B$39))))</f>
        <v>224544.80347176251</v>
      </c>
      <c r="AR7" s="105">
        <f>AP7*'Alternative 3'!$K8/'Alternative 3'!$L8</f>
        <v>2822610.9557893691</v>
      </c>
      <c r="AS7" s="105">
        <f>AQ7/'Alternative 3'!$M8</f>
        <v>73561.569518934775</v>
      </c>
      <c r="AT7" s="105">
        <f t="shared" si="6"/>
        <v>2.8961725253083039</v>
      </c>
      <c r="AV7" s="105">
        <f>'Alternative 3'!$B$39*$B7*$C7*COS($K$53)-($N$52/3)*$E7*SIN($K$53)-($N$52/3)*$F7*SIN($K$53)-($N$52/3)*$G7*SIN($K$53)</f>
        <v>149040.95865771506</v>
      </c>
      <c r="AW7" s="106">
        <f>IF(($A7&lt;'Alternative 3'!$B$27),(($H7*'Alternative 3'!$B$39)+(3*($N$52/3)*COS($K$53))),IF(($A7&lt;'Alternative 3'!$B$28),(($H7*'Alternative 3'!$B$39)+(2*(($N$52/3)*COS($K$53)))),IF(($A7&lt;'Alternative 3'!$B$29),(($H$3*'Alternative 3'!$B$39+(($N$52/3)*COS($K$53)))),($H7*'Alternative 3'!$B$39))))</f>
        <v>185570.71253623159</v>
      </c>
      <c r="AX7" s="105">
        <f>AV7*'Alternative 3'!$K8/'Alternative 3'!$L8</f>
        <v>2372062.5329485242</v>
      </c>
      <c r="AY7" s="105">
        <f>AW7/'Alternative 3'!$M8</f>
        <v>60793.537235560725</v>
      </c>
      <c r="AZ7" s="105">
        <f t="shared" si="7"/>
        <v>2.4328560701840849</v>
      </c>
      <c r="BB7" s="105">
        <f>'Alternative 3'!$B$39*$B7*$C7*COS($K$63)-($N$62/3)*$E7*SIN($K$63)-($N$62/3)*$F7*SIN($K$63)-($N$62/3)*$G7*SIN($K$63)</f>
        <v>111843.08697091654</v>
      </c>
      <c r="BC7" s="106">
        <f>IF(($A7&lt;'Alternative 3'!$B$27),(($H7*'Alternative 3'!$B$39)+(3*($N$62/3)*COS($K$63))),IF(($A7&lt;'Alternative 3'!$B$28),(($H7*'Alternative 3'!$B$39)+(2*(($N$62/3)*COS($K$63)))),IF(($A7&lt;'Alternative 3'!$B$29),(($H$3*'Alternative 3'!$B$39+(($N$62/3)*COS($K$63)))),($H7*'Alternative 3'!$B$39))))</f>
        <v>159568.64254451808</v>
      </c>
      <c r="BD7" s="105">
        <f>BB7*'Alternative 3'!$K8/'Alternative 3'!$L8</f>
        <v>1780039.5177428713</v>
      </c>
      <c r="BE7" s="105">
        <f>BC7/'Alternative 3'!$M8</f>
        <v>52275.1789847443</v>
      </c>
      <c r="BF7" s="105">
        <f t="shared" si="8"/>
        <v>1.8323146967276156</v>
      </c>
      <c r="BH7" s="105">
        <f>'Alternative 3'!$B$39*$B7*$C7*COS($K$73)-($N$72/3)*$E7*SIN($K$73)-($N$72/3)*$F7*SIN($K$73)-($N$72/3)*$G7*SIN($K$73)</f>
        <v>68306.152106614842</v>
      </c>
      <c r="BI7" s="106">
        <f>IF(($A7&lt;'Alternative 3'!$B$27),(($H7*'Alternative 3'!$B$39)+(3*($N$72/3)*COS($K$73))),IF(($A7&lt;'Alternative 3'!$B$28),(($H7*'Alternative 3'!$B$39)+(2*(($N$72/3)*COS($K$73)))),IF(($A7&lt;'Alternative 3'!$B$29),(($H$3*'Alternative 3'!$B$39+(($N$72/3)*COS($K$73)))),($H7*'Alternative 3'!$B$39))))</f>
        <v>142543.92502499517</v>
      </c>
      <c r="BJ7" s="105">
        <f>BH7*'Alternative 3'!$K8/'Alternative 3'!$L8</f>
        <v>1087127.0933924359</v>
      </c>
      <c r="BK7" s="105">
        <f>BI7/'Alternative 3'!$M8</f>
        <v>46697.829066200757</v>
      </c>
      <c r="BL7" s="105">
        <f t="shared" si="9"/>
        <v>1.1338249224586365</v>
      </c>
      <c r="BN7" s="105">
        <f>'Alternative 3'!$B$39*$B7*$C7*COS($K$83)-($N$82/3)*$E7*SIN($K$83)-($N$82/3)*$F7*SIN($K$83)-($N$82/3)*$G7*SIN($K$83)</f>
        <v>20431.866892681923</v>
      </c>
      <c r="BO7" s="106">
        <f>IF(($A7&lt;'Alternative 3'!$B$27),(($H7*'Alternative 3'!$B$39)+(3*($N$82/3)*COS($K$83))),IF(($A7&lt;'Alternative 3'!$B$28),(($H7*'Alternative 3'!$B$39)+(2*(($N$82/3)*COS($K$83)))),IF(($A7&lt;'Alternative 3'!$B$29),(($H$3*'Alternative 3'!$B$39+(($N$82/3)*COS($K$83)))),($H7*'Alternative 3'!$B$39))))</f>
        <v>132726.07357413351</v>
      </c>
      <c r="BP7" s="105">
        <f>BN7*'Alternative 3'!$K8/'Alternative 3'!$L8</f>
        <v>325183.5359273795</v>
      </c>
      <c r="BQ7" s="105">
        <f>BO7/'Alternative 3'!$M8</f>
        <v>43481.470678642007</v>
      </c>
      <c r="BR7" s="105">
        <f t="shared" si="10"/>
        <v>0.36866500660602147</v>
      </c>
      <c r="BT7" s="105">
        <f>'Alternative 3'!$B$39*$B7*$C7*COS($K$93)-($K$92/3)*$E7*SIN($K$93)-($K$92/3)*$F7*SIN($K$93)-($K$92/3)*$G7*SIN($K$93)</f>
        <v>-26.406831582551412</v>
      </c>
      <c r="BU7" s="106">
        <f>IF(($A7&lt;'Alternative 3'!$B$27),(($H7*'Alternative 3'!$B$39)+(3*($N$92/3)*COS($K$93))),IF(($A7&lt;'Alternative 3'!$B$28),(($H7*'Alternative 3'!$B$39)+(2*(($N$92/3)*COS($K$93)))),IF(($A7&lt;'Alternative 3'!$B$29),(($H$3*'Alternative 3'!$B$39+(($N$92/3)*COS($K$93)))),($H7*'Alternative 3'!$B$39))))</f>
        <v>129327.534499214</v>
      </c>
      <c r="BV7" s="105">
        <f>BT7*'Alternative 3'!$K8/'Alternative 3'!$L8</f>
        <v>-420.27813276957551</v>
      </c>
      <c r="BW7" s="105">
        <f>BU7/'Alternative 3'!$M8</f>
        <v>42368.098805603106</v>
      </c>
      <c r="BX7" s="105">
        <f t="shared" si="11"/>
        <v>4.1947820672833529E-2</v>
      </c>
      <c r="BZ7" s="104">
        <v>150</v>
      </c>
      <c r="CA7" s="104">
        <v>-150</v>
      </c>
    </row>
    <row r="8" spans="1:79" ht="15" customHeight="1" x14ac:dyDescent="0.25">
      <c r="A8" s="18">
        <f>IF('Alternative 3'!F9&gt;0,'Alternative 3'!F9,"x")</f>
        <v>6</v>
      </c>
      <c r="B8" s="18">
        <f t="shared" si="17"/>
        <v>30</v>
      </c>
      <c r="C8" s="18">
        <f t="shared" si="12"/>
        <v>15</v>
      </c>
      <c r="D8" s="18">
        <f t="shared" si="13"/>
        <v>6</v>
      </c>
      <c r="E8" s="101">
        <f>IF($A8&lt;='Alternative 3'!$B$27, IF($A8='Alternative 3'!$B$27,0,E9+1),0)</f>
        <v>10</v>
      </c>
      <c r="F8" s="101">
        <f>IF($A8&lt;=('Alternative 3'!$B$28), IF($A8=ROUNDDOWN('Alternative 3'!$B$28,0),0,F9+1),0)</f>
        <v>16</v>
      </c>
      <c r="G8" s="101">
        <f>IF($A8&lt;=('Alternative 3'!$B$29), IF($A8=ROUNDDOWN('Alternative 3'!$B$29,0),0,G9+1),0)</f>
        <v>22</v>
      </c>
      <c r="H8" s="18">
        <f t="shared" si="14"/>
        <v>30</v>
      </c>
      <c r="J8" s="104">
        <f t="shared" si="15"/>
        <v>5</v>
      </c>
      <c r="K8" s="104">
        <f t="shared" si="16"/>
        <v>8.7266462599716474E-2</v>
      </c>
      <c r="L8" s="105">
        <f>'Alternative 3'!$B$27*SIN(K8)+'Alternative 3'!$B$28*SIN(K8)+'Alternative 3'!$B$29*SIN(K8)</f>
        <v>5.8385632066656203</v>
      </c>
      <c r="M8" s="104">
        <f>(('Alternative 3'!$B$27)*(((('Alternative 3'!$B$28-'Alternative 3'!$B$27)/2)+'Alternative 3'!$B$27)*'Alternative 3'!$B$39)*COS('Alternative 3-Tilt Up (3pt)'!K8))+(('Alternative 3'!$B$28)*((('Alternative 3'!$B$28-'Alternative 3'!$B$27)/2)+(('Alternative 3'!$B$29-'Alternative 3'!$B$28)/2))*('Alternative 3'!$B$39)*COS('Alternative 3-Tilt Up (3pt)'!K8))+(('Alternative 3'!$B$29)*((('Alternative 3'!$B$12-'Alternative 3'!$B$29+(('Alternative 3'!$B$29-'Alternative 3'!$B$28)/2)*('Alternative 3'!$B$39)*COS('Alternative 3-Tilt Up (3pt)'!K8)))))</f>
        <v>2238999.4075220227</v>
      </c>
      <c r="N8" s="104">
        <f t="shared" si="0"/>
        <v>1150453.970404496</v>
      </c>
      <c r="O8" s="104">
        <f>(((('Alternative 3'!$B$28-'Alternative 3'!$B$27)/2)+'Alternative 3'!$B$27)*('Alternative 3'!$B$39)*COS('Alternative 3-Tilt Up (3pt)'!K8))+(((('Alternative 3'!$B$28-'Alternative 3'!$B$27)/2)+(('Alternative 3'!$B$29-'Alternative 3'!$B$28)/2))*('Alternative 3'!$B$39)*COS('Alternative 3-Tilt Up (3pt)'!K8))+(((('Alternative 3'!$B$12-'Alternative 3'!$B$29)+(('Alternative 3'!$B$29-'Alternative 3'!$B$28)/2))*('Alternative 3'!$B$39)*COS('Alternative 3-Tilt Up (3pt)'!K8)))</f>
        <v>145459.32730609033</v>
      </c>
      <c r="P8" s="104">
        <f t="shared" si="1"/>
        <v>1146076.1457155568</v>
      </c>
      <c r="R8" s="105">
        <f>'Alternative 3'!$B$39*$B8*$C8*COS($K$5)-($N$5/3)*$E8*SIN($K$5)-($N$5/3)*$F8*SIN($K$5)-($N$5/3)*$G8*SIN($K$5)</f>
        <v>266746.117505159</v>
      </c>
      <c r="S8" s="106">
        <f>IF(($A8&lt;'Alternative 3'!$B$27),(($H8*'Alternative 3'!$B$39)+(3*($N$5/3)*COS($K$5))),IF(($A8&lt;'Alternative 3'!$B$28),(($H8*'Alternative 3'!$B$39)+(2*(($N$5/3)*COS($K$5)))),IF(($A8&lt;'Alternative 3'!$B$29),(($H$3*'Alternative 3'!$B$39+(($N$5/3)*COS($K$5)))),($H8*'Alternative 3'!$B$39))))</f>
        <v>3005686.1305306926</v>
      </c>
      <c r="T8" s="105">
        <f>R8*'Alternative 3'!$K9/'Alternative 3'!$L9</f>
        <v>4245399.9010876501</v>
      </c>
      <c r="U8" s="105">
        <f>S8/'Alternative 3'!$M9</f>
        <v>1004664.8688285956</v>
      </c>
      <c r="V8" s="105">
        <f t="shared" si="2"/>
        <v>5.2500647699162455</v>
      </c>
      <c r="X8" s="105">
        <f>'Alternative 3'!$B$39*$B8*$C8*COS($K$13)-($N$12/3)*$E8*SIN($K$13)-($N$12/3)*$F8*SIN($K$13)-($N$12/3)*$G8*SIN($K$13)</f>
        <v>83186.953748571337</v>
      </c>
      <c r="Y8" s="106">
        <f>IF(($A8&lt;'Alternative 3'!$B$27),(($H8*'Alternative 3'!$B$39)+(3*($N$12/3)*COS($K$13))),IF(($A8&lt;'Alternative 3'!$B$28),(($H8*'Alternative 3'!$B$39)+(2*(($N$12/3)*COS($K$13)))),IF(($A8&lt;'Alternative 3'!$B$29),(($H$3*'Alternative 3'!$B$39+(($N$12/3)*COS($K$13)))),($H8*'Alternative 3'!$B$39))))</f>
        <v>750991.29856498004</v>
      </c>
      <c r="Z8" s="105">
        <f>X8*'Alternative 3'!$K9/'Alternative 3'!$L9</f>
        <v>1323962.6072875732</v>
      </c>
      <c r="AA8" s="105">
        <f>Y8/'Alternative 3'!$M9</f>
        <v>251022.40942602567</v>
      </c>
      <c r="AB8" s="105">
        <f t="shared" si="3"/>
        <v>1.5749850167135988</v>
      </c>
      <c r="AD8" s="105">
        <f>'Alternative 3'!$B$39*$B8*$C8*COS($K$23)-($N$22/3)*$E8*SIN($K$23)-($N$22/3)*$F8*SIN($K$23)-($N$22/3)*$G8*SIN($K$23)</f>
        <v>164476.25241424667</v>
      </c>
      <c r="AE8" s="106">
        <f>IF(($A8&lt;'Alternative 3'!$B$27),(($H8*'Alternative 3'!$B$39)+(3*($N$22/3)*COS($K$23))),IF(($A8&lt;'Alternative 3'!$B$28),(($H8*'Alternative 3'!$B$39)+(2*(($N$22/3)*COS($K$23)))),IF(($A8&lt;'Alternative 3'!$B$29),(($H$3*'Alternative 3'!$B$39+(($N$22/3)*COS($K$23)))),($H8*'Alternative 3'!$B$39))))</f>
        <v>399841.9046961476</v>
      </c>
      <c r="AF8" s="105">
        <f>AD8*'Alternative 3'!$K9/'Alternative 3'!$L9</f>
        <v>2617723.0703918505</v>
      </c>
      <c r="AG8" s="105">
        <f>AE8/'Alternative 3'!$M9</f>
        <v>133649.05625152696</v>
      </c>
      <c r="AH8" s="105">
        <f t="shared" si="4"/>
        <v>2.7513721266433775</v>
      </c>
      <c r="AJ8" s="105">
        <f>'Alternative 3'!$B$39*$B8*$C8*COS($K$33)-($N$32/3)*$E8*SIN($K$33)-($N$32/3)*$F8*SIN($K$33)-($N$32/3)*$G8*SIN($K$33)</f>
        <v>173160.06535391894</v>
      </c>
      <c r="AK8" s="106">
        <f>IF(($A8&lt;'Alternative 3'!$B$27),(($H8*'Alternative 3'!$B$39)+(3*($N$32/3)*COS($K$33))),IF(($A8&lt;'Alternative 3'!$B$28),(($H8*'Alternative 3'!$B$39)+(2*(($N$32/3)*COS($K$33)))),IF(($A8&lt;'Alternative 3'!$B$29),(($H$3*'Alternative 3'!$B$39+(($N$32/3)*COS($K$33)))),($H8*'Alternative 3'!$B$39))))</f>
        <v>282410.72456554283</v>
      </c>
      <c r="AL8" s="105">
        <f>AJ8*'Alternative 3'!$K9/'Alternative 3'!$L9</f>
        <v>2755930.3625539765</v>
      </c>
      <c r="AM8" s="105">
        <f>AK8/'Alternative 3'!$M9</f>
        <v>94397.126389685232</v>
      </c>
      <c r="AN8" s="105">
        <f t="shared" si="5"/>
        <v>2.8503274889436616</v>
      </c>
      <c r="AP8" s="105">
        <f>'Alternative 3'!$B$39*$B8*$C8*COS($K$43)-($N$42/3)*$E8*SIN($K$43)-($N$42/3)*$F8*SIN($K$43)-($N$42/3)*$G8*SIN($K$43)</f>
        <v>159773.77671774232</v>
      </c>
      <c r="AQ8" s="106">
        <f>IF(($A8&lt;'Alternative 3'!$B$27),(($H8*'Alternative 3'!$B$39)+(3*($N$42/3)*COS($K$43))),IF(($A8&lt;'Alternative 3'!$B$28),(($H8*'Alternative 3'!$B$39)+(2*(($N$42/3)*COS($K$43)))),IF(($A8&lt;'Alternative 3'!$B$29),(($H$3*'Alternative 3'!$B$39+(($N$42/3)*COS($K$43)))),($H8*'Alternative 3'!$B$39))))</f>
        <v>220372.94752017496</v>
      </c>
      <c r="AR8" s="105">
        <f>AP8*'Alternative 3'!$K9/'Alternative 3'!$L9</f>
        <v>2542880.7819884568</v>
      </c>
      <c r="AS8" s="105">
        <f>AQ8/'Alternative 3'!$M9</f>
        <v>73660.704677316506</v>
      </c>
      <c r="AT8" s="105">
        <f t="shared" si="6"/>
        <v>2.6165414866657732</v>
      </c>
      <c r="AV8" s="105">
        <f>'Alternative 3'!$B$39*$B8*$C8*COS($K$53)-($N$52/3)*$E8*SIN($K$53)-($N$52/3)*$F8*SIN($K$53)-($N$52/3)*$G8*SIN($K$53)</f>
        <v>134279.64003238227</v>
      </c>
      <c r="AW8" s="106">
        <f>IF(($A8&lt;'Alternative 3'!$B$27),(($H8*'Alternative 3'!$B$39)+(3*($N$52/3)*COS($K$53))),IF(($A8&lt;'Alternative 3'!$B$28),(($H8*'Alternative 3'!$B$39)+(2*(($N$52/3)*COS($K$53)))),IF(($A8&lt;'Alternative 3'!$B$29),(($H$3*'Alternative 3'!$B$39+(($N$52/3)*COS($K$53)))),($H8*'Alternative 3'!$B$39))))</f>
        <v>181398.85658464406</v>
      </c>
      <c r="AX8" s="105">
        <f>AV8*'Alternative 3'!$K9/'Alternative 3'!$L9</f>
        <v>2137128.6519307466</v>
      </c>
      <c r="AY8" s="105">
        <f>AW8/'Alternative 3'!$M9</f>
        <v>60633.429620308001</v>
      </c>
      <c r="AZ8" s="105">
        <f t="shared" si="7"/>
        <v>2.1977620815510543</v>
      </c>
      <c r="BB8" s="105">
        <f>'Alternative 3'!$B$39*$B8*$C8*COS($K$63)-($N$62/3)*$E8*SIN($K$63)-($N$62/3)*$F8*SIN($K$63)-($N$62/3)*$G8*SIN($K$63)</f>
        <v>100601.41932085319</v>
      </c>
      <c r="BC8" s="106">
        <f>IF(($A8&lt;'Alternative 3'!$B$27),(($H8*'Alternative 3'!$B$39)+(3*($N$62/3)*COS($K$63))),IF(($A8&lt;'Alternative 3'!$B$28),(($H8*'Alternative 3'!$B$39)+(2*(($N$62/3)*COS($K$63)))),IF(($A8&lt;'Alternative 3'!$B$29),(($H$3*'Alternative 3'!$B$39+(($N$62/3)*COS($K$63)))),($H8*'Alternative 3'!$B$39))))</f>
        <v>155396.78659293056</v>
      </c>
      <c r="BD8" s="105">
        <f>BB8*'Alternative 3'!$K9/'Alternative 3'!$L9</f>
        <v>1601122.6691078912</v>
      </c>
      <c r="BE8" s="105">
        <f>BC8/'Alternative 3'!$M9</f>
        <v>51942.114192477755</v>
      </c>
      <c r="BF8" s="105">
        <f t="shared" si="8"/>
        <v>1.6530647833003689</v>
      </c>
      <c r="BH8" s="105">
        <f>'Alternative 3'!$B$39*$B8*$C8*COS($K$73)-($N$72/3)*$E8*SIN($K$73)-($N$72/3)*$F8*SIN($K$73)-($N$72/3)*$G8*SIN($K$73)</f>
        <v>61098.694142764027</v>
      </c>
      <c r="BI8" s="106">
        <f>IF(($A8&lt;'Alternative 3'!$B$27),(($H8*'Alternative 3'!$B$39)+(3*($N$72/3)*COS($K$73))),IF(($A8&lt;'Alternative 3'!$B$28),(($H8*'Alternative 3'!$B$39)+(2*(($N$72/3)*COS($K$73)))),IF(($A8&lt;'Alternative 3'!$B$29),(($H$3*'Alternative 3'!$B$39+(($N$72/3)*COS($K$73)))),($H8*'Alternative 3'!$B$39))))</f>
        <v>138372.06907340762</v>
      </c>
      <c r="BJ8" s="105">
        <f>BH8*'Alternative 3'!$K9/'Alternative 3'!$L9</f>
        <v>972416.74029335508</v>
      </c>
      <c r="BK8" s="105">
        <f>BI8/'Alternative 3'!$M9</f>
        <v>46251.521478934694</v>
      </c>
      <c r="BL8" s="105">
        <f t="shared" si="9"/>
        <v>1.0186682617722898</v>
      </c>
      <c r="BN8" s="105">
        <f>'Alternative 3'!$B$39*$B8*$C8*COS($K$83)-($N$82/3)*$E8*SIN($K$83)-($N$82/3)*$F8*SIN($K$83)-($N$82/3)*$G8*SIN($K$83)</f>
        <v>17610.666665328958</v>
      </c>
      <c r="BO8" s="106">
        <f>IF(($A8&lt;'Alternative 3'!$B$27),(($H8*'Alternative 3'!$B$39)+(3*($N$82/3)*COS($K$83))),IF(($A8&lt;'Alternative 3'!$B$28),(($H8*'Alternative 3'!$B$39)+(2*(($N$82/3)*COS($K$83)))),IF(($A8&lt;'Alternative 3'!$B$29),(($H$3*'Alternative 3'!$B$39+(($N$82/3)*COS($K$83)))),($H8*'Alternative 3'!$B$39))))</f>
        <v>128554.21762254598</v>
      </c>
      <c r="BP8" s="105">
        <f>BN8*'Alternative 3'!$K9/'Alternative 3'!$L9</f>
        <v>280282.70183774712</v>
      </c>
      <c r="BQ8" s="105">
        <f>BO8/'Alternative 3'!$M9</f>
        <v>42969.857987904448</v>
      </c>
      <c r="BR8" s="105">
        <f t="shared" si="10"/>
        <v>0.3232525598256516</v>
      </c>
      <c r="BT8" s="105">
        <f>'Alternative 3'!$B$39*$B8*$C8*COS($K$93)-($K$92/3)*$E8*SIN($K$93)-($K$92/3)*$F8*SIN($K$93)-($K$92/3)*$G8*SIN($K$93)</f>
        <v>-24.853488548284254</v>
      </c>
      <c r="BU8" s="106">
        <f>IF(($A8&lt;'Alternative 3'!$B$27),(($H8*'Alternative 3'!$B$39)+(3*($N$92/3)*COS($K$93))),IF(($A8&lt;'Alternative 3'!$B$28),(($H8*'Alternative 3'!$B$39)+(2*(($N$92/3)*COS($K$93)))),IF(($A8&lt;'Alternative 3'!$B$29),(($H$3*'Alternative 3'!$B$39+(($N$92/3)*COS($K$93)))),($H8*'Alternative 3'!$B$39))))</f>
        <v>125155.67854762646</v>
      </c>
      <c r="BV8" s="105">
        <f>BT8*'Alternative 3'!$K9/'Alternative 3'!$L9</f>
        <v>-395.55588966549192</v>
      </c>
      <c r="BW8" s="105">
        <f>BU8/'Alternative 3'!$M9</f>
        <v>41833.880156010862</v>
      </c>
      <c r="BX8" s="105">
        <f t="shared" si="11"/>
        <v>4.1438324266345368E-2</v>
      </c>
      <c r="BZ8" s="104">
        <v>150</v>
      </c>
      <c r="CA8" s="104">
        <v>-150</v>
      </c>
    </row>
    <row r="9" spans="1:79" ht="15" customHeight="1" x14ac:dyDescent="0.25">
      <c r="A9" s="18">
        <f>IF('Alternative 3'!F10&gt;0,'Alternative 3'!F10,"x")</f>
        <v>7</v>
      </c>
      <c r="B9" s="18">
        <f t="shared" si="17"/>
        <v>29</v>
      </c>
      <c r="C9" s="18">
        <f t="shared" si="12"/>
        <v>14.5</v>
      </c>
      <c r="D9" s="18">
        <f t="shared" si="13"/>
        <v>7</v>
      </c>
      <c r="E9" s="101">
        <f>IF($A9&lt;='Alternative 3'!$B$27, IF($A9='Alternative 3'!$B$27,0,E10+1),0)</f>
        <v>9</v>
      </c>
      <c r="F9" s="101">
        <f>IF($A9&lt;=('Alternative 3'!$B$28), IF($A9=ROUNDDOWN('Alternative 3'!$B$28,0),0,F10+1),0)</f>
        <v>15</v>
      </c>
      <c r="G9" s="101">
        <f>IF($A9&lt;=('Alternative 3'!$B$29), IF($A9=ROUNDDOWN('Alternative 3'!$B$29,0),0,G10+1),0)</f>
        <v>21</v>
      </c>
      <c r="H9" s="18">
        <f t="shared" si="14"/>
        <v>29</v>
      </c>
      <c r="J9" s="104">
        <f t="shared" si="15"/>
        <v>6</v>
      </c>
      <c r="K9" s="104">
        <f t="shared" si="16"/>
        <v>0.10471975511965977</v>
      </c>
      <c r="L9" s="105">
        <f>'Alternative 3'!$B$27*SIN(K9)+'Alternative 3'!$B$28*SIN(K9)+'Alternative 3'!$B$29*SIN(K9)</f>
        <v>7.0023617543001055</v>
      </c>
      <c r="M9" s="104">
        <f>(('Alternative 3'!$B$27)*(((('Alternative 3'!$B$28-'Alternative 3'!$B$27)/2)+'Alternative 3'!$B$27)*'Alternative 3'!$B$39)*COS('Alternative 3-Tilt Up (3pt)'!K9))+(('Alternative 3'!$B$28)*((('Alternative 3'!$B$28-'Alternative 3'!$B$27)/2)+(('Alternative 3'!$B$29-'Alternative 3'!$B$28)/2))*('Alternative 3'!$B$39)*COS('Alternative 3-Tilt Up (3pt)'!K9))+(('Alternative 3'!$B$29)*((('Alternative 3'!$B$12-'Alternative 3'!$B$29+(('Alternative 3'!$B$29-'Alternative 3'!$B$28)/2)*('Alternative 3'!$B$39)*COS('Alternative 3-Tilt Up (3pt)'!K9)))))</f>
        <v>2235240.0014959574</v>
      </c>
      <c r="N9" s="104">
        <f t="shared" si="0"/>
        <v>957636.90020298259</v>
      </c>
      <c r="O9" s="104">
        <f>(((('Alternative 3'!$B$28-'Alternative 3'!$B$27)/2)+'Alternative 3'!$B$27)*('Alternative 3'!$B$39)*COS('Alternative 3-Tilt Up (3pt)'!K9))+(((('Alternative 3'!$B$28-'Alternative 3'!$B$27)/2)+(('Alternative 3'!$B$29-'Alternative 3'!$B$28)/2))*('Alternative 3'!$B$39)*COS('Alternative 3-Tilt Up (3pt)'!K9))+(((('Alternative 3'!$B$12-'Alternative 3'!$B$29)+(('Alternative 3'!$B$29-'Alternative 3'!$B$28)/2))*('Alternative 3'!$B$39)*COS('Alternative 3-Tilt Up (3pt)'!K9)))</f>
        <v>145215.07308616908</v>
      </c>
      <c r="P9" s="104">
        <f t="shared" si="1"/>
        <v>952390.86506446823</v>
      </c>
      <c r="R9" s="105">
        <f>'Alternative 3'!$B$39*$B9*$C9*COS($K$5)-($N$5/3)*$E9*SIN($K$5)-($N$5/3)*$F9*SIN($K$5)-($N$5/3)*$G9*SIN($K$5)</f>
        <v>244341.67762780166</v>
      </c>
      <c r="S9" s="106">
        <f>IF(($A9&lt;'Alternative 3'!$B$27),(($H9*'Alternative 3'!$B$39)+(3*($N$5/3)*COS($K$5))),IF(($A9&lt;'Alternative 3'!$B$28),(($H9*'Alternative 3'!$B$39)+(2*(($N$5/3)*COS($K$5)))),IF(($A9&lt;'Alternative 3'!$B$29),(($H$3*'Alternative 3'!$B$39+(($N$5/3)*COS($K$5)))),($H9*'Alternative 3'!$B$39))))</f>
        <v>3001514.274579105</v>
      </c>
      <c r="T9" s="105">
        <f>R9*'Alternative 3'!$K10/'Alternative 3'!$L10</f>
        <v>3888821.8645304074</v>
      </c>
      <c r="U9" s="105">
        <f>S9/'Alternative 3'!$M10</f>
        <v>1023849.7762122131</v>
      </c>
      <c r="V9" s="105">
        <f t="shared" si="2"/>
        <v>4.9126716407426203</v>
      </c>
      <c r="X9" s="105">
        <f>'Alternative 3'!$B$39*$B9*$C9*COS($K$13)-($N$12/3)*$E9*SIN($K$13)-($N$12/3)*$F9*SIN($K$13)-($N$12/3)*$G9*SIN($K$13)</f>
        <v>72338.614521622192</v>
      </c>
      <c r="Y9" s="106">
        <f>IF(($A9&lt;'Alternative 3'!$B$27),(($H9*'Alternative 3'!$B$39)+(3*($N$12/3)*COS($K$13))),IF(($A9&lt;'Alternative 3'!$B$28),(($H9*'Alternative 3'!$B$39)+(2*(($N$12/3)*COS($K$13)))),IF(($A9&lt;'Alternative 3'!$B$29),(($H$3*'Alternative 3'!$B$39+(($N$12/3)*COS($K$13)))),($H9*'Alternative 3'!$B$39))))</f>
        <v>746819.44261339249</v>
      </c>
      <c r="Z9" s="105">
        <f>X9*'Alternative 3'!$K10/'Alternative 3'!$L10</f>
        <v>1151305.7802199235</v>
      </c>
      <c r="AA9" s="105">
        <f>Y9/'Alternative 3'!$M10</f>
        <v>254748.38672818706</v>
      </c>
      <c r="AB9" s="105">
        <f t="shared" si="3"/>
        <v>1.4060541669481106</v>
      </c>
      <c r="AD9" s="105">
        <f>'Alternative 3'!$B$39*$B9*$C9*COS($K$23)-($N$22/3)*$E9*SIN($K$23)-($N$22/3)*$F9*SIN($K$23)-($N$22/3)*$G9*SIN($K$23)</f>
        <v>148806.12604090967</v>
      </c>
      <c r="AE9" s="106">
        <f>IF(($A9&lt;'Alternative 3'!$B$27),(($H9*'Alternative 3'!$B$39)+(3*($N$22/3)*COS($K$23))),IF(($A9&lt;'Alternative 3'!$B$28),(($H9*'Alternative 3'!$B$39)+(2*(($N$22/3)*COS($K$23)))),IF(($A9&lt;'Alternative 3'!$B$29),(($H$3*'Alternative 3'!$B$39+(($N$22/3)*COS($K$23)))),($H9*'Alternative 3'!$B$39))))</f>
        <v>395670.04874456004</v>
      </c>
      <c r="AF9" s="105">
        <f>AD9*'Alternative 3'!$K10/'Alternative 3'!$L10</f>
        <v>2368325.0526152309</v>
      </c>
      <c r="AG9" s="105">
        <f>AE9/'Alternative 3'!$M10</f>
        <v>134967.43770035889</v>
      </c>
      <c r="AH9" s="105">
        <f t="shared" si="4"/>
        <v>2.5032924903155895</v>
      </c>
      <c r="AJ9" s="105">
        <f>'Alternative 3'!$B$39*$B9*$C9*COS($K$33)-($N$32/3)*$E9*SIN($K$33)-($N$32/3)*$F9*SIN($K$33)-($N$32/3)*$G9*SIN($K$33)</f>
        <v>157369.77807116846</v>
      </c>
      <c r="AK9" s="106">
        <f>IF(($A9&lt;'Alternative 3'!$B$27),(($H9*'Alternative 3'!$B$39)+(3*($N$32/3)*COS($K$33))),IF(($A9&lt;'Alternative 3'!$B$28),(($H9*'Alternative 3'!$B$39)+(2*(($N$32/3)*COS($K$33)))),IF(($A9&lt;'Alternative 3'!$B$29),(($H$3*'Alternative 3'!$B$39+(($N$32/3)*COS($K$33)))),($H9*'Alternative 3'!$B$39))))</f>
        <v>278238.86861395527</v>
      </c>
      <c r="AL9" s="105">
        <f>AJ9*'Alternative 3'!$K10/'Alternative 3'!$L10</f>
        <v>2504619.9228920457</v>
      </c>
      <c r="AM9" s="105">
        <f>AK9/'Alternative 3'!$M10</f>
        <v>94910.361005657644</v>
      </c>
      <c r="AN9" s="105">
        <f t="shared" si="5"/>
        <v>2.5995302838977037</v>
      </c>
      <c r="AP9" s="105">
        <f>'Alternative 3'!$B$39*$B9*$C9*COS($K$43)-($N$42/3)*$E9*SIN($K$43)-($N$42/3)*$F9*SIN($K$43)-($N$42/3)*$G9*SIN($K$43)</f>
        <v>145393.65345272433</v>
      </c>
      <c r="AQ9" s="106">
        <f>IF(($A9&lt;'Alternative 3'!$B$27),(($H9*'Alternative 3'!$B$39)+(3*($N$42/3)*COS($K$43))),IF(($A9&lt;'Alternative 3'!$B$28),(($H9*'Alternative 3'!$B$39)+(2*(($N$42/3)*COS($K$43)))),IF(($A9&lt;'Alternative 3'!$B$29),(($H$3*'Alternative 3'!$B$39+(($N$42/3)*COS($K$43)))),($H9*'Alternative 3'!$B$39))))</f>
        <v>216201.09156858741</v>
      </c>
      <c r="AR9" s="105">
        <f>AP9*'Alternative 3'!$K10/'Alternative 3'!$L10</f>
        <v>2314013.8186829654</v>
      </c>
      <c r="AS9" s="105">
        <f>AQ9/'Alternative 3'!$M10</f>
        <v>73748.587869159746</v>
      </c>
      <c r="AT9" s="105">
        <f t="shared" si="6"/>
        <v>2.3877624065521252</v>
      </c>
      <c r="AV9" s="105">
        <f>'Alternative 3'!$B$39*$B9*$C9*COS($K$53)-($N$52/3)*$E9*SIN($K$53)-($N$52/3)*$F9*SIN($K$53)-($N$52/3)*$G9*SIN($K$53)</f>
        <v>122199.93872212659</v>
      </c>
      <c r="AW9" s="106">
        <f>IF(($A9&lt;'Alternative 3'!$B$27),(($H9*'Alternative 3'!$B$39)+(3*($N$52/3)*COS($K$53))),IF(($A9&lt;'Alternative 3'!$B$28),(($H9*'Alternative 3'!$B$39)+(2*(($N$52/3)*COS($K$53)))),IF(($A9&lt;'Alternative 3'!$B$29),(($H$3*'Alternative 3'!$B$39+(($N$52/3)*COS($K$53)))),($H9*'Alternative 3'!$B$39))))</f>
        <v>177227.00063305651</v>
      </c>
      <c r="AX9" s="105">
        <f>AV9*'Alternative 3'!$K10/'Alternative 3'!$L10</f>
        <v>1944874.0720801661</v>
      </c>
      <c r="AY9" s="105">
        <f>AW9/'Alternative 3'!$M10</f>
        <v>60454.09361325176</v>
      </c>
      <c r="AZ9" s="105">
        <f t="shared" si="7"/>
        <v>2.0053281656934181</v>
      </c>
      <c r="BB9" s="105">
        <f>'Alternative 3'!$B$39*$B9*$C9*COS($K$63)-($N$62/3)*$E9*SIN($K$63)-($N$62/3)*$F9*SIN($K$63)-($N$62/3)*$G9*SIN($K$63)</f>
        <v>91445.679646583449</v>
      </c>
      <c r="BC9" s="106">
        <f>IF(($A9&lt;'Alternative 3'!$B$27),(($H9*'Alternative 3'!$B$39)+(3*($N$62/3)*COS($K$63))),IF(($A9&lt;'Alternative 3'!$B$28),(($H9*'Alternative 3'!$B$39)+(2*(($N$62/3)*COS($K$63)))),IF(($A9&lt;'Alternative 3'!$B$29),(($H$3*'Alternative 3'!$B$39+(($N$62/3)*COS($K$63)))),($H9*'Alternative 3'!$B$39))))</f>
        <v>151224.930641343</v>
      </c>
      <c r="BD9" s="105">
        <f>BB9*'Alternative 3'!$K10/'Alternative 3'!$L10</f>
        <v>1455404.4233426934</v>
      </c>
      <c r="BE9" s="105">
        <f>BC9/'Alternative 3'!$M10</f>
        <v>51584.499432893135</v>
      </c>
      <c r="BF9" s="105">
        <f t="shared" si="8"/>
        <v>1.5069889227755866</v>
      </c>
      <c r="BH9" s="105">
        <f>'Alternative 3'!$B$39*$B9*$C9*COS($K$73)-($N$72/3)*$E9*SIN($K$73)-($N$72/3)*$F9*SIN($K$73)-($N$72/3)*$G9*SIN($K$73)</f>
        <v>55318.094949409191</v>
      </c>
      <c r="BI9" s="106">
        <f>IF(($A9&lt;'Alternative 3'!$B$27),(($H9*'Alternative 3'!$B$39)+(3*($N$72/3)*COS($K$73))),IF(($A9&lt;'Alternative 3'!$B$28),(($H9*'Alternative 3'!$B$39)+(2*(($N$72/3)*COS($K$73)))),IF(($A9&lt;'Alternative 3'!$B$29),(($H$3*'Alternative 3'!$B$39+(($N$72/3)*COS($K$73)))),($H9*'Alternative 3'!$B$39))))</f>
        <v>134200.21312182007</v>
      </c>
      <c r="BJ9" s="105">
        <f>BH9*'Alternative 3'!$K10/'Alternative 3'!$L10</f>
        <v>880415.56901774567</v>
      </c>
      <c r="BK9" s="105">
        <f>BI9/'Alternative 3'!$M10</f>
        <v>45777.179650986058</v>
      </c>
      <c r="BL9" s="105">
        <f t="shared" si="9"/>
        <v>0.9261927486687318</v>
      </c>
      <c r="BN9" s="105">
        <f>'Alternative 3'!$B$39*$B9*$C9*COS($K$83)-($N$82/3)*$E9*SIN($K$83)-($N$82/3)*$F9*SIN($K$83)-($N$82/3)*$G9*SIN($K$83)</f>
        <v>15513.901621458004</v>
      </c>
      <c r="BO9" s="106">
        <f>IF(($A9&lt;'Alternative 3'!$B$27),(($H9*'Alternative 3'!$B$39)+(3*($N$82/3)*COS($K$83))),IF(($A9&lt;'Alternative 3'!$B$28),(($H9*'Alternative 3'!$B$39)+(2*(($N$82/3)*COS($K$83)))),IF(($A9&lt;'Alternative 3'!$B$29),(($H$3*'Alternative 3'!$B$39+(($N$82/3)*COS($K$83)))),($H9*'Alternative 3'!$B$39))))</f>
        <v>124382.36167095843</v>
      </c>
      <c r="BP9" s="105">
        <f>BN9*'Alternative 3'!$K10/'Alternative 3'!$L10</f>
        <v>246911.6215269657</v>
      </c>
      <c r="BQ9" s="105">
        <f>BO9/'Alternative 3'!$M10</f>
        <v>42428.201738076081</v>
      </c>
      <c r="BR9" s="105">
        <f t="shared" si="10"/>
        <v>0.28933982326504182</v>
      </c>
      <c r="BT9" s="105">
        <f>'Alternative 3'!$B$39*$B9*$C9*COS($K$93)-($K$92/3)*$E9*SIN($K$93)-($K$92/3)*$F9*SIN($K$93)-($K$92/3)*$G9*SIN($K$93)</f>
        <v>-23.30014551401684</v>
      </c>
      <c r="BU9" s="106">
        <f>IF(($A9&lt;'Alternative 3'!$B$27),(($H9*'Alternative 3'!$B$39)+(3*($N$92/3)*COS($K$93))),IF(($A9&lt;'Alternative 3'!$B$28),(($H9*'Alternative 3'!$B$39)+(2*(($N$92/3)*COS($K$93)))),IF(($A9&lt;'Alternative 3'!$B$29),(($H$3*'Alternative 3'!$B$39+(($N$92/3)*COS($K$93)))),($H9*'Alternative 3'!$B$39))))</f>
        <v>120983.82259603891</v>
      </c>
      <c r="BV9" s="105">
        <f>BT9*'Alternative 3'!$K10/'Alternative 3'!$L10</f>
        <v>-370.83364656140424</v>
      </c>
      <c r="BW9" s="105">
        <f>BU9/'Alternative 3'!$M10</f>
        <v>41268.922403383345</v>
      </c>
      <c r="BX9" s="105">
        <f t="shared" si="11"/>
        <v>4.0898088756821938E-2</v>
      </c>
      <c r="BZ9" s="104">
        <v>150</v>
      </c>
      <c r="CA9" s="104">
        <v>-150</v>
      </c>
    </row>
    <row r="10" spans="1:79" ht="15" customHeight="1" x14ac:dyDescent="0.25">
      <c r="A10" s="18">
        <f>IF('Alternative 3'!F11&gt;0,'Alternative 3'!F11,"x")</f>
        <v>8</v>
      </c>
      <c r="B10" s="18">
        <f t="shared" si="17"/>
        <v>28</v>
      </c>
      <c r="C10" s="18">
        <f t="shared" si="12"/>
        <v>14</v>
      </c>
      <c r="D10" s="18">
        <f t="shared" si="13"/>
        <v>8</v>
      </c>
      <c r="E10" s="101">
        <f>IF($A10&lt;='Alternative 3'!$B$27, IF($A10='Alternative 3'!$B$27,0,E11+1),0)</f>
        <v>8</v>
      </c>
      <c r="F10" s="101">
        <f>IF($A10&lt;=('Alternative 3'!$B$28), IF($A10=ROUNDDOWN('Alternative 3'!$B$28,0),0,F11+1),0)</f>
        <v>14</v>
      </c>
      <c r="G10" s="101">
        <f>IF($A10&lt;=('Alternative 3'!$B$29), IF($A10=ROUNDDOWN('Alternative 3'!$B$29,0),0,G11+1),0)</f>
        <v>20</v>
      </c>
      <c r="H10" s="18">
        <f t="shared" si="14"/>
        <v>28</v>
      </c>
      <c r="J10" s="104">
        <f t="shared" si="15"/>
        <v>7</v>
      </c>
      <c r="K10" s="104">
        <f t="shared" si="16"/>
        <v>0.12217304763960307</v>
      </c>
      <c r="L10" s="105">
        <f>'Alternative 3'!$B$27*SIN(K10)+'Alternative 3'!$B$28*SIN(K10)+'Alternative 3'!$B$29*SIN(K10)</f>
        <v>8.1640273147108289</v>
      </c>
      <c r="M10" s="104">
        <f>(('Alternative 3'!$B$27)*(((('Alternative 3'!$B$28-'Alternative 3'!$B$27)/2)+'Alternative 3'!$B$27)*'Alternative 3'!$B$39)*COS('Alternative 3-Tilt Up (3pt)'!K10))+(('Alternative 3'!$B$28)*((('Alternative 3'!$B$28-'Alternative 3'!$B$27)/2)+(('Alternative 3'!$B$29-'Alternative 3'!$B$28)/2))*('Alternative 3'!$B$39)*COS('Alternative 3-Tilt Up (3pt)'!K10))+(('Alternative 3'!$B$29)*((('Alternative 3'!$B$12-'Alternative 3'!$B$29+(('Alternative 3'!$B$29-'Alternative 3'!$B$28)/2)*('Alternative 3'!$B$39)*COS('Alternative 3-Tilt Up (3pt)'!K10)))))</f>
        <v>2230799.7750611007</v>
      </c>
      <c r="N10" s="104">
        <f t="shared" si="0"/>
        <v>819742.39761841705</v>
      </c>
      <c r="O10" s="104">
        <f>(((('Alternative 3'!$B$28-'Alternative 3'!$B$27)/2)+'Alternative 3'!$B$27)*('Alternative 3'!$B$39)*COS('Alternative 3-Tilt Up (3pt)'!K10))+(((('Alternative 3'!$B$28-'Alternative 3'!$B$27)/2)+(('Alternative 3'!$B$29-'Alternative 3'!$B$28)/2))*('Alternative 3'!$B$39)*COS('Alternative 3-Tilt Up (3pt)'!K10))+(((('Alternative 3'!$B$12-'Alternative 3'!$B$29)+(('Alternative 3'!$B$29-'Alternative 3'!$B$28)/2))*('Alternative 3'!$B$39)*COS('Alternative 3-Tilt Up (3pt)'!K10)))</f>
        <v>144926.58494825583</v>
      </c>
      <c r="P10" s="104">
        <f t="shared" si="1"/>
        <v>813632.16209339024</v>
      </c>
      <c r="R10" s="105">
        <f>'Alternative 3'!$B$39*$B10*$C10*COS($K$5)-($N$5/3)*$E10*SIN($K$5)-($N$5/3)*$F10*SIN($K$5)-($N$5/3)*$G10*SIN($K$5)</f>
        <v>226106.55232010607</v>
      </c>
      <c r="S10" s="106">
        <f>IF(($A10&lt;'Alternative 3'!$B$27),(($H10*'Alternative 3'!$B$39)+(3*($N$5/3)*COS($K$5))),IF(($A10&lt;'Alternative 3'!$B$28),(($H10*'Alternative 3'!$B$39)+(2*(($N$5/3)*COS($K$5)))),IF(($A10&lt;'Alternative 3'!$B$29),(($H$3*'Alternative 3'!$B$39+(($N$5/3)*COS($K$5)))),($H10*'Alternative 3'!$B$39))))</f>
        <v>2997342.4186275178</v>
      </c>
      <c r="T10" s="105">
        <f>R10*'Alternative 3'!$K11/'Alternative 3'!$L11</f>
        <v>3598600.586328994</v>
      </c>
      <c r="U10" s="105">
        <f>S10/'Alternative 3'!$M11</f>
        <v>1043616.3377718277</v>
      </c>
      <c r="V10" s="105">
        <f t="shared" si="2"/>
        <v>4.642216924100822</v>
      </c>
      <c r="X10" s="105">
        <f>'Alternative 3'!$B$39*$B10*$C10*COS($K$13)-($N$12/3)*$E10*SIN($K$13)-($N$12/3)*$F10*SIN($K$13)-($N$12/3)*$G10*SIN($K$13)</f>
        <v>65598.751380246133</v>
      </c>
      <c r="Y10" s="106">
        <f>IF(($A10&lt;'Alternative 3'!$B$27),(($H10*'Alternative 3'!$B$39)+(3*($N$12/3)*COS($K$13))),IF(($A10&lt;'Alternative 3'!$B$28),(($H10*'Alternative 3'!$B$39)+(2*(($N$12/3)*COS($K$13)))),IF(($A10&lt;'Alternative 3'!$B$29),(($H$3*'Alternative 3'!$B$39+(($N$12/3)*COS($K$13)))),($H10*'Alternative 3'!$B$39))))</f>
        <v>742647.58666180493</v>
      </c>
      <c r="Z10" s="105">
        <f>X10*'Alternative 3'!$K11/'Alternative 3'!$L11</f>
        <v>1044037.4361429425</v>
      </c>
      <c r="AA10" s="105">
        <f>Y10/'Alternative 3'!$M11</f>
        <v>258575.44664582206</v>
      </c>
      <c r="AB10" s="105">
        <f t="shared" si="3"/>
        <v>1.3026128827887646</v>
      </c>
      <c r="AD10" s="105">
        <f>'Alternative 3'!$B$39*$B10*$C10*COS($K$23)-($N$22/3)*$E10*SIN($K$23)-($N$22/3)*$F10*SIN($K$23)-($N$22/3)*$G10*SIN($K$23)</f>
        <v>137056.26192026073</v>
      </c>
      <c r="AE10" s="106">
        <f>IF(($A10&lt;'Alternative 3'!$B$27),(($H10*'Alternative 3'!$B$39)+(3*($N$22/3)*COS($K$23))),IF(($A10&lt;'Alternative 3'!$B$28),(($H10*'Alternative 3'!$B$39)+(2*(($N$22/3)*COS($K$23)))),IF(($A10&lt;'Alternative 3'!$B$29),(($H$3*'Alternative 3'!$B$39+(($N$22/3)*COS($K$23)))),($H10*'Alternative 3'!$B$39))))</f>
        <v>391498.19279297249</v>
      </c>
      <c r="AF10" s="105">
        <f>AD10*'Alternative 3'!$K11/'Alternative 3'!$L11</f>
        <v>2181319.9991128813</v>
      </c>
      <c r="AG10" s="105">
        <f>AE10/'Alternative 3'!$M11</f>
        <v>136312.0568633519</v>
      </c>
      <c r="AH10" s="105">
        <f t="shared" si="4"/>
        <v>2.3176320559762331</v>
      </c>
      <c r="AJ10" s="105">
        <f>'Alternative 3'!$B$39*$B10*$C10*COS($K$33)-($N$32/3)*$E10*SIN($K$33)-($N$32/3)*$F10*SIN($K$33)-($N$32/3)*$G10*SIN($K$33)</f>
        <v>145192.4240234216</v>
      </c>
      <c r="AK10" s="106">
        <f>IF(($A10&lt;'Alternative 3'!$B$27),(($H10*'Alternative 3'!$B$39)+(3*($N$32/3)*COS($K$33))),IF(($A10&lt;'Alternative 3'!$B$28),(($H10*'Alternative 3'!$B$39)+(2*(($N$32/3)*COS($K$33)))),IF(($A10&lt;'Alternative 3'!$B$29),(($H$3*'Alternative 3'!$B$39+(($N$32/3)*COS($K$33)))),($H10*'Alternative 3'!$B$39))))</f>
        <v>274067.01266236772</v>
      </c>
      <c r="AL10" s="105">
        <f>AJ10*'Alternative 3'!$K11/'Alternative 3'!$L11</f>
        <v>2310811.1501408778</v>
      </c>
      <c r="AM10" s="105">
        <f>AK10/'Alternative 3'!$M11</f>
        <v>95424.803746558318</v>
      </c>
      <c r="AN10" s="105">
        <f t="shared" si="5"/>
        <v>2.4062359538874363</v>
      </c>
      <c r="AP10" s="105">
        <f>'Alternative 3'!$B$39*$B10*$C10*COS($K$43)-($N$42/3)*$E10*SIN($K$43)-($N$42/3)*$F10*SIN($K$43)-($N$42/3)*$G10*SIN($K$43)</f>
        <v>134209.35725691321</v>
      </c>
      <c r="AQ10" s="106">
        <f>IF(($A10&lt;'Alternative 3'!$B$27),(($H10*'Alternative 3'!$B$39)+(3*($N$42/3)*COS($K$43))),IF(($A10&lt;'Alternative 3'!$B$28),(($H10*'Alternative 3'!$B$39)+(2*(($N$42/3)*COS($K$43)))),IF(($A10&lt;'Alternative 3'!$B$29),(($H$3*'Alternative 3'!$B$39+(($N$42/3)*COS($K$43)))),($H10*'Alternative 3'!$B$39))))</f>
        <v>212029.23561699985</v>
      </c>
      <c r="AR10" s="105">
        <f>AP10*'Alternative 3'!$K11/'Alternative 3'!$L11</f>
        <v>2136010.0658729053</v>
      </c>
      <c r="AS10" s="105">
        <f>AQ10/'Alternative 3'!$M11</f>
        <v>73824.456291682596</v>
      </c>
      <c r="AT10" s="105">
        <f t="shared" si="6"/>
        <v>2.2098345221645879</v>
      </c>
      <c r="AV10" s="105">
        <f>'Alternative 3'!$B$39*$B10*$C10*COS($K$53)-($N$52/3)*$E10*SIN($K$53)-($N$52/3)*$F10*SIN($K$53)-($N$52/3)*$G10*SIN($K$53)</f>
        <v>112801.85472694872</v>
      </c>
      <c r="AW10" s="106">
        <f>IF(($A10&lt;'Alternative 3'!$B$27),(($H10*'Alternative 3'!$B$39)+(3*($N$52/3)*COS($K$53))),IF(($A10&lt;'Alternative 3'!$B$28),(($H10*'Alternative 3'!$B$39)+(2*(($N$52/3)*COS($K$53)))),IF(($A10&lt;'Alternative 3'!$B$29),(($H$3*'Alternative 3'!$B$39+(($N$52/3)*COS($K$53)))),($H10*'Alternative 3'!$B$39))))</f>
        <v>173055.14468146896</v>
      </c>
      <c r="AX10" s="105">
        <f>AV10*'Alternative 3'!$K11/'Alternative 3'!$L11</f>
        <v>1795298.7933967947</v>
      </c>
      <c r="AY10" s="105">
        <f>AW10/'Alternative 3'!$M11</f>
        <v>60254.435797077385</v>
      </c>
      <c r="AZ10" s="105">
        <f t="shared" si="7"/>
        <v>1.8555532291938721</v>
      </c>
      <c r="BB10" s="105">
        <f>'Alternative 3'!$B$39*$B10*$C10*COS($K$63)-($N$62/3)*$E10*SIN($K$63)-($N$62/3)*$F10*SIN($K$63)-($N$62/3)*$G10*SIN($K$63)</f>
        <v>84375.867948107247</v>
      </c>
      <c r="BC10" s="106">
        <f>IF(($A10&lt;'Alternative 3'!$B$27),(($H10*'Alternative 3'!$B$39)+(3*($N$62/3)*COS($K$63))),IF(($A10&lt;'Alternative 3'!$B$28),(($H10*'Alternative 3'!$B$39)+(2*(($N$62/3)*COS($K$63)))),IF(($A10&lt;'Alternative 3'!$B$29),(($H$3*'Alternative 3'!$B$39+(($N$62/3)*COS($K$63)))),($H10*'Alternative 3'!$B$39))))</f>
        <v>147053.07468975545</v>
      </c>
      <c r="BD10" s="105">
        <f>BB10*'Alternative 3'!$K11/'Alternative 3'!$L11</f>
        <v>1342884.7804472777</v>
      </c>
      <c r="BE10" s="105">
        <f>BC10/'Alternative 3'!$M11</f>
        <v>51201.020714904545</v>
      </c>
      <c r="BF10" s="105">
        <f t="shared" si="8"/>
        <v>1.3940858011621824</v>
      </c>
      <c r="BH10" s="105">
        <f>'Alternative 3'!$B$39*$B10*$C10*COS($K$73)-($N$72/3)*$E10*SIN($K$73)-($N$72/3)*$F10*SIN($K$73)-($N$72/3)*$G10*SIN($K$73)</f>
        <v>50964.354526550422</v>
      </c>
      <c r="BI10" s="106">
        <f>IF(($A10&lt;'Alternative 3'!$B$27),(($H10*'Alternative 3'!$B$39)+(3*($N$72/3)*COS($K$73))),IF(($A10&lt;'Alternative 3'!$B$28),(($H10*'Alternative 3'!$B$39)+(2*(($N$72/3)*COS($K$73)))),IF(($A10&lt;'Alternative 3'!$B$29),(($H$3*'Alternative 3'!$B$39+(($N$72/3)*COS($K$73)))),($H10*'Alternative 3'!$B$39))))</f>
        <v>130028.35717023253</v>
      </c>
      <c r="BJ10" s="105">
        <f>BH10*'Alternative 3'!$K11/'Alternative 3'!$L11</f>
        <v>811123.57956560899</v>
      </c>
      <c r="BK10" s="105">
        <f>BI10/'Alternative 3'!$M11</f>
        <v>45273.345171761226</v>
      </c>
      <c r="BL10" s="105">
        <f t="shared" si="9"/>
        <v>0.85639692473737017</v>
      </c>
      <c r="BN10" s="105">
        <f>'Alternative 3'!$B$39*$B10*$C10*COS($K$83)-($N$82/3)*$E10*SIN($K$83)-($N$82/3)*$F10*SIN($K$83)-($N$82/3)*$G10*SIN($K$83)</f>
        <v>14141.571761069106</v>
      </c>
      <c r="BO10" s="106">
        <f>IF(($A10&lt;'Alternative 3'!$B$27),(($H10*'Alternative 3'!$B$39)+(3*($N$82/3)*COS($K$83))),IF(($A10&lt;'Alternative 3'!$B$28),(($H10*'Alternative 3'!$B$39)+(2*(($N$82/3)*COS($K$83)))),IF(($A10&lt;'Alternative 3'!$B$29),(($H$3*'Alternative 3'!$B$39+(($N$82/3)*COS($K$83)))),($H10*'Alternative 3'!$B$39))))</f>
        <v>120210.50571937088</v>
      </c>
      <c r="BP10" s="105">
        <f>BN10*'Alternative 3'!$K11/'Alternative 3'!$L11</f>
        <v>225070.29499503606</v>
      </c>
      <c r="BQ10" s="105">
        <f>BO10/'Alternative 3'!$M11</f>
        <v>41854.960234404709</v>
      </c>
      <c r="BR10" s="105">
        <f t="shared" si="10"/>
        <v>0.26692525522944077</v>
      </c>
      <c r="BT10" s="105">
        <f>'Alternative 3'!$B$39*$B10*$C10*COS($K$93)-($K$92/3)*$E10*SIN($K$93)-($K$92/3)*$F10*SIN($K$93)-($K$92/3)*$G10*SIN($K$93)</f>
        <v>-21.746802479749167</v>
      </c>
      <c r="BU10" s="106">
        <f>IF(($A10&lt;'Alternative 3'!$B$27),(($H10*'Alternative 3'!$B$39)+(3*($N$92/3)*COS($K$93))),IF(($A10&lt;'Alternative 3'!$B$28),(($H10*'Alternative 3'!$B$39)+(2*(($N$92/3)*COS($K$93)))),IF(($A10&lt;'Alternative 3'!$B$29),(($H$3*'Alternative 3'!$B$39+(($N$92/3)*COS($K$93)))),($H10*'Alternative 3'!$B$39))))</f>
        <v>116811.96664445136</v>
      </c>
      <c r="BV10" s="105">
        <f>BT10*'Alternative 3'!$K11/'Alternative 3'!$L11</f>
        <v>-346.11140345731252</v>
      </c>
      <c r="BW10" s="105">
        <f>BU10/'Alternative 3'!$M11</f>
        <v>40671.655023395142</v>
      </c>
      <c r="BX10" s="105">
        <f t="shared" si="11"/>
        <v>4.0325543619937829E-2</v>
      </c>
      <c r="BZ10" s="104">
        <v>150</v>
      </c>
      <c r="CA10" s="104">
        <v>-150</v>
      </c>
    </row>
    <row r="11" spans="1:79" ht="15" customHeight="1" x14ac:dyDescent="0.25">
      <c r="A11" s="18">
        <f>IF('Alternative 3'!F12&gt;0,'Alternative 3'!F12,"x")</f>
        <v>9</v>
      </c>
      <c r="B11" s="18">
        <f t="shared" si="17"/>
        <v>27</v>
      </c>
      <c r="C11" s="18">
        <f t="shared" si="12"/>
        <v>13.5</v>
      </c>
      <c r="D11" s="18">
        <f t="shared" si="13"/>
        <v>9</v>
      </c>
      <c r="E11" s="101">
        <f>IF($A11&lt;='Alternative 3'!$B$27, IF($A11='Alternative 3'!$B$27,0,E12+1),0)</f>
        <v>7</v>
      </c>
      <c r="F11" s="101">
        <f>IF($A11&lt;=('Alternative 3'!$B$28), IF($A11=ROUNDDOWN('Alternative 3'!$B$28,0),0,F12+1),0)</f>
        <v>13</v>
      </c>
      <c r="G11" s="101">
        <f>IF($A11&lt;=('Alternative 3'!$B$29), IF($A11=ROUNDDOWN('Alternative 3'!$B$29,0),0,G12+1),0)</f>
        <v>19</v>
      </c>
      <c r="H11" s="18">
        <f t="shared" si="14"/>
        <v>27</v>
      </c>
      <c r="J11" s="104">
        <f t="shared" si="15"/>
        <v>8</v>
      </c>
      <c r="K11" s="104">
        <f t="shared" si="16"/>
        <v>0.13962634015954636</v>
      </c>
      <c r="L11" s="105">
        <f>'Alternative 3'!$B$27*SIN(K11)+'Alternative 3'!$B$28*SIN(K11)+'Alternative 3'!$B$29*SIN(K11)</f>
        <v>9.3232060333147828</v>
      </c>
      <c r="M11" s="104">
        <f>(('Alternative 3'!$B$27)*(((('Alternative 3'!$B$28-'Alternative 3'!$B$27)/2)+'Alternative 3'!$B$27)*'Alternative 3'!$B$39)*COS('Alternative 3-Tilt Up (3pt)'!K11))+(('Alternative 3'!$B$28)*((('Alternative 3'!$B$28-'Alternative 3'!$B$27)/2)+(('Alternative 3'!$B$29-'Alternative 3'!$B$28)/2))*('Alternative 3'!$B$39)*COS('Alternative 3-Tilt Up (3pt)'!K11))+(('Alternative 3'!$B$29)*((('Alternative 3'!$B$12-'Alternative 3'!$B$29+(('Alternative 3'!$B$29-'Alternative 3'!$B$28)/2)*('Alternative 3'!$B$39)*COS('Alternative 3-Tilt Up (3pt)'!K11)))))</f>
        <v>2225680.0807534386</v>
      </c>
      <c r="N11" s="104">
        <f t="shared" si="0"/>
        <v>716174.26649171184</v>
      </c>
      <c r="O11" s="104">
        <f>(((('Alternative 3'!$B$28-'Alternative 3'!$B$27)/2)+'Alternative 3'!$B$27)*('Alternative 3'!$B$39)*COS('Alternative 3-Tilt Up (3pt)'!K11))+(((('Alternative 3'!$B$28-'Alternative 3'!$B$27)/2)+(('Alternative 3'!$B$29-'Alternative 3'!$B$28)/2))*('Alternative 3'!$B$39)*COS('Alternative 3-Tilt Up (3pt)'!K11))+(((('Alternative 3'!$B$12-'Alternative 3'!$B$29)+(('Alternative 3'!$B$29-'Alternative 3'!$B$28)/2))*('Alternative 3'!$B$39)*COS('Alternative 3-Tilt Up (3pt)'!K11)))</f>
        <v>144593.95076863197</v>
      </c>
      <c r="P11" s="104">
        <f t="shared" si="1"/>
        <v>709204.50776115828</v>
      </c>
      <c r="R11" s="105">
        <f>'Alternative 3'!$B$39*$B11*$C11*COS($K$5)-($N$5/3)*$E11*SIN($K$5)-($N$5/3)*$F11*SIN($K$5)-($N$5/3)*$G11*SIN($K$5)</f>
        <v>212040.74158207246</v>
      </c>
      <c r="S11" s="106">
        <f>IF(($A11&lt;'Alternative 3'!$B$27),(($H11*'Alternative 3'!$B$39)+(3*($N$5/3)*COS($K$5))),IF(($A11&lt;'Alternative 3'!$B$28),(($H11*'Alternative 3'!$B$39)+(2*(($N$5/3)*COS($K$5)))),IF(($A11&lt;'Alternative 3'!$B$29),(($H$3*'Alternative 3'!$B$39+(($N$5/3)*COS($K$5)))),($H11*'Alternative 3'!$B$39))))</f>
        <v>2993170.5626759301</v>
      </c>
      <c r="T11" s="105">
        <f>R11*'Alternative 3'!$K12/'Alternative 3'!$L12</f>
        <v>3374736.0664834124</v>
      </c>
      <c r="U11" s="105">
        <f>S11/'Alternative 3'!$M12</f>
        <v>1063988.6060599131</v>
      </c>
      <c r="V11" s="105">
        <f t="shared" si="2"/>
        <v>4.4387246725433256</v>
      </c>
      <c r="X11" s="105">
        <f>'Alternative 3'!$B$39*$B11*$C11*COS($K$13)-($N$12/3)*$E11*SIN($K$13)-($N$12/3)*$F11*SIN($K$13)-($N$12/3)*$G11*SIN($K$13)</f>
        <v>62967.36432444409</v>
      </c>
      <c r="Y11" s="106">
        <f>IF(($A11&lt;'Alternative 3'!$B$27),(($H11*'Alternative 3'!$B$39)+(3*($N$12/3)*COS($K$13))),IF(($A11&lt;'Alternative 3'!$B$28),(($H11*'Alternative 3'!$B$39)+(2*(($N$12/3)*COS($K$13)))),IF(($A11&lt;'Alternative 3'!$B$29),(($H$3*'Alternative 3'!$B$39+(($N$12/3)*COS($K$13)))),($H11*'Alternative 3'!$B$39))))</f>
        <v>738475.73071021738</v>
      </c>
      <c r="Z11" s="105">
        <f>X11*'Alternative 3'!$K12/'Alternative 3'!$L12</f>
        <v>1002157.5750566447</v>
      </c>
      <c r="AA11" s="105">
        <f>Y11/'Alternative 3'!$M12</f>
        <v>262507.51398042223</v>
      </c>
      <c r="AB11" s="105">
        <f t="shared" si="3"/>
        <v>1.264665089037067</v>
      </c>
      <c r="AD11" s="105">
        <f>'Alternative 3'!$B$39*$B11*$C11*COS($K$23)-($N$22/3)*$E11*SIN($K$23)-($N$22/3)*$F11*SIN($K$23)-($N$22/3)*$G11*SIN($K$23)</f>
        <v>129226.66005230078</v>
      </c>
      <c r="AE11" s="106">
        <f>IF(($A11&lt;'Alternative 3'!$B$27),(($H11*'Alternative 3'!$B$39)+(3*($N$22/3)*COS($K$23))),IF(($A11&lt;'Alternative 3'!$B$28),(($H11*'Alternative 3'!$B$39)+(2*(($N$22/3)*COS($K$23)))),IF(($A11&lt;'Alternative 3'!$B$29),(($H$3*'Alternative 3'!$B$39+(($N$22/3)*COS($K$23)))),($H11*'Alternative 3'!$B$39))))</f>
        <v>387326.33684138494</v>
      </c>
      <c r="AF11" s="105">
        <f>AD11*'Alternative 3'!$K12/'Alternative 3'!$L12</f>
        <v>2056707.9098848163</v>
      </c>
      <c r="AG11" s="105">
        <f>AE11/'Alternative 3'!$M12</f>
        <v>137683.70381730786</v>
      </c>
      <c r="AH11" s="105">
        <f t="shared" si="4"/>
        <v>2.1943916137021238</v>
      </c>
      <c r="AJ11" s="105">
        <f>'Alternative 3'!$B$39*$B11*$C11*COS($K$33)-($N$32/3)*$E11*SIN($K$33)-($N$32/3)*$F11*SIN($K$33)-($N$32/3)*$G11*SIN($K$33)</f>
        <v>136628.00321067951</v>
      </c>
      <c r="AK11" s="106">
        <f>IF(($A11&lt;'Alternative 3'!$B$27),(($H11*'Alternative 3'!$B$39)+(3*($N$32/3)*COS($K$33))),IF(($A11&lt;'Alternative 3'!$B$28),(($H11*'Alternative 3'!$B$39)+(2*(($N$32/3)*COS($K$33)))),IF(($A11&lt;'Alternative 3'!$B$29),(($H$3*'Alternative 3'!$B$39+(($N$32/3)*COS($K$33)))),($H11*'Alternative 3'!$B$39))))</f>
        <v>269895.15671078017</v>
      </c>
      <c r="AL11" s="105">
        <f>AJ11*'Alternative 3'!$K12/'Alternative 3'!$L12</f>
        <v>2174504.0443004901</v>
      </c>
      <c r="AM11" s="105">
        <f>AK11/'Alternative 3'!$M12</f>
        <v>95940.196376345324</v>
      </c>
      <c r="AN11" s="105">
        <f t="shared" si="5"/>
        <v>2.2704442406768353</v>
      </c>
      <c r="AP11" s="105">
        <f>'Alternative 3'!$B$39*$B11*$C11*COS($K$43)-($N$42/3)*$E11*SIN($K$43)-($N$42/3)*$F11*SIN($K$43)-($N$42/3)*$G11*SIN($K$43)</f>
        <v>126220.88813030854</v>
      </c>
      <c r="AQ11" s="106">
        <f>IF(($A11&lt;'Alternative 3'!$B$27),(($H11*'Alternative 3'!$B$39)+(3*($N$42/3)*COS($K$43))),IF(($A11&lt;'Alternative 3'!$B$28),(($H11*'Alternative 3'!$B$39)+(2*(($N$42/3)*COS($K$43)))),IF(($A11&lt;'Alternative 3'!$B$29),(($H$3*'Alternative 3'!$B$39+(($N$42/3)*COS($K$43)))),($H11*'Alternative 3'!$B$39))))</f>
        <v>207857.3796654123</v>
      </c>
      <c r="AR11" s="105">
        <f>AP11*'Alternative 3'!$K12/'Alternative 3'!$L12</f>
        <v>2008869.5235582707</v>
      </c>
      <c r="AS11" s="105">
        <f>AQ11/'Alternative 3'!$M12</f>
        <v>73887.497895125081</v>
      </c>
      <c r="AT11" s="105">
        <f t="shared" si="6"/>
        <v>2.0827570214533959</v>
      </c>
      <c r="AV11" s="105">
        <f>'Alternative 3'!$B$39*$B11*$C11*COS($K$53)-($N$52/3)*$E11*SIN($K$53)-($N$52/3)*$F11*SIN($K$53)-($N$52/3)*$G11*SIN($K$53)</f>
        <v>106085.38804684824</v>
      </c>
      <c r="AW11" s="106">
        <f>IF(($A11&lt;'Alternative 3'!$B$27),(($H11*'Alternative 3'!$B$39)+(3*($N$52/3)*COS($K$53))),IF(($A11&lt;'Alternative 3'!$B$28),(($H11*'Alternative 3'!$B$39)+(2*(($N$52/3)*COS($K$53)))),IF(($A11&lt;'Alternative 3'!$B$29),(($H$3*'Alternative 3'!$B$39+(($N$52/3)*COS($K$53)))),($H11*'Alternative 3'!$B$39))))</f>
        <v>168883.2887298814</v>
      </c>
      <c r="AX11" s="105">
        <f>AV11*'Alternative 3'!$K12/'Alternative 3'!$L12</f>
        <v>1688402.8158806248</v>
      </c>
      <c r="AY11" s="105">
        <f>AW11/'Alternative 3'!$M12</f>
        <v>60033.296198755685</v>
      </c>
      <c r="AZ11" s="105">
        <f t="shared" si="7"/>
        <v>1.7484361120793805</v>
      </c>
      <c r="BB11" s="105">
        <f>'Alternative 3'!$B$39*$B11*$C11*COS($K$63)-($N$62/3)*$E11*SIN($K$63)-($N$62/3)*$F11*SIN($K$63)-($N$62/3)*$G11*SIN($K$63)</f>
        <v>79391.984225425113</v>
      </c>
      <c r="BC11" s="106">
        <f>IF(($A11&lt;'Alternative 3'!$B$27),(($H11*'Alternative 3'!$B$39)+(3*($N$62/3)*COS($K$63))),IF(($A11&lt;'Alternative 3'!$B$28),(($H11*'Alternative 3'!$B$39)+(2*(($N$62/3)*COS($K$63)))),IF(($A11&lt;'Alternative 3'!$B$29),(($H$3*'Alternative 3'!$B$39+(($N$62/3)*COS($K$63)))),($H11*'Alternative 3'!$B$39))))</f>
        <v>142881.2187381679</v>
      </c>
      <c r="BD11" s="105">
        <f>BB11*'Alternative 3'!$K12/'Alternative 3'!$L12</f>
        <v>1263563.7404216514</v>
      </c>
      <c r="BE11" s="105">
        <f>BC11/'Alternative 3'!$M12</f>
        <v>50790.285943963558</v>
      </c>
      <c r="BF11" s="105">
        <f t="shared" si="8"/>
        <v>1.314354026365615</v>
      </c>
      <c r="BH11" s="105">
        <f>'Alternative 3'!$B$39*$B11*$C11*COS($K$73)-($N$72/3)*$E11*SIN($K$73)-($N$72/3)*$F11*SIN($K$73)-($N$72/3)*$G11*SIN($K$73)</f>
        <v>48037.472874187806</v>
      </c>
      <c r="BI11" s="106">
        <f>IF(($A11&lt;'Alternative 3'!$B$27),(($H11*'Alternative 3'!$B$39)+(3*($N$72/3)*COS($K$73))),IF(($A11&lt;'Alternative 3'!$B$28),(($H11*'Alternative 3'!$B$39)+(2*(($N$72/3)*COS($K$73)))),IF(($A11&lt;'Alternative 3'!$B$29),(($H$3*'Alternative 3'!$B$39+(($N$72/3)*COS($K$73)))),($H11*'Alternative 3'!$B$39))))</f>
        <v>125856.50121864499</v>
      </c>
      <c r="BJ11" s="105">
        <f>BH11*'Alternative 3'!$K12/'Alternative 3'!$L12</f>
        <v>764540.7719369462</v>
      </c>
      <c r="BK11" s="105">
        <f>BI11/'Alternative 3'!$M12</f>
        <v>44738.473966377242</v>
      </c>
      <c r="BL11" s="105">
        <f t="shared" si="9"/>
        <v>0.80927924590332345</v>
      </c>
      <c r="BN11" s="105">
        <f>'Alternative 3'!$B$39*$B11*$C11*COS($K$83)-($N$82/3)*$E11*SIN($K$83)-($N$82/3)*$F11*SIN($K$83)-($N$82/3)*$G11*SIN($K$83)</f>
        <v>13493.677084162366</v>
      </c>
      <c r="BO11" s="106">
        <f>IF(($A11&lt;'Alternative 3'!$B$27),(($H11*'Alternative 3'!$B$39)+(3*($N$82/3)*COS($K$83))),IF(($A11&lt;'Alternative 3'!$B$28),(($H11*'Alternative 3'!$B$39)+(2*(($N$82/3)*COS($K$83)))),IF(($A11&lt;'Alternative 3'!$B$29),(($H$3*'Alternative 3'!$B$39+(($N$82/3)*COS($K$83)))),($H11*'Alternative 3'!$B$39))))</f>
        <v>116038.64976778334</v>
      </c>
      <c r="BP11" s="105">
        <f>BN11*'Alternative 3'!$K12/'Alternative 3'!$L12</f>
        <v>214758.72224195974</v>
      </c>
      <c r="BQ11" s="105">
        <f>BO11/'Alternative 3'!$M12</f>
        <v>41248.501757654645</v>
      </c>
      <c r="BR11" s="105">
        <f t="shared" si="10"/>
        <v>0.2560072239996144</v>
      </c>
      <c r="BT11" s="105">
        <f>'Alternative 3'!$B$39*$B11*$C11*COS($K$93)-($K$92/3)*$E11*SIN($K$93)-($K$92/3)*$F11*SIN($K$93)-($K$92/3)*$G11*SIN($K$93)</f>
        <v>-20.193459445481242</v>
      </c>
      <c r="BU11" s="106">
        <f>IF(($A11&lt;'Alternative 3'!$B$27),(($H11*'Alternative 3'!$B$39)+(3*($N$92/3)*COS($K$93))),IF(($A11&lt;'Alternative 3'!$B$28),(($H11*'Alternative 3'!$B$39)+(2*(($N$92/3)*COS($K$93)))),IF(($A11&lt;'Alternative 3'!$B$29),(($H$3*'Alternative 3'!$B$39+(($N$92/3)*COS($K$93)))),($H11*'Alternative 3'!$B$39))))</f>
        <v>112640.11069286382</v>
      </c>
      <c r="BV11" s="105">
        <f>BT11*'Alternative 3'!$K12/'Alternative 3'!$L12</f>
        <v>-321.38916035321671</v>
      </c>
      <c r="BW11" s="105">
        <f>BU11/'Alternative 3'!$M12</f>
        <v>40040.415957916252</v>
      </c>
      <c r="BX11" s="105">
        <f t="shared" si="11"/>
        <v>3.9719026797563034E-2</v>
      </c>
      <c r="BZ11" s="104">
        <v>150</v>
      </c>
      <c r="CA11" s="104">
        <v>-150</v>
      </c>
    </row>
    <row r="12" spans="1:79" ht="15" customHeight="1" x14ac:dyDescent="0.25">
      <c r="A12" s="18">
        <f>IF('Alternative 3'!F13&gt;0,'Alternative 3'!F13,"x")</f>
        <v>10</v>
      </c>
      <c r="B12" s="18">
        <f t="shared" si="17"/>
        <v>26</v>
      </c>
      <c r="C12" s="18">
        <f t="shared" si="12"/>
        <v>13</v>
      </c>
      <c r="D12" s="18">
        <f t="shared" si="13"/>
        <v>10</v>
      </c>
      <c r="E12" s="101">
        <f>IF($A12&lt;='Alternative 3'!$B$27, IF($A12='Alternative 3'!$B$27,0,E13+1),0)</f>
        <v>6</v>
      </c>
      <c r="F12" s="101">
        <f>IF($A12&lt;=('Alternative 3'!$B$28), IF($A12=ROUNDDOWN('Alternative 3'!$B$28,0),0,F13+1),0)</f>
        <v>12</v>
      </c>
      <c r="G12" s="101">
        <f>IF($A12&lt;=('Alternative 3'!$B$29), IF($A12=ROUNDDOWN('Alternative 3'!$B$29,0),0,G13+1),0)</f>
        <v>18</v>
      </c>
      <c r="H12" s="18">
        <f t="shared" si="14"/>
        <v>26</v>
      </c>
      <c r="J12" s="104">
        <f t="shared" si="15"/>
        <v>9</v>
      </c>
      <c r="K12" s="104">
        <f t="shared" si="16"/>
        <v>0.15707963267948966</v>
      </c>
      <c r="L12" s="105">
        <f>'Alternative 3'!$B$27*SIN(K12)+'Alternative 3'!$B$28*SIN(K12)+'Alternative 3'!$B$29*SIN(K12)</f>
        <v>10.479544813045067</v>
      </c>
      <c r="M12" s="104">
        <f>(('Alternative 3'!$B$27)*(((('Alternative 3'!$B$28-'Alternative 3'!$B$27)/2)+'Alternative 3'!$B$27)*'Alternative 3'!$B$39)*COS('Alternative 3-Tilt Up (3pt)'!K12))+(('Alternative 3'!$B$28)*((('Alternative 3'!$B$28-'Alternative 3'!$B$27)/2)+(('Alternative 3'!$B$29-'Alternative 3'!$B$28)/2))*('Alternative 3'!$B$39)*COS('Alternative 3-Tilt Up (3pt)'!K12))+(('Alternative 3'!$B$29)*((('Alternative 3'!$B$12-'Alternative 3'!$B$29+(('Alternative 3'!$B$29-'Alternative 3'!$B$28)/2)*('Alternative 3'!$B$39)*COS('Alternative 3-Tilt Up (3pt)'!K12)))))</f>
        <v>2219882.4780814522</v>
      </c>
      <c r="N12" s="109">
        <f t="shared" si="0"/>
        <v>635490.14323163591</v>
      </c>
      <c r="O12" s="104">
        <f>(((('Alternative 3'!$B$28-'Alternative 3'!$B$27)/2)+'Alternative 3'!$B$27)*('Alternative 3'!$B$39)*COS('Alternative 3-Tilt Up (3pt)'!K12))+(((('Alternative 3'!$B$28-'Alternative 3'!$B$27)/2)+(('Alternative 3'!$B$29-'Alternative 3'!$B$28)/2))*('Alternative 3'!$B$39)*COS('Alternative 3-Tilt Up (3pt)'!K12))+(((('Alternative 3'!$B$12-'Alternative 3'!$B$29)+(('Alternative 3'!$B$29-'Alternative 3'!$B$28)/2))*('Alternative 3'!$B$39)*COS('Alternative 3-Tilt Up (3pt)'!K12)))</f>
        <v>144217.27187089092</v>
      </c>
      <c r="P12" s="104">
        <f t="shared" si="1"/>
        <v>627666.20503302093</v>
      </c>
      <c r="R12" s="105">
        <f>'Alternative 3'!$B$39*$B12*$C12*COS($K$5)-($N$5/3)*$E12*SIN($K$5)-($N$5/3)*$F12*SIN($K$5)-($N$5/3)*$G12*SIN($K$5)</f>
        <v>202144.24541370012</v>
      </c>
      <c r="S12" s="106">
        <f>IF(($A12&lt;'Alternative 3'!$B$27),(($H12*'Alternative 3'!$B$39)+(3*($N$5/3)*COS($K$5))),IF(($A12&lt;'Alternative 3'!$B$28),(($H12*'Alternative 3'!$B$39)+(2*(($N$5/3)*COS($K$5)))),IF(($A12&lt;'Alternative 3'!$B$29),(($H$3*'Alternative 3'!$B$39+(($N$5/3)*COS($K$5)))),($H12*'Alternative 3'!$B$39))))</f>
        <v>2988998.7067243424</v>
      </c>
      <c r="T12" s="105">
        <f>R12*'Alternative 3'!$K13/'Alternative 3'!$L13</f>
        <v>3217228.3049936518</v>
      </c>
      <c r="U12" s="105">
        <f>S12/'Alternative 3'!$M13</f>
        <v>1084991.8963768629</v>
      </c>
      <c r="V12" s="105">
        <f t="shared" si="2"/>
        <v>4.3022202013705151</v>
      </c>
      <c r="X12" s="105">
        <f>'Alternative 3'!$B$39*$B12*$C12*COS($K$13)-($N$12/3)*$E12*SIN($K$13)-($N$12/3)*$F12*SIN($K$13)-($N$12/3)*$G12*SIN($K$13)</f>
        <v>64444.453354215249</v>
      </c>
      <c r="Y12" s="106">
        <f>IF(($A12&lt;'Alternative 3'!$B$27),(($H12*'Alternative 3'!$B$39)+(3*($N$12/3)*COS($K$13))),IF(($A12&lt;'Alternative 3'!$B$28),(($H12*'Alternative 3'!$B$39)+(2*(($N$12/3)*COS($K$13)))),IF(($A12&lt;'Alternative 3'!$B$29),(($H$3*'Alternative 3'!$B$39+(($N$12/3)*COS($K$13)))),($H12*'Alternative 3'!$B$39))))</f>
        <v>734303.87475862983</v>
      </c>
      <c r="Z12" s="105">
        <f>X12*'Alternative 3'!$K13/'Alternative 3'!$L13</f>
        <v>1025666.1969610173</v>
      </c>
      <c r="AA12" s="105">
        <f>Y12/'Alternative 3'!$M13</f>
        <v>266548.71137912484</v>
      </c>
      <c r="AB12" s="105">
        <f t="shared" si="3"/>
        <v>1.2922149083401422</v>
      </c>
      <c r="AD12" s="105">
        <f>'Alternative 3'!$B$39*$B12*$C12*COS($K$23)-($N$22/3)*$E12*SIN($K$23)-($N$22/3)*$F12*SIN($K$23)-($N$22/3)*$G12*SIN($K$23)</f>
        <v>125317.32043702924</v>
      </c>
      <c r="AE12" s="106">
        <f>IF(($A12&lt;'Alternative 3'!$B$27),(($H12*'Alternative 3'!$B$39)+(3*($N$22/3)*COS($K$23))),IF(($A12&lt;'Alternative 3'!$B$28),(($H12*'Alternative 3'!$B$39)+(2*(($N$22/3)*COS($K$23)))),IF(($A12&lt;'Alternative 3'!$B$29),(($H$3*'Alternative 3'!$B$39+(($N$22/3)*COS($K$23)))),($H12*'Alternative 3'!$B$39))))</f>
        <v>383154.48088979739</v>
      </c>
      <c r="AF12" s="105">
        <f>AD12*'Alternative 3'!$K13/'Alternative 3'!$L13</f>
        <v>1994488.7849310259</v>
      </c>
      <c r="AG12" s="105">
        <f>AE12/'Alternative 3'!$M13</f>
        <v>139083.20063527316</v>
      </c>
      <c r="AH12" s="105">
        <f t="shared" si="4"/>
        <v>2.1335719855662991</v>
      </c>
      <c r="AJ12" s="105">
        <f>'Alternative 3'!$B$39*$B12*$C12*COS($K$33)-($N$32/3)*$E12*SIN($K$33)-($N$32/3)*$F12*SIN($K$33)-($N$32/3)*$G12*SIN($K$33)</f>
        <v>131676.51563294115</v>
      </c>
      <c r="AK12" s="106">
        <f>IF(($A12&lt;'Alternative 3'!$B$27),(($H12*'Alternative 3'!$B$39)+(3*($N$32/3)*COS($K$33))),IF(($A12&lt;'Alternative 3'!$B$28),(($H12*'Alternative 3'!$B$39)+(2*(($N$32/3)*COS($K$33)))),IF(($A12&lt;'Alternative 3'!$B$29),(($H$3*'Alternative 3'!$B$39+(($N$32/3)*COS($K$33)))),($H12*'Alternative 3'!$B$39))))</f>
        <v>265723.30075919261</v>
      </c>
      <c r="AL12" s="105">
        <f>AJ12*'Alternative 3'!$K13/'Alternative 3'!$L13</f>
        <v>2095698.6053708657</v>
      </c>
      <c r="AM12" s="105">
        <f>AK12/'Alternative 3'!$M13</f>
        <v>96456.257191958968</v>
      </c>
      <c r="AN12" s="105">
        <f t="shared" si="5"/>
        <v>2.1921548625628247</v>
      </c>
      <c r="AP12" s="105">
        <f>'Alternative 3'!$B$39*$B12*$C12*COS($K$43)-($N$42/3)*$E12*SIN($K$43)-($N$42/3)*$F12*SIN($K$43)-($N$42/3)*$G12*SIN($K$43)</f>
        <v>121428.24607290979</v>
      </c>
      <c r="AQ12" s="106">
        <f>IF(($A12&lt;'Alternative 3'!$B$27),(($H12*'Alternative 3'!$B$39)+(3*($N$42/3)*COS($K$43))),IF(($A12&lt;'Alternative 3'!$B$28),(($H12*'Alternative 3'!$B$39)+(2*(($N$42/3)*COS($K$43)))),IF(($A12&lt;'Alternative 3'!$B$29),(($H$3*'Alternative 3'!$B$39+(($N$42/3)*COS($K$43)))),($H12*'Alternative 3'!$B$39))))</f>
        <v>203685.52371382475</v>
      </c>
      <c r="AR12" s="105">
        <f>AP12*'Alternative 3'!$K13/'Alternative 3'!$L13</f>
        <v>1932592.1917390523</v>
      </c>
      <c r="AS12" s="105">
        <f>AQ12/'Alternative 3'!$M13</f>
        <v>73936.847861994887</v>
      </c>
      <c r="AT12" s="105">
        <f t="shared" si="6"/>
        <v>2.0065290396010473</v>
      </c>
      <c r="AV12" s="105">
        <f>'Alternative 3'!$B$39*$B12*$C12*COS($K$53)-($N$52/3)*$E12*SIN($K$53)-($N$52/3)*$F12*SIN($K$53)-($N$52/3)*$G12*SIN($K$53)</f>
        <v>102050.53868182527</v>
      </c>
      <c r="AW12" s="106">
        <f>IF(($A12&lt;'Alternative 3'!$B$27),(($H12*'Alternative 3'!$B$39)+(3*($N$52/3)*COS($K$53))),IF(($A12&lt;'Alternative 3'!$B$28),(($H12*'Alternative 3'!$B$39)+(2*(($N$52/3)*COS($K$53)))),IF(($A12&lt;'Alternative 3'!$B$29),(($H$3*'Alternative 3'!$B$39+(($N$52/3)*COS($K$53)))),($H12*'Alternative 3'!$B$39))))</f>
        <v>164711.43277829385</v>
      </c>
      <c r="AX12" s="105">
        <f>AV12*'Alternative 3'!$K13/'Alternative 3'!$L13</f>
        <v>1624186.1395316587</v>
      </c>
      <c r="AY12" s="105">
        <f>AW12/'Alternative 3'!$M13</f>
        <v>59789.443669890701</v>
      </c>
      <c r="AZ12" s="105">
        <f t="shared" si="7"/>
        <v>1.6839755832015495</v>
      </c>
      <c r="BB12" s="105">
        <f>'Alternative 3'!$B$39*$B12*$C12*COS($K$63)-($N$62/3)*$E12*SIN($K$63)-($N$62/3)*$F12*SIN($K$63)-($N$62/3)*$G12*SIN($K$63)</f>
        <v>76494.028478536638</v>
      </c>
      <c r="BC12" s="106">
        <f>IF(($A12&lt;'Alternative 3'!$B$27),(($H12*'Alternative 3'!$B$39)+(3*($N$62/3)*COS($K$63))),IF(($A12&lt;'Alternative 3'!$B$28),(($H12*'Alternative 3'!$B$39)+(2*(($N$62/3)*COS($K$63)))),IF(($A12&lt;'Alternative 3'!$B$29),(($H$3*'Alternative 3'!$B$39+(($N$62/3)*COS($K$63)))),($H12*'Alternative 3'!$B$39))))</f>
        <v>138709.36278658034</v>
      </c>
      <c r="BD12" s="105">
        <f>BB12*'Alternative 3'!$K13/'Alternative 3'!$L13</f>
        <v>1217441.3032658086</v>
      </c>
      <c r="BE12" s="105">
        <f>BC12/'Alternative 3'!$M13</f>
        <v>50350.819569263083</v>
      </c>
      <c r="BF12" s="105">
        <f t="shared" si="8"/>
        <v>1.2677921228350717</v>
      </c>
      <c r="BH12" s="105">
        <f>'Alternative 3'!$B$39*$B12*$C12*COS($K$73)-($N$72/3)*$E12*SIN($K$73)-($N$72/3)*$F12*SIN($K$73)-($N$72/3)*$G12*SIN($K$73)</f>
        <v>46537.449992320908</v>
      </c>
      <c r="BI12" s="106">
        <f>IF(($A12&lt;'Alternative 3'!$B$27),(($H12*'Alternative 3'!$B$39)+(3*($N$72/3)*COS($K$73))),IF(($A12&lt;'Alternative 3'!$B$28),(($H12*'Alternative 3'!$B$39)+(2*(($N$72/3)*COS($K$73)))),IF(($A12&lt;'Alternative 3'!$B$29),(($H$3*'Alternative 3'!$B$39+(($N$72/3)*COS($K$73)))),($H12*'Alternative 3'!$B$39))))</f>
        <v>121684.64526705744</v>
      </c>
      <c r="BJ12" s="105">
        <f>BH12*'Alternative 3'!$K13/'Alternative 3'!$L13</f>
        <v>740667.14613175031</v>
      </c>
      <c r="BK12" s="105">
        <f>BI12/'Alternative 3'!$M13</f>
        <v>44170.930462843644</v>
      </c>
      <c r="BL12" s="105">
        <f t="shared" si="9"/>
        <v>0.78483807659459393</v>
      </c>
      <c r="BN12" s="105">
        <f>'Alternative 3'!$B$39*$B12*$C12*COS($K$83)-($N$82/3)*$E12*SIN($K$83)-($N$82/3)*$F12*SIN($K$83)-($N$82/3)*$G12*SIN($K$83)</f>
        <v>13570.217590737724</v>
      </c>
      <c r="BO12" s="106">
        <f>IF(($A12&lt;'Alternative 3'!$B$27),(($H12*'Alternative 3'!$B$39)+(3*($N$82/3)*COS($K$83))),IF(($A12&lt;'Alternative 3'!$B$28),(($H12*'Alternative 3'!$B$39)+(2*(($N$82/3)*COS($K$83)))),IF(($A12&lt;'Alternative 3'!$B$29),(($H$3*'Alternative 3'!$B$39+(($N$82/3)*COS($K$83)))),($H12*'Alternative 3'!$B$39))))</f>
        <v>111866.79381619579</v>
      </c>
      <c r="BP12" s="105">
        <f>BN12*'Alternative 3'!$K13/'Alternative 3'!$L13</f>
        <v>215976.90326773582</v>
      </c>
      <c r="BQ12" s="105">
        <f>BO12/'Alternative 3'!$M13</f>
        <v>40607.098454468294</v>
      </c>
      <c r="BR12" s="105">
        <f t="shared" si="10"/>
        <v>0.25658400172220414</v>
      </c>
      <c r="BT12" s="105">
        <f>'Alternative 3'!$B$39*$B12*$C12*COS($K$93)-($K$92/3)*$E12*SIN($K$93)-($K$92/3)*$F12*SIN($K$93)-($K$92/3)*$G12*SIN($K$93)</f>
        <v>-18.640116411213064</v>
      </c>
      <c r="BU12" s="106">
        <f>IF(($A12&lt;'Alternative 3'!$B$27),(($H12*'Alternative 3'!$B$39)+(3*($N$92/3)*COS($K$93))),IF(($A12&lt;'Alternative 3'!$B$28),(($H12*'Alternative 3'!$B$39)+(2*(($N$92/3)*COS($K$93)))),IF(($A12&lt;'Alternative 3'!$B$29),(($H$3*'Alternative 3'!$B$39+(($N$92/3)*COS($K$93)))),($H12*'Alternative 3'!$B$39))))</f>
        <v>108468.25474127627</v>
      </c>
      <c r="BV12" s="105">
        <f>BT12*'Alternative 3'!$K13/'Alternative 3'!$L13</f>
        <v>-296.66691724911692</v>
      </c>
      <c r="BW12" s="105">
        <f>BU12/'Alternative 3'!$M13</f>
        <v>39373.445409549844</v>
      </c>
      <c r="BX12" s="105">
        <f t="shared" si="11"/>
        <v>3.9076778492300727E-2</v>
      </c>
      <c r="BZ12" s="104">
        <v>150</v>
      </c>
      <c r="CA12" s="104">
        <v>-150</v>
      </c>
    </row>
    <row r="13" spans="1:79" ht="15" customHeight="1" x14ac:dyDescent="0.25">
      <c r="A13" s="18">
        <f>IF('Alternative 3'!F14&gt;0,'Alternative 3'!F14,"x")</f>
        <v>11</v>
      </c>
      <c r="B13" s="18">
        <f t="shared" si="17"/>
        <v>25</v>
      </c>
      <c r="C13" s="18">
        <f t="shared" si="12"/>
        <v>12.5</v>
      </c>
      <c r="D13" s="18">
        <f t="shared" si="13"/>
        <v>11</v>
      </c>
      <c r="E13" s="101">
        <f>IF($A13&lt;='Alternative 3'!$B$27, IF($A13='Alternative 3'!$B$27,0,E14+1),0)</f>
        <v>5</v>
      </c>
      <c r="F13" s="101">
        <f>IF($A13&lt;=('Alternative 3'!$B$28), IF($A13=ROUNDDOWN('Alternative 3'!$B$28,0),0,F14+1),0)</f>
        <v>11</v>
      </c>
      <c r="G13" s="101">
        <f>IF($A13&lt;=('Alternative 3'!$B$29), IF($A13=ROUNDDOWN('Alternative 3'!$B$29,0),0,G14+1),0)</f>
        <v>17</v>
      </c>
      <c r="H13" s="18">
        <f t="shared" si="14"/>
        <v>25</v>
      </c>
      <c r="J13" s="104">
        <f t="shared" si="15"/>
        <v>10</v>
      </c>
      <c r="K13" s="109">
        <f t="shared" si="16"/>
        <v>0.17453292519943295</v>
      </c>
      <c r="L13" s="105">
        <f>'Alternative 3'!$B$27*SIN(K13)+'Alternative 3'!$B$28*SIN(K13)+'Alternative 3'!$B$29*SIN(K13)</f>
        <v>11.632691421907662</v>
      </c>
      <c r="M13" s="104">
        <f>(('Alternative 3'!$B$27)*(((('Alternative 3'!$B$28-'Alternative 3'!$B$27)/2)+'Alternative 3'!$B$27)*'Alternative 3'!$B$39)*COS('Alternative 3-Tilt Up (3pt)'!K13))+(('Alternative 3'!$B$28)*((('Alternative 3'!$B$28-'Alternative 3'!$B$27)/2)+(('Alternative 3'!$B$29-'Alternative 3'!$B$28)/2))*('Alternative 3'!$B$39)*COS('Alternative 3-Tilt Up (3pt)'!K13))+(('Alternative 3'!$B$29)*((('Alternative 3'!$B$12-'Alternative 3'!$B$29+(('Alternative 3'!$B$29-'Alternative 3'!$B$28)/2)*('Alternative 3'!$B$39)*COS('Alternative 3-Tilt Up (3pt)'!K13)))))</f>
        <v>2213408.7330510784</v>
      </c>
      <c r="N13" s="104">
        <f t="shared" si="0"/>
        <v>570824.5803415539</v>
      </c>
      <c r="O13" s="104">
        <f>(((('Alternative 3'!$B$28-'Alternative 3'!$B$27)/2)+'Alternative 3'!$B$27)*('Alternative 3'!$B$39)*COS('Alternative 3-Tilt Up (3pt)'!K13))+(((('Alternative 3'!$B$28-'Alternative 3'!$B$27)/2)+(('Alternative 3'!$B$29-'Alternative 3'!$B$28)/2))*('Alternative 3'!$B$39)*COS('Alternative 3-Tilt Up (3pt)'!K13))+(((('Alternative 3'!$B$12-'Alternative 3'!$B$29)+(('Alternative 3'!$B$29-'Alternative 3'!$B$28)/2))*('Alternative 3'!$B$39)*COS('Alternative 3-Tilt Up (3pt)'!K13)))</f>
        <v>143796.66299507392</v>
      </c>
      <c r="P13" s="109">
        <f t="shared" si="1"/>
        <v>562152.47233030235</v>
      </c>
      <c r="R13" s="105">
        <f>'Alternative 3'!$B$39*$B13*$C13*COS($K$5)-($N$5/3)*$E13*SIN($K$5)-($N$5/3)*$F13*SIN($K$5)-($N$5/3)*$G13*SIN($K$5)</f>
        <v>196417.06381498941</v>
      </c>
      <c r="S13" s="106">
        <f>IF(($A13&lt;'Alternative 3'!$B$27),(($H13*'Alternative 3'!$B$39)+(3*($N$5/3)*COS($K$5))),IF(($A13&lt;'Alternative 3'!$B$28),(($H13*'Alternative 3'!$B$39)+(2*(($N$5/3)*COS($K$5)))),IF(($A13&lt;'Alternative 3'!$B$29),(($H$3*'Alternative 3'!$B$39+(($N$5/3)*COS($K$5)))),($H13*'Alternative 3'!$B$39))))</f>
        <v>2984826.8507727552</v>
      </c>
      <c r="T13" s="105">
        <f>R13*'Alternative 3'!$K14/'Alternative 3'!$L14</f>
        <v>3126077.3018597174</v>
      </c>
      <c r="U13" s="105">
        <f>S13/'Alternative 3'!$M14</f>
        <v>1106652.8673782505</v>
      </c>
      <c r="V13" s="105">
        <f t="shared" si="2"/>
        <v>4.2327301692379677</v>
      </c>
      <c r="X13" s="105">
        <f>'Alternative 3'!$B$39*$B13*$C13*COS($K$13)-($N$12/3)*$E13*SIN($K$13)-($N$12/3)*$F13*SIN($K$13)-($N$12/3)*$G13*SIN($K$13)</f>
        <v>70030.018469560076</v>
      </c>
      <c r="Y13" s="106">
        <f>IF(($A13&lt;'Alternative 3'!$B$27),(($H13*'Alternative 3'!$B$39)+(3*($N$12/3)*COS($K$13))),IF(($A13&lt;'Alternative 3'!$B$28),(($H13*'Alternative 3'!$B$39)+(2*(($N$12/3)*COS($K$13)))),IF(($A13&lt;'Alternative 3'!$B$29),(($H$3*'Alternative 3'!$B$39+(($N$12/3)*COS($K$13)))),($H13*'Alternative 3'!$B$39))))</f>
        <v>730132.01880704227</v>
      </c>
      <c r="Z13" s="105">
        <f>X13*'Alternative 3'!$K14/'Alternative 3'!$L14</f>
        <v>1114563.3018560677</v>
      </c>
      <c r="AA13" s="105">
        <f>Y13/'Alternative 3'!$M14</f>
        <v>270703.37161041569</v>
      </c>
      <c r="AB13" s="105">
        <f t="shared" si="3"/>
        <v>1.3852666734664834</v>
      </c>
      <c r="AD13" s="105">
        <f>'Alternative 3'!$B$39*$B13*$C13*COS($K$23)-($N$22/3)*$E13*SIN($K$23)-($N$22/3)*$F13*SIN($K$23)-($N$22/3)*$G13*SIN($K$23)</f>
        <v>125328.24307444645</v>
      </c>
      <c r="AE13" s="106">
        <f>IF(($A13&lt;'Alternative 3'!$B$27),(($H13*'Alternative 3'!$B$39)+(3*($N$22/3)*COS($K$23))),IF(($A13&lt;'Alternative 3'!$B$28),(($H13*'Alternative 3'!$B$39)+(2*(($N$22/3)*COS($K$23)))),IF(($A13&lt;'Alternative 3'!$B$29),(($H$3*'Alternative 3'!$B$39+(($N$22/3)*COS($K$23)))),($H13*'Alternative 3'!$B$39))))</f>
        <v>378982.62493820983</v>
      </c>
      <c r="AF13" s="105">
        <f>AD13*'Alternative 3'!$K14/'Alternative 3'!$L14</f>
        <v>1994662.6242515168</v>
      </c>
      <c r="AG13" s="105">
        <f>AE13/'Alternative 3'!$M14</f>
        <v>140511.40302018693</v>
      </c>
      <c r="AH13" s="105">
        <f t="shared" si="4"/>
        <v>2.1351740272717037</v>
      </c>
      <c r="AJ13" s="105">
        <f>'Alternative 3'!$B$39*$B13*$C13*COS($K$33)-($N$32/3)*$E13*SIN($K$33)-($N$32/3)*$F13*SIN($K$33)-($N$32/3)*$G13*SIN($K$33)</f>
        <v>130337.96129020717</v>
      </c>
      <c r="AK13" s="106">
        <f>IF(($A13&lt;'Alternative 3'!$B$27),(($H13*'Alternative 3'!$B$39)+(3*($N$32/3)*COS($K$33))),IF(($A13&lt;'Alternative 3'!$B$28),(($H13*'Alternative 3'!$B$39)+(2*(($N$32/3)*COS($K$33)))),IF(($A13&lt;'Alternative 3'!$B$29),(($H$3*'Alternative 3'!$B$39+(($N$32/3)*COS($K$33)))),($H13*'Alternative 3'!$B$39))))</f>
        <v>261551.44480760506</v>
      </c>
      <c r="AL13" s="105">
        <f>AJ13*'Alternative 3'!$K14/'Alternative 3'!$L14</f>
        <v>2074394.8333520156</v>
      </c>
      <c r="AM13" s="105">
        <f>AK13/'Alternative 3'!$M14</f>
        <v>96972.679098060311</v>
      </c>
      <c r="AN13" s="105">
        <f t="shared" si="5"/>
        <v>2.1713675124500758</v>
      </c>
      <c r="AP13" s="105">
        <f>'Alternative 3'!$B$39*$B13*$C13*COS($K$43)-($N$42/3)*$E13*SIN($K$43)-($N$42/3)*$F13*SIN($K$43)-($N$42/3)*$G13*SIN($K$43)</f>
        <v>119831.43108471809</v>
      </c>
      <c r="AQ13" s="106">
        <f>IF(($A13&lt;'Alternative 3'!$B$27),(($H13*'Alternative 3'!$B$39)+(3*($N$42/3)*COS($K$43))),IF(($A13&lt;'Alternative 3'!$B$28),(($H13*'Alternative 3'!$B$39)+(2*(($N$42/3)*COS($K$43)))),IF(($A13&lt;'Alternative 3'!$B$29),(($H$3*'Alternative 3'!$B$39+(($N$42/3)*COS($K$43)))),($H13*'Alternative 3'!$B$39))))</f>
        <v>199513.66776223719</v>
      </c>
      <c r="AR13" s="105">
        <f>AP13*'Alternative 3'!$K14/'Alternative 3'!$L14</f>
        <v>1907178.0704152689</v>
      </c>
      <c r="AS13" s="105">
        <f>AQ13/'Alternative 3'!$M14</f>
        <v>73971.584801667632</v>
      </c>
      <c r="AT13" s="105">
        <f t="shared" si="6"/>
        <v>1.9811496552169365</v>
      </c>
      <c r="AV13" s="105">
        <f>'Alternative 3'!$B$39*$B13*$C13*COS($K$53)-($N$52/3)*$E13*SIN($K$53)-($N$52/3)*$F13*SIN($K$53)-($N$52/3)*$G13*SIN($K$53)</f>
        <v>100697.30663188006</v>
      </c>
      <c r="AW13" s="106">
        <f>IF(($A13&lt;'Alternative 3'!$B$27),(($H13*'Alternative 3'!$B$39)+(3*($N$52/3)*COS($K$53))),IF(($A13&lt;'Alternative 3'!$B$28),(($H13*'Alternative 3'!$B$39)+(2*(($N$52/3)*COS($K$53)))),IF(($A13&lt;'Alternative 3'!$B$29),(($H$3*'Alternative 3'!$B$39+(($N$52/3)*COS($K$53)))),($H13*'Alternative 3'!$B$39))))</f>
        <v>160539.5768267063</v>
      </c>
      <c r="AX13" s="105">
        <f>AV13*'Alternative 3'!$K14/'Alternative 3'!$L14</f>
        <v>1602648.7643499002</v>
      </c>
      <c r="AY13" s="105">
        <f>AW13/'Alternative 3'!$M14</f>
        <v>59521.570900157858</v>
      </c>
      <c r="AZ13" s="105">
        <f t="shared" si="7"/>
        <v>1.6621703352500581</v>
      </c>
      <c r="BB13" s="105">
        <f>'Alternative 3'!$B$39*$B13*$C13*COS($K$63)-($N$62/3)*$E13*SIN($K$63)-($N$62/3)*$F13*SIN($K$63)-($N$62/3)*$G13*SIN($K$63)</f>
        <v>75682.000707441999</v>
      </c>
      <c r="BC13" s="106">
        <f>IF(($A13&lt;'Alternative 3'!$B$27),(($H13*'Alternative 3'!$B$39)+(3*($N$62/3)*COS($K$63))),IF(($A13&lt;'Alternative 3'!$B$28),(($H13*'Alternative 3'!$B$39)+(2*(($N$62/3)*COS($K$63)))),IF(($A13&lt;'Alternative 3'!$B$29),(($H$3*'Alternative 3'!$B$39+(($N$62/3)*COS($K$63)))),($H13*'Alternative 3'!$B$39))))</f>
        <v>134537.50683499279</v>
      </c>
      <c r="BD13" s="105">
        <f>BB13*'Alternative 3'!$K14/'Alternative 3'!$L14</f>
        <v>1204517.4689797522</v>
      </c>
      <c r="BE13" s="105">
        <f>BC13/'Alternative 3'!$M14</f>
        <v>49881.056809147871</v>
      </c>
      <c r="BF13" s="105">
        <f t="shared" si="8"/>
        <v>1.2543985257888999</v>
      </c>
      <c r="BH13" s="105">
        <f>'Alternative 3'!$B$39*$B13*$C13*COS($K$73)-($N$72/3)*$E13*SIN($K$73)-($N$72/3)*$F13*SIN($K$73)-($N$72/3)*$G13*SIN($K$73)</f>
        <v>46464.285880950396</v>
      </c>
      <c r="BI13" s="106">
        <f>IF(($A13&lt;'Alternative 3'!$B$27),(($H13*'Alternative 3'!$B$39)+(3*($N$72/3)*COS($K$73))),IF(($A13&lt;'Alternative 3'!$B$28),(($H13*'Alternative 3'!$B$39)+(2*(($N$72/3)*COS($K$73)))),IF(($A13&lt;'Alternative 3'!$B$29),(($H$3*'Alternative 3'!$B$39+(($N$72/3)*COS($K$73)))),($H13*'Alternative 3'!$B$39))))</f>
        <v>117512.78931546988</v>
      </c>
      <c r="BJ13" s="105">
        <f>BH13*'Alternative 3'!$K14/'Alternative 3'!$L14</f>
        <v>739502.70215003227</v>
      </c>
      <c r="BK13" s="105">
        <f>BI13/'Alternative 3'!$M14</f>
        <v>43568.981301515974</v>
      </c>
      <c r="BL13" s="105">
        <f t="shared" si="9"/>
        <v>0.78307168345154821</v>
      </c>
      <c r="BN13" s="105">
        <f>'Alternative 3'!$B$39*$B13*$C13*COS($K$83)-($N$82/3)*$E13*SIN($K$83)-($N$82/3)*$F13*SIN($K$83)-($N$82/3)*$G13*SIN($K$83)</f>
        <v>14371.19328079524</v>
      </c>
      <c r="BO13" s="106">
        <f>IF(($A13&lt;'Alternative 3'!$B$27),(($H13*'Alternative 3'!$B$39)+(3*($N$82/3)*COS($K$83))),IF(($A13&lt;'Alternative 3'!$B$28),(($H13*'Alternative 3'!$B$39)+(2*(($N$82/3)*COS($K$83)))),IF(($A13&lt;'Alternative 3'!$B$29),(($H$3*'Alternative 3'!$B$39+(($N$82/3)*COS($K$83)))),($H13*'Alternative 3'!$B$39))))</f>
        <v>107694.93786460823</v>
      </c>
      <c r="BP13" s="105">
        <f>BN13*'Alternative 3'!$K14/'Alternative 3'!$L14</f>
        <v>228724.83807236527</v>
      </c>
      <c r="BQ13" s="105">
        <f>BO13/'Alternative 3'!$M14</f>
        <v>39928.91974927656</v>
      </c>
      <c r="BR13" s="105">
        <f t="shared" si="10"/>
        <v>0.2686537578216418</v>
      </c>
      <c r="BT13" s="105">
        <f>'Alternative 3'!$B$39*$B13*$C13*COS($K$93)-($K$92/3)*$E13*SIN($K$93)-($K$92/3)*$F13*SIN($K$93)-($K$92/3)*$G13*SIN($K$93)</f>
        <v>-17.086773376944628</v>
      </c>
      <c r="BU13" s="106">
        <f>IF(($A13&lt;'Alternative 3'!$B$27),(($H13*'Alternative 3'!$B$39)+(3*($N$92/3)*COS($K$93))),IF(($A13&lt;'Alternative 3'!$B$28),(($H13*'Alternative 3'!$B$39)+(2*(($N$92/3)*COS($K$93)))),IF(($A13&lt;'Alternative 3'!$B$29),(($H$3*'Alternative 3'!$B$39+(($N$92/3)*COS($K$93)))),($H13*'Alternative 3'!$B$39))))</f>
        <v>104296.39878968871</v>
      </c>
      <c r="BV13" s="105">
        <f>BT13*'Alternative 3'!$K14/'Alternative 3'!$L14</f>
        <v>-271.94467414501298</v>
      </c>
      <c r="BW13" s="105">
        <f>BU13/'Alternative 3'!$M14</f>
        <v>38668.879150545341</v>
      </c>
      <c r="BX13" s="105">
        <f t="shared" si="11"/>
        <v>3.8396934476400323E-2</v>
      </c>
      <c r="BZ13" s="104">
        <v>150</v>
      </c>
      <c r="CA13" s="104">
        <v>-150</v>
      </c>
    </row>
    <row r="14" spans="1:79" ht="15" customHeight="1" x14ac:dyDescent="0.25">
      <c r="A14" s="18">
        <f>IF('Alternative 3'!F15&gt;0,'Alternative 3'!F15,"x")</f>
        <v>12</v>
      </c>
      <c r="B14" s="18">
        <f t="shared" si="17"/>
        <v>24</v>
      </c>
      <c r="C14" s="18">
        <f t="shared" si="12"/>
        <v>12</v>
      </c>
      <c r="D14" s="18">
        <f t="shared" si="13"/>
        <v>12</v>
      </c>
      <c r="E14" s="101">
        <f>IF($A14&lt;='Alternative 3'!$B$27, IF($A14='Alternative 3'!$B$27,0,E15+1),0)</f>
        <v>4</v>
      </c>
      <c r="F14" s="101">
        <f>IF($A14&lt;=('Alternative 3'!$B$28), IF($A14=ROUNDDOWN('Alternative 3'!$B$28,0),0,F15+1),0)</f>
        <v>10</v>
      </c>
      <c r="G14" s="101">
        <f>IF($A14&lt;=('Alternative 3'!$B$29), IF($A14=ROUNDDOWN('Alternative 3'!$B$29,0),0,G15+1),0)</f>
        <v>16</v>
      </c>
      <c r="H14" s="18">
        <f t="shared" si="14"/>
        <v>24</v>
      </c>
      <c r="J14" s="104">
        <f t="shared" si="15"/>
        <v>11</v>
      </c>
      <c r="K14" s="104">
        <f t="shared" si="16"/>
        <v>0.19198621771937624</v>
      </c>
      <c r="L14" s="105">
        <f>'Alternative 3'!$B$27*SIN(K14)+'Alternative 3'!$B$28*SIN(K14)+'Alternative 3'!$B$29*SIN(K14)</f>
        <v>12.782294600274735</v>
      </c>
      <c r="M14" s="104">
        <f>(('Alternative 3'!$B$27)*(((('Alternative 3'!$B$28-'Alternative 3'!$B$27)/2)+'Alternative 3'!$B$27)*'Alternative 3'!$B$39)*COS('Alternative 3-Tilt Up (3pt)'!K14))+(('Alternative 3'!$B$28)*((('Alternative 3'!$B$28-'Alternative 3'!$B$27)/2)+(('Alternative 3'!$B$29-'Alternative 3'!$B$28)/2))*('Alternative 3'!$B$39)*COS('Alternative 3-Tilt Up (3pt)'!K14))+(('Alternative 3'!$B$29)*((('Alternative 3'!$B$12-'Alternative 3'!$B$29+(('Alternative 3'!$B$29-'Alternative 3'!$B$28)/2)*('Alternative 3'!$B$39)*COS('Alternative 3-Tilt Up (3pt)'!K14)))))</f>
        <v>2206260.8176277652</v>
      </c>
      <c r="N14" s="104">
        <f t="shared" si="0"/>
        <v>517808.62981682771</v>
      </c>
      <c r="O14" s="104">
        <f>(((('Alternative 3'!$B$28-'Alternative 3'!$B$27)/2)+'Alternative 3'!$B$27)*('Alternative 3'!$B$39)*COS('Alternative 3-Tilt Up (3pt)'!K14))+(((('Alternative 3'!$B$28-'Alternative 3'!$B$27)/2)+(('Alternative 3'!$B$29-'Alternative 3'!$B$28)/2))*('Alternative 3'!$B$39)*COS('Alternative 3-Tilt Up (3pt)'!K14))+(((('Alternative 3'!$B$12-'Alternative 3'!$B$29)+(('Alternative 3'!$B$29-'Alternative 3'!$B$28)/2))*('Alternative 3'!$B$39)*COS('Alternative 3-Tilt Up (3pt)'!K14)))</f>
        <v>143332.25226271909</v>
      </c>
      <c r="P14" s="104">
        <f t="shared" si="1"/>
        <v>508295.02685198665</v>
      </c>
      <c r="R14" s="105">
        <f>'Alternative 3'!$B$39*$B14*$C14*COS($K$5)-($N$5/3)*$E14*SIN($K$5)-($N$5/3)*$F14*SIN($K$5)-($N$5/3)*$G14*SIN($K$5)</f>
        <v>194859.19678594021</v>
      </c>
      <c r="S14" s="106">
        <f>IF(($A14&lt;'Alternative 3'!$B$27),(($H14*'Alternative 3'!$B$39)+(3*($N$5/3)*COS($K$5))),IF(($A14&lt;'Alternative 3'!$B$28),(($H14*'Alternative 3'!$B$39)+(2*(($N$5/3)*COS($K$5)))),IF(($A14&lt;'Alternative 3'!$B$29),(($H$3*'Alternative 3'!$B$39+(($N$5/3)*COS($K$5)))),($H14*'Alternative 3'!$B$39))))</f>
        <v>2980654.9948211676</v>
      </c>
      <c r="T14" s="105">
        <f>R14*'Alternative 3'!$K15/'Alternative 3'!$L15</f>
        <v>3101283.057081609</v>
      </c>
      <c r="U14" s="105">
        <f>S14/'Alternative 3'!$M15</f>
        <v>1128999.6077589609</v>
      </c>
      <c r="V14" s="105">
        <f t="shared" si="2"/>
        <v>4.23028266484057</v>
      </c>
      <c r="X14" s="105">
        <f>'Alternative 3'!$B$39*$B14*$C14*COS($K$13)-($N$12/3)*$E14*SIN($K$13)-($N$12/3)*$F14*SIN($K$13)-($N$12/3)*$G14*SIN($K$13)</f>
        <v>79724.059670478338</v>
      </c>
      <c r="Y14" s="106">
        <f>IF(($A14&lt;'Alternative 3'!$B$27),(($H14*'Alternative 3'!$B$39)+(3*($N$12/3)*COS($K$13))),IF(($A14&lt;'Alternative 3'!$B$28),(($H14*'Alternative 3'!$B$39)+(2*(($N$12/3)*COS($K$13)))),IF(($A14&lt;'Alternative 3'!$B$29),(($H$3*'Alternative 3'!$B$39+(($N$12/3)*COS($K$13)))),($H14*'Alternative 3'!$B$39))))</f>
        <v>725960.16285545472</v>
      </c>
      <c r="Z14" s="105">
        <f>X14*'Alternative 3'!$K15/'Alternative 3'!$L15</f>
        <v>1268848.8897417923</v>
      </c>
      <c r="AA14" s="105">
        <f>Y14/'Alternative 3'!$M15</f>
        <v>274976.05074605905</v>
      </c>
      <c r="AB14" s="105">
        <f t="shared" si="3"/>
        <v>1.5438249404878515</v>
      </c>
      <c r="AD14" s="105">
        <f>'Alternative 3'!$B$39*$B14*$C14*COS($K$23)-($N$22/3)*$E14*SIN($K$23)-($N$22/3)*$F14*SIN($K$23)-($N$22/3)*$G14*SIN($K$23)</f>
        <v>129259.42796455219</v>
      </c>
      <c r="AE14" s="106">
        <f>IF(($A14&lt;'Alternative 3'!$B$27),(($H14*'Alternative 3'!$B$39)+(3*($N$22/3)*COS($K$23))),IF(($A14&lt;'Alternative 3'!$B$28),(($H14*'Alternative 3'!$B$39)+(2*(($N$22/3)*COS($K$23)))),IF(($A14&lt;'Alternative 3'!$B$29),(($H$3*'Alternative 3'!$B$39+(($N$22/3)*COS($K$23)))),($H14*'Alternative 3'!$B$39))))</f>
        <v>374810.76898662228</v>
      </c>
      <c r="AF14" s="105">
        <f>AD14*'Alternative 3'!$K15/'Alternative 3'!$L15</f>
        <v>2057229.4278462848</v>
      </c>
      <c r="AG14" s="105">
        <f>AE14/'Alternative 3'!$M15</f>
        <v>141969.20203947314</v>
      </c>
      <c r="AH14" s="105">
        <f t="shared" si="4"/>
        <v>2.1991986298857578</v>
      </c>
      <c r="AJ14" s="105">
        <f>'Alternative 3'!$B$39*$B14*$C14*COS($K$33)-($N$32/3)*$E14*SIN($K$33)-($N$32/3)*$F14*SIN($K$33)-($N$32/3)*$G14*SIN($K$33)</f>
        <v>132612.34018247703</v>
      </c>
      <c r="AK14" s="106">
        <f>IF(($A14&lt;'Alternative 3'!$B$27),(($H14*'Alternative 3'!$B$39)+(3*($N$32/3)*COS($K$33))),IF(($A14&lt;'Alternative 3'!$B$28),(($H14*'Alternative 3'!$B$39)+(2*(($N$32/3)*COS($K$33)))),IF(($A14&lt;'Alternative 3'!$B$29),(($H$3*'Alternative 3'!$B$39+(($N$32/3)*COS($K$33)))),($H14*'Alternative 3'!$B$39))))</f>
        <v>257379.58885601751</v>
      </c>
      <c r="AL14" s="105">
        <f>AJ14*'Alternative 3'!$K15/'Alternative 3'!$L15</f>
        <v>2110592.7282439312</v>
      </c>
      <c r="AM14" s="105">
        <f>AK14/'Alternative 3'!$M15</f>
        <v>97489.127513411062</v>
      </c>
      <c r="AN14" s="105">
        <f t="shared" si="5"/>
        <v>2.2080818557573423</v>
      </c>
      <c r="AP14" s="105">
        <f>'Alternative 3'!$B$39*$B14*$C14*COS($K$43)-($N$42/3)*$E14*SIN($K$43)-($N$42/3)*$F14*SIN($K$43)-($N$42/3)*$G14*SIN($K$43)</f>
        <v>121430.44316573249</v>
      </c>
      <c r="AQ14" s="106">
        <f>IF(($A14&lt;'Alternative 3'!$B$27),(($H14*'Alternative 3'!$B$39)+(3*($N$42/3)*COS($K$43))),IF(($A14&lt;'Alternative 3'!$B$28),(($H14*'Alternative 3'!$B$39)+(2*(($N$42/3)*COS($K$43)))),IF(($A14&lt;'Alternative 3'!$B$29),(($H$3*'Alternative 3'!$B$39+(($N$42/3)*COS($K$43)))),($H14*'Alternative 3'!$B$39))))</f>
        <v>195341.81181064964</v>
      </c>
      <c r="AR14" s="105">
        <f>AP14*'Alternative 3'!$K15/'Alternative 3'!$L15</f>
        <v>1932627.159586905</v>
      </c>
      <c r="AS14" s="105">
        <f>AQ14/'Alternative 3'!$M15</f>
        <v>73990.726634358478</v>
      </c>
      <c r="AT14" s="105">
        <f t="shared" si="6"/>
        <v>2.0066178862212634</v>
      </c>
      <c r="AV14" s="105">
        <f>'Alternative 3'!$B$39*$B14*$C14*COS($K$53)-($N$52/3)*$E14*SIN($K$53)-($N$52/3)*$F14*SIN($K$53)-($N$52/3)*$G14*SIN($K$53)</f>
        <v>102025.69189701206</v>
      </c>
      <c r="AW14" s="106">
        <f>IF(($A14&lt;'Alternative 3'!$B$27),(($H14*'Alternative 3'!$B$39)+(3*($N$52/3)*COS($K$53))),IF(($A14&lt;'Alternative 3'!$B$28),(($H14*'Alternative 3'!$B$39)+(2*(($N$52/3)*COS($K$53)))),IF(($A14&lt;'Alternative 3'!$B$29),(($H$3*'Alternative 3'!$B$39+(($N$52/3)*COS($K$53)))),($H14*'Alternative 3'!$B$39))))</f>
        <v>156367.72087511874</v>
      </c>
      <c r="AX14" s="105">
        <f>AV14*'Alternative 3'!$K15/'Alternative 3'!$L15</f>
        <v>1623790.6903353408</v>
      </c>
      <c r="AY14" s="105">
        <f>AW14/'Alternative 3'!$M15</f>
        <v>59228.289030734901</v>
      </c>
      <c r="AZ14" s="105">
        <f t="shared" si="7"/>
        <v>1.6830189793660757</v>
      </c>
      <c r="BB14" s="105">
        <f>'Alternative 3'!$B$39*$B14*$C14*COS($K$63)-($N$62/3)*$E14*SIN($K$63)-($N$62/3)*$F14*SIN($K$63)-($N$62/3)*$G14*SIN($K$63)</f>
        <v>76955.90091214102</v>
      </c>
      <c r="BC14" s="106">
        <f>IF(($A14&lt;'Alternative 3'!$B$27),(($H14*'Alternative 3'!$B$39)+(3*($N$62/3)*COS($K$63))),IF(($A14&lt;'Alternative 3'!$B$28),(($H14*'Alternative 3'!$B$39)+(2*(($N$62/3)*COS($K$63)))),IF(($A14&lt;'Alternative 3'!$B$29),(($H$3*'Alternative 3'!$B$39+(($N$62/3)*COS($K$63)))),($H14*'Alternative 3'!$B$39))))</f>
        <v>130365.65088340524</v>
      </c>
      <c r="BD14" s="105">
        <f>BB14*'Alternative 3'!$K15/'Alternative 3'!$L15</f>
        <v>1224792.2375634797</v>
      </c>
      <c r="BE14" s="105">
        <f>BC14/'Alternative 3'!$M15</f>
        <v>49379.33741688772</v>
      </c>
      <c r="BF14" s="105">
        <f t="shared" si="8"/>
        <v>1.2741715749803675</v>
      </c>
      <c r="BH14" s="105">
        <f>'Alternative 3'!$B$39*$B14*$C14*COS($K$73)-($N$72/3)*$E14*SIN($K$73)-($N$72/3)*$F14*SIN($K$73)-($N$72/3)*$G14*SIN($K$73)</f>
        <v>47817.980540075601</v>
      </c>
      <c r="BI14" s="106">
        <f>IF(($A14&lt;'Alternative 3'!$B$27),(($H14*'Alternative 3'!$B$39)+(3*($N$72/3)*COS($K$73))),IF(($A14&lt;'Alternative 3'!$B$28),(($H14*'Alternative 3'!$B$39)+(2*(($N$72/3)*COS($K$73)))),IF(($A14&lt;'Alternative 3'!$B$29),(($H$3*'Alternative 3'!$B$39+(($N$72/3)*COS($K$73)))),($H14*'Alternative 3'!$B$39))))</f>
        <v>113340.93336388233</v>
      </c>
      <c r="BJ14" s="105">
        <f>BH14*'Alternative 3'!$K15/'Alternative 3'!$L15</f>
        <v>761047.43999178137</v>
      </c>
      <c r="BK14" s="105">
        <f>BI14/'Alternative 3'!$M15</f>
        <v>42930.788545869633</v>
      </c>
      <c r="BL14" s="105">
        <f t="shared" si="9"/>
        <v>0.803978228537651</v>
      </c>
      <c r="BN14" s="105">
        <f>'Alternative 3'!$B$39*$B14*$C14*COS($K$83)-($N$82/3)*$E14*SIN($K$83)-($N$82/3)*$F14*SIN($K$83)-($N$82/3)*$G14*SIN($K$83)</f>
        <v>15896.604154334869</v>
      </c>
      <c r="BO14" s="106">
        <f>IF(($A14&lt;'Alternative 3'!$B$27),(($H14*'Alternative 3'!$B$39)+(3*($N$82/3)*COS($K$83))),IF(($A14&lt;'Alternative 3'!$B$28),(($H14*'Alternative 3'!$B$39)+(2*(($N$82/3)*COS($K$83)))),IF(($A14&lt;'Alternative 3'!$B$29),(($H$3*'Alternative 3'!$B$39+(($N$82/3)*COS($K$83)))),($H14*'Alternative 3'!$B$39))))</f>
        <v>103523.08191302068</v>
      </c>
      <c r="BP14" s="105">
        <f>BN14*'Alternative 3'!$K15/'Alternative 3'!$L15</f>
        <v>253002.52665584738</v>
      </c>
      <c r="BQ14" s="105">
        <f>BO14/'Alternative 3'!$M15</f>
        <v>39212.025235014335</v>
      </c>
      <c r="BR14" s="105">
        <f t="shared" si="10"/>
        <v>0.29221455189086171</v>
      </c>
      <c r="BT14" s="105">
        <f>'Alternative 3'!$B$39*$B14*$C14*COS($K$93)-($K$92/3)*$E14*SIN($K$93)-($K$92/3)*$F14*SIN($K$93)-($K$92/3)*$G14*SIN($K$93)</f>
        <v>-15.533430342675933</v>
      </c>
      <c r="BU14" s="106">
        <f>IF(($A14&lt;'Alternative 3'!$B$27),(($H14*'Alternative 3'!$B$39)+(3*($N$92/3)*COS($K$93))),IF(($A14&lt;'Alternative 3'!$B$28),(($H14*'Alternative 3'!$B$39)+(2*(($N$92/3)*COS($K$93)))),IF(($A14&lt;'Alternative 3'!$B$29),(($H$3*'Alternative 3'!$B$39+(($N$92/3)*COS($K$93)))),($H14*'Alternative 3'!$B$39))))</f>
        <v>100124.54283810116</v>
      </c>
      <c r="BV14" s="105">
        <f>BT14*'Alternative 3'!$K15/'Alternative 3'!$L15</f>
        <v>-247.22243104090501</v>
      </c>
      <c r="BW14" s="105">
        <f>BU14/'Alternative 3'!$M15</f>
        <v>37924.741302722847</v>
      </c>
      <c r="BX14" s="105">
        <f t="shared" si="11"/>
        <v>3.7677518871681942E-2</v>
      </c>
      <c r="BZ14" s="104">
        <v>150</v>
      </c>
      <c r="CA14" s="104">
        <v>-150</v>
      </c>
    </row>
    <row r="15" spans="1:79" ht="15" customHeight="1" x14ac:dyDescent="0.25">
      <c r="A15" s="18">
        <f>IF('Alternative 3'!F16&gt;0,'Alternative 3'!F16,"x")</f>
        <v>13</v>
      </c>
      <c r="B15" s="18">
        <f t="shared" si="17"/>
        <v>23</v>
      </c>
      <c r="C15" s="18">
        <f t="shared" si="12"/>
        <v>11.5</v>
      </c>
      <c r="D15" s="18">
        <f t="shared" si="13"/>
        <v>13</v>
      </c>
      <c r="E15" s="101">
        <f>IF($A15&lt;='Alternative 3'!$B$27, IF($A15='Alternative 3'!$B$27,0,E16+1),0)</f>
        <v>3</v>
      </c>
      <c r="F15" s="101">
        <f>IF($A15&lt;=('Alternative 3'!$B$28), IF($A15=ROUNDDOWN('Alternative 3'!$B$28,0),0,F16+1),0)</f>
        <v>9</v>
      </c>
      <c r="G15" s="101">
        <f>IF($A15&lt;=('Alternative 3'!$B$29), IF($A15=ROUNDDOWN('Alternative 3'!$B$29,0),0,G16+1),0)</f>
        <v>15</v>
      </c>
      <c r="H15" s="18">
        <f t="shared" si="14"/>
        <v>23</v>
      </c>
      <c r="J15" s="104">
        <f t="shared" si="15"/>
        <v>12</v>
      </c>
      <c r="K15" s="104">
        <f t="shared" si="16"/>
        <v>0.20943951023931953</v>
      </c>
      <c r="L15" s="105">
        <f>'Alternative 3'!$B$27*SIN(K15)+'Alternative 3'!$B$28*SIN(K15)+'Alternative 3'!$B$29*SIN(K15)</f>
        <v>13.928004167881696</v>
      </c>
      <c r="M15" s="104">
        <f>(('Alternative 3'!$B$27)*(((('Alternative 3'!$B$28-'Alternative 3'!$B$27)/2)+'Alternative 3'!$B$27)*'Alternative 3'!$B$39)*COS('Alternative 3-Tilt Up (3pt)'!K15))+(('Alternative 3'!$B$28)*((('Alternative 3'!$B$28-'Alternative 3'!$B$27)/2)+(('Alternative 3'!$B$29-'Alternative 3'!$B$28)/2))*('Alternative 3'!$B$39)*COS('Alternative 3-Tilt Up (3pt)'!K15))+(('Alternative 3'!$B$29)*((('Alternative 3'!$B$12-'Alternative 3'!$B$29+(('Alternative 3'!$B$29-'Alternative 3'!$B$28)/2)*('Alternative 3'!$B$39)*COS('Alternative 3-Tilt Up (3pt)'!K15)))))</f>
        <v>2198440.9091357952</v>
      </c>
      <c r="N15" s="104">
        <f t="shared" si="0"/>
        <v>473529.63482135901</v>
      </c>
      <c r="O15" s="104">
        <f>(((('Alternative 3'!$B$28-'Alternative 3'!$B$27)/2)+'Alternative 3'!$B$27)*('Alternative 3'!$B$39)*COS('Alternative 3-Tilt Up (3pt)'!K15))+(((('Alternative 3'!$B$28-'Alternative 3'!$B$27)/2)+(('Alternative 3'!$B$29-'Alternative 3'!$B$28)/2))*('Alternative 3'!$B$39)*COS('Alternative 3-Tilt Up (3pt)'!K15))+(((('Alternative 3'!$B$12-'Alternative 3'!$B$29)+(('Alternative 3'!$B$29-'Alternative 3'!$B$28)/2))*('Alternative 3'!$B$39)*COS('Alternative 3-Tilt Up (3pt)'!K15)))</f>
        <v>142824.1811378343</v>
      </c>
      <c r="P15" s="104">
        <f t="shared" si="1"/>
        <v>463181.87617686746</v>
      </c>
      <c r="R15" s="105">
        <f>'Alternative 3'!$B$39*$B15*$C15*COS($K$5)-($N$5/3)*$E15*SIN($K$5)-($N$5/3)*$F15*SIN($K$5)-($N$5/3)*$G15*SIN($K$5)</f>
        <v>197470.64432655287</v>
      </c>
      <c r="S15" s="106">
        <f>IF(($A15&lt;'Alternative 3'!$B$27),(($H15*'Alternative 3'!$B$39)+(3*($N$5/3)*COS($K$5))),IF(($A15&lt;'Alternative 3'!$B$28),(($H15*'Alternative 3'!$B$39)+(2*(($N$5/3)*COS($K$5)))),IF(($A15&lt;'Alternative 3'!$B$29),(($H$3*'Alternative 3'!$B$39+(($N$5/3)*COS($K$5)))),($H15*'Alternative 3'!$B$39))))</f>
        <v>2976483.1388695799</v>
      </c>
      <c r="T15" s="105">
        <f>R15*'Alternative 3'!$K16/'Alternative 3'!$L16</f>
        <v>3142845.5706593292</v>
      </c>
      <c r="U15" s="105">
        <f>S15/'Alternative 3'!$M16</f>
        <v>1152061.7295439842</v>
      </c>
      <c r="V15" s="105">
        <f t="shared" si="2"/>
        <v>4.2949073002033131</v>
      </c>
      <c r="X15" s="105">
        <f>'Alternative 3'!$B$39*$B15*$C15*COS($K$13)-($N$12/3)*$E15*SIN($K$13)-($N$12/3)*$F15*SIN($K$13)-($N$12/3)*$G15*SIN($K$13)</f>
        <v>93526.576956970734</v>
      </c>
      <c r="Y15" s="106">
        <f>IF(($A15&lt;'Alternative 3'!$B$27),(($H15*'Alternative 3'!$B$39)+(3*($N$12/3)*COS($K$13))),IF(($A15&lt;'Alternative 3'!$B$28),(($H15*'Alternative 3'!$B$39)+(2*(($N$12/3)*COS($K$13)))),IF(($A15&lt;'Alternative 3'!$B$29),(($H$3*'Alternative 3'!$B$39+(($N$12/3)*COS($K$13)))),($H15*'Alternative 3'!$B$39))))</f>
        <v>721788.30690386717</v>
      </c>
      <c r="Z15" s="105">
        <f>X15*'Alternative 3'!$K16/'Alternative 3'!$L16</f>
        <v>1488522.9606182016</v>
      </c>
      <c r="AA15" s="105">
        <f>Y15/'Alternative 3'!$M16</f>
        <v>279371.54232699616</v>
      </c>
      <c r="AB15" s="105">
        <f t="shared" si="3"/>
        <v>1.7678945029451978</v>
      </c>
      <c r="AD15" s="105">
        <f>'Alternative 3'!$B$39*$B15*$C15*COS($K$23)-($N$22/3)*$E15*SIN($K$23)-($N$22/3)*$F15*SIN($K$23)-($N$22/3)*$G15*SIN($K$23)</f>
        <v>137110.87510734663</v>
      </c>
      <c r="AE15" s="106">
        <f>IF(($A15&lt;'Alternative 3'!$B$27),(($H15*'Alternative 3'!$B$39)+(3*($N$22/3)*COS($K$23))),IF(($A15&lt;'Alternative 3'!$B$28),(($H15*'Alternative 3'!$B$39)+(2*(($N$22/3)*COS($K$23)))),IF(($A15&lt;'Alternative 3'!$B$29),(($H$3*'Alternative 3'!$B$39+(($N$22/3)*COS($K$23)))),($H15*'Alternative 3'!$B$39))))</f>
        <v>370638.91303503473</v>
      </c>
      <c r="AF15" s="105">
        <f>AD15*'Alternative 3'!$K16/'Alternative 3'!$L16</f>
        <v>2182189.1957153324</v>
      </c>
      <c r="AG15" s="105">
        <f>AE15/'Alternative 3'!$M16</f>
        <v>143457.52596791519</v>
      </c>
      <c r="AH15" s="105">
        <f t="shared" si="4"/>
        <v>2.3256467216832473</v>
      </c>
      <c r="AJ15" s="105">
        <f>'Alternative 3'!$B$39*$B15*$C15*COS($K$33)-($N$32/3)*$E15*SIN($K$33)-($N$32/3)*$F15*SIN($K$33)-($N$32/3)*$G15*SIN($K$33)</f>
        <v>138499.6523097512</v>
      </c>
      <c r="AK15" s="106">
        <f>IF(($A15&lt;'Alternative 3'!$B$27),(($H15*'Alternative 3'!$B$39)+(3*($N$32/3)*COS($K$33))),IF(($A15&lt;'Alternative 3'!$B$28),(($H15*'Alternative 3'!$B$39)+(2*(($N$32/3)*COS($K$33)))),IF(($A15&lt;'Alternative 3'!$B$29),(($H$3*'Alternative 3'!$B$39+(($N$32/3)*COS($K$33)))),($H15*'Alternative 3'!$B$39))))</f>
        <v>253207.73290442995</v>
      </c>
      <c r="AL15" s="105">
        <f>AJ15*'Alternative 3'!$K16/'Alternative 3'!$L16</f>
        <v>2204292.2900466197</v>
      </c>
      <c r="AM15" s="105">
        <f>AK15/'Alternative 3'!$M16</f>
        <v>98005.23809268944</v>
      </c>
      <c r="AN15" s="105">
        <f t="shared" si="5"/>
        <v>2.302297528139309</v>
      </c>
      <c r="AP15" s="105">
        <f>'Alternative 3'!$B$39*$B15*$C15*COS($K$43)-($N$42/3)*$E15*SIN($K$43)-($N$42/3)*$F15*SIN($K$43)-($N$42/3)*$G15*SIN($K$43)</f>
        <v>126225.28231595375</v>
      </c>
      <c r="AQ15" s="106">
        <f>IF(($A15&lt;'Alternative 3'!$B$27),(($H15*'Alternative 3'!$B$39)+(3*($N$42/3)*COS($K$43))),IF(($A15&lt;'Alternative 3'!$B$28),(($H15*'Alternative 3'!$B$39)+(2*(($N$42/3)*COS($K$43)))),IF(($A15&lt;'Alternative 3'!$B$29),(($H$3*'Alternative 3'!$B$39+(($N$42/3)*COS($K$43)))),($H15*'Alternative 3'!$B$39))))</f>
        <v>191169.95585906212</v>
      </c>
      <c r="AR15" s="105">
        <f>AP15*'Alternative 3'!$K16/'Alternative 3'!$L16</f>
        <v>2008939.4592539724</v>
      </c>
      <c r="AS15" s="105">
        <f>AQ15/'Alternative 3'!$M16</f>
        <v>73993.226135822042</v>
      </c>
      <c r="AT15" s="105">
        <f t="shared" si="6"/>
        <v>2.0829326853897943</v>
      </c>
      <c r="AV15" s="105">
        <f>'Alternative 3'!$B$39*$B15*$C15*COS($K$53)-($N$52/3)*$E15*SIN($K$53)-($N$52/3)*$F15*SIN($K$53)-($N$52/3)*$G15*SIN($K$53)</f>
        <v>106035.69447722175</v>
      </c>
      <c r="AW15" s="106">
        <f>IF(($A15&lt;'Alternative 3'!$B$27),(($H15*'Alternative 3'!$B$39)+(3*($N$52/3)*COS($K$53))),IF(($A15&lt;'Alternative 3'!$B$28),(($H15*'Alternative 3'!$B$39)+(2*(($N$52/3)*COS($K$53)))),IF(($A15&lt;'Alternative 3'!$B$29),(($H$3*'Alternative 3'!$B$39+(($N$52/3)*COS($K$53)))),($H15*'Alternative 3'!$B$39))))</f>
        <v>152195.86492353119</v>
      </c>
      <c r="AX15" s="105">
        <f>AV15*'Alternative 3'!$K16/'Alternative 3'!$L16</f>
        <v>1687611.9174879875</v>
      </c>
      <c r="AY15" s="105">
        <f>AW15/'Alternative 3'!$M16</f>
        <v>58908.121831268581</v>
      </c>
      <c r="AZ15" s="105">
        <f t="shared" si="7"/>
        <v>1.7465200393192561</v>
      </c>
      <c r="BB15" s="105">
        <f>'Alternative 3'!$B$39*$B15*$C15*COS($K$63)-($N$62/3)*$E15*SIN($K$63)-($N$62/3)*$F15*SIN($K$63)-($N$62/3)*$G15*SIN($K$63)</f>
        <v>80315.729092634108</v>
      </c>
      <c r="BC15" s="106">
        <f>IF(($A15&lt;'Alternative 3'!$B$27),(($H15*'Alternative 3'!$B$39)+(3*($N$62/3)*COS($K$63))),IF(($A15&lt;'Alternative 3'!$B$28),(($H15*'Alternative 3'!$B$39)+(2*(($N$62/3)*COS($K$63)))),IF(($A15&lt;'Alternative 3'!$B$29),(($H$3*'Alternative 3'!$B$39+(($N$62/3)*COS($K$63)))),($H15*'Alternative 3'!$B$39))))</f>
        <v>126193.79493181771</v>
      </c>
      <c r="BD15" s="105">
        <f>BB15*'Alternative 3'!$K16/'Alternative 3'!$L16</f>
        <v>1278265.6090169961</v>
      </c>
      <c r="BE15" s="105">
        <f>BC15/'Alternative 3'!$M16</f>
        <v>48843.89894514333</v>
      </c>
      <c r="BF15" s="105">
        <f t="shared" si="8"/>
        <v>1.3271095079621393</v>
      </c>
      <c r="BH15" s="105">
        <f>'Alternative 3'!$B$39*$B15*$C15*COS($K$73)-($N$72/3)*$E15*SIN($K$73)-($N$72/3)*$F15*SIN($K$73)-($N$72/3)*$G15*SIN($K$73)</f>
        <v>50598.53396969699</v>
      </c>
      <c r="BI15" s="106">
        <f>IF(($A15&lt;'Alternative 3'!$B$27),(($H15*'Alternative 3'!$B$39)+(3*($N$72/3)*COS($K$73))),IF(($A15&lt;'Alternative 3'!$B$28),(($H15*'Alternative 3'!$B$39)+(2*(($N$72/3)*COS($K$73)))),IF(($A15&lt;'Alternative 3'!$B$29),(($H$3*'Alternative 3'!$B$39+(($N$72/3)*COS($K$73)))),($H15*'Alternative 3'!$B$39))))</f>
        <v>109169.07741229479</v>
      </c>
      <c r="BJ15" s="105">
        <f>BH15*'Alternative 3'!$K16/'Alternative 3'!$L16</f>
        <v>805301.35965700459</v>
      </c>
      <c r="BK15" s="105">
        <f>BI15/'Alternative 3'!$M16</f>
        <v>42254.402349510594</v>
      </c>
      <c r="BL15" s="105">
        <f t="shared" si="9"/>
        <v>0.84755576200651517</v>
      </c>
      <c r="BN15" s="105">
        <f>'Alternative 3'!$B$39*$B15*$C15*COS($K$83)-($N$82/3)*$E15*SIN($K$83)-($N$82/3)*$F15*SIN($K$83)-($N$82/3)*$G15*SIN($K$83)</f>
        <v>18146.450211356598</v>
      </c>
      <c r="BO15" s="106">
        <f>IF(($A15&lt;'Alternative 3'!$B$27),(($H15*'Alternative 3'!$B$39)+(3*($N$82/3)*COS($K$83))),IF(($A15&lt;'Alternative 3'!$B$28),(($H15*'Alternative 3'!$B$39)+(2*(($N$82/3)*COS($K$83)))),IF(($A15&lt;'Alternative 3'!$B$29),(($H$3*'Alternative 3'!$B$39+(($N$82/3)*COS($K$83)))),($H15*'Alternative 3'!$B$39))))</f>
        <v>99351.225961433141</v>
      </c>
      <c r="BP15" s="105">
        <f>BN15*'Alternative 3'!$K16/'Alternative 3'!$L16</f>
        <v>288809.96901818179</v>
      </c>
      <c r="BQ15" s="105">
        <f>BO15/'Alternative 3'!$M16</f>
        <v>38454.356995589573</v>
      </c>
      <c r="BR15" s="105">
        <f t="shared" si="10"/>
        <v>0.32726432601377137</v>
      </c>
      <c r="BT15" s="105">
        <f>'Alternative 3'!$B$39*$B15*$C15*COS($K$93)-($K$92/3)*$E15*SIN($K$93)-($K$92/3)*$F15*SIN($K$93)-($K$92/3)*$G15*SIN($K$93)</f>
        <v>-13.980087308406986</v>
      </c>
      <c r="BU15" s="106">
        <f>IF(($A15&lt;'Alternative 3'!$B$27),(($H15*'Alternative 3'!$B$39)+(3*($N$92/3)*COS($K$93))),IF(($A15&lt;'Alternative 3'!$B$28),(($H15*'Alternative 3'!$B$39)+(2*(($N$92/3)*COS($K$93)))),IF(($A15&lt;'Alternative 3'!$B$29),(($H$3*'Alternative 3'!$B$39+(($N$92/3)*COS($K$93)))),($H15*'Alternative 3'!$B$39))))</f>
        <v>95952.68688651362</v>
      </c>
      <c r="BV15" s="105">
        <f>BT15*'Alternative 3'!$K16/'Alternative 3'!$L16</f>
        <v>-222.50018793679291</v>
      </c>
      <c r="BW15" s="105">
        <f>BU15/'Alternative 3'!$M16</f>
        <v>37138.936540675939</v>
      </c>
      <c r="BX15" s="105">
        <f t="shared" si="11"/>
        <v>3.6916436352739147E-2</v>
      </c>
      <c r="BZ15" s="104">
        <v>150</v>
      </c>
      <c r="CA15" s="104">
        <v>-150</v>
      </c>
    </row>
    <row r="16" spans="1:79" ht="15" customHeight="1" x14ac:dyDescent="0.25">
      <c r="A16" s="18">
        <f>IF('Alternative 3'!F17&gt;0,'Alternative 3'!F17,"x")</f>
        <v>14</v>
      </c>
      <c r="B16" s="18">
        <f t="shared" si="17"/>
        <v>22</v>
      </c>
      <c r="C16" s="18">
        <f t="shared" si="12"/>
        <v>11</v>
      </c>
      <c r="D16" s="18">
        <f t="shared" si="13"/>
        <v>14</v>
      </c>
      <c r="E16" s="101">
        <f>IF($A16&lt;='Alternative 3'!$B$27, IF($A16='Alternative 3'!$B$27,0,E17+1),0)</f>
        <v>2</v>
      </c>
      <c r="F16" s="101">
        <f>IF($A16&lt;=('Alternative 3'!$B$28), IF($A16=ROUNDDOWN('Alternative 3'!$B$28,0),0,F17+1),0)</f>
        <v>8</v>
      </c>
      <c r="G16" s="101">
        <f>IF($A16&lt;=('Alternative 3'!$B$29), IF($A16=ROUNDDOWN('Alternative 3'!$B$29,0),0,G17+1),0)</f>
        <v>14</v>
      </c>
      <c r="H16" s="18">
        <f t="shared" si="14"/>
        <v>22</v>
      </c>
      <c r="J16" s="104">
        <f t="shared" si="15"/>
        <v>13</v>
      </c>
      <c r="K16" s="104">
        <f t="shared" si="16"/>
        <v>0.22689280275926285</v>
      </c>
      <c r="L16" s="105">
        <f>'Alternative 3'!$B$27*SIN(K16)+'Alternative 3'!$B$28*SIN(K16)+'Alternative 3'!$B$29*SIN(K16)</f>
        <v>15.069471130495515</v>
      </c>
      <c r="M16" s="104">
        <f>(('Alternative 3'!$B$27)*(((('Alternative 3'!$B$28-'Alternative 3'!$B$27)/2)+'Alternative 3'!$B$27)*'Alternative 3'!$B$39)*COS('Alternative 3-Tilt Up (3pt)'!K16))+(('Alternative 3'!$B$28)*((('Alternative 3'!$B$28-'Alternative 3'!$B$27)/2)+(('Alternative 3'!$B$29-'Alternative 3'!$B$28)/2))*('Alternative 3'!$B$39)*COS('Alternative 3-Tilt Up (3pt)'!K16))+(('Alternative 3'!$B$29)*((('Alternative 3'!$B$12-'Alternative 3'!$B$29+(('Alternative 3'!$B$29-'Alternative 3'!$B$28)/2)*('Alternative 3'!$B$39)*COS('Alternative 3-Tilt Up (3pt)'!K16)))))</f>
        <v>2189951.3895950476</v>
      </c>
      <c r="N16" s="104">
        <f t="shared" si="0"/>
        <v>435971.11749263573</v>
      </c>
      <c r="O16" s="104">
        <f>(((('Alternative 3'!$B$28-'Alternative 3'!$B$27)/2)+'Alternative 3'!$B$27)*('Alternative 3'!$B$39)*COS('Alternative 3-Tilt Up (3pt)'!K16))+(((('Alternative 3'!$B$28-'Alternative 3'!$B$27)/2)+(('Alternative 3'!$B$29-'Alternative 3'!$B$28)/2))*('Alternative 3'!$B$39)*COS('Alternative 3-Tilt Up (3pt)'!K16))+(((('Alternative 3'!$B$12-'Alternative 3'!$B$29)+(('Alternative 3'!$B$29-'Alternative 3'!$B$28)/2))*('Alternative 3'!$B$39)*COS('Alternative 3-Tilt Up (3pt)'!K16)))</f>
        <v>142272.604383806</v>
      </c>
      <c r="P16" s="104">
        <f t="shared" si="1"/>
        <v>424797.20599579089</v>
      </c>
      <c r="R16" s="105">
        <f>'Alternative 3'!$B$39*$B16*$C16*COS($K$5)-($N$5/3)*$E16*SIN($K$5)-($N$5/3)*$F16*SIN($K$5)-($N$5/3)*$G16*SIN($K$5)</f>
        <v>204251.40643682674</v>
      </c>
      <c r="S16" s="106">
        <f>IF(($A16&lt;'Alternative 3'!$B$27),(($H16*'Alternative 3'!$B$39)+(3*($N$5/3)*COS($K$5))),IF(($A16&lt;'Alternative 3'!$B$28),(($H16*'Alternative 3'!$B$39)+(2*(($N$5/3)*COS($K$5)))),IF(($A16&lt;'Alternative 3'!$B$29),(($H$3*'Alternative 3'!$B$39+(($N$5/3)*COS($K$5)))),($H16*'Alternative 3'!$B$39))))</f>
        <v>2972311.2829179922</v>
      </c>
      <c r="T16" s="105">
        <f>R16*'Alternative 3'!$K17/'Alternative 3'!$L17</f>
        <v>3250764.8425928708</v>
      </c>
      <c r="U16" s="105">
        <f>S16/'Alternative 3'!$M17</f>
        <v>1175870.4685682061</v>
      </c>
      <c r="V16" s="105">
        <f t="shared" si="2"/>
        <v>4.4266353111610766</v>
      </c>
      <c r="X16" s="105">
        <f>'Alternative 3'!$B$39*$B16*$C16*COS($K$13)-($N$12/3)*$E16*SIN($K$13)-($N$12/3)*$F16*SIN($K$13)-($N$12/3)*$G16*SIN($K$13)</f>
        <v>111437.57032903569</v>
      </c>
      <c r="Y16" s="106">
        <f>IF(($A16&lt;'Alternative 3'!$B$27),(($H16*'Alternative 3'!$B$39)+(3*($N$12/3)*COS($K$13))),IF(($A16&lt;'Alternative 3'!$B$28),(($H16*'Alternative 3'!$B$39)+(2*(($N$12/3)*COS($K$13)))),IF(($A16&lt;'Alternative 3'!$B$29),(($H$3*'Alternative 3'!$B$39+(($N$12/3)*COS($K$13)))),($H16*'Alternative 3'!$B$39))))</f>
        <v>717616.45095227961</v>
      </c>
      <c r="Z16" s="105">
        <f>X16*'Alternative 3'!$K17/'Alternative 3'!$L17</f>
        <v>1773585.5144852716</v>
      </c>
      <c r="AA16" s="105">
        <f>Y16/'Alternative 3'!$M17</f>
        <v>283894.89259856625</v>
      </c>
      <c r="AB16" s="105">
        <f t="shared" si="3"/>
        <v>2.0574804070838377</v>
      </c>
      <c r="AD16" s="105">
        <f>'Alternative 3'!$B$39*$B16*$C16*COS($K$23)-($N$22/3)*$E16*SIN($K$23)-($N$22/3)*$F16*SIN($K$23)-($N$22/3)*$G16*SIN($K$23)</f>
        <v>148882.58450282936</v>
      </c>
      <c r="AE16" s="106">
        <f>IF(($A16&lt;'Alternative 3'!$B$27),(($H16*'Alternative 3'!$B$39)+(3*($N$22/3)*COS($K$23))),IF(($A16&lt;'Alternative 3'!$B$28),(($H16*'Alternative 3'!$B$39)+(2*(($N$22/3)*COS($K$23)))),IF(($A16&lt;'Alternative 3'!$B$29),(($H$3*'Alternative 3'!$B$39+(($N$22/3)*COS($K$23)))),($H16*'Alternative 3'!$B$39))))</f>
        <v>366467.05708344717</v>
      </c>
      <c r="AF16" s="105">
        <f>AD16*'Alternative 3'!$K17/'Alternative 3'!$L17</f>
        <v>2369541.9278586539</v>
      </c>
      <c r="AG16" s="105">
        <f>AE16/'Alternative 3'!$M17</f>
        <v>144977.34224676556</v>
      </c>
      <c r="AH16" s="105">
        <f t="shared" si="4"/>
        <v>2.5145192701054198</v>
      </c>
      <c r="AJ16" s="105">
        <f>'Alternative 3'!$B$39*$B16*$C16*COS($K$33)-($N$32/3)*$E16*SIN($K$33)-($N$32/3)*$F16*SIN($K$33)-($N$32/3)*$G16*SIN($K$33)</f>
        <v>147999.89767202944</v>
      </c>
      <c r="AK16" s="106">
        <f>IF(($A16&lt;'Alternative 3'!$B$27),(($H16*'Alternative 3'!$B$39)+(3*($N$32/3)*COS($K$33))),IF(($A16&lt;'Alternative 3'!$B$28),(($H16*'Alternative 3'!$B$39)+(2*(($N$32/3)*COS($K$33)))),IF(($A16&lt;'Alternative 3'!$B$29),(($H$3*'Alternative 3'!$B$39+(($N$32/3)*COS($K$33)))),($H16*'Alternative 3'!$B$39))))</f>
        <v>249035.8769528424</v>
      </c>
      <c r="AL16" s="105">
        <f>AJ16*'Alternative 3'!$K17/'Alternative 3'!$L17</f>
        <v>2355493.5187600781</v>
      </c>
      <c r="AM16" s="105">
        <f>AK16/'Alternative 3'!$M17</f>
        <v>98520.614245810269</v>
      </c>
      <c r="AN16" s="105">
        <f t="shared" si="5"/>
        <v>2.454014133005888</v>
      </c>
      <c r="AP16" s="105">
        <f>'Alternative 3'!$B$39*$B16*$C16*COS($K$43)-($N$42/3)*$E16*SIN($K$43)-($N$42/3)*$F16*SIN($K$43)-($N$42/3)*$G16*SIN($K$43)</f>
        <v>134215.94853538118</v>
      </c>
      <c r="AQ16" s="106">
        <f>IF(($A16&lt;'Alternative 3'!$B$27),(($H16*'Alternative 3'!$B$39)+(3*($N$42/3)*COS($K$43))),IF(($A16&lt;'Alternative 3'!$B$28),(($H16*'Alternative 3'!$B$39)+(2*(($N$42/3)*COS($K$43)))),IF(($A16&lt;'Alternative 3'!$B$29),(($H$3*'Alternative 3'!$B$39+(($N$42/3)*COS($K$43)))),($H16*'Alternative 3'!$B$39))))</f>
        <v>186998.09990747456</v>
      </c>
      <c r="AR16" s="105">
        <f>AP16*'Alternative 3'!$K17/'Alternative 3'!$L17</f>
        <v>2136114.969416461</v>
      </c>
      <c r="AS16" s="105">
        <f>AQ16/'Alternative 3'!$M17</f>
        <v>73977.966111173664</v>
      </c>
      <c r="AT16" s="105">
        <f t="shared" si="6"/>
        <v>2.2100929355276349</v>
      </c>
      <c r="AV16" s="105">
        <f>'Alternative 3'!$B$39*$B16*$C16*COS($K$53)-($N$52/3)*$E16*SIN($K$53)-($N$52/3)*$F16*SIN($K$53)-($N$52/3)*$G16*SIN($K$53)</f>
        <v>112727.3143725089</v>
      </c>
      <c r="AW16" s="106">
        <f>IF(($A16&lt;'Alternative 3'!$B$27),(($H16*'Alternative 3'!$B$39)+(3*($N$52/3)*COS($K$53))),IF(($A16&lt;'Alternative 3'!$B$28),(($H16*'Alternative 3'!$B$39)+(2*(($N$52/3)*COS($K$53)))),IF(($A16&lt;'Alternative 3'!$B$29),(($H$3*'Alternative 3'!$B$39+(($N$52/3)*COS($K$53)))),($H16*'Alternative 3'!$B$39))))</f>
        <v>148024.00897194364</v>
      </c>
      <c r="AX16" s="105">
        <f>AV16*'Alternative 3'!$K17/'Alternative 3'!$L17</f>
        <v>1794112.4458078379</v>
      </c>
      <c r="AY16" s="105">
        <f>AW16/'Alternative 3'!$M17</f>
        <v>58559.499400179768</v>
      </c>
      <c r="AZ16" s="105">
        <f t="shared" si="7"/>
        <v>1.8526719452080178</v>
      </c>
      <c r="BB16" s="105">
        <f>'Alternative 3'!$B$39*$B16*$C16*COS($K$63)-($N$62/3)*$E16*SIN($K$63)-($N$62/3)*$F16*SIN($K$63)-($N$62/3)*$G16*SIN($K$63)</f>
        <v>85761.485248920624</v>
      </c>
      <c r="BC16" s="106">
        <f>IF(($A16&lt;'Alternative 3'!$B$27),(($H16*'Alternative 3'!$B$39)+(3*($N$62/3)*COS($K$63))),IF(($A16&lt;'Alternative 3'!$B$28),(($H16*'Alternative 3'!$B$39)+(2*(($N$62/3)*COS($K$63)))),IF(($A16&lt;'Alternative 3'!$B$29),(($H$3*'Alternative 3'!$B$39+(($N$62/3)*COS($K$63)))),($H16*'Alternative 3'!$B$39))))</f>
        <v>122021.93898023016</v>
      </c>
      <c r="BD16" s="105">
        <f>BB16*'Alternative 3'!$K17/'Alternative 3'!$L17</f>
        <v>1364937.583340293</v>
      </c>
      <c r="BE16" s="105">
        <f>BC16/'Alternative 3'!$M17</f>
        <v>48272.869463195806</v>
      </c>
      <c r="BF16" s="105">
        <f t="shared" si="8"/>
        <v>1.4132104528034888</v>
      </c>
      <c r="BH16" s="105">
        <f>'Alternative 3'!$B$39*$B16*$C16*COS($K$73)-($N$72/3)*$E16*SIN($K$73)-($N$72/3)*$F16*SIN($K$73)-($N$72/3)*$G16*SIN($K$73)</f>
        <v>54805.946169814328</v>
      </c>
      <c r="BI16" s="106">
        <f>IF(($A16&lt;'Alternative 3'!$B$27),(($H16*'Alternative 3'!$B$39)+(3*($N$72/3)*COS($K$73))),IF(($A16&lt;'Alternative 3'!$B$28),(($H16*'Alternative 3'!$B$39)+(2*(($N$72/3)*COS($K$73)))),IF(($A16&lt;'Alternative 3'!$B$29),(($H$3*'Alternative 3'!$B$39+(($N$72/3)*COS($K$73)))),($H16*'Alternative 3'!$B$39))))</f>
        <v>104997.22146070724</v>
      </c>
      <c r="BJ16" s="105">
        <f>BH16*'Alternative 3'!$K17/'Alternative 3'!$L17</f>
        <v>872264.46114569902</v>
      </c>
      <c r="BK16" s="105">
        <f>BI16/'Alternative 3'!$M17</f>
        <v>41537.753029741449</v>
      </c>
      <c r="BL16" s="105">
        <f t="shared" si="9"/>
        <v>0.9138022141754405</v>
      </c>
      <c r="BN16" s="105">
        <f>'Alternative 3'!$B$39*$B16*$C16*COS($K$83)-($N$82/3)*$E16*SIN($K$83)-($N$82/3)*$F16*SIN($K$83)-($N$82/3)*$G16*SIN($K$83)</f>
        <v>21120.731451860425</v>
      </c>
      <c r="BO16" s="106">
        <f>IF(($A16&lt;'Alternative 3'!$B$27),(($H16*'Alternative 3'!$B$39)+(3*($N$82/3)*COS($K$83))),IF(($A16&lt;'Alternative 3'!$B$28),(($H16*'Alternative 3'!$B$39)+(2*(($N$82/3)*COS($K$83)))),IF(($A16&lt;'Alternative 3'!$B$29),(($H$3*'Alternative 3'!$B$39+(($N$82/3)*COS($K$83)))),($H16*'Alternative 3'!$B$39))))</f>
        <v>95179.370009845588</v>
      </c>
      <c r="BP16" s="105">
        <f>BN16*'Alternative 3'!$K17/'Alternative 3'!$L17</f>
        <v>336147.16515936877</v>
      </c>
      <c r="BQ16" s="105">
        <f>BO16/'Alternative 3'!$M17</f>
        <v>37653.731308260052</v>
      </c>
      <c r="BR16" s="105">
        <f t="shared" si="10"/>
        <v>0.37380089646762882</v>
      </c>
      <c r="BT16" s="105">
        <f>'Alternative 3'!$B$39*$B16*$C16*COS($K$93)-($K$92/3)*$E16*SIN($K$93)-($K$92/3)*$F16*SIN($K$93)-($K$92/3)*$G16*SIN($K$93)</f>
        <v>-12.426744274137782</v>
      </c>
      <c r="BU16" s="106">
        <f>IF(($A16&lt;'Alternative 3'!$B$27),(($H16*'Alternative 3'!$B$39)+(3*($N$92/3)*COS($K$93))),IF(($A16&lt;'Alternative 3'!$B$28),(($H16*'Alternative 3'!$B$39)+(2*(($N$92/3)*COS($K$93)))),IF(($A16&lt;'Alternative 3'!$B$29),(($H$3*'Alternative 3'!$B$39+(($N$92/3)*COS($K$93)))),($H16*'Alternative 3'!$B$39))))</f>
        <v>91780.830934926067</v>
      </c>
      <c r="BV16" s="105">
        <f>BT16*'Alternative 3'!$K17/'Alternative 3'!$L17</f>
        <v>-197.77794483267681</v>
      </c>
      <c r="BW16" s="105">
        <f>BU16/'Alternative 3'!$M17</f>
        <v>36309.241665657821</v>
      </c>
      <c r="BX16" s="105">
        <f t="shared" si="11"/>
        <v>3.6111463720825146E-2</v>
      </c>
      <c r="BZ16" s="104">
        <v>150</v>
      </c>
      <c r="CA16" s="104">
        <v>-150</v>
      </c>
    </row>
    <row r="17" spans="1:79" ht="15" customHeight="1" x14ac:dyDescent="0.25">
      <c r="A17" s="18">
        <f>IF('Alternative 3'!F18&gt;0,'Alternative 3'!F18,"x")</f>
        <v>15</v>
      </c>
      <c r="B17" s="18">
        <f t="shared" si="17"/>
        <v>21</v>
      </c>
      <c r="C17" s="18">
        <f t="shared" si="12"/>
        <v>10.5</v>
      </c>
      <c r="D17" s="18">
        <f t="shared" si="13"/>
        <v>15</v>
      </c>
      <c r="E17" s="101">
        <f>IF($A17&lt;='Alternative 3'!$B$27, IF($A17='Alternative 3'!$B$27,0,E18+1),0)</f>
        <v>1</v>
      </c>
      <c r="F17" s="101">
        <f>IF($A17&lt;=('Alternative 3'!$B$28), IF($A17=ROUNDDOWN('Alternative 3'!$B$28,0),0,F18+1),0)</f>
        <v>7</v>
      </c>
      <c r="G17" s="101">
        <f>IF($A17&lt;=('Alternative 3'!$B$29), IF($A17=ROUNDDOWN('Alternative 3'!$B$29,0),0,G18+1),0)</f>
        <v>13</v>
      </c>
      <c r="H17" s="18">
        <f t="shared" si="14"/>
        <v>21</v>
      </c>
      <c r="J17" s="104">
        <f t="shared" si="15"/>
        <v>14</v>
      </c>
      <c r="K17" s="104">
        <f t="shared" si="16"/>
        <v>0.24434609527920614</v>
      </c>
      <c r="L17" s="105">
        <f>'Alternative 3'!$B$27*SIN(K17)+'Alternative 3'!$B$28*SIN(K17)+'Alternative 3'!$B$29*SIN(K17)</f>
        <v>16.206347786221741</v>
      </c>
      <c r="M17" s="104">
        <f>(('Alternative 3'!$B$27)*(((('Alternative 3'!$B$28-'Alternative 3'!$B$27)/2)+'Alternative 3'!$B$27)*'Alternative 3'!$B$39)*COS('Alternative 3-Tilt Up (3pt)'!K17))+(('Alternative 3'!$B$28)*((('Alternative 3'!$B$28-'Alternative 3'!$B$27)/2)+(('Alternative 3'!$B$29-'Alternative 3'!$B$28)/2))*('Alternative 3'!$B$39)*COS('Alternative 3-Tilt Up (3pt)'!K17))+(('Alternative 3'!$B$29)*((('Alternative 3'!$B$12-'Alternative 3'!$B$29+(('Alternative 3'!$B$29-'Alternative 3'!$B$28)/2)*('Alternative 3'!$B$39)*COS('Alternative 3-Tilt Up (3pt)'!K17)))))</f>
        <v>2180794.8449954139</v>
      </c>
      <c r="N17" s="104">
        <f t="shared" si="0"/>
        <v>403692.71481070056</v>
      </c>
      <c r="O17" s="104">
        <f>(((('Alternative 3'!$B$28-'Alternative 3'!$B$27)/2)+'Alternative 3'!$B$27)*('Alternative 3'!$B$39)*COS('Alternative 3-Tilt Up (3pt)'!K17))+(((('Alternative 3'!$B$28-'Alternative 3'!$B$27)/2)+(('Alternative 3'!$B$29-'Alternative 3'!$B$28)/2))*('Alternative 3'!$B$39)*COS('Alternative 3-Tilt Up (3pt)'!K17))+(((('Alternative 3'!$B$12-'Alternative 3'!$B$29)+(('Alternative 3'!$B$29-'Alternative 3'!$B$28)/2))*('Alternative 3'!$B$39)*COS('Alternative 3-Tilt Up (3pt)'!K17)))</f>
        <v>141677.69001625676</v>
      </c>
      <c r="P17" s="104">
        <f t="shared" si="1"/>
        <v>391701.31590957742</v>
      </c>
      <c r="R17" s="105">
        <f>'Alternative 3'!$B$39*$B17*$C17*COS($K$5)-($N$5/3)*$E17*SIN($K$5)-($N$5/3)*$F17*SIN($K$5)-($N$5/3)*$G17*SIN($K$5)</f>
        <v>215201.48311676265</v>
      </c>
      <c r="S17" s="106">
        <f>IF(($A17&lt;'Alternative 3'!$B$27),(($H17*'Alternative 3'!$B$39)+(3*($N$5/3)*COS($K$5))),IF(($A17&lt;'Alternative 3'!$B$28),(($H17*'Alternative 3'!$B$39)+(2*(($N$5/3)*COS($K$5)))),IF(($A17&lt;'Alternative 3'!$B$29),(($H$3*'Alternative 3'!$B$39+(($N$5/3)*COS($K$5)))),($H17*'Alternative 3'!$B$39))))</f>
        <v>2968139.426966405</v>
      </c>
      <c r="T17" s="105">
        <f>R17*'Alternative 3'!$K18/'Alternative 3'!$L18</f>
        <v>3425040.8728822456</v>
      </c>
      <c r="U17" s="105">
        <f>S17/'Alternative 3'!$M18</f>
        <v>1200458.7927859689</v>
      </c>
      <c r="V17" s="105">
        <f t="shared" si="2"/>
        <v>4.6254996656682144</v>
      </c>
      <c r="X17" s="105">
        <f>'Alternative 3'!$B$39*$B17*$C17*COS($K$13)-($N$12/3)*$E17*SIN($K$13)-($N$12/3)*$F17*SIN($K$13)-($N$12/3)*$G17*SIN($K$13)</f>
        <v>133457.03978667466</v>
      </c>
      <c r="Y17" s="106">
        <f>IF(($A17&lt;'Alternative 3'!$B$27),(($H17*'Alternative 3'!$B$39)+(3*($N$12/3)*COS($K$13))),IF(($A17&lt;'Alternative 3'!$B$28),(($H17*'Alternative 3'!$B$39)+(2*(($N$12/3)*COS($K$13)))),IF(($A17&lt;'Alternative 3'!$B$29),(($H$3*'Alternative 3'!$B$39+(($N$12/3)*COS($K$13)))),($H17*'Alternative 3'!$B$39))))</f>
        <v>713444.59500069206</v>
      </c>
      <c r="Z17" s="105">
        <f>X17*'Alternative 3'!$K18/'Alternative 3'!$L18</f>
        <v>2124036.5513430247</v>
      </c>
      <c r="AA17" s="105">
        <f>Y17/'Alternative 3'!$M18</f>
        <v>288551.4169088591</v>
      </c>
      <c r="AB17" s="105">
        <f t="shared" si="3"/>
        <v>2.4125879682518838</v>
      </c>
      <c r="AD17" s="105">
        <f>'Alternative 3'!$B$39*$B17*$C17*COS($K$23)-($N$22/3)*$E17*SIN($K$23)-($N$22/3)*$F17*SIN($K$23)-($N$22/3)*$G17*SIN($K$23)</f>
        <v>164574.55615100084</v>
      </c>
      <c r="AE17" s="106">
        <f>IF(($A17&lt;'Alternative 3'!$B$27),(($H17*'Alternative 3'!$B$39)+(3*($N$22/3)*COS($K$23))),IF(($A17&lt;'Alternative 3'!$B$28),(($H17*'Alternative 3'!$B$39)+(2*(($N$22/3)*COS($K$23)))),IF(($A17&lt;'Alternative 3'!$B$29),(($H$3*'Alternative 3'!$B$39+(($N$22/3)*COS($K$23)))),($H17*'Alternative 3'!$B$39))))</f>
        <v>362295.20113185962</v>
      </c>
      <c r="AF17" s="105">
        <f>AD17*'Alternative 3'!$K18/'Alternative 3'!$L18</f>
        <v>2619287.6242762557</v>
      </c>
      <c r="AG17" s="105">
        <f>AE17/'Alternative 3'!$M18</f>
        <v>146529.65956771566</v>
      </c>
      <c r="AH17" s="105">
        <f t="shared" si="4"/>
        <v>2.7658172838439712</v>
      </c>
      <c r="AJ17" s="105">
        <f>'Alternative 3'!$B$39*$B17*$C17*COS($K$33)-($N$32/3)*$E17*SIN($K$33)-($N$32/3)*$F17*SIN($K$33)-($N$32/3)*$G17*SIN($K$33)</f>
        <v>161113.07626931171</v>
      </c>
      <c r="AK17" s="106">
        <f>IF(($A17&lt;'Alternative 3'!$B$27),(($H17*'Alternative 3'!$B$39)+(3*($N$32/3)*COS($K$33))),IF(($A17&lt;'Alternative 3'!$B$28),(($H17*'Alternative 3'!$B$39)+(2*(($N$32/3)*COS($K$33)))),IF(($A17&lt;'Alternative 3'!$B$29),(($H$3*'Alternative 3'!$B$39+(($N$32/3)*COS($K$33)))),($H17*'Alternative 3'!$B$39))))</f>
        <v>244864.02100125485</v>
      </c>
      <c r="AL17" s="105">
        <f>AJ17*'Alternative 3'!$K18/'Alternative 3'!$L18</f>
        <v>2564196.4143843041</v>
      </c>
      <c r="AM17" s="105">
        <f>AK17/'Alternative 3'!$M18</f>
        <v>99034.824434887167</v>
      </c>
      <c r="AN17" s="105">
        <f t="shared" si="5"/>
        <v>2.6632312388191912</v>
      </c>
      <c r="AP17" s="105">
        <f>'Alternative 3'!$B$39*$B17*$C17*COS($K$43)-($N$42/3)*$E17*SIN($K$43)-($N$42/3)*$F17*SIN($K$43)-($N$42/3)*$G17*SIN($K$43)</f>
        <v>145402.44182401523</v>
      </c>
      <c r="AQ17" s="106">
        <f>IF(($A17&lt;'Alternative 3'!$B$27),(($H17*'Alternative 3'!$B$39)+(3*($N$42/3)*COS($K$43))),IF(($A17&lt;'Alternative 3'!$B$28),(($H17*'Alternative 3'!$B$39)+(2*(($N$42/3)*COS($K$43)))),IF(($A17&lt;'Alternative 3'!$B$29),(($H$3*'Alternative 3'!$B$39+(($N$42/3)*COS($K$43)))),($H17*'Alternative 3'!$B$39))))</f>
        <v>182826.24395588701</v>
      </c>
      <c r="AR17" s="105">
        <f>AP17*'Alternative 3'!$K18/'Alternative 3'!$L18</f>
        <v>2314153.6900743768</v>
      </c>
      <c r="AS17" s="105">
        <f>AQ17/'Alternative 3'!$M18</f>
        <v>73943.754162921032</v>
      </c>
      <c r="AT17" s="105">
        <f t="shared" si="6"/>
        <v>2.3880974442372978</v>
      </c>
      <c r="AV17" s="105">
        <f>'Alternative 3'!$B$39*$B17*$C17*COS($K$53)-($N$52/3)*$E17*SIN($K$53)-($N$52/3)*$F17*SIN($K$53)-($N$52/3)*$G17*SIN($K$53)</f>
        <v>122100.55158287357</v>
      </c>
      <c r="AW17" s="106">
        <f>IF(($A17&lt;'Alternative 3'!$B$27),(($H17*'Alternative 3'!$B$39)+(3*($N$52/3)*COS($K$53))),IF(($A17&lt;'Alternative 3'!$B$28),(($H17*'Alternative 3'!$B$39)+(2*(($N$52/3)*COS($K$53)))),IF(($A17&lt;'Alternative 3'!$B$29),(($H$3*'Alternative 3'!$B$39+(($N$52/3)*COS($K$53)))),($H17*'Alternative 3'!$B$39))))</f>
        <v>143852.15302035608</v>
      </c>
      <c r="AX17" s="105">
        <f>AV17*'Alternative 3'!$K18/'Alternative 3'!$L18</f>
        <v>1943292.2752948916</v>
      </c>
      <c r="AY17" s="105">
        <f>AW17/'Alternative 3'!$M18</f>
        <v>58180.751343940719</v>
      </c>
      <c r="AZ17" s="105">
        <f t="shared" si="7"/>
        <v>2.0014730266388323</v>
      </c>
      <c r="BB17" s="105">
        <f>'Alternative 3'!$B$39*$B17*$C17*COS($K$63)-($N$62/3)*$E17*SIN($K$63)-($N$62/3)*$F17*SIN($K$63)-($N$62/3)*$G17*SIN($K$63)</f>
        <v>93293.169381001091</v>
      </c>
      <c r="BC17" s="106">
        <f>IF(($A17&lt;'Alternative 3'!$B$27),(($H17*'Alternative 3'!$B$39)+(3*($N$62/3)*COS($K$63))),IF(($A17&lt;'Alternative 3'!$B$28),(($H17*'Alternative 3'!$B$39)+(2*(($N$62/3)*COS($K$63)))),IF(($A17&lt;'Alternative 3'!$B$29),(($H$3*'Alternative 3'!$B$39+(($N$62/3)*COS($K$63)))),($H17*'Alternative 3'!$B$39))))</f>
        <v>117850.08302864261</v>
      </c>
      <c r="BD17" s="105">
        <f>BB17*'Alternative 3'!$K18/'Alternative 3'!$L18</f>
        <v>1484808.1605333779</v>
      </c>
      <c r="BE17" s="105">
        <f>BC17/'Alternative 3'!$M18</f>
        <v>47664.259676266134</v>
      </c>
      <c r="BF17" s="105">
        <f t="shared" si="8"/>
        <v>1.532472420209644</v>
      </c>
      <c r="BH17" s="105">
        <f>'Alternative 3'!$B$39*$B17*$C17*COS($K$73)-($N$72/3)*$E17*SIN($K$73)-($N$72/3)*$F17*SIN($K$73)-($N$72/3)*$G17*SIN($K$73)</f>
        <v>60440.217140427645</v>
      </c>
      <c r="BI17" s="106">
        <f>IF(($A17&lt;'Alternative 3'!$B$27),(($H17*'Alternative 3'!$B$39)+(3*($N$72/3)*COS($K$73))),IF(($A17&lt;'Alternative 3'!$B$28),(($H17*'Alternative 3'!$B$39)+(2*(($N$72/3)*COS($K$73)))),IF(($A17&lt;'Alternative 3'!$B$29),(($H$3*'Alternative 3'!$B$39+(($N$72/3)*COS($K$73)))),($H17*'Alternative 3'!$B$39))))</f>
        <v>100825.36550911969</v>
      </c>
      <c r="BJ17" s="105">
        <f>BH17*'Alternative 3'!$K18/'Alternative 3'!$L18</f>
        <v>961936.74445786444</v>
      </c>
      <c r="BK17" s="105">
        <f>BI17/'Alternative 3'!$M18</f>
        <v>40778.642492879037</v>
      </c>
      <c r="BL17" s="105">
        <f t="shared" si="9"/>
        <v>1.0027153869507435</v>
      </c>
      <c r="BN17" s="105">
        <f>'Alternative 3'!$B$39*$B17*$C17*COS($K$83)-($N$82/3)*$E17*SIN($K$83)-($N$82/3)*$F17*SIN($K$83)-($N$82/3)*$G17*SIN($K$83)</f>
        <v>24819.447875846367</v>
      </c>
      <c r="BO17" s="106">
        <f>IF(($A17&lt;'Alternative 3'!$B$27),(($H17*'Alternative 3'!$B$39)+(3*($N$82/3)*COS($K$83))),IF(($A17&lt;'Alternative 3'!$B$28),(($H17*'Alternative 3'!$B$39)+(2*(($N$82/3)*COS($K$83)))),IF(($A17&lt;'Alternative 3'!$B$29),(($H$3*'Alternative 3'!$B$39+(($N$82/3)*COS($K$83)))),($H17*'Alternative 3'!$B$39))))</f>
        <v>91007.514058258035</v>
      </c>
      <c r="BP17" s="105">
        <f>BN17*'Alternative 3'!$K18/'Alternative 3'!$L18</f>
        <v>395014.11507940834</v>
      </c>
      <c r="BQ17" s="105">
        <f>BO17/'Alternative 3'!$M18</f>
        <v>36807.829668732433</v>
      </c>
      <c r="BR17" s="105">
        <f t="shared" si="10"/>
        <v>0.43182194474814073</v>
      </c>
      <c r="BT17" s="105">
        <f>'Alternative 3'!$B$39*$B17*$C17*COS($K$93)-($K$92/3)*$E17*SIN($K$93)-($K$92/3)*$F17*SIN($K$93)-($K$92/3)*$G17*SIN($K$93)</f>
        <v>-10.873401239868322</v>
      </c>
      <c r="BU17" s="106">
        <f>IF(($A17&lt;'Alternative 3'!$B$27),(($H17*'Alternative 3'!$B$39)+(3*($N$92/3)*COS($K$93))),IF(($A17&lt;'Alternative 3'!$B$28),(($H17*'Alternative 3'!$B$39)+(2*(($N$92/3)*COS($K$93)))),IF(($A17&lt;'Alternative 3'!$B$29),(($H$3*'Alternative 3'!$B$39+(($N$92/3)*COS($K$93)))),($H17*'Alternative 3'!$B$39))))</f>
        <v>87608.974983338514</v>
      </c>
      <c r="BV17" s="105">
        <f>BT17*'Alternative 3'!$K18/'Alternative 3'!$L18</f>
        <v>-173.05570172855661</v>
      </c>
      <c r="BW17" s="105">
        <f>BU17/'Alternative 3'!$M18</f>
        <v>35433.296492141191</v>
      </c>
      <c r="BX17" s="105">
        <f t="shared" si="11"/>
        <v>3.5260240790412636E-2</v>
      </c>
      <c r="BZ17" s="104">
        <v>150</v>
      </c>
      <c r="CA17" s="104">
        <v>-150</v>
      </c>
    </row>
    <row r="18" spans="1:79" ht="15" customHeight="1" x14ac:dyDescent="0.25">
      <c r="A18" s="18">
        <f>IF('Alternative 3'!F19&gt;0,'Alternative 3'!F19,"x")</f>
        <v>16</v>
      </c>
      <c r="B18" s="18">
        <f t="shared" si="17"/>
        <v>20</v>
      </c>
      <c r="C18" s="18">
        <f t="shared" si="12"/>
        <v>10</v>
      </c>
      <c r="D18" s="18">
        <f t="shared" si="13"/>
        <v>16</v>
      </c>
      <c r="E18" s="101">
        <f>IF($A18&lt;='Alternative 3'!$B$27, IF($A18='Alternative 3'!$B$27,0,E19+1),0)</f>
        <v>0</v>
      </c>
      <c r="F18" s="101">
        <f>IF($A18&lt;=('Alternative 3'!$B$28), IF($A18=ROUNDDOWN('Alternative 3'!$B$28,0),0,F19+1),0)</f>
        <v>6</v>
      </c>
      <c r="G18" s="101">
        <f>IF($A18&lt;=('Alternative 3'!$B$29), IF($A18=ROUNDDOWN('Alternative 3'!$B$29,0),0,G19+1),0)</f>
        <v>12</v>
      </c>
      <c r="H18" s="18">
        <f t="shared" si="14"/>
        <v>20</v>
      </c>
      <c r="J18" s="104">
        <f t="shared" si="15"/>
        <v>15</v>
      </c>
      <c r="K18" s="104">
        <f t="shared" si="16"/>
        <v>0.26179938779914941</v>
      </c>
      <c r="L18" s="105">
        <f>'Alternative 3'!$B$27*SIN(K18)+'Alternative 3'!$B$28*SIN(K18)+'Alternative 3'!$B$29*SIN(K18)</f>
        <v>17.338287831417865</v>
      </c>
      <c r="M18" s="104">
        <f>(('Alternative 3'!$B$27)*(((('Alternative 3'!$B$28-'Alternative 3'!$B$27)/2)+'Alternative 3'!$B$27)*'Alternative 3'!$B$39)*COS('Alternative 3-Tilt Up (3pt)'!K18))+(('Alternative 3'!$B$28)*((('Alternative 3'!$B$28-'Alternative 3'!$B$27)/2)+(('Alternative 3'!$B$29-'Alternative 3'!$B$28)/2))*('Alternative 3'!$B$39)*COS('Alternative 3-Tilt Up (3pt)'!K18))+(('Alternative 3'!$B$29)*((('Alternative 3'!$B$12-'Alternative 3'!$B$29+(('Alternative 3'!$B$29-'Alternative 3'!$B$28)/2)*('Alternative 3'!$B$39)*COS('Alternative 3-Tilt Up (3pt)'!K18)))))</f>
        <v>2170974.0645090812</v>
      </c>
      <c r="N18" s="104">
        <f t="shared" si="0"/>
        <v>375638.1401008637</v>
      </c>
      <c r="O18" s="104">
        <f>(((('Alternative 3'!$B$28-'Alternative 3'!$B$27)/2)+'Alternative 3'!$B$27)*('Alternative 3'!$B$39)*COS('Alternative 3-Tilt Up (3pt)'!K18))+(((('Alternative 3'!$B$28-'Alternative 3'!$B$27)/2)+(('Alternative 3'!$B$29-'Alternative 3'!$B$28)/2))*('Alternative 3'!$B$39)*COS('Alternative 3-Tilt Up (3pt)'!K18))+(((('Alternative 3'!$B$12-'Alternative 3'!$B$29)+(('Alternative 3'!$B$29-'Alternative 3'!$B$28)/2))*('Alternative 3'!$B$39)*COS('Alternative 3-Tilt Up (3pt)'!K18)))</f>
        <v>141039.61925186595</v>
      </c>
      <c r="P18" s="104">
        <f t="shared" si="1"/>
        <v>362838.58086261561</v>
      </c>
      <c r="R18" s="105">
        <f>'Alternative 3'!$B$39*$B18*$C18*COS($K$5)-($N$5/3)*$E18*SIN($K$5)-($N$5/3)*$F18*SIN($K$5)-($N$5/3)*$G18*SIN($K$5)</f>
        <v>230320.87436636008</v>
      </c>
      <c r="S18" s="106">
        <f>IF(($A18&lt;'Alternative 3'!$B$27),(($H18*'Alternative 3'!$B$39)+(3*($N$5/3)*COS($K$5))),IF(($A18&lt;'Alternative 3'!$B$28),(($H18*'Alternative 3'!$B$39)+(2*(($N$5/3)*COS($K$5)))),IF(($A18&lt;'Alternative 3'!$B$29),(($H$3*'Alternative 3'!$B$39+(($N$5/3)*COS($K$5)))),($H18*'Alternative 3'!$B$39))))</f>
        <v>2003790.7536871287</v>
      </c>
      <c r="T18" s="105">
        <f>R18*'Alternative 3'!$K19/'Alternative 3'!$L19</f>
        <v>3665673.6615274441</v>
      </c>
      <c r="U18" s="105">
        <f>S18/'Alternative 3'!$M19</f>
        <v>828743.87740513112</v>
      </c>
      <c r="V18" s="105">
        <f t="shared" si="2"/>
        <v>4.4944175389325753</v>
      </c>
      <c r="X18" s="105">
        <f>'Alternative 3'!$B$39*$B18*$C18*COS($K$13)-($N$12/3)*$E18*SIN($K$13)-($N$12/3)*$F18*SIN($K$13)-($N$12/3)*$G18*SIN($K$13)</f>
        <v>159584.98532988748</v>
      </c>
      <c r="Y18" s="106">
        <f>IF(($A18&lt;'Alternative 3'!$B$27),(($H18*'Alternative 3'!$B$39)+(3*($N$12/3)*COS($K$13))),IF(($A18&lt;'Alternative 3'!$B$28),(($H18*'Alternative 3'!$B$39)+(2*(($N$12/3)*COS($K$13)))),IF(($A18&lt;'Alternative 3'!$B$29),(($H$3*'Alternative 3'!$B$39+(($N$12/3)*COS($K$13)))),($H18*'Alternative 3'!$B$39))))</f>
        <v>500660.86570998677</v>
      </c>
      <c r="Z18" s="105">
        <f>X18*'Alternative 3'!$K19/'Alternative 3'!$L19</f>
        <v>2539876.0711914585</v>
      </c>
      <c r="AA18" s="105">
        <f>Y18/'Alternative 3'!$M19</f>
        <v>207067.34290994212</v>
      </c>
      <c r="AB18" s="105">
        <f t="shared" si="3"/>
        <v>2.7469434141014002</v>
      </c>
      <c r="AD18" s="105">
        <f>'Alternative 3'!$B$39*$B18*$C18*COS($K$23)-($N$22/3)*$E18*SIN($K$23)-($N$22/3)*$F18*SIN($K$23)-($N$22/3)*$G18*SIN($K$23)</f>
        <v>184186.79005186108</v>
      </c>
      <c r="AE18" s="106">
        <f>IF(($A18&lt;'Alternative 3'!$B$27),(($H18*'Alternative 3'!$B$39)+(3*($N$22/3)*COS($K$23))),IF(($A18&lt;'Alternative 3'!$B$28),(($H18*'Alternative 3'!$B$39)+(2*(($N$22/3)*COS($K$23)))),IF(($A18&lt;'Alternative 3'!$B$29),(($H$3*'Alternative 3'!$B$39+(($N$22/3)*COS($K$23)))),($H18*'Alternative 3'!$B$39))))</f>
        <v>266561.26979743177</v>
      </c>
      <c r="AF18" s="105">
        <f>AD18*'Alternative 3'!$K19/'Alternative 3'!$L19</f>
        <v>2931426.2849681382</v>
      </c>
      <c r="AG18" s="105">
        <f>AE18/'Alternative 3'!$M19</f>
        <v>110246.55138839505</v>
      </c>
      <c r="AH18" s="105">
        <f t="shared" si="4"/>
        <v>3.0416728363565331</v>
      </c>
      <c r="AJ18" s="105">
        <f>'Alternative 3'!$B$39*$B18*$C18*COS($K$33)-($N$32/3)*$E18*SIN($K$33)-($N$32/3)*$F18*SIN($K$33)-($N$32/3)*$G18*SIN($K$33)</f>
        <v>177839.18810159835</v>
      </c>
      <c r="AK18" s="106">
        <f>IF(($A18&lt;'Alternative 3'!$B$27),(($H18*'Alternative 3'!$B$39)+(3*($N$32/3)*COS($K$33))),IF(($A18&lt;'Alternative 3'!$B$28),(($H18*'Alternative 3'!$B$39)+(2*(($N$32/3)*COS($K$33)))),IF(($A18&lt;'Alternative 3'!$B$29),(($H$3*'Alternative 3'!$B$39+(($N$32/3)*COS($K$33)))),($H18*'Alternative 3'!$B$39))))</f>
        <v>188273.81637702853</v>
      </c>
      <c r="AL18" s="105">
        <f>AJ18*'Alternative 3'!$K19/'Alternative 3'!$L19</f>
        <v>2830400.9769193046</v>
      </c>
      <c r="AM18" s="105">
        <f>AK18/'Alternative 3'!$M19</f>
        <v>77867.797478879322</v>
      </c>
      <c r="AN18" s="105">
        <f t="shared" si="5"/>
        <v>2.9082687743981839</v>
      </c>
      <c r="AP18" s="105">
        <f>'Alternative 3'!$B$39*$B18*$C18*COS($K$43)-($N$42/3)*$E18*SIN($K$43)-($N$42/3)*$F18*SIN($K$43)-($N$42/3)*$G18*SIN($K$43)</f>
        <v>159784.76218185568</v>
      </c>
      <c r="AQ18" s="106">
        <f>IF(($A18&lt;'Alternative 3'!$B$27),(($H18*'Alternative 3'!$B$39)+(3*($N$42/3)*COS($K$43))),IF(($A18&lt;'Alternative 3'!$B$28),(($H18*'Alternative 3'!$B$39)+(2*(($N$42/3)*COS($K$43)))),IF(($A18&lt;'Alternative 3'!$B$29),(($H$3*'Alternative 3'!$B$39+(($N$42/3)*COS($K$43)))),($H18*'Alternative 3'!$B$39))))</f>
        <v>146915.2983467833</v>
      </c>
      <c r="AR18" s="105">
        <f>AP18*'Alternative 3'!$K19/'Alternative 3'!$L19</f>
        <v>2543055.621227717</v>
      </c>
      <c r="AS18" s="105">
        <f>AQ18/'Alternative 3'!$M19</f>
        <v>60762.409337405123</v>
      </c>
      <c r="AT18" s="105">
        <f t="shared" si="6"/>
        <v>2.603818030565122</v>
      </c>
      <c r="AV18" s="105">
        <f>'Alternative 3'!$B$39*$B18*$C18*COS($K$53)-($N$52/3)*$E18*SIN($K$53)-($N$52/3)*$F18*SIN($K$53)-($N$52/3)*$G18*SIN($K$53)</f>
        <v>134155.40610831586</v>
      </c>
      <c r="AW18" s="106">
        <f>IF(($A18&lt;'Alternative 3'!$B$27),(($H18*'Alternative 3'!$B$39)+(3*($N$52/3)*COS($K$53))),IF(($A18&lt;'Alternative 3'!$B$28),(($H18*'Alternative 3'!$B$39)+(2*(($N$52/3)*COS($K$53)))),IF(($A18&lt;'Alternative 3'!$B$29),(($H$3*'Alternative 3'!$B$39+(($N$52/3)*COS($K$53)))),($H18*'Alternative 3'!$B$39))))</f>
        <v>120932.57105642935</v>
      </c>
      <c r="AX18" s="105">
        <f>AV18*'Alternative 3'!$K19/'Alternative 3'!$L19</f>
        <v>2135151.4059491507</v>
      </c>
      <c r="AY18" s="105">
        <f>AW18/'Alternative 3'!$M19</f>
        <v>50016.264251873799</v>
      </c>
      <c r="AZ18" s="105">
        <f t="shared" si="7"/>
        <v>2.1851676702010243</v>
      </c>
      <c r="BB18" s="105">
        <f>'Alternative 3'!$B$39*$B18*$C18*COS($K$63)-($N$62/3)*$E18*SIN($K$63)-($N$62/3)*$F18*SIN($K$63)-($N$62/3)*$G18*SIN($K$63)</f>
        <v>102910.78148887536</v>
      </c>
      <c r="BC18" s="106">
        <f>IF(($A18&lt;'Alternative 3'!$B$27),(($H18*'Alternative 3'!$B$39)+(3*($N$62/3)*COS($K$63))),IF(($A18&lt;'Alternative 3'!$B$28),(($H18*'Alternative 3'!$B$39)+(2*(($N$62/3)*COS($K$63)))),IF(($A18&lt;'Alternative 3'!$B$29),(($H$3*'Alternative 3'!$B$39+(($N$62/3)*COS($K$63)))),($H18*'Alternative 3'!$B$39))))</f>
        <v>103597.85772862037</v>
      </c>
      <c r="BD18" s="105">
        <f>BB18*'Alternative 3'!$K19/'Alternative 3'!$L19</f>
        <v>1637877.3405962484</v>
      </c>
      <c r="BE18" s="105">
        <f>BC18/'Alternative 3'!$M19</f>
        <v>42846.834254974063</v>
      </c>
      <c r="BF18" s="105">
        <f t="shared" si="8"/>
        <v>1.6807241748512225</v>
      </c>
      <c r="BH18" s="105">
        <f>'Alternative 3'!$B$39*$B18*$C18*COS($K$73)-($N$72/3)*$E18*SIN($K$73)-($N$72/3)*$F18*SIN($K$73)-($N$72/3)*$G18*SIN($K$73)</f>
        <v>67501.346881537029</v>
      </c>
      <c r="BI18" s="106">
        <f>IF(($A18&lt;'Alternative 3'!$B$27),(($H18*'Alternative 3'!$B$39)+(3*($N$72/3)*COS($K$73))),IF(($A18&lt;'Alternative 3'!$B$28),(($H18*'Alternative 3'!$B$39)+(2*(($N$72/3)*COS($K$73)))),IF(($A18&lt;'Alternative 3'!$B$29),(($H$3*'Alternative 3'!$B$39+(($N$72/3)*COS($K$73)))),($H18*'Alternative 3'!$B$39))))</f>
        <v>92248.046048938413</v>
      </c>
      <c r="BJ18" s="105">
        <f>BH18*'Alternative 3'!$K19/'Alternative 3'!$L19</f>
        <v>1074318.2095935023</v>
      </c>
      <c r="BK18" s="105">
        <f>BI18/'Alternative 3'!$M19</f>
        <v>38152.687961540112</v>
      </c>
      <c r="BL18" s="105">
        <f t="shared" si="9"/>
        <v>1.1124708975550426</v>
      </c>
      <c r="BN18" s="105">
        <f>'Alternative 3'!$B$39*$B18*$C18*COS($K$83)-($N$82/3)*$E18*SIN($K$83)-($N$82/3)*$F18*SIN($K$83)-($N$82/3)*$G18*SIN($K$83)</f>
        <v>29242.59948331445</v>
      </c>
      <c r="BO18" s="106">
        <f>IF(($A18&lt;'Alternative 3'!$B$27),(($H18*'Alternative 3'!$B$39)+(3*($N$82/3)*COS($K$83))),IF(($A18&lt;'Alternative 3'!$B$28),(($H18*'Alternative 3'!$B$39)+(2*(($N$82/3)*COS($K$83)))),IF(($A18&lt;'Alternative 3'!$B$29),(($H$3*'Alternative 3'!$B$39+(($N$82/3)*COS($K$83)))),($H18*'Alternative 3'!$B$39))))</f>
        <v>85702.811748363994</v>
      </c>
      <c r="BP18" s="105">
        <f>BN18*'Alternative 3'!$K19/'Alternative 3'!$L19</f>
        <v>465410.81877830095</v>
      </c>
      <c r="BQ18" s="105">
        <f>BO18/'Alternative 3'!$M19</f>
        <v>35445.657378230986</v>
      </c>
      <c r="BR18" s="105">
        <f t="shared" si="10"/>
        <v>0.50085647615653195</v>
      </c>
      <c r="BT18" s="105">
        <f>'Alternative 3'!$B$39*$B18*$C18*COS($K$93)-($K$92/3)*$E18*SIN($K$93)-($K$92/3)*$F18*SIN($K$93)-($K$92/3)*$G18*SIN($K$93)</f>
        <v>-9.3200582055986096</v>
      </c>
      <c r="BU18" s="106">
        <f>IF(($A18&lt;'Alternative 3'!$B$27),(($H18*'Alternative 3'!$B$39)+(3*($N$92/3)*COS($K$93))),IF(($A18&lt;'Alternative 3'!$B$28),(($H18*'Alternative 3'!$B$39)+(2*(($N$92/3)*COS($K$93)))),IF(($A18&lt;'Alternative 3'!$B$29),(($H$3*'Alternative 3'!$B$39+(($N$92/3)*COS($K$93)))),($H18*'Alternative 3'!$B$39))))</f>
        <v>83437.119031750975</v>
      </c>
      <c r="BV18" s="105">
        <f>BT18*'Alternative 3'!$K19/'Alternative 3'!$L19</f>
        <v>-148.33345862443235</v>
      </c>
      <c r="BW18" s="105">
        <f>BU18/'Alternative 3'!$M19</f>
        <v>34508.59398300403</v>
      </c>
      <c r="BX18" s="105">
        <f t="shared" si="11"/>
        <v>3.4360260524379599E-2</v>
      </c>
      <c r="BZ18" s="104">
        <v>150</v>
      </c>
      <c r="CA18" s="104">
        <v>-150</v>
      </c>
    </row>
    <row r="19" spans="1:79" ht="15" customHeight="1" x14ac:dyDescent="0.25">
      <c r="A19" s="18">
        <f>IF('Alternative 3'!F20&gt;0,'Alternative 3'!F20,"x")</f>
        <v>17</v>
      </c>
      <c r="B19" s="18">
        <f t="shared" si="17"/>
        <v>19</v>
      </c>
      <c r="C19" s="18">
        <f t="shared" si="12"/>
        <v>9.5</v>
      </c>
      <c r="D19" s="18">
        <f t="shared" si="13"/>
        <v>17</v>
      </c>
      <c r="E19" s="101">
        <f>IF($A19&lt;='Alternative 3'!$B$27, IF($A19='Alternative 3'!$B$27,0,E20+1),0)</f>
        <v>0</v>
      </c>
      <c r="F19" s="101">
        <f>IF($A19&lt;=('Alternative 3'!$B$28), IF($A19=ROUNDDOWN('Alternative 3'!$B$28,0),0,F20+1),0)</f>
        <v>5</v>
      </c>
      <c r="G19" s="101">
        <f>IF($A19&lt;=('Alternative 3'!$B$29), IF($A19=ROUNDDOWN('Alternative 3'!$B$29,0),0,G20+1),0)</f>
        <v>11</v>
      </c>
      <c r="H19" s="18">
        <f t="shared" si="14"/>
        <v>19</v>
      </c>
      <c r="J19" s="104">
        <f t="shared" si="15"/>
        <v>16</v>
      </c>
      <c r="K19" s="104">
        <f t="shared" si="16"/>
        <v>0.27925268031909273</v>
      </c>
      <c r="L19" s="105">
        <f>'Alternative 3'!$B$27*SIN(K19)+'Alternative 3'!$B$28*SIN(K19)+'Alternative 3'!$B$29*SIN(K19)</f>
        <v>18.464946466180773</v>
      </c>
      <c r="M19" s="104">
        <f>(('Alternative 3'!$B$27)*(((('Alternative 3'!$B$28-'Alternative 3'!$B$27)/2)+'Alternative 3'!$B$27)*'Alternative 3'!$B$39)*COS('Alternative 3-Tilt Up (3pt)'!K19))+(('Alternative 3'!$B$28)*((('Alternative 3'!$B$28-'Alternative 3'!$B$27)/2)+(('Alternative 3'!$B$29-'Alternative 3'!$B$28)/2))*('Alternative 3'!$B$39)*COS('Alternative 3-Tilt Up (3pt)'!K19))+(('Alternative 3'!$B$29)*((('Alternative 3'!$B$12-'Alternative 3'!$B$29+(('Alternative 3'!$B$29-'Alternative 3'!$B$28)/2)*('Alternative 3'!$B$39)*COS('Alternative 3-Tilt Up (3pt)'!K19)))))</f>
        <v>2160492.0396409212</v>
      </c>
      <c r="N19" s="104">
        <f t="shared" si="0"/>
        <v>351015.1589550408</v>
      </c>
      <c r="O19" s="104">
        <f>(((('Alternative 3'!$B$28-'Alternative 3'!$B$27)/2)+'Alternative 3'!$B$27)*('Alternative 3'!$B$39)*COS('Alternative 3-Tilt Up (3pt)'!K19))+(((('Alternative 3'!$B$28-'Alternative 3'!$B$27)/2)+(('Alternative 3'!$B$29-'Alternative 3'!$B$28)/2))*('Alternative 3'!$B$39)*COS('Alternative 3-Tilt Up (3pt)'!K19))+(((('Alternative 3'!$B$12-'Alternative 3'!$B$29)+(('Alternative 3'!$B$29-'Alternative 3'!$B$28)/2))*('Alternative 3'!$B$39)*COS('Alternative 3-Tilt Up (3pt)'!K19)))</f>
        <v>140358.58645316956</v>
      </c>
      <c r="P19" s="104">
        <f t="shared" si="1"/>
        <v>337417.42699718109</v>
      </c>
      <c r="R19" s="105">
        <f>'Alternative 3'!$B$39*$B19*$C19*COS($K$5)-($N$5/3)*$E19*SIN($K$5)-($N$5/3)*$F19*SIN($K$5)-($N$5/3)*$G19*SIN($K$5)</f>
        <v>216079.46687639895</v>
      </c>
      <c r="S19" s="106">
        <f>IF(($A19&lt;'Alternative 3'!$B$27),(($H19*'Alternative 3'!$B$39)+(3*($N$5/3)*COS($K$5))),IF(($A19&lt;'Alternative 3'!$B$28),(($H19*'Alternative 3'!$B$39)+(2*(($N$5/3)*COS($K$5)))),IF(($A19&lt;'Alternative 3'!$B$29),(($H$3*'Alternative 3'!$B$39+(($N$5/3)*COS($K$5)))),($H19*'Alternative 3'!$B$39))))</f>
        <v>1999618.897735541</v>
      </c>
      <c r="T19" s="105">
        <f>R19*'Alternative 3'!$K20/'Alternative 3'!$L20</f>
        <v>3439014.4302152563</v>
      </c>
      <c r="U19" s="105">
        <f>S19/'Alternative 3'!$M20</f>
        <v>845921.11625504587</v>
      </c>
      <c r="V19" s="105">
        <f t="shared" si="2"/>
        <v>4.2849355464703018</v>
      </c>
      <c r="X19" s="105">
        <f>'Alternative 3'!$B$39*$B19*$C19*COS($K$13)-($N$12/3)*$E19*SIN($K$13)-($N$12/3)*$F19*SIN($K$13)-($N$12/3)*$G19*SIN($K$13)</f>
        <v>153037.50519285013</v>
      </c>
      <c r="Y19" s="106">
        <f>IF(($A19&lt;'Alternative 3'!$B$27),(($H19*'Alternative 3'!$B$39)+(3*($N$12/3)*COS($K$13))),IF(($A19&lt;'Alternative 3'!$B$28),(($H19*'Alternative 3'!$B$39)+(2*(($N$12/3)*COS($K$13)))),IF(($A19&lt;'Alternative 3'!$B$29),(($H$3*'Alternative 3'!$B$39+(($N$12/3)*COS($K$13)))),($H19*'Alternative 3'!$B$39))))</f>
        <v>496489.00975839922</v>
      </c>
      <c r="Z19" s="105">
        <f>X19*'Alternative 3'!$K20/'Alternative 3'!$L20</f>
        <v>2435669.6003114684</v>
      </c>
      <c r="AA19" s="105">
        <f>Y19/'Alternative 3'!$M20</f>
        <v>210035.29113412747</v>
      </c>
      <c r="AB19" s="105">
        <f t="shared" si="3"/>
        <v>2.6457048914455958</v>
      </c>
      <c r="AD19" s="105">
        <f>'Alternative 3'!$B$39*$B19*$C19*COS($K$23)-($N$22/3)*$E19*SIN($K$23)-($N$22/3)*$F19*SIN($K$23)-($N$22/3)*$G19*SIN($K$23)</f>
        <v>174393.41617841751</v>
      </c>
      <c r="AE19" s="106">
        <f>IF(($A19&lt;'Alternative 3'!$B$27),(($H19*'Alternative 3'!$B$39)+(3*($N$22/3)*COS($K$23))),IF(($A19&lt;'Alternative 3'!$B$28),(($H19*'Alternative 3'!$B$39)+(2*(($N$22/3)*COS($K$23)))),IF(($A19&lt;'Alternative 3'!$B$29),(($H$3*'Alternative 3'!$B$39+(($N$22/3)*COS($K$23)))),($H19*'Alternative 3'!$B$39))))</f>
        <v>262389.41384584422</v>
      </c>
      <c r="AF19" s="105">
        <f>AD19*'Alternative 3'!$K20/'Alternative 3'!$L20</f>
        <v>2775559.7671627663</v>
      </c>
      <c r="AG19" s="105">
        <f>AE19/'Alternative 3'!$M20</f>
        <v>111001.52439314418</v>
      </c>
      <c r="AH19" s="105">
        <f t="shared" si="4"/>
        <v>2.8865612915559105</v>
      </c>
      <c r="AJ19" s="105">
        <f>'Alternative 3'!$B$39*$B19*$C19*COS($K$33)-($N$32/3)*$E19*SIN($K$33)-($N$32/3)*$F19*SIN($K$33)-($N$32/3)*$G19*SIN($K$33)</f>
        <v>167914.48545226525</v>
      </c>
      <c r="AK19" s="106">
        <f>IF(($A19&lt;'Alternative 3'!$B$27),(($H19*'Alternative 3'!$B$39)+(3*($N$32/3)*COS($K$33))),IF(($A19&lt;'Alternative 3'!$B$28),(($H19*'Alternative 3'!$B$39)+(2*(($N$32/3)*COS($K$33)))),IF(($A19&lt;'Alternative 3'!$B$29),(($H$3*'Alternative 3'!$B$39+(($N$32/3)*COS($K$33)))),($H19*'Alternative 3'!$B$39))))</f>
        <v>184101.96042544098</v>
      </c>
      <c r="AL19" s="105">
        <f>AJ19*'Alternative 3'!$K20/'Alternative 3'!$L20</f>
        <v>2672444.2949631433</v>
      </c>
      <c r="AM19" s="105">
        <f>AK19/'Alternative 3'!$M20</f>
        <v>77882.708572215197</v>
      </c>
      <c r="AN19" s="105">
        <f t="shared" si="5"/>
        <v>2.7503270035353586</v>
      </c>
      <c r="AP19" s="105">
        <f>'Alternative 3'!$B$39*$B19*$C19*COS($K$43)-($N$42/3)*$E19*SIN($K$43)-($N$42/3)*$F19*SIN($K$43)-($N$42/3)*$G19*SIN($K$43)</f>
        <v>150730.65118337824</v>
      </c>
      <c r="AQ19" s="106">
        <f>IF(($A19&lt;'Alternative 3'!$B$27),(($H19*'Alternative 3'!$B$39)+(3*($N$42/3)*COS($K$43))),IF(($A19&lt;'Alternative 3'!$B$28),(($H19*'Alternative 3'!$B$39)+(2*(($N$42/3)*COS($K$43)))),IF(($A19&lt;'Alternative 3'!$B$29),(($H$3*'Alternative 3'!$B$39+(($N$42/3)*COS($K$43)))),($H19*'Alternative 3'!$B$39))))</f>
        <v>142743.44239519574</v>
      </c>
      <c r="AR19" s="105">
        <f>AP19*'Alternative 3'!$K20/'Alternative 3'!$L20</f>
        <v>2398954.8474399624</v>
      </c>
      <c r="AS19" s="105">
        <f>AQ19/'Alternative 3'!$M20</f>
        <v>60386.352752404091</v>
      </c>
      <c r="AT19" s="105">
        <f t="shared" si="6"/>
        <v>2.4593412001923669</v>
      </c>
      <c r="AV19" s="105">
        <f>'Alternative 3'!$B$39*$B19*$C19*COS($K$53)-($N$52/3)*$E19*SIN($K$53)-($N$52/3)*$F19*SIN($K$53)-($N$52/3)*$G19*SIN($K$53)</f>
        <v>126549.2081206585</v>
      </c>
      <c r="AW19" s="106">
        <f>IF(($A19&lt;'Alternative 3'!$B$27),(($H19*'Alternative 3'!$B$39)+(3*($N$52/3)*COS($K$53))),IF(($A19&lt;'Alternative 3'!$B$28),(($H19*'Alternative 3'!$B$39)+(2*(($N$52/3)*COS($K$53)))),IF(($A19&lt;'Alternative 3'!$B$29),(($H$3*'Alternative 3'!$B$39+(($N$52/3)*COS($K$53)))),($H19*'Alternative 3'!$B$39))))</f>
        <v>116760.7151048418</v>
      </c>
      <c r="AX19" s="105">
        <f>AV19*'Alternative 3'!$K20/'Alternative 3'!$L20</f>
        <v>2014094.9029099673</v>
      </c>
      <c r="AY19" s="105">
        <f>AW19/'Alternative 3'!$M20</f>
        <v>49394.589423053163</v>
      </c>
      <c r="AZ19" s="105">
        <f t="shared" si="7"/>
        <v>2.0634894923330207</v>
      </c>
      <c r="BB19" s="105">
        <f>'Alternative 3'!$B$39*$B19*$C19*COS($K$63)-($N$62/3)*$E19*SIN($K$63)-($N$62/3)*$F19*SIN($K$63)-($N$62/3)*$G19*SIN($K$63)</f>
        <v>97154.609701994457</v>
      </c>
      <c r="BC19" s="106">
        <f>IF(($A19&lt;'Alternative 3'!$B$27),(($H19*'Alternative 3'!$B$39)+(3*($N$62/3)*COS($K$63))),IF(($A19&lt;'Alternative 3'!$B$28),(($H19*'Alternative 3'!$B$39)+(2*(($N$62/3)*COS($K$63)))),IF(($A19&lt;'Alternative 3'!$B$29),(($H$3*'Alternative 3'!$B$39+(($N$62/3)*COS($K$63)))),($H19*'Alternative 3'!$B$39))))</f>
        <v>99426.001777032812</v>
      </c>
      <c r="BD19" s="105">
        <f>BB19*'Alternative 3'!$K20/'Alternative 3'!$L20</f>
        <v>1546264.9438977467</v>
      </c>
      <c r="BE19" s="105">
        <f>BC19/'Alternative 3'!$M20</f>
        <v>42061.292030821394</v>
      </c>
      <c r="BF19" s="105">
        <f t="shared" si="8"/>
        <v>1.5883262359285681</v>
      </c>
      <c r="BH19" s="105">
        <f>'Alternative 3'!$B$39*$B19*$C19*COS($K$73)-($N$72/3)*$E19*SIN($K$73)-($N$72/3)*$F19*SIN($K$73)-($N$72/3)*$G19*SIN($K$73)</f>
        <v>63885.423881049879</v>
      </c>
      <c r="BI19" s="106">
        <f>IF(($A19&lt;'Alternative 3'!$B$27),(($H19*'Alternative 3'!$B$39)+(3*($N$72/3)*COS($K$73))),IF(($A19&lt;'Alternative 3'!$B$28),(($H19*'Alternative 3'!$B$39)+(2*(($N$72/3)*COS($K$73)))),IF(($A19&lt;'Alternative 3'!$B$29),(($H$3*'Alternative 3'!$B$39+(($N$72/3)*COS($K$73)))),($H19*'Alternative 3'!$B$39))))</f>
        <v>88076.19009735086</v>
      </c>
      <c r="BJ19" s="105">
        <f>BH19*'Alternative 3'!$K20/'Alternative 3'!$L20</f>
        <v>1016768.9590470092</v>
      </c>
      <c r="BK19" s="105">
        <f>BI19/'Alternative 3'!$M20</f>
        <v>37259.854428769439</v>
      </c>
      <c r="BL19" s="105">
        <f t="shared" si="9"/>
        <v>1.0540288134757787</v>
      </c>
      <c r="BN19" s="105">
        <f>'Alternative 3'!$B$39*$B19*$C19*COS($K$83)-($N$82/3)*$E19*SIN($K$83)-($N$82/3)*$F19*SIN($K$83)-($N$82/3)*$G19*SIN($K$83)</f>
        <v>27965.495317980822</v>
      </c>
      <c r="BO19" s="106">
        <f>IF(($A19&lt;'Alternative 3'!$B$27),(($H19*'Alternative 3'!$B$39)+(3*($N$82/3)*COS($K$83))),IF(($A19&lt;'Alternative 3'!$B$28),(($H19*'Alternative 3'!$B$39)+(2*(($N$82/3)*COS($K$83)))),IF(($A19&lt;'Alternative 3'!$B$29),(($H$3*'Alternative 3'!$B$39+(($N$82/3)*COS($K$83)))),($H19*'Alternative 3'!$B$39))))</f>
        <v>81530.955796776441</v>
      </c>
      <c r="BP19" s="105">
        <f>BN19*'Alternative 3'!$K20/'Alternative 3'!$L20</f>
        <v>445085.05753425532</v>
      </c>
      <c r="BQ19" s="105">
        <f>BO19/'Alternative 3'!$M20</f>
        <v>34490.950858212673</v>
      </c>
      <c r="BR19" s="105">
        <f t="shared" si="10"/>
        <v>0.479576008392468</v>
      </c>
      <c r="BT19" s="105">
        <f>'Alternative 3'!$B$39*$B19*$C19*COS($K$93)-($K$92/3)*$E19*SIN($K$93)-($K$92/3)*$F19*SIN($K$93)-($K$92/3)*$G19*SIN($K$93)</f>
        <v>-8.2844961827536228</v>
      </c>
      <c r="BU19" s="106">
        <f>IF(($A19&lt;'Alternative 3'!$B$27),(($H19*'Alternative 3'!$B$39)+(3*($N$92/3)*COS($K$93))),IF(($A19&lt;'Alternative 3'!$B$28),(($H19*'Alternative 3'!$B$39)+(2*(($N$92/3)*COS($K$93)))),IF(($A19&lt;'Alternative 3'!$B$29),(($H$3*'Alternative 3'!$B$39+(($N$92/3)*COS($K$93)))),($H19*'Alternative 3'!$B$39))))</f>
        <v>79265.263080163422</v>
      </c>
      <c r="BV19" s="105">
        <f>BT19*'Alternative 3'!$K20/'Alternative 3'!$L20</f>
        <v>-131.85196322170657</v>
      </c>
      <c r="BW19" s="105">
        <f>BU19/'Alternative 3'!$M20</f>
        <v>33532.469562552455</v>
      </c>
      <c r="BX19" s="105">
        <f t="shared" si="11"/>
        <v>3.3400617599330745E-2</v>
      </c>
      <c r="BZ19" s="104">
        <v>150</v>
      </c>
      <c r="CA19" s="104">
        <v>-150</v>
      </c>
    </row>
    <row r="20" spans="1:79" ht="15" customHeight="1" x14ac:dyDescent="0.25">
      <c r="A20" s="18">
        <f>IF('Alternative 3'!F21&gt;0,'Alternative 3'!F21,"x")</f>
        <v>18</v>
      </c>
      <c r="B20" s="18">
        <f t="shared" si="17"/>
        <v>18</v>
      </c>
      <c r="C20" s="18">
        <f t="shared" si="12"/>
        <v>9</v>
      </c>
      <c r="D20" s="18">
        <f t="shared" si="13"/>
        <v>18</v>
      </c>
      <c r="E20" s="101">
        <f>IF($A20&lt;='Alternative 3'!$B$27, IF($A20='Alternative 3'!$B$27,0,E21+1),0)</f>
        <v>0</v>
      </c>
      <c r="F20" s="101">
        <f>IF($A20&lt;=('Alternative 3'!$B$28), IF($A20=ROUNDDOWN('Alternative 3'!$B$28,0),0,F21+1),0)</f>
        <v>4</v>
      </c>
      <c r="G20" s="101">
        <f>IF($A20&lt;=('Alternative 3'!$B$29), IF($A20=ROUNDDOWN('Alternative 3'!$B$29,0),0,G21+1),0)</f>
        <v>10</v>
      </c>
      <c r="H20" s="18">
        <f t="shared" si="14"/>
        <v>18</v>
      </c>
      <c r="J20" s="104">
        <f t="shared" si="15"/>
        <v>17</v>
      </c>
      <c r="K20" s="104">
        <f t="shared" si="16"/>
        <v>0.29670597283903605</v>
      </c>
      <c r="L20" s="105">
        <f>'Alternative 3'!$B$27*SIN(K20)+'Alternative 3'!$B$28*SIN(K20)+'Alternative 3'!$B$29*SIN(K20)</f>
        <v>19.585980499376134</v>
      </c>
      <c r="M20" s="104">
        <f>(('Alternative 3'!$B$27)*(((('Alternative 3'!$B$28-'Alternative 3'!$B$27)/2)+'Alternative 3'!$B$27)*'Alternative 3'!$B$39)*COS('Alternative 3-Tilt Up (3pt)'!K20))+(('Alternative 3'!$B$28)*((('Alternative 3'!$B$28-'Alternative 3'!$B$27)/2)+(('Alternative 3'!$B$29-'Alternative 3'!$B$28)/2))*('Alternative 3'!$B$39)*COS('Alternative 3-Tilt Up (3pt)'!K20))+(('Alternative 3'!$B$29)*((('Alternative 3'!$B$12-'Alternative 3'!$B$29+(('Alternative 3'!$B$29-'Alternative 3'!$B$28)/2)*('Alternative 3'!$B$39)*COS('Alternative 3-Tilt Up (3pt)'!K20)))))</f>
        <v>2149351.9633172508</v>
      </c>
      <c r="N20" s="104">
        <f t="shared" si="0"/>
        <v>329217.9265754472</v>
      </c>
      <c r="O20" s="104">
        <f>(((('Alternative 3'!$B$28-'Alternative 3'!$B$27)/2)+'Alternative 3'!$B$27)*('Alternative 3'!$B$39)*COS('Alternative 3-Tilt Up (3pt)'!K20))+(((('Alternative 3'!$B$28-'Alternative 3'!$B$27)/2)+(('Alternative 3'!$B$29-'Alternative 3'!$B$28)/2))*('Alternative 3'!$B$39)*COS('Alternative 3-Tilt Up (3pt)'!K20))+(((('Alternative 3'!$B$12-'Alternative 3'!$B$29)+(('Alternative 3'!$B$29-'Alternative 3'!$B$28)/2))*('Alternative 3'!$B$39)*COS('Alternative 3-Tilt Up (3pt)'!K20)))</f>
        <v>139634.79906935536</v>
      </c>
      <c r="P20" s="104">
        <f t="shared" si="1"/>
        <v>314832.66893238953</v>
      </c>
      <c r="R20" s="105">
        <f>'Alternative 3'!$B$39*$B20*$C20*COS($K$5)-($N$5/3)*$E20*SIN($K$5)-($N$5/3)*$F20*SIN($K$5)-($N$5/3)*$G20*SIN($K$5)</f>
        <v>206007.37395609933</v>
      </c>
      <c r="S20" s="106">
        <f>IF(($A20&lt;'Alternative 3'!$B$27),(($H20*'Alternative 3'!$B$39)+(3*($N$5/3)*COS($K$5))),IF(($A20&lt;'Alternative 3'!$B$28),(($H20*'Alternative 3'!$B$39)+(2*(($N$5/3)*COS($K$5)))),IF(($A20&lt;'Alternative 3'!$B$29),(($H$3*'Alternative 3'!$B$39+(($N$5/3)*COS($K$5)))),($H20*'Alternative 3'!$B$39))))</f>
        <v>1995447.0417839536</v>
      </c>
      <c r="T20" s="105">
        <f>R20*'Alternative 3'!$K21/'Alternative 3'!$L21</f>
        <v>3278711.9572588936</v>
      </c>
      <c r="U20" s="105">
        <f>S20/'Alternative 3'!$M21</f>
        <v>863673.66833559354</v>
      </c>
      <c r="V20" s="105">
        <f t="shared" si="2"/>
        <v>4.1423856255944873</v>
      </c>
      <c r="X20" s="105">
        <f>'Alternative 3'!$B$39*$B20*$C20*COS($K$13)-($N$12/3)*$E20*SIN($K$13)-($N$12/3)*$F20*SIN($K$13)-($N$12/3)*$G20*SIN($K$13)</f>
        <v>150598.50114138634</v>
      </c>
      <c r="Y20" s="106">
        <f>IF(($A20&lt;'Alternative 3'!$B$27),(($H20*'Alternative 3'!$B$39)+(3*($N$12/3)*COS($K$13))),IF(($A20&lt;'Alternative 3'!$B$28),(($H20*'Alternative 3'!$B$39)+(2*(($N$12/3)*COS($K$13)))),IF(($A20&lt;'Alternative 3'!$B$29),(($H$3*'Alternative 3'!$B$39+(($N$12/3)*COS($K$13)))),($H20*'Alternative 3'!$B$39))))</f>
        <v>492317.15380681166</v>
      </c>
      <c r="Z20" s="105">
        <f>X20*'Alternative 3'!$K21/'Alternative 3'!$L21</f>
        <v>2396851.6124221548</v>
      </c>
      <c r="AA20" s="105">
        <f>Y20/'Alternative 3'!$M21</f>
        <v>213085.76640186479</v>
      </c>
      <c r="AB20" s="105">
        <f t="shared" si="3"/>
        <v>2.6099373788240192</v>
      </c>
      <c r="AD20" s="105">
        <f>'Alternative 3'!$B$39*$B20*$C20*COS($K$23)-($N$22/3)*$E20*SIN($K$23)-($N$22/3)*$F20*SIN($K$23)-($N$22/3)*$G20*SIN($K$23)</f>
        <v>168520.30455766286</v>
      </c>
      <c r="AE20" s="106">
        <f>IF(($A20&lt;'Alternative 3'!$B$27),(($H20*'Alternative 3'!$B$39)+(3*($N$22/3)*COS($K$23))),IF(($A20&lt;'Alternative 3'!$B$28),(($H20*'Alternative 3'!$B$39)+(2*(($N$22/3)*COS($K$23)))),IF(($A20&lt;'Alternative 3'!$B$29),(($H$3*'Alternative 3'!$B$39+(($N$22/3)*COS($K$23)))),($H20*'Alternative 3'!$B$39))))</f>
        <v>258217.55789425664</v>
      </c>
      <c r="AF20" s="105">
        <f>AD20*'Alternative 3'!$K21/'Alternative 3'!$L21</f>
        <v>2682086.2136316784</v>
      </c>
      <c r="AG20" s="105">
        <f>AE20/'Alternative 3'!$M21</f>
        <v>111762.27721674458</v>
      </c>
      <c r="AH20" s="105">
        <f t="shared" si="4"/>
        <v>2.7938484908484229</v>
      </c>
      <c r="AJ20" s="105">
        <f>'Alternative 3'!$B$39*$B20*$C20*COS($K$33)-($N$32/3)*$E20*SIN($K$33)-($N$32/3)*$F20*SIN($K$33)-($N$32/3)*$G20*SIN($K$33)</f>
        <v>161602.71603793633</v>
      </c>
      <c r="AK20" s="106">
        <f>IF(($A20&lt;'Alternative 3'!$B$27),(($H20*'Alternative 3'!$B$39)+(3*($N$32/3)*COS($K$33))),IF(($A20&lt;'Alternative 3'!$B$28),(($H20*'Alternative 3'!$B$39)+(2*(($N$32/3)*COS($K$33)))),IF(($A20&lt;'Alternative 3'!$B$29),(($H$3*'Alternative 3'!$B$39+(($N$32/3)*COS($K$33)))),($H20*'Alternative 3'!$B$39))))</f>
        <v>179930.10447385343</v>
      </c>
      <c r="AL20" s="105">
        <f>AJ20*'Alternative 3'!$K21/'Alternative 3'!$L21</f>
        <v>2571989.2799177542</v>
      </c>
      <c r="AM20" s="105">
        <f>AK20/'Alternative 3'!$M21</f>
        <v>77877.733721266442</v>
      </c>
      <c r="AN20" s="105">
        <f t="shared" si="5"/>
        <v>2.6498670136390206</v>
      </c>
      <c r="AP20" s="105">
        <f>'Alternative 3'!$B$39*$B20*$C20*COS($K$43)-($N$42/3)*$E20*SIN($K$43)-($N$42/3)*$F20*SIN($K$43)-($N$42/3)*$G20*SIN($K$43)</f>
        <v>144872.36725410732</v>
      </c>
      <c r="AQ20" s="106">
        <f>IF(($A20&lt;'Alternative 3'!$B$27),(($H20*'Alternative 3'!$B$39)+(3*($N$42/3)*COS($K$43))),IF(($A20&lt;'Alternative 3'!$B$28),(($H20*'Alternative 3'!$B$39)+(2*(($N$42/3)*COS($K$43)))),IF(($A20&lt;'Alternative 3'!$B$29),(($H$3*'Alternative 3'!$B$39+(($N$42/3)*COS($K$43)))),($H20*'Alternative 3'!$B$39))))</f>
        <v>138571.58644360819</v>
      </c>
      <c r="AR20" s="105">
        <f>AP20*'Alternative 3'!$K21/'Alternative 3'!$L21</f>
        <v>2305717.2841476346</v>
      </c>
      <c r="AS20" s="105">
        <f>AQ20/'Alternative 3'!$M21</f>
        <v>59976.851244239471</v>
      </c>
      <c r="AT20" s="105">
        <f t="shared" si="6"/>
        <v>2.3656941353918741</v>
      </c>
      <c r="AV20" s="105">
        <f>'Alternative 3'!$B$39*$B20*$C20*COS($K$53)-($N$52/3)*$E20*SIN($K$53)-($N$52/3)*$F20*SIN($K$53)-($N$52/3)*$G20*SIN($K$53)</f>
        <v>121624.62744807862</v>
      </c>
      <c r="AW20" s="106">
        <f>IF(($A20&lt;'Alternative 3'!$B$27),(($H20*'Alternative 3'!$B$39)+(3*($N$52/3)*COS($K$53))),IF(($A20&lt;'Alternative 3'!$B$28),(($H20*'Alternative 3'!$B$39)+(2*(($N$52/3)*COS($K$53)))),IF(($A20&lt;'Alternative 3'!$B$29),(($H$3*'Alternative 3'!$B$39+(($N$52/3)*COS($K$53)))),($H20*'Alternative 3'!$B$39))))</f>
        <v>112588.85915325425</v>
      </c>
      <c r="AX20" s="105">
        <f>AV20*'Alternative 3'!$K21/'Alternative 3'!$L21</f>
        <v>1935717.7010379878</v>
      </c>
      <c r="AY20" s="105">
        <f>AW20/'Alternative 3'!$M21</f>
        <v>48730.951492291577</v>
      </c>
      <c r="AZ20" s="105">
        <f t="shared" si="7"/>
        <v>1.9844486525302796</v>
      </c>
      <c r="BB20" s="105">
        <f>'Alternative 3'!$B$39*$B20*$C20*COS($K$63)-($N$62/3)*$E20*SIN($K$63)-($N$62/3)*$F20*SIN($K$63)-($N$62/3)*$G20*SIN($K$63)</f>
        <v>93484.365890907298</v>
      </c>
      <c r="BC20" s="106">
        <f>IF(($A20&lt;'Alternative 3'!$B$27),(($H20*'Alternative 3'!$B$39)+(3*($N$62/3)*COS($K$63))),IF(($A20&lt;'Alternative 3'!$B$28),(($H20*'Alternative 3'!$B$39)+(2*(($N$62/3)*COS($K$63)))),IF(($A20&lt;'Alternative 3'!$B$29),(($H$3*'Alternative 3'!$B$39+(($N$62/3)*COS($K$63)))),($H20*'Alternative 3'!$B$39))))</f>
        <v>95254.145825445259</v>
      </c>
      <c r="BD20" s="105">
        <f>BB20*'Alternative 3'!$K21/'Alternative 3'!$L21</f>
        <v>1487851.1500690305</v>
      </c>
      <c r="BE20" s="105">
        <f>BC20/'Alternative 3'!$M21</f>
        <v>41228.103691334676</v>
      </c>
      <c r="BF20" s="105">
        <f t="shared" si="8"/>
        <v>1.529079253760365</v>
      </c>
      <c r="BH20" s="105">
        <f>'Alternative 3'!$B$39*$B20*$C20*COS($K$73)-($N$72/3)*$E20*SIN($K$73)-($N$72/3)*$F20*SIN($K$73)-($N$72/3)*$G20*SIN($K$73)</f>
        <v>61696.359651058694</v>
      </c>
      <c r="BI20" s="106">
        <f>IF(($A20&lt;'Alternative 3'!$B$27),(($H20*'Alternative 3'!$B$39)+(3*($N$72/3)*COS($K$73))),IF(($A20&lt;'Alternative 3'!$B$28),(($H20*'Alternative 3'!$B$39)+(2*(($N$72/3)*COS($K$73)))),IF(($A20&lt;'Alternative 3'!$B$29),(($H$3*'Alternative 3'!$B$39+(($N$72/3)*COS($K$73)))),($H20*'Alternative 3'!$B$39))))</f>
        <v>83904.334145763307</v>
      </c>
      <c r="BJ20" s="105">
        <f>BH20*'Alternative 3'!$K21/'Alternative 3'!$L21</f>
        <v>981928.89032398723</v>
      </c>
      <c r="BK20" s="105">
        <f>BI20/'Alternative 3'!$M21</f>
        <v>36315.653857764803</v>
      </c>
      <c r="BL20" s="105">
        <f t="shared" si="9"/>
        <v>1.018244544181752</v>
      </c>
      <c r="BN20" s="105">
        <f>'Alternative 3'!$B$39*$B20*$C20*COS($K$83)-($N$82/3)*$E20*SIN($K$83)-($N$82/3)*$F20*SIN($K$83)-($N$82/3)*$G20*SIN($K$83)</f>
        <v>27412.826336129314</v>
      </c>
      <c r="BO20" s="106">
        <f>IF(($A20&lt;'Alternative 3'!$B$27),(($H20*'Alternative 3'!$B$39)+(3*($N$82/3)*COS($K$83))),IF(($A20&lt;'Alternative 3'!$B$28),(($H20*'Alternative 3'!$B$39)+(2*(($N$82/3)*COS($K$83)))),IF(($A20&lt;'Alternative 3'!$B$29),(($H$3*'Alternative 3'!$B$39+(($N$82/3)*COS($K$83)))),($H20*'Alternative 3'!$B$39))))</f>
        <v>77359.099845188888</v>
      </c>
      <c r="BP20" s="105">
        <f>BN20*'Alternative 3'!$K21/'Alternative 3'!$L21</f>
        <v>436289.05006906245</v>
      </c>
      <c r="BQ20" s="105">
        <f>BO20/'Alternative 3'!$M21</f>
        <v>33482.731509978883</v>
      </c>
      <c r="BR20" s="105">
        <f t="shared" si="10"/>
        <v>0.46977178157904131</v>
      </c>
      <c r="BT20" s="105">
        <f>'Alternative 3'!$B$39*$B20*$C20*COS($K$93)-($K$92/3)*$E20*SIN($K$93)-($K$92/3)*$F20*SIN($K$93)-($K$92/3)*$G20*SIN($K$93)</f>
        <v>-7.2489341599083819</v>
      </c>
      <c r="BU20" s="106">
        <f>IF(($A20&lt;'Alternative 3'!$B$27),(($H20*'Alternative 3'!$B$39)+(3*($N$92/3)*COS($K$93))),IF(($A20&lt;'Alternative 3'!$B$28),(($H20*'Alternative 3'!$B$39)+(2*(($N$92/3)*COS($K$93)))),IF(($A20&lt;'Alternative 3'!$B$29),(($H$3*'Alternative 3'!$B$39+(($N$92/3)*COS($K$93)))),($H20*'Alternative 3'!$B$39))))</f>
        <v>75093.407128575869</v>
      </c>
      <c r="BV20" s="105">
        <f>BT20*'Alternative 3'!$K21/'Alternative 3'!$L21</f>
        <v>-115.37046781897673</v>
      </c>
      <c r="BW20" s="105">
        <f>BU20/'Alternative 3'!$M21</f>
        <v>32502.089529057666</v>
      </c>
      <c r="BX20" s="105">
        <f t="shared" si="11"/>
        <v>3.2386719061238689E-2</v>
      </c>
      <c r="BZ20" s="104">
        <v>150</v>
      </c>
      <c r="CA20" s="104">
        <v>-150</v>
      </c>
    </row>
    <row r="21" spans="1:79" ht="15" customHeight="1" x14ac:dyDescent="0.25">
      <c r="A21" s="18">
        <f>IF('Alternative 3'!F22&gt;0,'Alternative 3'!F22,"x")</f>
        <v>19</v>
      </c>
      <c r="B21" s="18">
        <f t="shared" si="17"/>
        <v>17</v>
      </c>
      <c r="C21" s="18">
        <f t="shared" si="12"/>
        <v>8.5</v>
      </c>
      <c r="D21" s="18">
        <f t="shared" si="13"/>
        <v>19</v>
      </c>
      <c r="E21" s="101">
        <f>IF($A21&lt;='Alternative 3'!$B$27, IF($A21='Alternative 3'!$B$27,0,E22+1),0)</f>
        <v>0</v>
      </c>
      <c r="F21" s="101">
        <f>IF($A21&lt;=('Alternative 3'!$B$28), IF($A21=ROUNDDOWN('Alternative 3'!$B$28,0),0,F22+1),0)</f>
        <v>3</v>
      </c>
      <c r="G21" s="101">
        <f>IF($A21&lt;=('Alternative 3'!$B$29), IF($A21=ROUNDDOWN('Alternative 3'!$B$29,0),0,G22+1),0)</f>
        <v>9</v>
      </c>
      <c r="H21" s="18">
        <f t="shared" si="14"/>
        <v>17</v>
      </c>
      <c r="J21" s="104">
        <f t="shared" si="15"/>
        <v>18</v>
      </c>
      <c r="K21" s="104">
        <f t="shared" si="16"/>
        <v>0.31415926535897931</v>
      </c>
      <c r="L21" s="105">
        <f>'Alternative 3'!$B$27*SIN(K21)+'Alternative 3'!$B$28*SIN(K21)+'Alternative 3'!$B$29*SIN(K21)</f>
        <v>20.701048453177727</v>
      </c>
      <c r="M21" s="104">
        <f>(('Alternative 3'!$B$27)*(((('Alternative 3'!$B$28-'Alternative 3'!$B$27)/2)+'Alternative 3'!$B$27)*'Alternative 3'!$B$39)*COS('Alternative 3-Tilt Up (3pt)'!K21))+(('Alternative 3'!$B$28)*((('Alternative 3'!$B$28-'Alternative 3'!$B$27)/2)+(('Alternative 3'!$B$29-'Alternative 3'!$B$28)/2))*('Alternative 3'!$B$39)*COS('Alternative 3-Tilt Up (3pt)'!K21))+(('Alternative 3'!$B$29)*((('Alternative 3'!$B$12-'Alternative 3'!$B$29+(('Alternative 3'!$B$29-'Alternative 3'!$B$28)/2)*('Alternative 3'!$B$39)*COS('Alternative 3-Tilt Up (3pt)'!K21)))))</f>
        <v>2137557.2289132345</v>
      </c>
      <c r="N21" s="104">
        <f t="shared" si="0"/>
        <v>309775.21265379788</v>
      </c>
      <c r="O21" s="104">
        <f>(((('Alternative 3'!$B$28-'Alternative 3'!$B$27)/2)+'Alternative 3'!$B$27)*('Alternative 3'!$B$39)*COS('Alternative 3-Tilt Up (3pt)'!K21))+(((('Alternative 3'!$B$28-'Alternative 3'!$B$27)/2)+(('Alternative 3'!$B$29-'Alternative 3'!$B$28)/2))*('Alternative 3'!$B$39)*COS('Alternative 3-Tilt Up (3pt)'!K21))+(((('Alternative 3'!$B$12-'Alternative 3'!$B$29)+(('Alternative 3'!$B$29-'Alternative 3'!$B$28)/2))*('Alternative 3'!$B$39)*COS('Alternative 3-Tilt Up (3pt)'!K21)))</f>
        <v>138868.47757307198</v>
      </c>
      <c r="P21" s="104">
        <f t="shared" si="1"/>
        <v>294613.73458111135</v>
      </c>
      <c r="R21" s="105">
        <f>'Alternative 3'!$B$39*$B21*$C21*COS($K$5)-($N$5/3)*$E21*SIN($K$5)-($N$5/3)*$F21*SIN($K$5)-($N$5/3)*$G21*SIN($K$5)</f>
        <v>200104.59560546151</v>
      </c>
      <c r="S21" s="106">
        <f>IF(($A21&lt;'Alternative 3'!$B$27),(($H21*'Alternative 3'!$B$39)+(3*($N$5/3)*COS($K$5))),IF(($A21&lt;'Alternative 3'!$B$28),(($H21*'Alternative 3'!$B$39)+(2*(($N$5/3)*COS($K$5)))),IF(($A21&lt;'Alternative 3'!$B$29),(($H$3*'Alternative 3'!$B$39+(($N$5/3)*COS($K$5)))),($H21*'Alternative 3'!$B$39))))</f>
        <v>1991275.1858323659</v>
      </c>
      <c r="T21" s="105">
        <f>R21*'Alternative 3'!$K22/'Alternative 3'!$L22</f>
        <v>3184766.2426583595</v>
      </c>
      <c r="U21" s="105">
        <f>S21/'Alternative 3'!$M22</f>
        <v>882027.97011697362</v>
      </c>
      <c r="V21" s="105">
        <f t="shared" si="2"/>
        <v>4.0667942127753332</v>
      </c>
      <c r="X21" s="105">
        <f>'Alternative 3'!$B$39*$B21*$C21*COS($K$13)-($N$12/3)*$E21*SIN($K$13)-($N$12/3)*$F21*SIN($K$13)-($N$12/3)*$G21*SIN($K$13)</f>
        <v>152267.97317549615</v>
      </c>
      <c r="Y21" s="106">
        <f>IF(($A21&lt;'Alternative 3'!$B$27),(($H21*'Alternative 3'!$B$39)+(3*($N$12/3)*COS($K$13))),IF(($A21&lt;'Alternative 3'!$B$28),(($H21*'Alternative 3'!$B$39)+(2*(($N$12/3)*COS($K$13)))),IF(($A21&lt;'Alternative 3'!$B$29),(($H$3*'Alternative 3'!$B$39+(($N$12/3)*COS($K$13)))),($H21*'Alternative 3'!$B$39))))</f>
        <v>488145.29785522411</v>
      </c>
      <c r="Z21" s="105">
        <f>X21*'Alternative 3'!$K22/'Alternative 3'!$L22</f>
        <v>2423422.1075235177</v>
      </c>
      <c r="AA21" s="105">
        <f>Y21/'Alternative 3'!$M22</f>
        <v>216222.15214288069</v>
      </c>
      <c r="AB21" s="105">
        <f t="shared" si="3"/>
        <v>2.6396442596663983</v>
      </c>
      <c r="AD21" s="105">
        <f>'Alternative 3'!$B$39*$B21*$C21*COS($K$23)-($N$22/3)*$E21*SIN($K$23)-($N$22/3)*$F21*SIN($K$23)-($N$22/3)*$G21*SIN($K$23)</f>
        <v>166567.45518959663</v>
      </c>
      <c r="AE21" s="106">
        <f>IF(($A21&lt;'Alternative 3'!$B$27),(($H21*'Alternative 3'!$B$39)+(3*($N$22/3)*COS($K$23))),IF(($A21&lt;'Alternative 3'!$B$28),(($H21*'Alternative 3'!$B$39)+(2*(($N$22/3)*COS($K$23)))),IF(($A21&lt;'Alternative 3'!$B$29),(($H$3*'Alternative 3'!$B$39+(($N$22/3)*COS($K$23)))),($H21*'Alternative 3'!$B$39))))</f>
        <v>254045.70194266911</v>
      </c>
      <c r="AF21" s="105">
        <f>AD21*'Alternative 3'!$K22/'Alternative 3'!$L22</f>
        <v>2651005.6243748646</v>
      </c>
      <c r="AG21" s="105">
        <f>AE21/'Alternative 3'!$M22</f>
        <v>112528.6029754693</v>
      </c>
      <c r="AH21" s="105">
        <f t="shared" si="4"/>
        <v>2.7635342273503336</v>
      </c>
      <c r="AJ21" s="105">
        <f>'Alternative 3'!$B$39*$B21*$C21*COS($K$33)-($N$32/3)*$E21*SIN($K$33)-($N$32/3)*$F21*SIN($K$33)-($N$32/3)*$G21*SIN($K$33)</f>
        <v>158903.87985861156</v>
      </c>
      <c r="AK21" s="106">
        <f>IF(($A21&lt;'Alternative 3'!$B$27),(($H21*'Alternative 3'!$B$39)+(3*($N$32/3)*COS($K$33))),IF(($A21&lt;'Alternative 3'!$B$28),(($H21*'Alternative 3'!$B$39)+(2*(($N$32/3)*COS($K$33)))),IF(($A21&lt;'Alternative 3'!$B$29),(($H$3*'Alternative 3'!$B$39+(($N$32/3)*COS($K$33)))),($H21*'Alternative 3'!$B$39))))</f>
        <v>175758.24852226587</v>
      </c>
      <c r="AL21" s="105">
        <f>AJ21*'Alternative 3'!$K22/'Alternative 3'!$L22</f>
        <v>2529035.9317831346</v>
      </c>
      <c r="AM21" s="105">
        <f>AK21/'Alternative 3'!$M22</f>
        <v>77851.465371727536</v>
      </c>
      <c r="AN21" s="105">
        <f t="shared" si="5"/>
        <v>2.6068873971548618</v>
      </c>
      <c r="AP21" s="105">
        <f>'Alternative 3'!$B$39*$B21*$C21*COS($K$43)-($N$42/3)*$E21*SIN($K$43)-($N$42/3)*$F21*SIN($K$43)-($N$42/3)*$G21*SIN($K$43)</f>
        <v>142209.91039404285</v>
      </c>
      <c r="AQ21" s="106">
        <f>IF(($A21&lt;'Alternative 3'!$B$27),(($H21*'Alternative 3'!$B$39)+(3*($N$42/3)*COS($K$43))),IF(($A21&lt;'Alternative 3'!$B$28),(($H21*'Alternative 3'!$B$39)+(2*(($N$42/3)*COS($K$43)))),IF(($A21&lt;'Alternative 3'!$B$29),(($H$3*'Alternative 3'!$B$39+(($N$42/3)*COS($K$43)))),($H21*'Alternative 3'!$B$39))))</f>
        <v>134399.73049202067</v>
      </c>
      <c r="AR21" s="105">
        <f>AP21*'Alternative 3'!$K22/'Alternative 3'!$L22</f>
        <v>2263342.9313507308</v>
      </c>
      <c r="AS21" s="105">
        <f>AQ21/'Alternative 3'!$M22</f>
        <v>59531.862955743622</v>
      </c>
      <c r="AT21" s="105">
        <f t="shared" si="6"/>
        <v>2.3228747943064745</v>
      </c>
      <c r="AV21" s="105">
        <f>'Alternative 3'!$B$39*$B21*$C21*COS($K$53)-($N$52/3)*$E21*SIN($K$53)-($N$52/3)*$F21*SIN($K$53)-($N$52/3)*$G21*SIN($K$53)</f>
        <v>119381.66409057626</v>
      </c>
      <c r="AW21" s="106">
        <f>IF(($A21&lt;'Alternative 3'!$B$27),(($H21*'Alternative 3'!$B$39)+(3*($N$52/3)*COS($K$53))),IF(($A21&lt;'Alternative 3'!$B$28),(($H21*'Alternative 3'!$B$39)+(2*(($N$52/3)*COS($K$53)))),IF(($A21&lt;'Alternative 3'!$B$29),(($H$3*'Alternative 3'!$B$39+(($N$52/3)*COS($K$53)))),($H21*'Alternative 3'!$B$39))))</f>
        <v>108417.00320166672</v>
      </c>
      <c r="AX21" s="105">
        <f>AV21*'Alternative 3'!$K22/'Alternative 3'!$L22</f>
        <v>1900019.8003332112</v>
      </c>
      <c r="AY21" s="105">
        <f>AW21/'Alternative 3'!$M22</f>
        <v>48022.910113329664</v>
      </c>
      <c r="AZ21" s="105">
        <f t="shared" si="7"/>
        <v>1.948042710446541</v>
      </c>
      <c r="BB21" s="105">
        <f>'Alternative 3'!$B$39*$B21*$C21*COS($K$63)-($N$62/3)*$E21*SIN($K$63)-($N$62/3)*$F21*SIN($K$63)-($N$62/3)*$G21*SIN($K$63)</f>
        <v>91900.050055614061</v>
      </c>
      <c r="BC21" s="106">
        <f>IF(($A21&lt;'Alternative 3'!$B$27),(($H21*'Alternative 3'!$B$39)+(3*($N$62/3)*COS($K$63))),IF(($A21&lt;'Alternative 3'!$B$28),(($H21*'Alternative 3'!$B$39)+(2*(($N$62/3)*COS($K$63)))),IF(($A21&lt;'Alternative 3'!$B$29),(($H$3*'Alternative 3'!$B$39+(($N$62/3)*COS($K$63)))),($H21*'Alternative 3'!$B$39))))</f>
        <v>91082.289873857721</v>
      </c>
      <c r="BD21" s="105">
        <f>BB21*'Alternative 3'!$K22/'Alternative 3'!$L22</f>
        <v>1462635.9591101012</v>
      </c>
      <c r="BE21" s="105">
        <f>BC21/'Alternative 3'!$M22</f>
        <v>40344.563033091319</v>
      </c>
      <c r="BF21" s="105">
        <f t="shared" si="8"/>
        <v>1.5029805221431927</v>
      </c>
      <c r="BH21" s="105">
        <f>'Alternative 3'!$B$39*$B21*$C21*COS($K$73)-($N$72/3)*$E21*SIN($K$73)-($N$72/3)*$F21*SIN($K$73)-($N$72/3)*$G21*SIN($K$73)</f>
        <v>60934.154191563604</v>
      </c>
      <c r="BI21" s="106">
        <f>IF(($A21&lt;'Alternative 3'!$B$27),(($H21*'Alternative 3'!$B$39)+(3*($N$72/3)*COS($K$73))),IF(($A21&lt;'Alternative 3'!$B$28),(($H21*'Alternative 3'!$B$39)+(2*(($N$72/3)*COS($K$73)))),IF(($A21&lt;'Alternative 3'!$B$29),(($H$3*'Alternative 3'!$B$39+(($N$72/3)*COS($K$73)))),($H21*'Alternative 3'!$B$39))))</f>
        <v>79732.478194175783</v>
      </c>
      <c r="BJ21" s="105">
        <f>BH21*'Alternative 3'!$K22/'Alternative 3'!$L22</f>
        <v>969798.00342443795</v>
      </c>
      <c r="BK21" s="105">
        <f>BI21/'Alternative 3'!$M22</f>
        <v>35317.205976535028</v>
      </c>
      <c r="BL21" s="105">
        <f t="shared" si="9"/>
        <v>1.005115209400973</v>
      </c>
      <c r="BN21" s="105">
        <f>'Alternative 3'!$B$39*$B21*$C21*COS($K$83)-($N$82/3)*$E21*SIN($K$83)-($N$82/3)*$F21*SIN($K$83)-($N$82/3)*$G21*SIN($K$83)</f>
        <v>27584.592537759934</v>
      </c>
      <c r="BO21" s="106">
        <f>IF(($A21&lt;'Alternative 3'!$B$27),(($H21*'Alternative 3'!$B$39)+(3*($N$82/3)*COS($K$83))),IF(($A21&lt;'Alternative 3'!$B$28),(($H21*'Alternative 3'!$B$39)+(2*(($N$82/3)*COS($K$83)))),IF(($A21&lt;'Alternative 3'!$B$29),(($H$3*'Alternative 3'!$B$39+(($N$82/3)*COS($K$83)))),($H21*'Alternative 3'!$B$39))))</f>
        <v>73187.24389360135</v>
      </c>
      <c r="BP21" s="105">
        <f>BN21*'Alternative 3'!$K22/'Alternative 3'!$L22</f>
        <v>439022.79638272233</v>
      </c>
      <c r="BQ21" s="105">
        <f>BO21/'Alternative 3'!$M22</f>
        <v>32418.018679294404</v>
      </c>
      <c r="BR21" s="105">
        <f t="shared" si="10"/>
        <v>0.47144081506201674</v>
      </c>
      <c r="BT21" s="105">
        <f>'Alternative 3'!$B$39*$B21*$C21*COS($K$93)-($K$92/3)*$E21*SIN($K$93)-($K$92/3)*$F21*SIN($K$93)-($K$92/3)*$G21*SIN($K$93)</f>
        <v>-6.213372137062886</v>
      </c>
      <c r="BU21" s="106">
        <f>IF(($A21&lt;'Alternative 3'!$B$27),(($H21*'Alternative 3'!$B$39)+(3*($N$92/3)*COS($K$93))),IF(($A21&lt;'Alternative 3'!$B$28),(($H21*'Alternative 3'!$B$39)+(2*(($N$92/3)*COS($K$93)))),IF(($A21&lt;'Alternative 3'!$B$29),(($H$3*'Alternative 3'!$B$39+(($N$92/3)*COS($K$93)))),($H21*'Alternative 3'!$B$39))))</f>
        <v>70921.551176988331</v>
      </c>
      <c r="BV21" s="105">
        <f>BT21*'Alternative 3'!$K22/'Alternative 3'!$L22</f>
        <v>-98.888972416242837</v>
      </c>
      <c r="BW21" s="105">
        <f>BU21/'Alternative 3'!$M22</f>
        <v>31414.438480052555</v>
      </c>
      <c r="BX21" s="105">
        <f t="shared" si="11"/>
        <v>3.1315549507636313E-2</v>
      </c>
      <c r="BZ21" s="104">
        <v>150</v>
      </c>
      <c r="CA21" s="104">
        <v>-150</v>
      </c>
    </row>
    <row r="22" spans="1:79" ht="15" customHeight="1" x14ac:dyDescent="0.25">
      <c r="A22" s="18">
        <f>IF('Alternative 3'!F23&gt;0,'Alternative 3'!F23,"x")</f>
        <v>20</v>
      </c>
      <c r="B22" s="18">
        <f t="shared" si="17"/>
        <v>16</v>
      </c>
      <c r="C22" s="18">
        <f t="shared" si="12"/>
        <v>8</v>
      </c>
      <c r="D22" s="18">
        <f t="shared" si="13"/>
        <v>20</v>
      </c>
      <c r="E22" s="101">
        <f>IF($A22&lt;='Alternative 3'!$B$27, IF($A22='Alternative 3'!$B$27,0,E23+1),0)</f>
        <v>0</v>
      </c>
      <c r="F22" s="101">
        <f>IF($A22&lt;=('Alternative 3'!$B$28), IF($A22=ROUNDDOWN('Alternative 3'!$B$28,0),0,F23+1),0)</f>
        <v>2</v>
      </c>
      <c r="G22" s="101">
        <f>IF($A22&lt;=('Alternative 3'!$B$29), IF($A22=ROUNDDOWN('Alternative 3'!$B$29,0),0,G23+1),0)</f>
        <v>8</v>
      </c>
      <c r="H22" s="18">
        <f t="shared" si="14"/>
        <v>16</v>
      </c>
      <c r="J22" s="104">
        <f t="shared" si="15"/>
        <v>19</v>
      </c>
      <c r="K22" s="104">
        <f t="shared" si="16"/>
        <v>0.33161255787892258</v>
      </c>
      <c r="L22" s="105">
        <f>'Alternative 3'!$B$27*SIN(K22)+'Alternative 3'!$B$28*SIN(K22)+'Alternative 3'!$B$29*SIN(K22)</f>
        <v>21.809810667084925</v>
      </c>
      <c r="M22" s="104">
        <f>(('Alternative 3'!$B$27)*(((('Alternative 3'!$B$28-'Alternative 3'!$B$27)/2)+'Alternative 3'!$B$27)*'Alternative 3'!$B$39)*COS('Alternative 3-Tilt Up (3pt)'!K22))+(('Alternative 3'!$B$28)*((('Alternative 3'!$B$28-'Alternative 3'!$B$27)/2)+(('Alternative 3'!$B$29-'Alternative 3'!$B$28)/2))*('Alternative 3'!$B$39)*COS('Alternative 3-Tilt Up (3pt)'!K22))+(('Alternative 3'!$B$29)*((('Alternative 3'!$B$12-'Alternative 3'!$B$29+(('Alternative 3'!$B$29-'Alternative 3'!$B$28)/2)*('Alternative 3'!$B$39)*COS('Alternative 3-Tilt Up (3pt)'!K22)))))</f>
        <v>2125111.4292192305</v>
      </c>
      <c r="N22" s="109">
        <f t="shared" si="0"/>
        <v>292314.97627254785</v>
      </c>
      <c r="O22" s="104">
        <f>(((('Alternative 3'!$B$28-'Alternative 3'!$B$27)/2)+'Alternative 3'!$B$27)*('Alternative 3'!$B$39)*COS('Alternative 3-Tilt Up (3pt)'!K22))+(((('Alternative 3'!$B$28-'Alternative 3'!$B$27)/2)+(('Alternative 3'!$B$29-'Alternative 3'!$B$28)/2))*('Alternative 3'!$B$39)*COS('Alternative 3-Tilt Up (3pt)'!K22))+(((('Alternative 3'!$B$12-'Alternative 3'!$B$29)+(('Alternative 3'!$B$29-'Alternative 3'!$B$28)/2))*('Alternative 3'!$B$39)*COS('Alternative 3-Tilt Up (3pt)'!K22)))</f>
        <v>138059.8553932707</v>
      </c>
      <c r="P22" s="104">
        <f t="shared" si="1"/>
        <v>276389.23999156756</v>
      </c>
      <c r="R22" s="105">
        <f>'Alternative 3'!$B$39*$B22*$C22*COS($K$5)-($N$5/3)*$E22*SIN($K$5)-($N$5/3)*$F22*SIN($K$5)-($N$5/3)*$G22*SIN($K$5)</f>
        <v>198371.13182448508</v>
      </c>
      <c r="S22" s="106">
        <f>IF(($A22&lt;'Alternative 3'!$B$27),(($H22*'Alternative 3'!$B$39)+(3*($N$5/3)*COS($K$5))),IF(($A22&lt;'Alternative 3'!$B$28),(($H22*'Alternative 3'!$B$39)+(2*(($N$5/3)*COS($K$5)))),IF(($A22&lt;'Alternative 3'!$B$29),(($H$3*'Alternative 3'!$B$39+(($N$5/3)*COS($K$5)))),($H22*'Alternative 3'!$B$39))))</f>
        <v>1987103.3298807784</v>
      </c>
      <c r="T22" s="105">
        <f>R22*'Alternative 3'!$K23/'Alternative 3'!$L23</f>
        <v>3157177.2864136486</v>
      </c>
      <c r="U22" s="105">
        <f>S22/'Alternative 3'!$M23</f>
        <v>901012.00530632085</v>
      </c>
      <c r="V22" s="105">
        <f t="shared" si="2"/>
        <v>4.0581892917199696</v>
      </c>
      <c r="X22" s="105">
        <f>'Alternative 3'!$B$39*$B22*$C22*COS($K$13)-($N$12/3)*$E22*SIN($K$13)-($N$12/3)*$F22*SIN($K$13)-($N$12/3)*$G22*SIN($K$13)</f>
        <v>158045.92129517946</v>
      </c>
      <c r="Y22" s="106">
        <f>IF(($A22&lt;'Alternative 3'!$B$27),(($H22*'Alternative 3'!$B$39)+(3*($N$12/3)*COS($K$13))),IF(($A22&lt;'Alternative 3'!$B$28),(($H22*'Alternative 3'!$B$39)+(2*(($N$12/3)*COS($K$13)))),IF(($A22&lt;'Alternative 3'!$B$29),(($H$3*'Alternative 3'!$B$39+(($N$12/3)*COS($K$13)))),($H22*'Alternative 3'!$B$39))))</f>
        <v>483973.44190363656</v>
      </c>
      <c r="Z22" s="105">
        <f>X22*'Alternative 3'!$K23/'Alternative 3'!$L23</f>
        <v>2515381.0856155553</v>
      </c>
      <c r="AA22" s="105">
        <f>Y22/'Alternative 3'!$M23</f>
        <v>219448.01503138777</v>
      </c>
      <c r="AB22" s="105">
        <f t="shared" si="3"/>
        <v>2.7348291006469427</v>
      </c>
      <c r="AD22" s="105">
        <f>'Alternative 3'!$B$39*$B22*$C22*COS($K$23)-($N$22/3)*$E22*SIN($K$23)-($N$22/3)*$F22*SIN($K$23)-($N$22/3)*$G22*SIN($K$23)</f>
        <v>168534.86807421909</v>
      </c>
      <c r="AE22" s="106">
        <f>IF(($A22&lt;'Alternative 3'!$B$27),(($H22*'Alternative 3'!$B$39)+(3*($N$22/3)*COS($K$23))),IF(($A22&lt;'Alternative 3'!$B$28),(($H22*'Alternative 3'!$B$39)+(2*(($N$22/3)*COS($K$23)))),IF(($A22&lt;'Alternative 3'!$B$29),(($H$3*'Alternative 3'!$B$39+(($N$22/3)*COS($K$23)))),($H22*'Alternative 3'!$B$39))))</f>
        <v>249873.84599108156</v>
      </c>
      <c r="AF22" s="105">
        <f>AD22*'Alternative 3'!$K23/'Alternative 3'!$L23</f>
        <v>2682317.9993923316</v>
      </c>
      <c r="AG22" s="105">
        <f>AE22/'Alternative 3'!$M23</f>
        <v>113300.26559994493</v>
      </c>
      <c r="AH22" s="105">
        <f t="shared" si="4"/>
        <v>2.7956182649922767</v>
      </c>
      <c r="AJ22" s="105">
        <f>'Alternative 3'!$B$39*$B22*$C22*COS($K$33)-($N$32/3)*$E22*SIN($K$33)-($N$32/3)*$F22*SIN($K$33)-($N$32/3)*$G22*SIN($K$33)</f>
        <v>159817.97691429086</v>
      </c>
      <c r="AK22" s="106">
        <f>IF(($A22&lt;'Alternative 3'!$B$27),(($H22*'Alternative 3'!$B$39)+(3*($N$32/3)*COS($K$33))),IF(($A22&lt;'Alternative 3'!$B$28),(($H22*'Alternative 3'!$B$39)+(2*(($N$32/3)*COS($K$33)))),IF(($A22&lt;'Alternative 3'!$B$29),(($H$3*'Alternative 3'!$B$39+(($N$32/3)*COS($K$33)))),($H22*'Alternative 3'!$B$39))))</f>
        <v>171586.39257067832</v>
      </c>
      <c r="AL22" s="105">
        <f>AJ22*'Alternative 3'!$K23/'Alternative 3'!$L23</f>
        <v>2543584.2505592844</v>
      </c>
      <c r="AM22" s="105">
        <f>AK22/'Alternative 3'!$M23</f>
        <v>77802.395742882771</v>
      </c>
      <c r="AN22" s="105">
        <f t="shared" si="5"/>
        <v>2.6213866463021671</v>
      </c>
      <c r="AP22" s="105">
        <f>'Alternative 3'!$B$39*$B22*$C22*COS($K$43)-($N$42/3)*$E22*SIN($K$43)-($N$42/3)*$F22*SIN($K$43)-($N$42/3)*$G22*SIN($K$43)</f>
        <v>142743.28060318486</v>
      </c>
      <c r="AQ22" s="106">
        <f>IF(($A22&lt;'Alternative 3'!$B$27),(($H22*'Alternative 3'!$B$39)+(3*($N$42/3)*COS($K$43))),IF(($A22&lt;'Alternative 3'!$B$28),(($H22*'Alternative 3'!$B$39)+(2*(($N$42/3)*COS($K$43)))),IF(($A22&lt;'Alternative 3'!$B$29),(($H$3*'Alternative 3'!$B$39+(($N$42/3)*COS($K$43)))),($H22*'Alternative 3'!$B$39))))</f>
        <v>130227.8745404331</v>
      </c>
      <c r="AR22" s="105">
        <f>AP22*'Alternative 3'!$K23/'Alternative 3'!$L23</f>
        <v>2271831.7890492529</v>
      </c>
      <c r="AS22" s="105">
        <f>AQ22/'Alternative 3'!$M23</f>
        <v>59049.208273177988</v>
      </c>
      <c r="AT22" s="105">
        <f t="shared" si="6"/>
        <v>2.3308809973224309</v>
      </c>
      <c r="AV22" s="105">
        <f>'Alternative 3'!$B$39*$B22*$C22*COS($K$53)-($N$52/3)*$E22*SIN($K$53)-($N$52/3)*$F22*SIN($K$53)-($N$52/3)*$G22*SIN($K$53)</f>
        <v>119820.31804815144</v>
      </c>
      <c r="AW22" s="106">
        <f>IF(($A22&lt;'Alternative 3'!$B$27),(($H22*'Alternative 3'!$B$39)+(3*($N$52/3)*COS($K$53))),IF(($A22&lt;'Alternative 3'!$B$28),(($H22*'Alternative 3'!$B$39)+(2*(($N$52/3)*COS($K$53)))),IF(($A22&lt;'Alternative 3'!$B$29),(($H$3*'Alternative 3'!$B$39+(($N$52/3)*COS($K$53)))),($H22*'Alternative 3'!$B$39))))</f>
        <v>104245.14725007917</v>
      </c>
      <c r="AX22" s="105">
        <f>AV22*'Alternative 3'!$K23/'Alternative 3'!$L23</f>
        <v>1907001.2007956391</v>
      </c>
      <c r="AY22" s="105">
        <f>AW22/'Alternative 3'!$M23</f>
        <v>47267.863605704835</v>
      </c>
      <c r="AZ22" s="105">
        <f t="shared" si="7"/>
        <v>1.9542690644013438</v>
      </c>
      <c r="BB22" s="105">
        <f>'Alternative 3'!$B$39*$B22*$C22*COS($K$63)-($N$62/3)*$E22*SIN($K$63)-($N$62/3)*$F22*SIN($K$63)-($N$62/3)*$G22*SIN($K$63)</f>
        <v>92401.662196114485</v>
      </c>
      <c r="BC22" s="106">
        <f>IF(($A22&lt;'Alternative 3'!$B$27),(($H22*'Alternative 3'!$B$39)+(3*($N$62/3)*COS($K$63))),IF(($A22&lt;'Alternative 3'!$B$28),(($H22*'Alternative 3'!$B$39)+(2*(($N$62/3)*COS($K$63)))),IF(($A22&lt;'Alternative 3'!$B$29),(($H$3*'Alternative 3'!$B$39+(($N$62/3)*COS($K$63)))),($H22*'Alternative 3'!$B$39))))</f>
        <v>86910.433922270167</v>
      </c>
      <c r="BD22" s="105">
        <f>BB22*'Alternative 3'!$K23/'Alternative 3'!$L23</f>
        <v>1470619.3710209557</v>
      </c>
      <c r="BE22" s="105">
        <f>BC22/'Alternative 3'!$M23</f>
        <v>39407.786788342506</v>
      </c>
      <c r="BF22" s="105">
        <f t="shared" si="8"/>
        <v>1.5100271578092983</v>
      </c>
      <c r="BH22" s="105">
        <f>'Alternative 3'!$B$39*$B22*$C22*COS($K$73)-($N$72/3)*$E22*SIN($K$73)-($N$72/3)*$F22*SIN($K$73)-($N$72/3)*$G22*SIN($K$73)</f>
        <v>61598.807502564436</v>
      </c>
      <c r="BI22" s="106">
        <f>IF(($A22&lt;'Alternative 3'!$B$27),(($H22*'Alternative 3'!$B$39)+(3*($N$72/3)*COS($K$73))),IF(($A22&lt;'Alternative 3'!$B$28),(($H22*'Alternative 3'!$B$39)+(2*(($N$72/3)*COS($K$73)))),IF(($A22&lt;'Alternative 3'!$B$29),(($H$3*'Alternative 3'!$B$39+(($N$72/3)*COS($K$73)))),($H22*'Alternative 3'!$B$39))))</f>
        <v>75560.62224258823</v>
      </c>
      <c r="BJ22" s="105">
        <f>BH22*'Alternative 3'!$K23/'Alternative 3'!$L23</f>
        <v>980376.29834835918</v>
      </c>
      <c r="BK22" s="105">
        <f>BI22/'Alternative 3'!$M23</f>
        <v>34261.443149547995</v>
      </c>
      <c r="BL22" s="105">
        <f t="shared" si="9"/>
        <v>1.0146377414979073</v>
      </c>
      <c r="BN22" s="105">
        <f>'Alternative 3'!$B$39*$B22*$C22*COS($K$83)-($N$82/3)*$E22*SIN($K$83)-($N$82/3)*$F22*SIN($K$83)-($N$82/3)*$G22*SIN($K$83)</f>
        <v>28480.793922872661</v>
      </c>
      <c r="BO22" s="106">
        <f>IF(($A22&lt;'Alternative 3'!$B$27),(($H22*'Alternative 3'!$B$39)+(3*($N$82/3)*COS($K$83))),IF(($A22&lt;'Alternative 3'!$B$28),(($H22*'Alternative 3'!$B$39)+(2*(($N$82/3)*COS($K$83)))),IF(($A22&lt;'Alternative 3'!$B$29),(($H$3*'Alternative 3'!$B$39+(($N$82/3)*COS($K$83)))),($H22*'Alternative 3'!$B$39))))</f>
        <v>69015.387942013796</v>
      </c>
      <c r="BP22" s="105">
        <f>BN22*'Alternative 3'!$K23/'Alternative 3'!$L23</f>
        <v>453286.29647523485</v>
      </c>
      <c r="BQ22" s="105">
        <f>BO22/'Alternative 3'!$M23</f>
        <v>31293.63840900936</v>
      </c>
      <c r="BR22" s="105">
        <f t="shared" si="10"/>
        <v>0.48457993488424422</v>
      </c>
      <c r="BT22" s="105">
        <f>'Alternative 3'!$B$39*$B22*$C22*COS($K$93)-($K$92/3)*$E22*SIN($K$93)-($K$92/3)*$F22*SIN($K$93)-($K$92/3)*$G22*SIN($K$93)</f>
        <v>-5.1778101142171327</v>
      </c>
      <c r="BU22" s="106">
        <f>IF(($A22&lt;'Alternative 3'!$B$27),(($H22*'Alternative 3'!$B$39)+(3*($N$92/3)*COS($K$93))),IF(($A22&lt;'Alternative 3'!$B$28),(($H22*'Alternative 3'!$B$39)+(2*(($N$92/3)*COS($K$93)))),IF(($A22&lt;'Alternative 3'!$B$29),(($H$3*'Alternative 3'!$B$39+(($N$92/3)*COS($K$93)))),($H22*'Alternative 3'!$B$39))))</f>
        <v>66749.695225400777</v>
      </c>
      <c r="BV22" s="105">
        <f>BT22*'Alternative 3'!$K23/'Alternative 3'!$L23</f>
        <v>-82.407477013504831</v>
      </c>
      <c r="BW22" s="105">
        <f>BU22/'Alternative 3'!$M23</f>
        <v>30266.305654186843</v>
      </c>
      <c r="BX22" s="105">
        <f t="shared" si="11"/>
        <v>3.0183898177173339E-2</v>
      </c>
      <c r="BZ22" s="104">
        <v>150</v>
      </c>
      <c r="CA22" s="104">
        <v>-150</v>
      </c>
    </row>
    <row r="23" spans="1:79" ht="15" customHeight="1" x14ac:dyDescent="0.25">
      <c r="A23" s="18">
        <f>IF('Alternative 3'!F24&gt;0,'Alternative 3'!F24,"x")</f>
        <v>21</v>
      </c>
      <c r="B23" s="18">
        <f t="shared" si="17"/>
        <v>15</v>
      </c>
      <c r="C23" s="18">
        <f t="shared" si="12"/>
        <v>7.5</v>
      </c>
      <c r="D23" s="18">
        <f t="shared" si="13"/>
        <v>21</v>
      </c>
      <c r="E23" s="101">
        <f>IF($A23&lt;='Alternative 3'!$B$27, IF($A23='Alternative 3'!$B$27,0,E24+1),0)</f>
        <v>0</v>
      </c>
      <c r="F23" s="101">
        <f>IF($A23&lt;=('Alternative 3'!$B$28), IF($A23=ROUNDDOWN('Alternative 3'!$B$28,0),0,F24+1),0)</f>
        <v>1</v>
      </c>
      <c r="G23" s="101">
        <f>IF($A23&lt;=('Alternative 3'!$B$29), IF($A23=ROUNDDOWN('Alternative 3'!$B$29,0),0,G24+1),0)</f>
        <v>7</v>
      </c>
      <c r="H23" s="18">
        <f t="shared" si="14"/>
        <v>15</v>
      </c>
      <c r="J23" s="104">
        <f t="shared" si="15"/>
        <v>20</v>
      </c>
      <c r="K23" s="109">
        <f t="shared" si="16"/>
        <v>0.3490658503988659</v>
      </c>
      <c r="L23" s="105">
        <f>'Alternative 3'!$B$27*SIN(K23)+'Alternative 3'!$B$28*SIN(K23)+'Alternative 3'!$B$29*SIN(K23)</f>
        <v>22.911929401386548</v>
      </c>
      <c r="M23" s="104">
        <f>(('Alternative 3'!$B$27)*(((('Alternative 3'!$B$28-'Alternative 3'!$B$27)/2)+'Alternative 3'!$B$27)*'Alternative 3'!$B$39)*COS('Alternative 3-Tilt Up (3pt)'!K23))+(('Alternative 3'!$B$28)*((('Alternative 3'!$B$28-'Alternative 3'!$B$27)/2)+(('Alternative 3'!$B$29-'Alternative 3'!$B$28)/2))*('Alternative 3'!$B$39)*COS('Alternative 3-Tilt Up (3pt)'!K23))+(('Alternative 3'!$B$29)*((('Alternative 3'!$B$12-'Alternative 3'!$B$29+(('Alternative 3'!$B$29-'Alternative 3'!$B$28)/2)*('Alternative 3'!$B$39)*COS('Alternative 3-Tilt Up (3pt)'!K23)))))</f>
        <v>2112018.3553463891</v>
      </c>
      <c r="N23" s="104">
        <f t="shared" si="0"/>
        <v>276539.56832006178</v>
      </c>
      <c r="O23" s="104">
        <f>(((('Alternative 3'!$B$28-'Alternative 3'!$B$27)/2)+'Alternative 3'!$B$27)*('Alternative 3'!$B$39)*COS('Alternative 3-Tilt Up (3pt)'!K23))+(((('Alternative 3'!$B$28-'Alternative 3'!$B$27)/2)+(('Alternative 3'!$B$29-'Alternative 3'!$B$28)/2))*('Alternative 3'!$B$39)*COS('Alternative 3-Tilt Up (3pt)'!K23))+(((('Alternative 3'!$B$12-'Alternative 3'!$B$29)+(('Alternative 3'!$B$29-'Alternative 3'!$B$28)/2))*('Alternative 3'!$B$39)*COS('Alternative 3-Tilt Up (3pt)'!K23)))</f>
        <v>137209.17884410077</v>
      </c>
      <c r="P23" s="109">
        <f t="shared" si="1"/>
        <v>259862.19170568264</v>
      </c>
      <c r="R23" s="105">
        <f>'Alternative 3'!$B$39*$B23*$C23*COS($K$5)-($N$5/3)*$E23*SIN($K$5)-($N$5/3)*$F23*SIN($K$5)-($N$5/3)*$G23*SIN($K$5)</f>
        <v>200806.98261317049</v>
      </c>
      <c r="S23" s="106">
        <f>IF(($A23&lt;'Alternative 3'!$B$27),(($H23*'Alternative 3'!$B$39)+(3*($N$5/3)*COS($K$5))),IF(($A23&lt;'Alternative 3'!$B$28),(($H23*'Alternative 3'!$B$39)+(2*(($N$5/3)*COS($K$5)))),IF(($A23&lt;'Alternative 3'!$B$29),(($H$3*'Alternative 3'!$B$39+(($N$5/3)*COS($K$5)))),($H23*'Alternative 3'!$B$39))))</f>
        <v>1982931.4739291908</v>
      </c>
      <c r="T23" s="105">
        <f>R23*'Alternative 3'!$K24/'Alternative 3'!$L24</f>
        <v>3195945.0885247677</v>
      </c>
      <c r="U23" s="105">
        <f>S23/'Alternative 3'!$M24</f>
        <v>920655.41520566889</v>
      </c>
      <c r="V23" s="105">
        <f t="shared" si="2"/>
        <v>4.116600503730437</v>
      </c>
      <c r="X23" s="105">
        <f>'Alternative 3'!$B$39*$B23*$C23*COS($K$13)-($N$12/3)*$E23*SIN($K$13)-($N$12/3)*$F23*SIN($K$13)-($N$12/3)*$G23*SIN($K$13)</f>
        <v>167932.34550043635</v>
      </c>
      <c r="Y23" s="106">
        <f>IF(($A23&lt;'Alternative 3'!$B$27),(($H23*'Alternative 3'!$B$39)+(3*($N$12/3)*COS($K$13))),IF(($A23&lt;'Alternative 3'!$B$28),(($H23*'Alternative 3'!$B$39)+(2*(($N$12/3)*COS($K$13)))),IF(($A23&lt;'Alternative 3'!$B$29),(($H$3*'Alternative 3'!$B$39+(($N$12/3)*COS($K$13)))),($H23*'Alternative 3'!$B$39))))</f>
        <v>479801.585952049</v>
      </c>
      <c r="Z23" s="105">
        <f>X23*'Alternative 3'!$K24/'Alternative 3'!$L24</f>
        <v>2672728.5466982699</v>
      </c>
      <c r="AA23" s="105">
        <f>Y23/'Alternative 3'!$M24</f>
        <v>222767.11734053399</v>
      </c>
      <c r="AB23" s="105">
        <f t="shared" si="3"/>
        <v>2.8954956640388039</v>
      </c>
      <c r="AD23" s="105">
        <f>'Alternative 3'!$B$39*$B23*$C23*COS($K$23)-($N$22/3)*$E23*SIN($K$23)-($N$22/3)*$F23*SIN($K$23)-($N$22/3)*$G23*SIN($K$23)</f>
        <v>174422.54321153002</v>
      </c>
      <c r="AE23" s="106">
        <f>IF(($A23&lt;'Alternative 3'!$B$27),(($H23*'Alternative 3'!$B$39)+(3*($N$22/3)*COS($K$23))),IF(($A23&lt;'Alternative 3'!$B$28),(($H23*'Alternative 3'!$B$39)+(2*(($N$22/3)*COS($K$23)))),IF(($A23&lt;'Alternative 3'!$B$29),(($H$3*'Alternative 3'!$B$39+(($N$22/3)*COS($K$23)))),($H23*'Alternative 3'!$B$39))))</f>
        <v>245701.99003949401</v>
      </c>
      <c r="AF23" s="105">
        <f>AD23*'Alternative 3'!$K24/'Alternative 3'!$L24</f>
        <v>2776023.3386840741</v>
      </c>
      <c r="AG23" s="105">
        <f>AE23/'Alternative 3'!$M24</f>
        <v>114076.99692639362</v>
      </c>
      <c r="AH23" s="105">
        <f t="shared" si="4"/>
        <v>2.8901003356104678</v>
      </c>
      <c r="AJ23" s="105">
        <f>'Alternative 3'!$B$39*$B23*$C23*COS($K$33)-($N$32/3)*$E23*SIN($K$33)-($N$32/3)*$F23*SIN($K$33)-($N$32/3)*$G23*SIN($K$33)</f>
        <v>164345.00720497436</v>
      </c>
      <c r="AK23" s="106">
        <f>IF(($A23&lt;'Alternative 3'!$B$27),(($H23*'Alternative 3'!$B$39)+(3*($N$32/3)*COS($K$33))),IF(($A23&lt;'Alternative 3'!$B$28),(($H23*'Alternative 3'!$B$39)+(2*(($N$32/3)*COS($K$33)))),IF(($A23&lt;'Alternative 3'!$B$29),(($H$3*'Alternative 3'!$B$39+(($N$32/3)*COS($K$33)))),($H23*'Alternative 3'!$B$39))))</f>
        <v>167414.5366190908</v>
      </c>
      <c r="AL23" s="105">
        <f>AJ23*'Alternative 3'!$K24/'Alternative 3'!$L24</f>
        <v>2615634.2362462059</v>
      </c>
      <c r="AM23" s="105">
        <f>AK23/'Alternative 3'!$M24</f>
        <v>77728.908814535069</v>
      </c>
      <c r="AN23" s="105">
        <f t="shared" si="5"/>
        <v>2.6933631450607409</v>
      </c>
      <c r="AP23" s="105">
        <f>'Alternative 3'!$B$39*$B23*$C23*COS($K$43)-($N$42/3)*$E23*SIN($K$43)-($N$42/3)*$F23*SIN($K$43)-($N$42/3)*$G23*SIN($K$43)</f>
        <v>146472.4778815333</v>
      </c>
      <c r="AQ23" s="106">
        <f>IF(($A23&lt;'Alternative 3'!$B$27),(($H23*'Alternative 3'!$B$39)+(3*($N$42/3)*COS($K$43))),IF(($A23&lt;'Alternative 3'!$B$28),(($H23*'Alternative 3'!$B$39)+(2*(($N$42/3)*COS($K$43)))),IF(($A23&lt;'Alternative 3'!$B$29),(($H$3*'Alternative 3'!$B$39+(($N$42/3)*COS($K$43)))),($H23*'Alternative 3'!$B$39))))</f>
        <v>126056.01858884556</v>
      </c>
      <c r="AR23" s="105">
        <f>AP23*'Alternative 3'!$K24/'Alternative 3'!$L24</f>
        <v>2331183.8572432003</v>
      </c>
      <c r="AS23" s="105">
        <f>AQ23/'Alternative 3'!$M24</f>
        <v>58526.559116601798</v>
      </c>
      <c r="AT23" s="105">
        <f t="shared" si="6"/>
        <v>2.3897104163598022</v>
      </c>
      <c r="AV23" s="105">
        <f>'Alternative 3'!$B$39*$B23*$C23*COS($K$53)-($N$52/3)*$E23*SIN($K$53)-($N$52/3)*$F23*SIN($K$53)-($N$52/3)*$G23*SIN($K$53)</f>
        <v>122940.58932080417</v>
      </c>
      <c r="AW23" s="106">
        <f>IF(($A23&lt;'Alternative 3'!$B$27),(($H23*'Alternative 3'!$B$39)+(3*($N$52/3)*COS($K$53))),IF(($A23&lt;'Alternative 3'!$B$28),(($H23*'Alternative 3'!$B$39)+(2*(($N$52/3)*COS($K$53)))),IF(($A23&lt;'Alternative 3'!$B$29),(($H$3*'Alternative 3'!$B$39+(($N$52/3)*COS($K$53)))),($H23*'Alternative 3'!$B$39))))</f>
        <v>100073.29129849162</v>
      </c>
      <c r="AX23" s="105">
        <f>AV23*'Alternative 3'!$K24/'Alternative 3'!$L24</f>
        <v>1956661.9024252715</v>
      </c>
      <c r="AY23" s="105">
        <f>AW23/'Alternative 3'!$M24</f>
        <v>46463.036551055651</v>
      </c>
      <c r="AZ23" s="105">
        <f t="shared" si="7"/>
        <v>2.003124938976327</v>
      </c>
      <c r="BB23" s="105">
        <f>'Alternative 3'!$B$39*$B23*$C23*COS($K$63)-($N$62/3)*$E23*SIN($K$63)-($N$62/3)*$F23*SIN($K$63)-($N$62/3)*$G23*SIN($K$63)</f>
        <v>94989.202312408743</v>
      </c>
      <c r="BC23" s="106">
        <f>IF(($A23&lt;'Alternative 3'!$B$27),(($H23*'Alternative 3'!$B$39)+(3*($N$62/3)*COS($K$63))),IF(($A23&lt;'Alternative 3'!$B$28),(($H23*'Alternative 3'!$B$39)+(2*(($N$62/3)*COS($K$63)))),IF(($A23&lt;'Alternative 3'!$B$29),(($H$3*'Alternative 3'!$B$39+(($N$62/3)*COS($K$63)))),($H23*'Alternative 3'!$B$39))))</f>
        <v>82738.577970682614</v>
      </c>
      <c r="BD23" s="105">
        <f>BB23*'Alternative 3'!$K24/'Alternative 3'!$L24</f>
        <v>1511801.3858015963</v>
      </c>
      <c r="BE23" s="105">
        <f>BC23/'Alternative 3'!$M24</f>
        <v>38414.7010911006</v>
      </c>
      <c r="BF23" s="105">
        <f t="shared" si="8"/>
        <v>1.5502160868926971</v>
      </c>
      <c r="BH23" s="105">
        <f>'Alternative 3'!$B$39*$B23*$C23*COS($K$73)-($N$72/3)*$E23*SIN($K$73)-($N$72/3)*$F23*SIN($K$73)-($N$72/3)*$G23*SIN($K$73)</f>
        <v>63690.319584061363</v>
      </c>
      <c r="BI23" s="106">
        <f>IF(($A23&lt;'Alternative 3'!$B$27),(($H23*'Alternative 3'!$B$39)+(3*($N$72/3)*COS($K$73))),IF(($A23&lt;'Alternative 3'!$B$28),(($H23*'Alternative 3'!$B$39)+(2*(($N$72/3)*COS($K$73)))),IF(($A23&lt;'Alternative 3'!$B$29),(($H$3*'Alternative 3'!$B$39+(($N$72/3)*COS($K$73)))),($H23*'Alternative 3'!$B$39))))</f>
        <v>71388.766291000677</v>
      </c>
      <c r="BJ23" s="105">
        <f>BH23*'Alternative 3'!$K24/'Alternative 3'!$L24</f>
        <v>1013663.7750957535</v>
      </c>
      <c r="BK23" s="105">
        <f>BI23/'Alternative 3'!$M24</f>
        <v>33145.096103814562</v>
      </c>
      <c r="BL23" s="105">
        <f t="shared" si="9"/>
        <v>1.046808871199568</v>
      </c>
      <c r="BN23" s="105">
        <f>'Alternative 3'!$B$39*$B23*$C23*COS($K$83)-($N$82/3)*$E23*SIN($K$83)-($N$82/3)*$F23*SIN($K$83)-($N$82/3)*$G23*SIN($K$83)</f>
        <v>30101.430491467501</v>
      </c>
      <c r="BO23" s="106">
        <f>IF(($A23&lt;'Alternative 3'!$B$27),(($H23*'Alternative 3'!$B$39)+(3*($N$82/3)*COS($K$83))),IF(($A23&lt;'Alternative 3'!$B$28),(($H23*'Alternative 3'!$B$39)+(2*(($N$82/3)*COS($K$83)))),IF(($A23&lt;'Alternative 3'!$B$29),(($H$3*'Alternative 3'!$B$39+(($N$82/3)*COS($K$83)))),($H23*'Alternative 3'!$B$39))))</f>
        <v>64843.531990426243</v>
      </c>
      <c r="BP23" s="105">
        <f>BN23*'Alternative 3'!$K24/'Alternative 3'!$L24</f>
        <v>479079.55034660001</v>
      </c>
      <c r="BQ23" s="105">
        <f>BO23/'Alternative 3'!$M24</f>
        <v>30106.208738396243</v>
      </c>
      <c r="BR23" s="105">
        <f t="shared" si="10"/>
        <v>0.50918575908499619</v>
      </c>
      <c r="BT23" s="105">
        <f>'Alternative 3'!$B$39*$B23*$C23*COS($K$93)-($K$92/3)*$E23*SIN($K$93)-($K$92/3)*$F23*SIN($K$93)-($K$92/3)*$G23*SIN($K$93)</f>
        <v>-4.1422480913711253</v>
      </c>
      <c r="BU23" s="106">
        <f>IF(($A23&lt;'Alternative 3'!$B$27),(($H23*'Alternative 3'!$B$39)+(3*($N$92/3)*COS($K$93))),IF(($A23&lt;'Alternative 3'!$B$28),(($H23*'Alternative 3'!$B$39)+(2*(($N$92/3)*COS($K$93)))),IF(($A23&lt;'Alternative 3'!$B$29),(($H$3*'Alternative 3'!$B$39+(($N$92/3)*COS($K$93)))),($H23*'Alternative 3'!$B$39))))</f>
        <v>62577.839273813232</v>
      </c>
      <c r="BV23" s="105">
        <f>BT23*'Alternative 3'!$K24/'Alternative 3'!$L24</f>
        <v>-65.92598161076279</v>
      </c>
      <c r="BW23" s="105">
        <f>BU23/'Alternative 3'!$M24</f>
        <v>29054.270082841726</v>
      </c>
      <c r="BX23" s="105">
        <f t="shared" si="11"/>
        <v>2.8988344101230964E-2</v>
      </c>
      <c r="BZ23" s="104">
        <v>150</v>
      </c>
      <c r="CA23" s="104">
        <v>-150</v>
      </c>
    </row>
    <row r="24" spans="1:79" ht="15" customHeight="1" x14ac:dyDescent="0.25">
      <c r="A24" s="18">
        <f>IF('Alternative 3'!F25&gt;0,'Alternative 3'!F25,"x")</f>
        <v>22</v>
      </c>
      <c r="B24" s="18">
        <f t="shared" si="17"/>
        <v>14</v>
      </c>
      <c r="C24" s="18">
        <f t="shared" si="12"/>
        <v>7</v>
      </c>
      <c r="D24" s="18">
        <f t="shared" si="13"/>
        <v>22</v>
      </c>
      <c r="E24" s="101">
        <f>IF($A24&lt;='Alternative 3'!$B$27, IF($A24='Alternative 3'!$B$27,0,E25+1),0)</f>
        <v>0</v>
      </c>
      <c r="F24" s="101">
        <f>IF($A24&lt;=('Alternative 3'!$B$28), IF($A24=ROUNDDOWN('Alternative 3'!$B$28,0),0,F25+1),0)</f>
        <v>0</v>
      </c>
      <c r="G24" s="101">
        <f>IF($A24&lt;=('Alternative 3'!$B$29), IF($A24=ROUNDDOWN('Alternative 3'!$B$29,0),0,G25+1),0)</f>
        <v>6</v>
      </c>
      <c r="H24" s="18">
        <f t="shared" si="14"/>
        <v>14</v>
      </c>
      <c r="J24" s="104">
        <f t="shared" si="15"/>
        <v>21</v>
      </c>
      <c r="K24" s="104">
        <f t="shared" si="16"/>
        <v>0.36651914291880922</v>
      </c>
      <c r="L24" s="105">
        <f>'Alternative 3'!$B$27*SIN(K24)+'Alternative 3'!$B$28*SIN(K24)+'Alternative 3'!$B$29*SIN(K24)</f>
        <v>24.007068940039666</v>
      </c>
      <c r="M24" s="104">
        <f>(('Alternative 3'!$B$27)*(((('Alternative 3'!$B$28-'Alternative 3'!$B$27)/2)+'Alternative 3'!$B$27)*'Alternative 3'!$B$39)*COS('Alternative 3-Tilt Up (3pt)'!K24))+(('Alternative 3'!$B$28)*((('Alternative 3'!$B$28-'Alternative 3'!$B$27)/2)+(('Alternative 3'!$B$29-'Alternative 3'!$B$28)/2))*('Alternative 3'!$B$39)*COS('Alternative 3-Tilt Up (3pt)'!K24))+(('Alternative 3'!$B$29)*((('Alternative 3'!$B$12-'Alternative 3'!$B$29+(('Alternative 3'!$B$29-'Alternative 3'!$B$28)/2)*('Alternative 3'!$B$39)*COS('Alternative 3-Tilt Up (3pt)'!K24)))))</f>
        <v>2098281.9955718489</v>
      </c>
      <c r="N24" s="104">
        <f t="shared" si="0"/>
        <v>262208.01891466329</v>
      </c>
      <c r="O24" s="104">
        <f>(((('Alternative 3'!$B$28-'Alternative 3'!$B$27)/2)+'Alternative 3'!$B$27)*('Alternative 3'!$B$39)*COS('Alternative 3-Tilt Up (3pt)'!K24))+(((('Alternative 3'!$B$28-'Alternative 3'!$B$27)/2)+(('Alternative 3'!$B$29-'Alternative 3'!$B$28)/2))*('Alternative 3'!$B$39)*COS('Alternative 3-Tilt Up (3pt)'!K24))+(((('Alternative 3'!$B$12-'Alternative 3'!$B$29)+(('Alternative 3'!$B$29-'Alternative 3'!$B$28)/2))*('Alternative 3'!$B$39)*COS('Alternative 3-Tilt Up (3pt)'!K24)))</f>
        <v>136316.70704987977</v>
      </c>
      <c r="P24" s="104">
        <f t="shared" si="1"/>
        <v>244792.27412933769</v>
      </c>
      <c r="R24" s="105">
        <f>'Alternative 3'!$B$39*$B24*$C24*COS($K$5)-($N$5/3)*$E24*SIN($K$5)-($N$5/3)*$F24*SIN($K$5)-($N$5/3)*$G24*SIN($K$5)</f>
        <v>207412.14797151732</v>
      </c>
      <c r="S24" s="106">
        <f>IF(($A24&lt;'Alternative 3'!$B$27),(($H24*'Alternative 3'!$B$39)+(3*($N$5/3)*COS($K$5))),IF(($A24&lt;'Alternative 3'!$B$28),(($H24*'Alternative 3'!$B$39)+(2*(($N$5/3)*COS($K$5)))),IF(($A24&lt;'Alternative 3'!$B$29),(($H$3*'Alternative 3'!$B$39+(($N$5/3)*COS($K$5)))),($H24*'Alternative 3'!$B$39))))</f>
        <v>1978759.6179776033</v>
      </c>
      <c r="T24" s="105">
        <f>R24*'Alternative 3'!$K25/'Alternative 3'!$L25</f>
        <v>3301069.6489917096</v>
      </c>
      <c r="U24" s="105">
        <f>S24/'Alternative 3'!$M25</f>
        <v>940989.61838354345</v>
      </c>
      <c r="V24" s="105">
        <f t="shared" si="2"/>
        <v>4.2420592673752529</v>
      </c>
      <c r="X24" s="105">
        <f>'Alternative 3'!$B$39*$B24*$C24*COS($K$13)-($N$12/3)*$E24*SIN($K$13)-($N$12/3)*$F24*SIN($K$13)-($N$12/3)*$G24*SIN($K$13)</f>
        <v>181927.24579126673</v>
      </c>
      <c r="Y24" s="106">
        <f>IF(($A24&lt;'Alternative 3'!$B$27),(($H24*'Alternative 3'!$B$39)+(3*($N$12/3)*COS($K$13))),IF(($A24&lt;'Alternative 3'!$B$28),(($H24*'Alternative 3'!$B$39)+(2*(($N$12/3)*COS($K$13)))),IF(($A24&lt;'Alternative 3'!$B$29),(($H$3*'Alternative 3'!$B$39+(($N$12/3)*COS($K$13)))),($H24*'Alternative 3'!$B$39))))</f>
        <v>475629.73000046145</v>
      </c>
      <c r="Z24" s="105">
        <f>X24*'Alternative 3'!$K25/'Alternative 3'!$L25</f>
        <v>2895464.4907716587</v>
      </c>
      <c r="AA24" s="105">
        <f>Y24/'Alternative 3'!$M25</f>
        <v>226183.43029581057</v>
      </c>
      <c r="AB24" s="105">
        <f t="shared" si="3"/>
        <v>3.1216479210674692</v>
      </c>
      <c r="AD24" s="105">
        <f>'Alternative 3'!$B$39*$B24*$C24*COS($K$23)-($N$22/3)*$E24*SIN($K$23)-($N$22/3)*$F24*SIN($K$23)-($N$22/3)*$G24*SIN($K$23)</f>
        <v>184230.48060152959</v>
      </c>
      <c r="AE24" s="106">
        <f>IF(($A24&lt;'Alternative 3'!$B$27),(($H24*'Alternative 3'!$B$39)+(3*($N$22/3)*COS($K$23))),IF(($A24&lt;'Alternative 3'!$B$28),(($H24*'Alternative 3'!$B$39)+(2*(($N$22/3)*COS($K$23)))),IF(($A24&lt;'Alternative 3'!$B$29),(($H$3*'Alternative 3'!$B$39+(($N$22/3)*COS($K$23)))),($H24*'Alternative 3'!$B$39))))</f>
        <v>241530.13408790645</v>
      </c>
      <c r="AF24" s="105">
        <f>AD24*'Alternative 3'!$K25/'Alternative 3'!$L25</f>
        <v>2932121.6422500955</v>
      </c>
      <c r="AG24" s="105">
        <f>AE24/'Alternative 3'!$M25</f>
        <v>114858.49349189499</v>
      </c>
      <c r="AH24" s="105">
        <f t="shared" si="4"/>
        <v>3.0469801357419906</v>
      </c>
      <c r="AJ24" s="105">
        <f>'Alternative 3'!$B$39*$B24*$C24*COS($K$33)-($N$32/3)*$E24*SIN($K$33)-($N$32/3)*$F24*SIN($K$33)-($N$32/3)*$G24*SIN($K$33)</f>
        <v>172484.97073066185</v>
      </c>
      <c r="AK24" s="106">
        <f>IF(($A24&lt;'Alternative 3'!$B$27),(($H24*'Alternative 3'!$B$39)+(3*($N$32/3)*COS($K$33))),IF(($A24&lt;'Alternative 3'!$B$28),(($H24*'Alternative 3'!$B$39)+(2*(($N$32/3)*COS($K$33)))),IF(($A24&lt;'Alternative 3'!$B$29),(($H$3*'Alternative 3'!$B$39+(($N$32/3)*COS($K$33)))),($H24*'Alternative 3'!$B$39))))</f>
        <v>163242.68066750324</v>
      </c>
      <c r="AL24" s="105">
        <f>AJ24*'Alternative 3'!$K25/'Alternative 3'!$L25</f>
        <v>2745185.8888438949</v>
      </c>
      <c r="AM24" s="105">
        <f>AK24/'Alternative 3'!$M25</f>
        <v>77629.271584902104</v>
      </c>
      <c r="AN24" s="105">
        <f t="shared" si="5"/>
        <v>2.8228151604287968</v>
      </c>
      <c r="AP24" s="105">
        <f>'Alternative 3'!$B$39*$B24*$C24*COS($K$43)-($N$42/3)*$E24*SIN($K$43)-($N$42/3)*$F24*SIN($K$43)-($N$42/3)*$G24*SIN($K$43)</f>
        <v>153397.50222908819</v>
      </c>
      <c r="AQ24" s="106">
        <f>IF(($A24&lt;'Alternative 3'!$B$27),(($H24*'Alternative 3'!$B$39)+(3*($N$42/3)*COS($K$43))),IF(($A24&lt;'Alternative 3'!$B$28),(($H24*'Alternative 3'!$B$39)+(2*(($N$42/3)*COS($K$43)))),IF(($A24&lt;'Alternative 3'!$B$29),(($H$3*'Alternative 3'!$B$39+(($N$42/3)*COS($K$43)))),($H24*'Alternative 3'!$B$39))))</f>
        <v>121884.16263725801</v>
      </c>
      <c r="AR24" s="105">
        <f>AP24*'Alternative 3'!$K25/'Alternative 3'!$L25</f>
        <v>2441399.1359325717</v>
      </c>
      <c r="AS24" s="105">
        <f>AQ24/'Alternative 3'!$M25</f>
        <v>57961.427272430468</v>
      </c>
      <c r="AT24" s="105">
        <f t="shared" si="6"/>
        <v>2.4993605632050024</v>
      </c>
      <c r="AV24" s="105">
        <f>'Alternative 3'!$B$39*$B24*$C24*COS($K$53)-($N$52/3)*$E24*SIN($K$53)-($N$52/3)*$F24*SIN($K$53)-($N$52/3)*$G24*SIN($K$53)</f>
        <v>128742.47790853438</v>
      </c>
      <c r="AW24" s="106">
        <f>IF(($A24&lt;'Alternative 3'!$B$27),(($H24*'Alternative 3'!$B$39)+(3*($N$52/3)*COS($K$53))),IF(($A24&lt;'Alternative 3'!$B$28),(($H24*'Alternative 3'!$B$39)+(2*(($N$52/3)*COS($K$53)))),IF(($A24&lt;'Alternative 3'!$B$29),(($H$3*'Alternative 3'!$B$39+(($N$52/3)*COS($K$53)))),($H24*'Alternative 3'!$B$39))))</f>
        <v>95901.435346904065</v>
      </c>
      <c r="AX24" s="105">
        <f>AV24*'Alternative 3'!$K25/'Alternative 3'!$L25</f>
        <v>2049001.9052221067</v>
      </c>
      <c r="AY24" s="105">
        <f>AW24/'Alternative 3'!$M25</f>
        <v>45605.466287890828</v>
      </c>
      <c r="AZ24" s="105">
        <f t="shared" si="7"/>
        <v>2.0946073715099978</v>
      </c>
      <c r="BB24" s="105">
        <f>'Alternative 3'!$B$39*$B24*$C24*COS($K$63)-($N$62/3)*$E24*SIN($K$63)-($N$62/3)*$F24*SIN($K$63)-($N$62/3)*$G24*SIN($K$63)</f>
        <v>99662.670404496734</v>
      </c>
      <c r="BC24" s="106">
        <f>IF(($A24&lt;'Alternative 3'!$B$27),(($H24*'Alternative 3'!$B$39)+(3*($N$62/3)*COS($K$63))),IF(($A24&lt;'Alternative 3'!$B$28),(($H24*'Alternative 3'!$B$39)+(2*(($N$62/3)*COS($K$63)))),IF(($A24&lt;'Alternative 3'!$B$29),(($H$3*'Alternative 3'!$B$39+(($N$62/3)*COS($K$63)))),($H24*'Alternative 3'!$B$39))))</f>
        <v>78566.722019095061</v>
      </c>
      <c r="BD24" s="105">
        <f>BB24*'Alternative 3'!$K25/'Alternative 3'!$L25</f>
        <v>1586182.0034520216</v>
      </c>
      <c r="BE24" s="105">
        <f>BC24/'Alternative 3'!$M25</f>
        <v>37362.026745803028</v>
      </c>
      <c r="BF24" s="105">
        <f t="shared" si="8"/>
        <v>1.6235440301978246</v>
      </c>
      <c r="BH24" s="105">
        <f>'Alternative 3'!$B$39*$B24*$C24*COS($K$73)-($N$72/3)*$E24*SIN($K$73)-($N$72/3)*$F24*SIN($K$73)-($N$72/3)*$G24*SIN($K$73)</f>
        <v>67208.690436054225</v>
      </c>
      <c r="BI24" s="106">
        <f>IF(($A24&lt;'Alternative 3'!$B$27),(($H24*'Alternative 3'!$B$39)+(3*($N$72/3)*COS($K$73))),IF(($A24&lt;'Alternative 3'!$B$28),(($H24*'Alternative 3'!$B$39)+(2*(($N$72/3)*COS($K$73)))),IF(($A24&lt;'Alternative 3'!$B$29),(($H$3*'Alternative 3'!$B$39+(($N$72/3)*COS($K$73)))),($H24*'Alternative 3'!$B$39))))</f>
        <v>67216.910339413123</v>
      </c>
      <c r="BJ24" s="105">
        <f>BH24*'Alternative 3'!$K25/'Alternative 3'!$L25</f>
        <v>1069660.4336666181</v>
      </c>
      <c r="BK24" s="105">
        <f>BI24/'Alternative 3'!$M25</f>
        <v>31964.67839476655</v>
      </c>
      <c r="BL24" s="105">
        <f t="shared" si="9"/>
        <v>1.1016251120613847</v>
      </c>
      <c r="BN24" s="105">
        <f>'Alternative 3'!$B$39*$B24*$C24*COS($K$83)-($N$82/3)*$E24*SIN($K$83)-($N$82/3)*$F24*SIN($K$83)-($N$82/3)*$G24*SIN($K$83)</f>
        <v>32446.502243544448</v>
      </c>
      <c r="BO24" s="106">
        <f>IF(($A24&lt;'Alternative 3'!$B$27),(($H24*'Alternative 3'!$B$39)+(3*($N$82/3)*COS($K$83))),IF(($A24&lt;'Alternative 3'!$B$28),(($H24*'Alternative 3'!$B$39)+(2*(($N$82/3)*COS($K$83)))),IF(($A24&lt;'Alternative 3'!$B$29),(($H$3*'Alternative 3'!$B$39+(($N$82/3)*COS($K$83)))),($H24*'Alternative 3'!$B$39))))</f>
        <v>60671.67603883869</v>
      </c>
      <c r="BP24" s="105">
        <f>BN24*'Alternative 3'!$K25/'Alternative 3'!$L25</f>
        <v>516402.55799681757</v>
      </c>
      <c r="BQ24" s="105">
        <f>BO24/'Alternative 3'!$M25</f>
        <v>28852.123706075643</v>
      </c>
      <c r="BR24" s="105">
        <f t="shared" si="10"/>
        <v>0.54525468170289326</v>
      </c>
      <c r="BT24" s="105">
        <f>'Alternative 3'!$B$39*$B24*$C24*COS($K$93)-($K$92/3)*$E24*SIN($K$93)-($K$92/3)*$F24*SIN($K$93)-($K$92/3)*$G24*SIN($K$93)</f>
        <v>-3.1066860685248625</v>
      </c>
      <c r="BU24" s="106">
        <f>IF(($A24&lt;'Alternative 3'!$B$27),(($H24*'Alternative 3'!$B$39)+(3*($N$92/3)*COS($K$93))),IF(($A24&lt;'Alternative 3'!$B$28),(($H24*'Alternative 3'!$B$39)+(2*(($N$92/3)*COS($K$93)))),IF(($A24&lt;'Alternative 3'!$B$29),(($H$3*'Alternative 3'!$B$39+(($N$92/3)*COS($K$93)))),($H24*'Alternative 3'!$B$39))))</f>
        <v>58405.983322225678</v>
      </c>
      <c r="BV24" s="105">
        <f>BT24*'Alternative 3'!$K25/'Alternative 3'!$L25</f>
        <v>-49.444486208016677</v>
      </c>
      <c r="BW24" s="105">
        <f>BU24/'Alternative 3'!$M25</f>
        <v>27774.68443280047</v>
      </c>
      <c r="BX24" s="105">
        <f t="shared" si="11"/>
        <v>2.7725239946592452E-2</v>
      </c>
      <c r="BZ24" s="104">
        <v>150</v>
      </c>
      <c r="CA24" s="104">
        <v>-150</v>
      </c>
    </row>
    <row r="25" spans="1:79" ht="15" customHeight="1" x14ac:dyDescent="0.25">
      <c r="A25" s="18">
        <f>IF('Alternative 3'!F26&gt;0,'Alternative 3'!F26,"x")</f>
        <v>23</v>
      </c>
      <c r="B25" s="18">
        <f t="shared" si="17"/>
        <v>13</v>
      </c>
      <c r="C25" s="18">
        <f t="shared" si="12"/>
        <v>6.5</v>
      </c>
      <c r="D25" s="18">
        <f t="shared" si="13"/>
        <v>23</v>
      </c>
      <c r="E25" s="101">
        <f>IF($A25&lt;='Alternative 3'!$B$27, IF($A25='Alternative 3'!$B$27,0,E26+1),0)</f>
        <v>0</v>
      </c>
      <c r="F25" s="101">
        <f>IF($A25&lt;=('Alternative 3'!$B$28), IF($A25=ROUNDDOWN('Alternative 3'!$B$28,0),0,F26+1),0)</f>
        <v>0</v>
      </c>
      <c r="G25" s="101">
        <f>IF($A25&lt;=('Alternative 3'!$B$29), IF($A25=ROUNDDOWN('Alternative 3'!$B$29,0),0,G26+1),0)</f>
        <v>5</v>
      </c>
      <c r="H25" s="18">
        <f t="shared" si="14"/>
        <v>13</v>
      </c>
      <c r="J25" s="104">
        <f t="shared" si="15"/>
        <v>22</v>
      </c>
      <c r="K25" s="104">
        <f t="shared" si="16"/>
        <v>0.38397243543875248</v>
      </c>
      <c r="L25" s="105">
        <f>'Alternative 3'!$B$27*SIN(K25)+'Alternative 3'!$B$28*SIN(K25)+'Alternative 3'!$B$29*SIN(K25)</f>
        <v>25.094895692931946</v>
      </c>
      <c r="M25" s="104">
        <f>(('Alternative 3'!$B$27)*(((('Alternative 3'!$B$28-'Alternative 3'!$B$27)/2)+'Alternative 3'!$B$27)*'Alternative 3'!$B$39)*COS('Alternative 3-Tilt Up (3pt)'!K25))+(('Alternative 3'!$B$28)*((('Alternative 3'!$B$28-'Alternative 3'!$B$27)/2)+(('Alternative 3'!$B$29-'Alternative 3'!$B$28)/2))*('Alternative 3'!$B$39)*COS('Alternative 3-Tilt Up (3pt)'!K25))+(('Alternative 3'!$B$29)*((('Alternative 3'!$B$12-'Alternative 3'!$B$29+(('Alternative 3'!$B$29-'Alternative 3'!$B$28)/2)*('Alternative 3'!$B$39)*COS('Alternative 3-Tilt Up (3pt)'!K25)))))</f>
        <v>2083906.534123864</v>
      </c>
      <c r="N25" s="104">
        <f t="shared" si="0"/>
        <v>249123.15551613981</v>
      </c>
      <c r="O25" s="104">
        <f>(((('Alternative 3'!$B$28-'Alternative 3'!$B$27)/2)+'Alternative 3'!$B$27)*('Alternative 3'!$B$39)*COS('Alternative 3-Tilt Up (3pt)'!K25))+(((('Alternative 3'!$B$28-'Alternative 3'!$B$27)/2)+(('Alternative 3'!$B$29-'Alternative 3'!$B$28)/2))*('Alternative 3'!$B$39)*COS('Alternative 3-Tilt Up (3pt)'!K25))+(((('Alternative 3'!$B$12-'Alternative 3'!$B$29)+(('Alternative 3'!$B$29-'Alternative 3'!$B$28)/2))*('Alternative 3'!$B$39)*COS('Alternative 3-Tilt Up (3pt)'!K25)))</f>
        <v>135382.71186616179</v>
      </c>
      <c r="P25" s="104">
        <f t="shared" si="1"/>
        <v>230982.96759329573</v>
      </c>
      <c r="R25" s="105">
        <f>'Alternative 3'!$B$39*$B25*$C25*COS($K$5)-($N$5/3)*$E25*SIN($K$5)-($N$5/3)*$F25*SIN($K$5)-($N$5/3)*$G25*SIN($K$5)</f>
        <v>184656.51459030571</v>
      </c>
      <c r="S25" s="106">
        <f>IF(($A25&lt;'Alternative 3'!$B$27),(($H25*'Alternative 3'!$B$39)+(3*($N$5/3)*COS($K$5))),IF(($A25&lt;'Alternative 3'!$B$28),(($H25*'Alternative 3'!$B$39)+(2*(($N$5/3)*COS($K$5)))),IF(($A25&lt;'Alternative 3'!$B$29),(($H$3*'Alternative 3'!$B$39+(($N$5/3)*COS($K$5)))),($H25*'Alternative 3'!$B$39))))</f>
        <v>1106191.7756332529</v>
      </c>
      <c r="T25" s="105">
        <f>R25*'Alternative 3'!$K26/'Alternative 3'!$L26</f>
        <v>2938902.1895012674</v>
      </c>
      <c r="U25" s="105">
        <f>S25/'Alternative 3'!$M26</f>
        <v>538952.75767954194</v>
      </c>
      <c r="V25" s="105">
        <f t="shared" si="2"/>
        <v>3.4778549471808096</v>
      </c>
      <c r="X25" s="105">
        <f>'Alternative 3'!$B$39*$B25*$C25*COS($K$13)-($N$12/3)*$E25*SIN($K$13)-($N$12/3)*$F25*SIN($K$13)-($N$12/3)*$G25*SIN($K$13)</f>
        <v>163246.72040184727</v>
      </c>
      <c r="Y25" s="106">
        <f>IF(($A25&lt;'Alternative 3'!$B$27),(($H25*'Alternative 3'!$B$39)+(3*($N$12/3)*COS($K$13))),IF(($A25&lt;'Alternative 3'!$B$28),(($H25*'Alternative 3'!$B$39)+(2*(($N$12/3)*COS($K$13)))),IF(($A25&lt;'Alternative 3'!$B$29),(($H$3*'Alternative 3'!$B$39+(($N$12/3)*COS($K$13)))),($H25*'Alternative 3'!$B$39))))</f>
        <v>354626.8316446821</v>
      </c>
      <c r="Z25" s="105">
        <f>X25*'Alternative 3'!$K26/'Alternative 3'!$L26</f>
        <v>2598154.4441166301</v>
      </c>
      <c r="AA25" s="105">
        <f>Y25/'Alternative 3'!$M26</f>
        <v>172779.36165512263</v>
      </c>
      <c r="AB25" s="105">
        <f t="shared" si="3"/>
        <v>2.7709338057717527</v>
      </c>
      <c r="AD25" s="105">
        <f>'Alternative 3'!$B$39*$B25*$C25*COS($K$23)-($N$22/3)*$E25*SIN($K$23)-($N$22/3)*$F25*SIN($K$23)-($N$22/3)*$G25*SIN($K$23)</f>
        <v>164632.81021722566</v>
      </c>
      <c r="AE25" s="106">
        <f>IF(($A25&lt;'Alternative 3'!$B$27),(($H25*'Alternative 3'!$B$39)+(3*($N$22/3)*COS($K$23))),IF(($A25&lt;'Alternative 3'!$B$28),(($H25*'Alternative 3'!$B$39)+(2*(($N$22/3)*COS($K$23)))),IF(($A25&lt;'Alternative 3'!$B$29),(($H$3*'Alternative 3'!$B$39+(($N$22/3)*COS($K$23)))),($H25*'Alternative 3'!$B$39))))</f>
        <v>237577.0336884046</v>
      </c>
      <c r="AF25" s="105">
        <f>AD25*'Alternative 3'!$K26/'Alternative 3'!$L26</f>
        <v>2620214.7673188681</v>
      </c>
      <c r="AG25" s="105">
        <f>AE25/'Alternative 3'!$M26</f>
        <v>115750.99389469918</v>
      </c>
      <c r="AH25" s="105">
        <f t="shared" si="4"/>
        <v>2.735965761213567</v>
      </c>
      <c r="AJ25" s="105">
        <f>'Alternative 3'!$B$39*$B25*$C25*COS($K$33)-($N$32/3)*$E25*SIN($K$33)-($N$32/3)*$F25*SIN($K$33)-($N$32/3)*$G25*SIN($K$33)</f>
        <v>153974.11977472992</v>
      </c>
      <c r="AK25" s="106">
        <f>IF(($A25&lt;'Alternative 3'!$B$27),(($H25*'Alternative 3'!$B$39)+(3*($N$32/3)*COS($K$33))),IF(($A25&lt;'Alternative 3'!$B$28),(($H25*'Alternative 3'!$B$39)+(2*(($N$32/3)*COS($K$33)))),IF(($A25&lt;'Alternative 3'!$B$29),(($H$3*'Alternative 3'!$B$39+(($N$32/3)*COS($K$33)))),($H25*'Alternative 3'!$B$39))))</f>
        <v>198433.30697820301</v>
      </c>
      <c r="AL25" s="105">
        <f>AJ25*'Alternative 3'!$K26/'Alternative 3'!$L26</f>
        <v>2450576.2969504283</v>
      </c>
      <c r="AM25" s="105">
        <f>AK25/'Alternative 3'!$M26</f>
        <v>96679.599656353414</v>
      </c>
      <c r="AN25" s="105">
        <f t="shared" si="5"/>
        <v>2.5472558966067815</v>
      </c>
      <c r="AP25" s="105">
        <f>'Alternative 3'!$B$39*$B25*$C25*COS($K$43)-($N$42/3)*$E25*SIN($K$43)-($N$42/3)*$F25*SIN($K$43)-($N$42/3)*$G25*SIN($K$43)</f>
        <v>136886.09522032519</v>
      </c>
      <c r="AQ25" s="106">
        <f>IF(($A25&lt;'Alternative 3'!$B$27),(($H25*'Alternative 3'!$B$39)+(3*($N$42/3)*COS($K$43))),IF(($A25&lt;'Alternative 3'!$B$28),(($H25*'Alternative 3'!$B$39)+(2*(($N$42/3)*COS($K$43)))),IF(($A25&lt;'Alternative 3'!$B$29),(($H$3*'Alternative 3'!$B$39+(($N$42/3)*COS($K$43)))),($H25*'Alternative 3'!$B$39))))</f>
        <v>177754.04796308037</v>
      </c>
      <c r="AR25" s="105">
        <f>AP25*'Alternative 3'!$K26/'Alternative 3'!$L26</f>
        <v>2178611.7096808492</v>
      </c>
      <c r="AS25" s="105">
        <f>AQ25/'Alternative 3'!$M26</f>
        <v>86604.363229478244</v>
      </c>
      <c r="AT25" s="105">
        <f t="shared" si="6"/>
        <v>2.2652160729103277</v>
      </c>
      <c r="AV25" s="105">
        <f>'Alternative 3'!$B$39*$B25*$C25*COS($K$53)-($N$52/3)*$E25*SIN($K$53)-($N$52/3)*$F25*SIN($K$53)-($N$52/3)*$G25*SIN($K$53)</f>
        <v>114883.31398316495</v>
      </c>
      <c r="AW25" s="106">
        <f>IF(($A25&lt;'Alternative 3'!$B$27),(($H25*'Alternative 3'!$B$39)+(3*($N$52/3)*COS($K$53))),IF(($A25&lt;'Alternative 3'!$B$28),(($H25*'Alternative 3'!$B$39)+(2*(($N$52/3)*COS($K$53)))),IF(($A25&lt;'Alternative 3'!$B$29),(($H$3*'Alternative 3'!$B$39+(($N$52/3)*COS($K$53)))),($H25*'Alternative 3'!$B$39))))</f>
        <v>164762.68431790342</v>
      </c>
      <c r="AX25" s="105">
        <f>AV25*'Alternative 3'!$K26/'Alternative 3'!$L26</f>
        <v>1828426.2743254998</v>
      </c>
      <c r="AY25" s="105">
        <f>AW25/'Alternative 3'!$M26</f>
        <v>80274.781490744339</v>
      </c>
      <c r="AZ25" s="105">
        <f t="shared" si="7"/>
        <v>1.9087010558162441</v>
      </c>
      <c r="BB25" s="105">
        <f>'Alternative 3'!$B$39*$B25*$C25*COS($K$63)-($N$62/3)*$E25*SIN($K$63)-($N$62/3)*$F25*SIN($K$63)-($N$62/3)*$G25*SIN($K$63)</f>
        <v>88962.354601829604</v>
      </c>
      <c r="BC25" s="106">
        <f>IF(($A25&lt;'Alternative 3'!$B$27),(($H25*'Alternative 3'!$B$39)+(3*($N$62/3)*COS($K$63))),IF(($A25&lt;'Alternative 3'!$B$28),(($H25*'Alternative 3'!$B$39)+(2*(($N$62/3)*COS($K$63)))),IF(($A25&lt;'Alternative 3'!$B$29),(($H$3*'Alternative 3'!$B$39+(($N$62/3)*COS($K$63)))),($H25*'Alternative 3'!$B$39))))</f>
        <v>156095.32765399892</v>
      </c>
      <c r="BD25" s="105">
        <f>BB25*'Alternative 3'!$K26/'Alternative 3'!$L26</f>
        <v>1415881.0443410757</v>
      </c>
      <c r="BE25" s="105">
        <f>BC25/'Alternative 3'!$M26</f>
        <v>76051.91898290356</v>
      </c>
      <c r="BF25" s="105">
        <f t="shared" si="8"/>
        <v>1.4919329633239791</v>
      </c>
      <c r="BH25" s="105">
        <f>'Alternative 3'!$B$39*$B25*$C25*COS($K$73)-($N$72/3)*$E25*SIN($K$73)-($N$72/3)*$F25*SIN($K$73)-($N$72/3)*$G25*SIN($K$73)</f>
        <v>60050.008546450576</v>
      </c>
      <c r="BI25" s="106">
        <f>IF(($A25&lt;'Alternative 3'!$B$27),(($H25*'Alternative 3'!$B$39)+(3*($N$72/3)*COS($K$73))),IF(($A25&lt;'Alternative 3'!$B$28),(($H25*'Alternative 3'!$B$39)+(2*(($N$72/3)*COS($K$73)))),IF(($A25&lt;'Alternative 3'!$B$29),(($H$3*'Alternative 3'!$B$39+(($N$72/3)*COS($K$73)))),($H25*'Alternative 3'!$B$39))))</f>
        <v>150420.42181415795</v>
      </c>
      <c r="BJ25" s="105">
        <f>BH25*'Alternative 3'!$K26/'Alternative 3'!$L26</f>
        <v>955726.37655535224</v>
      </c>
      <c r="BK25" s="105">
        <f>BI25/'Alternative 3'!$M26</f>
        <v>73287.022136510772</v>
      </c>
      <c r="BL25" s="105">
        <f t="shared" si="9"/>
        <v>1.029013398691863</v>
      </c>
      <c r="BN25" s="105">
        <f>'Alternative 3'!$B$39*$B25*$C25*COS($K$83)-($N$82/3)*$E25*SIN($K$83)-($N$82/3)*$F25*SIN($K$83)-($N$82/3)*$G25*SIN($K$83)</f>
        <v>29091.318222819693</v>
      </c>
      <c r="BO25" s="106">
        <f>IF(($A25&lt;'Alternative 3'!$B$27),(($H25*'Alternative 3'!$B$39)+(3*($N$82/3)*COS($K$83))),IF(($A25&lt;'Alternative 3'!$B$28),(($H25*'Alternative 3'!$B$39)+(2*(($N$82/3)*COS($K$83)))),IF(($A25&lt;'Alternative 3'!$B$29),(($H$3*'Alternative 3'!$B$39+(($N$82/3)*COS($K$83)))),($H25*'Alternative 3'!$B$39))))</f>
        <v>147147.80466387072</v>
      </c>
      <c r="BP25" s="105">
        <f>BN25*'Alternative 3'!$K26/'Alternative 3'!$L26</f>
        <v>463003.10070409719</v>
      </c>
      <c r="BQ25" s="105">
        <f>BO25/'Alternative 3'!$M26</f>
        <v>71692.555357034871</v>
      </c>
      <c r="BR25" s="105">
        <f t="shared" si="10"/>
        <v>0.53469565606113212</v>
      </c>
      <c r="BT25" s="105">
        <f>'Alternative 3'!$B$39*$B25*$C25*COS($K$93)-($K$92/3)*$E25*SIN($K$93)-($K$92/3)*$F25*SIN($K$93)-($K$92/3)*$G25*SIN($K$93)</f>
        <v>-2.5889050571033274</v>
      </c>
      <c r="BU25" s="106">
        <f>IF(($A25&lt;'Alternative 3'!$B$27),(($H25*'Alternative 3'!$B$39)+(3*($N$92/3)*COS($K$93))),IF(($A25&lt;'Alternative 3'!$B$28),(($H25*'Alternative 3'!$B$39)+(2*(($N$92/3)*COS($K$93)))),IF(($A25&lt;'Alternative 3'!$B$29),(($H$3*'Alternative 3'!$B$39+(($N$92/3)*COS($K$93)))),($H25*'Alternative 3'!$B$39))))</f>
        <v>146014.95830556421</v>
      </c>
      <c r="BV25" s="105">
        <f>BT25*'Alternative 3'!$K26/'Alternative 3'!$L26</f>
        <v>-41.203738506669033</v>
      </c>
      <c r="BW25" s="105">
        <f>BU25/'Alternative 3'!$M26</f>
        <v>71140.616098141909</v>
      </c>
      <c r="BX25" s="105">
        <f t="shared" si="11"/>
        <v>7.1099412359635239E-2</v>
      </c>
      <c r="BZ25" s="104">
        <v>150</v>
      </c>
      <c r="CA25" s="104">
        <v>-150</v>
      </c>
    </row>
    <row r="26" spans="1:79" ht="15" customHeight="1" x14ac:dyDescent="0.25">
      <c r="A26" s="18">
        <f>IF('Alternative 3'!F27&gt;0,'Alternative 3'!F27,"x")</f>
        <v>24</v>
      </c>
      <c r="B26" s="18">
        <f t="shared" si="17"/>
        <v>12</v>
      </c>
      <c r="C26" s="18">
        <f t="shared" si="12"/>
        <v>6</v>
      </c>
      <c r="D26" s="18">
        <f t="shared" si="13"/>
        <v>24</v>
      </c>
      <c r="E26" s="101">
        <f>IF($A26&lt;='Alternative 3'!$B$27, IF($A26='Alternative 3'!$B$27,0,E27+1),0)</f>
        <v>0</v>
      </c>
      <c r="F26" s="101">
        <f>IF($A26&lt;=('Alternative 3'!$B$28), IF($A26=ROUNDDOWN('Alternative 3'!$B$28,0),0,F27+1),0)</f>
        <v>0</v>
      </c>
      <c r="G26" s="101">
        <f>IF($A26&lt;=('Alternative 3'!$B$29), IF($A26=ROUNDDOWN('Alternative 3'!$B$29,0),0,G27+1),0)</f>
        <v>4</v>
      </c>
      <c r="H26" s="18">
        <f t="shared" si="14"/>
        <v>12</v>
      </c>
      <c r="J26" s="104">
        <f t="shared" si="15"/>
        <v>23</v>
      </c>
      <c r="K26" s="104">
        <f t="shared" si="16"/>
        <v>0.40142572795869574</v>
      </c>
      <c r="L26" s="105">
        <f>'Alternative 3'!$B$27*SIN(K26)+'Alternative 3'!$B$28*SIN(K26)+'Alternative 3'!$B$29*SIN(K26)</f>
        <v>26.175078297496444</v>
      </c>
      <c r="M26" s="104">
        <f>(('Alternative 3'!$B$27)*(((('Alternative 3'!$B$28-'Alternative 3'!$B$27)/2)+'Alternative 3'!$B$27)*'Alternative 3'!$B$39)*COS('Alternative 3-Tilt Up (3pt)'!K26))+(('Alternative 3'!$B$28)*((('Alternative 3'!$B$28-'Alternative 3'!$B$27)/2)+(('Alternative 3'!$B$29-'Alternative 3'!$B$28)/2))*('Alternative 3'!$B$39)*COS('Alternative 3-Tilt Up (3pt)'!K26))+(('Alternative 3'!$B$29)*((('Alternative 3'!$B$12-'Alternative 3'!$B$29+(('Alternative 3'!$B$29-'Alternative 3'!$B$28)/2)*('Alternative 3'!$B$39)*COS('Alternative 3-Tilt Up (3pt)'!K26)))))</f>
        <v>2068896.3499072492</v>
      </c>
      <c r="N26" s="104">
        <f t="shared" si="0"/>
        <v>237122.08151504921</v>
      </c>
      <c r="O26" s="104">
        <f>(((('Alternative 3'!$B$28-'Alternative 3'!$B$27)/2)+'Alternative 3'!$B$27)*('Alternative 3'!$B$39)*COS('Alternative 3-Tilt Up (3pt)'!K26))+(((('Alternative 3'!$B$28-'Alternative 3'!$B$27)/2)+(('Alternative 3'!$B$29-'Alternative 3'!$B$28)/2))*('Alternative 3'!$B$39)*COS('Alternative 3-Tilt Up (3pt)'!K26))+(((('Alternative 3'!$B$12-'Alternative 3'!$B$29)+(('Alternative 3'!$B$29-'Alternative 3'!$B$28)/2))*('Alternative 3'!$B$39)*COS('Alternative 3-Tilt Up (3pt)'!K26)))</f>
        <v>134407.47779692756</v>
      </c>
      <c r="P26" s="104">
        <f t="shared" si="1"/>
        <v>218272.02689534798</v>
      </c>
      <c r="R26" s="105">
        <f>'Alternative 3'!$B$39*$B26*$C26*COS($K$5)-($N$5/3)*$E26*SIN($K$5)-($N$5/3)*$F26*SIN($K$5)-($N$5/3)*$G26*SIN($K$5)</f>
        <v>166070.19577875567</v>
      </c>
      <c r="S26" s="106">
        <f>IF(($A26&lt;'Alternative 3'!$B$27),(($H26*'Alternative 3'!$B$39)+(3*($N$5/3)*COS($K$5))),IF(($A26&lt;'Alternative 3'!$B$28),(($H26*'Alternative 3'!$B$39)+(2*(($N$5/3)*COS($K$5)))),IF(($A26&lt;'Alternative 3'!$B$29),(($H$3*'Alternative 3'!$B$39+(($N$5/3)*COS($K$5)))),($H26*'Alternative 3'!$B$39))))</f>
        <v>1106191.7756332529</v>
      </c>
      <c r="T26" s="105">
        <f>R26*'Alternative 3'!$K27/'Alternative 3'!$L27</f>
        <v>2643091.4883666504</v>
      </c>
      <c r="U26" s="105">
        <f>S26/'Alternative 3'!$M27</f>
        <v>552342.37808828545</v>
      </c>
      <c r="V26" s="105">
        <f t="shared" si="2"/>
        <v>3.1954338664549358</v>
      </c>
      <c r="X26" s="105">
        <f>'Alternative 3'!$B$39*$B26*$C26*COS($K$13)-($N$12/3)*$E26*SIN($K$13)-($N$12/3)*$F26*SIN($K$13)-($N$12/3)*$G26*SIN($K$13)</f>
        <v>148674.67109800139</v>
      </c>
      <c r="Y26" s="106">
        <f>IF(($A26&lt;'Alternative 3'!$B$27),(($H26*'Alternative 3'!$B$39)+(3*($N$12/3)*COS($K$13))),IF(($A26&lt;'Alternative 3'!$B$28),(($H26*'Alternative 3'!$B$39)+(2*(($N$12/3)*COS($K$13)))),IF(($A26&lt;'Alternative 3'!$B$29),(($H$3*'Alternative 3'!$B$39+(($N$12/3)*COS($K$13)))),($H26*'Alternative 3'!$B$39))))</f>
        <v>354626.8316446821</v>
      </c>
      <c r="Z26" s="105">
        <f>X26*'Alternative 3'!$K27/'Alternative 3'!$L27</f>
        <v>2366232.8804522771</v>
      </c>
      <c r="AA26" s="105">
        <f>Y26/'Alternative 3'!$M27</f>
        <v>177071.85303597696</v>
      </c>
      <c r="AB26" s="105">
        <f t="shared" si="3"/>
        <v>2.5433047334882541</v>
      </c>
      <c r="AD26" s="105">
        <f>'Alternative 3'!$B$39*$B26*$C26*COS($K$23)-($N$22/3)*$E26*SIN($K$23)-($N$22/3)*$F26*SIN($K$23)-($N$22/3)*$G26*SIN($K$23)</f>
        <v>148955.40208561035</v>
      </c>
      <c r="AE26" s="106">
        <f>IF(($A26&lt;'Alternative 3'!$B$27),(($H26*'Alternative 3'!$B$39)+(3*($N$22/3)*COS($K$23))),IF(($A26&lt;'Alternative 3'!$B$28),(($H26*'Alternative 3'!$B$39)+(2*(($N$22/3)*COS($K$23)))),IF(($A26&lt;'Alternative 3'!$B$29),(($H$3*'Alternative 3'!$B$39+(($N$22/3)*COS($K$23)))),($H26*'Alternative 3'!$B$39))))</f>
        <v>237577.0336884046</v>
      </c>
      <c r="AF26" s="105">
        <f>AD26*'Alternative 3'!$K27/'Alternative 3'!$L27</f>
        <v>2370700.856661919</v>
      </c>
      <c r="AG26" s="105">
        <f>AE26/'Alternative 3'!$M27</f>
        <v>118626.68540587676</v>
      </c>
      <c r="AH26" s="105">
        <f t="shared" si="4"/>
        <v>2.4893275420677958</v>
      </c>
      <c r="AJ26" s="105">
        <f>'Alternative 3'!$B$39*$B26*$C26*COS($K$33)-($N$32/3)*$E26*SIN($K$33)-($N$32/3)*$F26*SIN($K$33)-($N$32/3)*$G26*SIN($K$33)</f>
        <v>139076.20205380203</v>
      </c>
      <c r="AK26" s="106">
        <f>IF(($A26&lt;'Alternative 3'!$B$27),(($H26*'Alternative 3'!$B$39)+(3*($N$32/3)*COS($K$33))),IF(($A26&lt;'Alternative 3'!$B$28),(($H26*'Alternative 3'!$B$39)+(2*(($N$32/3)*COS($K$33)))),IF(($A26&lt;'Alternative 3'!$B$29),(($H$3*'Alternative 3'!$B$39+(($N$32/3)*COS($K$33)))),($H26*'Alternative 3'!$B$39))))</f>
        <v>198433.30697820301</v>
      </c>
      <c r="AL26" s="105">
        <f>AJ26*'Alternative 3'!$K27/'Alternative 3'!$L27</f>
        <v>2213468.3719677301</v>
      </c>
      <c r="AM26" s="105">
        <f>AK26/'Alternative 3'!$M27</f>
        <v>99081.485762737459</v>
      </c>
      <c r="AN26" s="105">
        <f t="shared" si="5"/>
        <v>2.3125498577304677</v>
      </c>
      <c r="AP26" s="105">
        <f>'Alternative 3'!$B$39*$B26*$C26*COS($K$43)-($N$42/3)*$E26*SIN($K$43)-($N$42/3)*$F26*SIN($K$43)-($N$42/3)*$G26*SIN($K$43)</f>
        <v>123570.51528076864</v>
      </c>
      <c r="AQ26" s="106">
        <f>IF(($A26&lt;'Alternative 3'!$B$27),(($H26*'Alternative 3'!$B$39)+(3*($N$42/3)*COS($K$43))),IF(($A26&lt;'Alternative 3'!$B$28),(($H26*'Alternative 3'!$B$39)+(2*(($N$42/3)*COS($K$43)))),IF(($A26&lt;'Alternative 3'!$B$29),(($H$3*'Alternative 3'!$B$39+(($N$42/3)*COS($K$43)))),($H26*'Alternative 3'!$B$39))))</f>
        <v>177754.04796308037</v>
      </c>
      <c r="AR26" s="105">
        <f>AP26*'Alternative 3'!$K27/'Alternative 3'!$L27</f>
        <v>1966687.4939245516</v>
      </c>
      <c r="AS26" s="105">
        <f>AQ26/'Alternative 3'!$M27</f>
        <v>88755.942440940678</v>
      </c>
      <c r="AT26" s="105">
        <f t="shared" si="6"/>
        <v>2.0554434363654925</v>
      </c>
      <c r="AV26" s="105">
        <f>'Alternative 3'!$B$39*$B26*$C26*COS($K$53)-($N$52/3)*$E26*SIN($K$53)-($N$52/3)*$F26*SIN($K$53)-($N$52/3)*$G26*SIN($K$53)</f>
        <v>103705.76737287306</v>
      </c>
      <c r="AW26" s="106">
        <f>IF(($A26&lt;'Alternative 3'!$B$27),(($H26*'Alternative 3'!$B$39)+(3*($N$52/3)*COS($K$53))),IF(($A26&lt;'Alternative 3'!$B$28),(($H26*'Alternative 3'!$B$39)+(2*(($N$52/3)*COS($K$53)))),IF(($A26&lt;'Alternative 3'!$B$29),(($H$3*'Alternative 3'!$B$39+(($N$52/3)*COS($K$53)))),($H26*'Alternative 3'!$B$39))))</f>
        <v>164762.68431790342</v>
      </c>
      <c r="AX26" s="105">
        <f>AV26*'Alternative 3'!$K27/'Alternative 3'!$L27</f>
        <v>1650529.9445960971</v>
      </c>
      <c r="AY26" s="105">
        <f>AW26/'Alternative 3'!$M27</f>
        <v>82269.110005146329</v>
      </c>
      <c r="AZ26" s="105">
        <f t="shared" si="7"/>
        <v>1.7327990546012435</v>
      </c>
      <c r="BB26" s="105">
        <f>'Alternative 3'!$B$39*$B26*$C26*COS($K$63)-($N$62/3)*$E26*SIN($K$63)-($N$62/3)*$F26*SIN($K$63)-($N$62/3)*$G26*SIN($K$63)</f>
        <v>80347.966774956294</v>
      </c>
      <c r="BC26" s="106">
        <f>IF(($A26&lt;'Alternative 3'!$B$27),(($H26*'Alternative 3'!$B$39)+(3*($N$62/3)*COS($K$63))),IF(($A26&lt;'Alternative 3'!$B$28),(($H26*'Alternative 3'!$B$39)+(2*(($N$62/3)*COS($K$63)))),IF(($A26&lt;'Alternative 3'!$B$29),(($H$3*'Alternative 3'!$B$39+(($N$62/3)*COS($K$63)))),($H26*'Alternative 3'!$B$39))))</f>
        <v>156095.32765399892</v>
      </c>
      <c r="BD26" s="105">
        <f>BB26*'Alternative 3'!$K27/'Alternative 3'!$L27</f>
        <v>1278778.6880999159</v>
      </c>
      <c r="BE26" s="105">
        <f>BC26/'Alternative 3'!$M27</f>
        <v>77941.335656309049</v>
      </c>
      <c r="BF26" s="105">
        <f t="shared" si="8"/>
        <v>1.3567200237562249</v>
      </c>
      <c r="BH26" s="105">
        <f>'Alternative 3'!$B$39*$B26*$C26*COS($K$73)-($N$72/3)*$E26*SIN($K$73)-($N$72/3)*$F26*SIN($K$73)-($N$72/3)*$G26*SIN($K$73)</f>
        <v>54318.185427342942</v>
      </c>
      <c r="BI26" s="106">
        <f>IF(($A26&lt;'Alternative 3'!$B$27),(($H26*'Alternative 3'!$B$39)+(3*($N$72/3)*COS($K$73))),IF(($A26&lt;'Alternative 3'!$B$28),(($H26*'Alternative 3'!$B$39)+(2*(($N$72/3)*COS($K$73)))),IF(($A26&lt;'Alternative 3'!$B$29),(($H$3*'Alternative 3'!$B$39+(($N$72/3)*COS($K$73)))),($H26*'Alternative 3'!$B$39))))</f>
        <v>150420.42181415795</v>
      </c>
      <c r="BJ26" s="105">
        <f>BH26*'Alternative 3'!$K27/'Alternative 3'!$L27</f>
        <v>864501.50126755796</v>
      </c>
      <c r="BK26" s="105">
        <f>BI26/'Alternative 3'!$M27</f>
        <v>75107.748338042744</v>
      </c>
      <c r="BL26" s="105">
        <f t="shared" si="9"/>
        <v>0.93960924960560077</v>
      </c>
      <c r="BN26" s="105">
        <f>'Alternative 3'!$B$39*$B26*$C26*COS($K$83)-($N$82/3)*$E26*SIN($K$83)-($N$82/3)*$F26*SIN($K$83)-($N$82/3)*$G26*SIN($K$83)</f>
        <v>26460.569385577066</v>
      </c>
      <c r="BO26" s="106">
        <f>IF(($A26&lt;'Alternative 3'!$B$27),(($H26*'Alternative 3'!$B$39)+(3*($N$82/3)*COS($K$83))),IF(($A26&lt;'Alternative 3'!$B$28),(($H26*'Alternative 3'!$B$39)+(2*(($N$82/3)*COS($K$83)))),IF(($A26&lt;'Alternative 3'!$B$29),(($H$3*'Alternative 3'!$B$39+(($N$82/3)*COS($K$83)))),($H26*'Alternative 3'!$B$39))))</f>
        <v>147147.80466387072</v>
      </c>
      <c r="BP26" s="105">
        <f>BN26*'Alternative 3'!$K27/'Alternative 3'!$L27</f>
        <v>421133.39719022956</v>
      </c>
      <c r="BQ26" s="105">
        <f>BO26/'Alternative 3'!$M27</f>
        <v>73473.668986542078</v>
      </c>
      <c r="BR26" s="105">
        <f t="shared" si="10"/>
        <v>0.49460706617677164</v>
      </c>
      <c r="BT26" s="105">
        <f>'Alternative 3'!$B$39*$B26*$C26*COS($K$93)-($K$92/3)*$E26*SIN($K$93)-($K$92/3)*$F26*SIN($K$93)-($K$92/3)*$G26*SIN($K$93)</f>
        <v>-2.0711240456815379</v>
      </c>
      <c r="BU26" s="106">
        <f>IF(($A26&lt;'Alternative 3'!$B$27),(($H26*'Alternative 3'!$B$39)+(3*($N$92/3)*COS($K$93))),IF(($A26&lt;'Alternative 3'!$B$28),(($H26*'Alternative 3'!$B$39)+(2*(($N$92/3)*COS($K$93)))),IF(($A26&lt;'Alternative 3'!$B$29),(($H$3*'Alternative 3'!$B$39+(($N$92/3)*COS($K$93)))),($H26*'Alternative 3'!$B$39))))</f>
        <v>146014.95830556421</v>
      </c>
      <c r="BV26" s="105">
        <f>BT26*'Alternative 3'!$K27/'Alternative 3'!$L27</f>
        <v>-32.962990805317339</v>
      </c>
      <c r="BW26" s="105">
        <f>BU26/'Alternative 3'!$M27</f>
        <v>72908.017473541579</v>
      </c>
      <c r="BX26" s="105">
        <f t="shared" si="11"/>
        <v>7.2875054482736262E-2</v>
      </c>
      <c r="BZ26" s="104">
        <v>150</v>
      </c>
      <c r="CA26" s="104">
        <v>-150</v>
      </c>
    </row>
    <row r="27" spans="1:79" ht="15" customHeight="1" x14ac:dyDescent="0.25">
      <c r="A27" s="18">
        <f>IF('Alternative 3'!F28&gt;0,'Alternative 3'!F28,"x")</f>
        <v>25</v>
      </c>
      <c r="B27" s="18">
        <f t="shared" si="17"/>
        <v>11</v>
      </c>
      <c r="C27" s="18">
        <f t="shared" si="12"/>
        <v>5.5</v>
      </c>
      <c r="D27" s="18">
        <f t="shared" si="13"/>
        <v>25</v>
      </c>
      <c r="E27" s="101">
        <f>IF($A27&lt;='Alternative 3'!$B$27, IF($A27='Alternative 3'!$B$27,0,E28+1),0)</f>
        <v>0</v>
      </c>
      <c r="F27" s="101">
        <f>IF($A27&lt;=('Alternative 3'!$B$28), IF($A27=ROUNDDOWN('Alternative 3'!$B$28,0),0,F28+1),0)</f>
        <v>0</v>
      </c>
      <c r="G27" s="101">
        <f>IF($A27&lt;=('Alternative 3'!$B$29), IF($A27=ROUNDDOWN('Alternative 3'!$B$29,0),0,G28+1),0)</f>
        <v>3</v>
      </c>
      <c r="H27" s="18">
        <f t="shared" si="14"/>
        <v>11</v>
      </c>
      <c r="J27" s="104">
        <f t="shared" si="15"/>
        <v>24</v>
      </c>
      <c r="K27" s="104">
        <f t="shared" si="16"/>
        <v>0.41887902047863906</v>
      </c>
      <c r="L27" s="105">
        <f>'Alternative 3'!$B$27*SIN(K27)+'Alternative 3'!$B$28*SIN(K27)+'Alternative 3'!$B$29*SIN(K27)</f>
        <v>27.247287719647851</v>
      </c>
      <c r="M27" s="104">
        <f>(('Alternative 3'!$B$27)*(((('Alternative 3'!$B$28-'Alternative 3'!$B$27)/2)+'Alternative 3'!$B$27)*'Alternative 3'!$B$39)*COS('Alternative 3-Tilt Up (3pt)'!K27))+(('Alternative 3'!$B$28)*((('Alternative 3'!$B$28-'Alternative 3'!$B$27)/2)+(('Alternative 3'!$B$29-'Alternative 3'!$B$28)/2))*('Alternative 3'!$B$39)*COS('Alternative 3-Tilt Up (3pt)'!K27))+(('Alternative 3'!$B$29)*((('Alternative 3'!$B$12-'Alternative 3'!$B$29+(('Alternative 3'!$B$29-'Alternative 3'!$B$28)/2)*('Alternative 3'!$B$39)*COS('Alternative 3-Tilt Up (3pt)'!K27)))))</f>
        <v>2053256.0151695241</v>
      </c>
      <c r="N27" s="104">
        <f t="shared" si="0"/>
        <v>226069.03516003181</v>
      </c>
      <c r="O27" s="104">
        <f>(((('Alternative 3'!$B$28-'Alternative 3'!$B$27)/2)+'Alternative 3'!$B$27)*('Alternative 3'!$B$39)*COS('Alternative 3-Tilt Up (3pt)'!K27))+(((('Alternative 3'!$B$28-'Alternative 3'!$B$27)/2)+(('Alternative 3'!$B$29-'Alternative 3'!$B$28)/2))*('Alternative 3'!$B$39)*COS('Alternative 3-Tilt Up (3pt)'!K27))+(((('Alternative 3'!$B$12-'Alternative 3'!$B$29)+(('Alternative 3'!$B$29-'Alternative 3'!$B$28)/2))*('Alternative 3'!$B$39)*COS('Alternative 3-Tilt Up (3pt)'!K27)))</f>
        <v>133391.30190792194</v>
      </c>
      <c r="P27" s="104">
        <f t="shared" si="1"/>
        <v>206524.34018409249</v>
      </c>
      <c r="R27" s="105">
        <f>'Alternative 3'!$B$39*$B27*$C27*COS($K$5)-($N$5/3)*$E27*SIN($K$5)-($N$5/3)*$F27*SIN($K$5)-($N$5/3)*$G27*SIN($K$5)</f>
        <v>151653.19153686723</v>
      </c>
      <c r="S27" s="106">
        <f>IF(($A27&lt;'Alternative 3'!$B$27),(($H27*'Alternative 3'!$B$39)+(3*($N$5/3)*COS($K$5))),IF(($A27&lt;'Alternative 3'!$B$28),(($H27*'Alternative 3'!$B$39)+(2*(($N$5/3)*COS($K$5)))),IF(($A27&lt;'Alternative 3'!$B$29),(($H$3*'Alternative 3'!$B$39+(($N$5/3)*COS($K$5)))),($H27*'Alternative 3'!$B$39))))</f>
        <v>1106191.7756332529</v>
      </c>
      <c r="T27" s="105">
        <f>R27*'Alternative 3'!$K28/'Alternative 3'!$L28</f>
        <v>2413637.5455878587</v>
      </c>
      <c r="U27" s="105">
        <f>S27/'Alternative 3'!$M28</f>
        <v>566237.24103706866</v>
      </c>
      <c r="V27" s="105">
        <f t="shared" si="2"/>
        <v>2.9798747866249271</v>
      </c>
      <c r="X27" s="105">
        <f>'Alternative 3'!$B$39*$B27*$C27*COS($K$13)-($N$12/3)*$E27*SIN($K$13)-($N$12/3)*$F27*SIN($K$13)-($N$12/3)*$G27*SIN($K$13)</f>
        <v>138211.09787972906</v>
      </c>
      <c r="Y27" s="106">
        <f>IF(($A27&lt;'Alternative 3'!$B$27),(($H27*'Alternative 3'!$B$39)+(3*($N$12/3)*COS($K$13))),IF(($A27&lt;'Alternative 3'!$B$28),(($H27*'Alternative 3'!$B$39)+(2*(($N$12/3)*COS($K$13)))),IF(($A27&lt;'Alternative 3'!$B$29),(($H$3*'Alternative 3'!$B$39+(($N$12/3)*COS($K$13)))),($H27*'Alternative 3'!$B$39))))</f>
        <v>354626.8316446821</v>
      </c>
      <c r="Z27" s="105">
        <f>X27*'Alternative 3'!$K28/'Alternative 3'!$L28</f>
        <v>2199699.7997786002</v>
      </c>
      <c r="AA27" s="105">
        <f>Y27/'Alternative 3'!$M28</f>
        <v>181526.31683891319</v>
      </c>
      <c r="AB27" s="105">
        <f t="shared" si="3"/>
        <v>2.3812261166175133</v>
      </c>
      <c r="AD27" s="105">
        <f>'Alternative 3'!$B$39*$B27*$C27*COS($K$23)-($N$22/3)*$E27*SIN($K$23)-($N$22/3)*$F27*SIN($K$23)-($N$22/3)*$G27*SIN($K$23)</f>
        <v>137198.25620668361</v>
      </c>
      <c r="AE27" s="106">
        <f>IF(($A27&lt;'Alternative 3'!$B$27),(($H27*'Alternative 3'!$B$39)+(3*($N$22/3)*COS($K$23))),IF(($A27&lt;'Alternative 3'!$B$28),(($H27*'Alternative 3'!$B$39)+(2*(($N$22/3)*COS($K$23)))),IF(($A27&lt;'Alternative 3'!$B$29),(($H$3*'Alternative 3'!$B$39+(($N$22/3)*COS($K$23)))),($H27*'Alternative 3'!$B$39))))</f>
        <v>237577.0336884046</v>
      </c>
      <c r="AF27" s="105">
        <f>AD27*'Alternative 3'!$K28/'Alternative 3'!$L28</f>
        <v>2183579.9102792474</v>
      </c>
      <c r="AG27" s="105">
        <f>AE27/'Alternative 3'!$M28</f>
        <v>121610.8879606183</v>
      </c>
      <c r="AH27" s="105">
        <f t="shared" si="4"/>
        <v>2.3051907982398658</v>
      </c>
      <c r="AJ27" s="105">
        <f>'Alternative 3'!$B$39*$B27*$C27*COS($K$33)-($N$32/3)*$E27*SIN($K$33)-($N$32/3)*$F27*SIN($K$33)-($N$32/3)*$G27*SIN($K$33)</f>
        <v>127791.21756787832</v>
      </c>
      <c r="AK27" s="106">
        <f>IF(($A27&lt;'Alternative 3'!$B$27),(($H27*'Alternative 3'!$B$39)+(3*($N$32/3)*COS($K$33))),IF(($A27&lt;'Alternative 3'!$B$28),(($H27*'Alternative 3'!$B$39)+(2*(($N$32/3)*COS($K$33)))),IF(($A27&lt;'Alternative 3'!$B$29),(($H$3*'Alternative 3'!$B$39+(($N$32/3)*COS($K$33)))),($H27*'Alternative 3'!$B$39))))</f>
        <v>198433.30697820301</v>
      </c>
      <c r="AL27" s="105">
        <f>AJ27*'Alternative 3'!$K28/'Alternative 3'!$L28</f>
        <v>2033862.113895803</v>
      </c>
      <c r="AM27" s="105">
        <f>AK27/'Alternative 3'!$M28</f>
        <v>101574.00438895629</v>
      </c>
      <c r="AN27" s="105">
        <f t="shared" si="5"/>
        <v>2.1354361182847592</v>
      </c>
      <c r="AP27" s="105">
        <f>'Alternative 3'!$B$39*$B27*$C27*COS($K$43)-($N$42/3)*$E27*SIN($K$43)-($N$42/3)*$F27*SIN($K$43)-($N$42/3)*$G27*SIN($K$43)</f>
        <v>113450.76241041858</v>
      </c>
      <c r="AQ27" s="106">
        <f>IF(($A27&lt;'Alternative 3'!$B$27),(($H27*'Alternative 3'!$B$39)+(3*($N$42/3)*COS($K$43))),IF(($A27&lt;'Alternative 3'!$B$28),(($H27*'Alternative 3'!$B$39)+(2*(($N$42/3)*COS($K$43)))),IF(($A27&lt;'Alternative 3'!$B$29),(($H$3*'Alternative 3'!$B$39+(($N$42/3)*COS($K$43)))),($H27*'Alternative 3'!$B$39))))</f>
        <v>177754.04796308037</v>
      </c>
      <c r="AR27" s="105">
        <f>AP27*'Alternative 3'!$K28/'Alternative 3'!$L28</f>
        <v>1805626.4886636795</v>
      </c>
      <c r="AS27" s="105">
        <f>AQ27/'Alternative 3'!$M28</f>
        <v>90988.709117970575</v>
      </c>
      <c r="AT27" s="105">
        <f t="shared" si="6"/>
        <v>1.8966151977816501</v>
      </c>
      <c r="AV27" s="105">
        <f>'Alternative 3'!$B$39*$B27*$C27*COS($K$53)-($N$52/3)*$E27*SIN($K$53)-($N$52/3)*$F27*SIN($K$53)-($N$52/3)*$G27*SIN($K$53)</f>
        <v>95209.838077658686</v>
      </c>
      <c r="AW27" s="106">
        <f>IF(($A27&lt;'Alternative 3'!$B$27),(($H27*'Alternative 3'!$B$39)+(3*($N$52/3)*COS($K$53))),IF(($A27&lt;'Alternative 3'!$B$28),(($H27*'Alternative 3'!$B$39)+(2*(($N$52/3)*COS($K$53)))),IF(($A27&lt;'Alternative 3'!$B$29),(($H$3*'Alternative 3'!$B$39+(($N$52/3)*COS($K$53)))),($H27*'Alternative 3'!$B$39))))</f>
        <v>164762.68431790342</v>
      </c>
      <c r="AX27" s="105">
        <f>AV27*'Alternative 3'!$K28/'Alternative 3'!$L28</f>
        <v>1515312.9160338982</v>
      </c>
      <c r="AY27" s="105">
        <f>AW27/'Alternative 3'!$M28</f>
        <v>84338.692303713266</v>
      </c>
      <c r="AZ27" s="105">
        <f t="shared" si="7"/>
        <v>1.5996516083376113</v>
      </c>
      <c r="BB27" s="105">
        <f>'Alternative 3'!$B$39*$B27*$C27*COS($K$63)-($N$62/3)*$E27*SIN($K$63)-($N$62/3)*$F27*SIN($K$63)-($N$62/3)*$G27*SIN($K$63)</f>
        <v>73819.506923876761</v>
      </c>
      <c r="BC27" s="106">
        <f>IF(($A27&lt;'Alternative 3'!$B$27),(($H27*'Alternative 3'!$B$39)+(3*($N$62/3)*COS($K$63))),IF(($A27&lt;'Alternative 3'!$B$28),(($H27*'Alternative 3'!$B$39)+(2*(($N$62/3)*COS($K$63)))),IF(($A27&lt;'Alternative 3'!$B$29),(($H$3*'Alternative 3'!$B$39+(($N$62/3)*COS($K$63)))),($H27*'Alternative 3'!$B$39))))</f>
        <v>156095.32765399892</v>
      </c>
      <c r="BD27" s="105">
        <f>BB27*'Alternative 3'!$K28/'Alternative 3'!$L28</f>
        <v>1174874.9347285412</v>
      </c>
      <c r="BE27" s="105">
        <f>BC27/'Alternative 3'!$M28</f>
        <v>79902.047381413038</v>
      </c>
      <c r="BF27" s="105">
        <f t="shared" si="8"/>
        <v>1.2547769821099541</v>
      </c>
      <c r="BH27" s="105">
        <f>'Alternative 3'!$B$39*$B27*$C27*COS($K$73)-($N$72/3)*$E27*SIN($K$73)-($N$72/3)*$F27*SIN($K$73)-($N$72/3)*$G27*SIN($K$73)</f>
        <v>50013.221078731323</v>
      </c>
      <c r="BI27" s="106">
        <f>IF(($A27&lt;'Alternative 3'!$B$27),(($H27*'Alternative 3'!$B$39)+(3*($N$72/3)*COS($K$73))),IF(($A27&lt;'Alternative 3'!$B$28),(($H27*'Alternative 3'!$B$39)+(2*(($N$72/3)*COS($K$73)))),IF(($A27&lt;'Alternative 3'!$B$29),(($H$3*'Alternative 3'!$B$39+(($N$72/3)*COS($K$73)))),($H27*'Alternative 3'!$B$39))))</f>
        <v>150420.42181415795</v>
      </c>
      <c r="BJ27" s="105">
        <f>BH27*'Alternative 3'!$K28/'Alternative 3'!$L28</f>
        <v>795985.80780323537</v>
      </c>
      <c r="BK27" s="105">
        <f>BI27/'Alternative 3'!$M28</f>
        <v>76997.177632171617</v>
      </c>
      <c r="BL27" s="105">
        <f t="shared" si="9"/>
        <v>0.87298298543540698</v>
      </c>
      <c r="BN27" s="105">
        <f>'Alternative 3'!$B$39*$B27*$C27*COS($K$83)-($N$82/3)*$E27*SIN($K$83)-($N$82/3)*$F27*SIN($K$83)-($N$82/3)*$G27*SIN($K$83)</f>
        <v>24554.255731816553</v>
      </c>
      <c r="BO27" s="106">
        <f>IF(($A27&lt;'Alternative 3'!$B$27),(($H27*'Alternative 3'!$B$39)+(3*($N$82/3)*COS($K$83))),IF(($A27&lt;'Alternative 3'!$B$28),(($H27*'Alternative 3'!$B$39)+(2*(($N$82/3)*COS($K$83)))),IF(($A27&lt;'Alternative 3'!$B$29),(($H$3*'Alternative 3'!$B$39+(($N$82/3)*COS($K$83)))),($H27*'Alternative 3'!$B$39))))</f>
        <v>147147.80466387072</v>
      </c>
      <c r="BP27" s="105">
        <f>BN27*'Alternative 3'!$K28/'Alternative 3'!$L28</f>
        <v>390793.44745521457</v>
      </c>
      <c r="BQ27" s="105">
        <f>BO27/'Alternative 3'!$M28</f>
        <v>75321.990971984764</v>
      </c>
      <c r="BR27" s="105">
        <f t="shared" si="10"/>
        <v>0.46611543842719932</v>
      </c>
      <c r="BT27" s="105">
        <f>'Alternative 3'!$B$39*$B27*$C27*COS($K$93)-($K$92/3)*$E27*SIN($K$93)-($K$92/3)*$F27*SIN($K$93)-($K$92/3)*$G27*SIN($K$93)</f>
        <v>-1.5533430342594923</v>
      </c>
      <c r="BU27" s="106">
        <f>IF(($A27&lt;'Alternative 3'!$B$27),(($H27*'Alternative 3'!$B$39)+(3*($N$92/3)*COS($K$93))),IF(($A27&lt;'Alternative 3'!$B$28),(($H27*'Alternative 3'!$B$39)+(2*(($N$92/3)*COS($K$93)))),IF(($A27&lt;'Alternative 3'!$B$29),(($H$3*'Alternative 3'!$B$39+(($N$92/3)*COS($K$93)))),($H27*'Alternative 3'!$B$39))))</f>
        <v>146014.95830556421</v>
      </c>
      <c r="BV27" s="105">
        <f>BT27*'Alternative 3'!$K28/'Alternative 3'!$L28</f>
        <v>-24.722243103961564</v>
      </c>
      <c r="BW27" s="105">
        <f>BU27/'Alternative 3'!$M28</f>
        <v>74742.109788110334</v>
      </c>
      <c r="BX27" s="105">
        <f t="shared" si="11"/>
        <v>7.4717387545006383E-2</v>
      </c>
      <c r="BZ27" s="104">
        <v>150</v>
      </c>
      <c r="CA27" s="104">
        <v>-150</v>
      </c>
    </row>
    <row r="28" spans="1:79" ht="15" customHeight="1" x14ac:dyDescent="0.25">
      <c r="A28" s="18">
        <f>IF('Alternative 3'!F29&gt;0,'Alternative 3'!F29,"x")</f>
        <v>26</v>
      </c>
      <c r="B28" s="18">
        <f t="shared" si="17"/>
        <v>10</v>
      </c>
      <c r="C28" s="18">
        <f t="shared" si="12"/>
        <v>5</v>
      </c>
      <c r="D28" s="18">
        <f t="shared" si="13"/>
        <v>26</v>
      </c>
      <c r="E28" s="101">
        <f>IF($A28&lt;='Alternative 3'!$B$27, IF($A28='Alternative 3'!$B$27,0,E29+1),0)</f>
        <v>0</v>
      </c>
      <c r="F28" s="101">
        <f>IF($A28&lt;=('Alternative 3'!$B$28), IF($A28=ROUNDDOWN('Alternative 3'!$B$28,0),0,F29+1),0)</f>
        <v>0</v>
      </c>
      <c r="G28" s="101">
        <f>IF($A28&lt;=('Alternative 3'!$B$29), IF($A28=ROUNDDOWN('Alternative 3'!$B$29,0),0,G29+1),0)</f>
        <v>2</v>
      </c>
      <c r="H28" s="18">
        <f t="shared" si="14"/>
        <v>10</v>
      </c>
      <c r="J28" s="104">
        <f t="shared" si="15"/>
        <v>25</v>
      </c>
      <c r="K28" s="104">
        <f t="shared" si="16"/>
        <v>0.43633231299858238</v>
      </c>
      <c r="L28" s="105">
        <f>'Alternative 3'!$B$27*SIN(K28)+'Alternative 3'!$B$28*SIN(K28)+'Alternative 3'!$B$29*SIN(K28)</f>
        <v>28.311197354009455</v>
      </c>
      <c r="M28" s="104">
        <f>(('Alternative 3'!$B$27)*(((('Alternative 3'!$B$28-'Alternative 3'!$B$27)/2)+'Alternative 3'!$B$27)*'Alternative 3'!$B$39)*COS('Alternative 3-Tilt Up (3pt)'!K28))+(('Alternative 3'!$B$28)*((('Alternative 3'!$B$28-'Alternative 3'!$B$27)/2)+(('Alternative 3'!$B$29-'Alternative 3'!$B$28)/2))*('Alternative 3'!$B$39)*COS('Alternative 3-Tilt Up (3pt)'!K28))+(('Alternative 3'!$B$29)*((('Alternative 3'!$B$12-'Alternative 3'!$B$29+(('Alternative 3'!$B$29-'Alternative 3'!$B$28)/2)*('Alternative 3'!$B$39)*COS('Alternative 3-Tilt Up (3pt)'!K28)))))</f>
        <v>2036990.2941081615</v>
      </c>
      <c r="N28" s="104">
        <f t="shared" si="0"/>
        <v>215849.96232803428</v>
      </c>
      <c r="O28" s="104">
        <f>(((('Alternative 3'!$B$28-'Alternative 3'!$B$27)/2)+'Alternative 3'!$B$27)*('Alternative 3'!$B$39)*COS('Alternative 3-Tilt Up (3pt)'!K28))+(((('Alternative 3'!$B$28-'Alternative 3'!$B$27)/2)+(('Alternative 3'!$B$29-'Alternative 3'!$B$28)/2))*('Alternative 3'!$B$39)*COS('Alternative 3-Tilt Up (3pt)'!K28))+(((('Alternative 3'!$B$12-'Alternative 3'!$B$29)+(('Alternative 3'!$B$29-'Alternative 3'!$B$28)/2))*('Alternative 3'!$B$39)*COS('Alternative 3-Tilt Up (3pt)'!K28)))</f>
        <v>132334.49373616459</v>
      </c>
      <c r="P28" s="104">
        <f t="shared" si="1"/>
        <v>195626.50168946499</v>
      </c>
      <c r="R28" s="105">
        <f>'Alternative 3'!$B$39*$B28*$C28*COS($K$5)-($N$5/3)*$E28*SIN($K$5)-($N$5/3)*$F28*SIN($K$5)-($N$5/3)*$G28*SIN($K$5)</f>
        <v>141405.50186464045</v>
      </c>
      <c r="S28" s="106">
        <f>IF(($A28&lt;'Alternative 3'!$B$27),(($H28*'Alternative 3'!$B$39)+(3*($N$5/3)*COS($K$5))),IF(($A28&lt;'Alternative 3'!$B$28),(($H28*'Alternative 3'!$B$39)+(2*(($N$5/3)*COS($K$5)))),IF(($A28&lt;'Alternative 3'!$B$29),(($H$3*'Alternative 3'!$B$39+(($N$5/3)*COS($K$5)))),($H28*'Alternative 3'!$B$39))))</f>
        <v>1106191.7756332529</v>
      </c>
      <c r="T28" s="105">
        <f>R28*'Alternative 3'!$K29/'Alternative 3'!$L29</f>
        <v>2250540.3611648949</v>
      </c>
      <c r="U28" s="105">
        <f>S28/'Alternative 3'!$M29</f>
        <v>580663.08967108489</v>
      </c>
      <c r="V28" s="105">
        <f t="shared" si="2"/>
        <v>2.8312034508359796</v>
      </c>
      <c r="X28" s="105">
        <f>'Alternative 3'!$B$39*$B28*$C28*COS($K$13)-($N$12/3)*$E28*SIN($K$13)-($N$12/3)*$F28*SIN($K$13)-($N$12/3)*$G28*SIN($K$13)</f>
        <v>131856.00074703031</v>
      </c>
      <c r="Y28" s="106">
        <f>IF(($A28&lt;'Alternative 3'!$B$27),(($H28*'Alternative 3'!$B$39)+(3*($N$12/3)*COS($K$13))),IF(($A28&lt;'Alternative 3'!$B$28),(($H28*'Alternative 3'!$B$39)+(2*(($N$12/3)*COS($K$13)))),IF(($A28&lt;'Alternative 3'!$B$29),(($H$3*'Alternative 3'!$B$39+(($N$12/3)*COS($K$13)))),($H28*'Alternative 3'!$B$39))))</f>
        <v>354626.8316446821</v>
      </c>
      <c r="Z28" s="105">
        <f>X28*'Alternative 3'!$K29/'Alternative 3'!$L29</f>
        <v>2098555.2020955998</v>
      </c>
      <c r="AA28" s="105">
        <f>Y28/'Alternative 3'!$M29</f>
        <v>186151.00589153095</v>
      </c>
      <c r="AB28" s="105">
        <f t="shared" si="3"/>
        <v>2.2847062079871305</v>
      </c>
      <c r="AD28" s="105">
        <f>'Alternative 3'!$B$39*$B28*$C28*COS($K$23)-($N$22/3)*$E28*SIN($K$23)-($N$22/3)*$F28*SIN($K$23)-($N$22/3)*$G28*SIN($K$23)</f>
        <v>129361.3725804455</v>
      </c>
      <c r="AE28" s="106">
        <f>IF(($A28&lt;'Alternative 3'!$B$27),(($H28*'Alternative 3'!$B$39)+(3*($N$22/3)*COS($K$23))),IF(($A28&lt;'Alternative 3'!$B$28),(($H28*'Alternative 3'!$B$39)+(2*(($N$22/3)*COS($K$23)))),IF(($A28&lt;'Alternative 3'!$B$29),(($H$3*'Alternative 3'!$B$39+(($N$22/3)*COS($K$23)))),($H28*'Alternative 3'!$B$39))))</f>
        <v>237577.0336884046</v>
      </c>
      <c r="AF28" s="105">
        <f>AD28*'Alternative 3'!$K29/'Alternative 3'!$L29</f>
        <v>2058851.9281708545</v>
      </c>
      <c r="AG28" s="105">
        <f>AE28/'Alternative 3'!$M29</f>
        <v>124709.13041947722</v>
      </c>
      <c r="AH28" s="105">
        <f t="shared" si="4"/>
        <v>2.1835610585903318</v>
      </c>
      <c r="AJ28" s="105">
        <f>'Alternative 3'!$B$39*$B28*$C28*COS($K$33)-($N$32/3)*$E28*SIN($K$33)-($N$32/3)*$F28*SIN($K$33)-($N$32/3)*$G28*SIN($K$33)</f>
        <v>120119.16631695871</v>
      </c>
      <c r="AK28" s="106">
        <f>IF(($A28&lt;'Alternative 3'!$B$27),(($H28*'Alternative 3'!$B$39)+(3*($N$32/3)*COS($K$33))),IF(($A28&lt;'Alternative 3'!$B$28),(($H28*'Alternative 3'!$B$39)+(2*(($N$32/3)*COS($K$33)))),IF(($A28&lt;'Alternative 3'!$B$29),(($H$3*'Alternative 3'!$B$39+(($N$32/3)*COS($K$33)))),($H28*'Alternative 3'!$B$39))))</f>
        <v>198433.30697820301</v>
      </c>
      <c r="AL28" s="105">
        <f>AJ28*'Alternative 3'!$K29/'Alternative 3'!$L29</f>
        <v>1911757.5227346458</v>
      </c>
      <c r="AM28" s="105">
        <f>AK28/'Alternative 3'!$M29</f>
        <v>104161.77344805647</v>
      </c>
      <c r="AN28" s="105">
        <f t="shared" si="5"/>
        <v>2.0159192961827022</v>
      </c>
      <c r="AP28" s="105">
        <f>'Alternative 3'!$B$39*$B28*$C28*COS($K$43)-($N$42/3)*$E28*SIN($K$43)-($N$42/3)*$F28*SIN($K$43)-($N$42/3)*$G28*SIN($K$43)</f>
        <v>106526.83660927502</v>
      </c>
      <c r="AQ28" s="106">
        <f>IF(($A28&lt;'Alternative 3'!$B$27),(($H28*'Alternative 3'!$B$39)+(3*($N$42/3)*COS($K$43))),IF(($A28&lt;'Alternative 3'!$B$28),(($H28*'Alternative 3'!$B$39)+(2*(($N$42/3)*COS($K$43)))),IF(($A28&lt;'Alternative 3'!$B$29),(($H$3*'Alternative 3'!$B$39+(($N$42/3)*COS($K$43)))),($H28*'Alternative 3'!$B$39))))</f>
        <v>177754.04796308037</v>
      </c>
      <c r="AR28" s="105">
        <f>AP28*'Alternative 3'!$K29/'Alternative 3'!$L29</f>
        <v>1695428.6938982334</v>
      </c>
      <c r="AS28" s="105">
        <f>AQ28/'Alternative 3'!$M29</f>
        <v>93306.799928699213</v>
      </c>
      <c r="AT28" s="105">
        <f t="shared" si="6"/>
        <v>1.7887354938269324</v>
      </c>
      <c r="AV28" s="105">
        <f>'Alternative 3'!$B$39*$B28*$C28*COS($K$53)-($N$52/3)*$E28*SIN($K$53)-($N$52/3)*$F28*SIN($K$53)-($N$52/3)*$G28*SIN($K$53)</f>
        <v>89395.526097521855</v>
      </c>
      <c r="AW28" s="106">
        <f>IF(($A28&lt;'Alternative 3'!$B$27),(($H28*'Alternative 3'!$B$39)+(3*($N$52/3)*COS($K$53))),IF(($A28&lt;'Alternative 3'!$B$28),(($H28*'Alternative 3'!$B$39)+(2*(($N$52/3)*COS($K$53)))),IF(($A28&lt;'Alternative 3'!$B$29),(($H$3*'Alternative 3'!$B$39+(($N$52/3)*COS($K$53)))),($H28*'Alternative 3'!$B$39))))</f>
        <v>164762.68431790342</v>
      </c>
      <c r="AX28" s="105">
        <f>AV28*'Alternative 3'!$K29/'Alternative 3'!$L29</f>
        <v>1422775.1886389032</v>
      </c>
      <c r="AY28" s="105">
        <f>AW28/'Alternative 3'!$M29</f>
        <v>86487.3627213211</v>
      </c>
      <c r="AZ28" s="105">
        <f t="shared" si="7"/>
        <v>1.5092625513602245</v>
      </c>
      <c r="BB28" s="105">
        <f>'Alternative 3'!$B$39*$B28*$C28*COS($K$63)-($N$62/3)*$E28*SIN($K$63)-($N$62/3)*$F28*SIN($K$63)-($N$62/3)*$G28*SIN($K$63)</f>
        <v>69376.975048591004</v>
      </c>
      <c r="BC28" s="106">
        <f>IF(($A28&lt;'Alternative 3'!$B$27),(($H28*'Alternative 3'!$B$39)+(3*($N$62/3)*COS($K$63))),IF(($A28&lt;'Alternative 3'!$B$28),(($H28*'Alternative 3'!$B$39)+(2*(($N$62/3)*COS($K$63)))),IF(($A28&lt;'Alternative 3'!$B$29),(($H$3*'Alternative 3'!$B$39+(($N$62/3)*COS($K$63)))),($H28*'Alternative 3'!$B$39))))</f>
        <v>156095.32765399892</v>
      </c>
      <c r="BD28" s="105">
        <f>BB28*'Alternative 3'!$K29/'Alternative 3'!$L29</f>
        <v>1104169.7842269519</v>
      </c>
      <c r="BE28" s="105">
        <f>BC28/'Alternative 3'!$M29</f>
        <v>81937.686787541039</v>
      </c>
      <c r="BF28" s="105">
        <f t="shared" si="8"/>
        <v>1.186107471014493</v>
      </c>
      <c r="BH28" s="105">
        <f>'Alternative 3'!$B$39*$B28*$C28*COS($K$73)-($N$72/3)*$E28*SIN($K$73)-($N$72/3)*$F28*SIN($K$73)-($N$72/3)*$G28*SIN($K$73)</f>
        <v>47135.115500615721</v>
      </c>
      <c r="BI28" s="106">
        <f>IF(($A28&lt;'Alternative 3'!$B$27),(($H28*'Alternative 3'!$B$39)+(3*($N$72/3)*COS($K$73))),IF(($A28&lt;'Alternative 3'!$B$28),(($H28*'Alternative 3'!$B$39)+(2*(($N$72/3)*COS($K$73)))),IF(($A28&lt;'Alternative 3'!$B$29),(($H$3*'Alternative 3'!$B$39+(($N$72/3)*COS($K$73)))),($H28*'Alternative 3'!$B$39))))</f>
        <v>150420.42181415795</v>
      </c>
      <c r="BJ28" s="105">
        <f>BH28*'Alternative 3'!$K29/'Alternative 3'!$L29</f>
        <v>750179.29616238468</v>
      </c>
      <c r="BK28" s="105">
        <f>BI28/'Alternative 3'!$M29</f>
        <v>78958.810582582664</v>
      </c>
      <c r="BL28" s="105">
        <f t="shared" si="9"/>
        <v>0.82913810674496735</v>
      </c>
      <c r="BN28" s="105">
        <f>'Alternative 3'!$B$39*$B28*$C28*COS($K$83)-($N$82/3)*$E28*SIN($K$83)-($N$82/3)*$F28*SIN($K$83)-($N$82/3)*$G28*SIN($K$83)</f>
        <v>23372.377261538153</v>
      </c>
      <c r="BO28" s="106">
        <f>IF(($A28&lt;'Alternative 3'!$B$27),(($H28*'Alternative 3'!$B$39)+(3*($N$82/3)*COS($K$83))),IF(($A28&lt;'Alternative 3'!$B$28),(($H28*'Alternative 3'!$B$39)+(2*(($N$82/3)*COS($K$83)))),IF(($A28&lt;'Alternative 3'!$B$29),(($H$3*'Alternative 3'!$B$39+(($N$82/3)*COS($K$83)))),($H28*'Alternative 3'!$B$39))))</f>
        <v>147147.80466387072</v>
      </c>
      <c r="BP28" s="105">
        <f>BN28*'Alternative 3'!$K29/'Alternative 3'!$L29</f>
        <v>371983.25149905228</v>
      </c>
      <c r="BQ28" s="105">
        <f>BO28/'Alternative 3'!$M29</f>
        <v>77240.945717145107</v>
      </c>
      <c r="BR28" s="105">
        <f t="shared" si="10"/>
        <v>0.44922419721619739</v>
      </c>
      <c r="BT28" s="105">
        <f>'Alternative 3'!$B$39*$B28*$C28*COS($K$93)-($K$92/3)*$E28*SIN($K$93)-($K$92/3)*$F28*SIN($K$93)-($K$92/3)*$G28*SIN($K$93)</f>
        <v>-1.0355620228371911</v>
      </c>
      <c r="BU28" s="106">
        <f>IF(($A28&lt;'Alternative 3'!$B$27),(($H28*'Alternative 3'!$B$39)+(3*($N$92/3)*COS($K$93))),IF(($A28&lt;'Alternative 3'!$B$28),(($H28*'Alternative 3'!$B$39)+(2*(($N$92/3)*COS($K$93)))),IF(($A28&lt;'Alternative 3'!$B$29),(($H$3*'Alternative 3'!$B$39+(($N$92/3)*COS($K$93)))),($H28*'Alternative 3'!$B$39))))</f>
        <v>146014.95830556421</v>
      </c>
      <c r="BV28" s="105">
        <f>BT28*'Alternative 3'!$K29/'Alternative 3'!$L29</f>
        <v>-16.481495402601727</v>
      </c>
      <c r="BW28" s="105">
        <f>BU28/'Alternative 3'!$M29</f>
        <v>76646.291082183336</v>
      </c>
      <c r="BX28" s="105">
        <f t="shared" si="11"/>
        <v>7.6629809586780728E-2</v>
      </c>
      <c r="BZ28" s="104">
        <v>150</v>
      </c>
      <c r="CA28" s="104">
        <v>-150</v>
      </c>
    </row>
    <row r="29" spans="1:79" ht="15" customHeight="1" x14ac:dyDescent="0.25">
      <c r="A29" s="18">
        <f>IF('Alternative 3'!F30&gt;0,'Alternative 3'!F30,"x")</f>
        <v>27</v>
      </c>
      <c r="B29" s="18">
        <f t="shared" si="17"/>
        <v>9</v>
      </c>
      <c r="C29" s="18">
        <f t="shared" si="12"/>
        <v>4.5</v>
      </c>
      <c r="D29" s="18">
        <f t="shared" si="13"/>
        <v>27</v>
      </c>
      <c r="E29" s="101">
        <f>IF($A29&lt;='Alternative 3'!$B$27, IF($A29='Alternative 3'!$B$27,0,E30+1),0)</f>
        <v>0</v>
      </c>
      <c r="F29" s="101">
        <f>IF($A29&lt;=('Alternative 3'!$B$28), IF($A29=ROUNDDOWN('Alternative 3'!$B$28,0),0,F30+1),0)</f>
        <v>0</v>
      </c>
      <c r="G29" s="101">
        <f>IF($A29&lt;=('Alternative 3'!$B$29), IF($A29=ROUNDDOWN('Alternative 3'!$B$29,0),0,G30+1),0)</f>
        <v>1</v>
      </c>
      <c r="H29" s="18">
        <f t="shared" si="14"/>
        <v>9</v>
      </c>
      <c r="J29" s="104">
        <f t="shared" si="15"/>
        <v>26</v>
      </c>
      <c r="K29" s="104">
        <f t="shared" si="16"/>
        <v>0.4537856055185257</v>
      </c>
      <c r="L29" s="105">
        <f>'Alternative 3'!$B$27*SIN(K29)+'Alternative 3'!$B$28*SIN(K29)+'Alternative 3'!$B$29*SIN(K29)</f>
        <v>29.366483123400293</v>
      </c>
      <c r="M29" s="104">
        <f>(('Alternative 3'!$B$27)*(((('Alternative 3'!$B$28-'Alternative 3'!$B$27)/2)+'Alternative 3'!$B$27)*'Alternative 3'!$B$39)*COS('Alternative 3-Tilt Up (3pt)'!K29))+(('Alternative 3'!$B$28)*((('Alternative 3'!$B$28-'Alternative 3'!$B$27)/2)+(('Alternative 3'!$B$29-'Alternative 3'!$B$28)/2))*('Alternative 3'!$B$39)*COS('Alternative 3-Tilt Up (3pt)'!K29))+(('Alternative 3'!$B$29)*((('Alternative 3'!$B$12-'Alternative 3'!$B$29+(('Alternative 3'!$B$29-'Alternative 3'!$B$28)/2)*('Alternative 3'!$B$39)*COS('Alternative 3-Tilt Up (3pt)'!K29)))))</f>
        <v>2020104.141419366</v>
      </c>
      <c r="N29" s="104">
        <f t="shared" si="0"/>
        <v>206368.34171773939</v>
      </c>
      <c r="O29" s="104">
        <f>(((('Alternative 3'!$B$28-'Alternative 3'!$B$27)/2)+'Alternative 3'!$B$27)*('Alternative 3'!$B$39)*COS('Alternative 3-Tilt Up (3pt)'!K29))+(((('Alternative 3'!$B$28-'Alternative 3'!$B$27)/2)+(('Alternative 3'!$B$29-'Alternative 3'!$B$28)/2))*('Alternative 3'!$B$39)*COS('Alternative 3-Tilt Up (3pt)'!K29))+(((('Alternative 3'!$B$12-'Alternative 3'!$B$29)+(('Alternative 3'!$B$29-'Alternative 3'!$B$28)/2))*('Alternative 3'!$B$39)*COS('Alternative 3-Tilt Up (3pt)'!K29)))</f>
        <v>131237.37519566223</v>
      </c>
      <c r="P29" s="104">
        <f t="shared" si="1"/>
        <v>185482.63688053619</v>
      </c>
      <c r="R29" s="105">
        <f>'Alternative 3'!$B$39*$B29*$C29*COS($K$5)-($N$5/3)*$E29*SIN($K$5)-($N$5/3)*$F29*SIN($K$5)-($N$5/3)*$G29*SIN($K$5)</f>
        <v>135327.12676207529</v>
      </c>
      <c r="S29" s="106">
        <f>IF(($A29&lt;'Alternative 3'!$B$27),(($H29*'Alternative 3'!$B$39)+(3*($N$5/3)*COS($K$5))),IF(($A29&lt;'Alternative 3'!$B$28),(($H29*'Alternative 3'!$B$39)+(2*(($N$5/3)*COS($K$5)))),IF(($A29&lt;'Alternative 3'!$B$29),(($H$3*'Alternative 3'!$B$39+(($N$5/3)*COS($K$5)))),($H29*'Alternative 3'!$B$39))))</f>
        <v>1106191.7756332529</v>
      </c>
      <c r="T29" s="105">
        <f>R29*'Alternative 3'!$K30/'Alternative 3'!$L30</f>
        <v>2153799.9350977582</v>
      </c>
      <c r="U29" s="105">
        <f>S29/'Alternative 3'!$M30</f>
        <v>595647.32784964505</v>
      </c>
      <c r="V29" s="105">
        <f t="shared" si="2"/>
        <v>2.7494472629474034</v>
      </c>
      <c r="X29" s="105">
        <f>'Alternative 3'!$B$39*$B29*$C29*COS($K$13)-($N$12/3)*$E29*SIN($K$13)-($N$12/3)*$F29*SIN($K$13)-($N$12/3)*$G29*SIN($K$13)</f>
        <v>129609.37969990502</v>
      </c>
      <c r="Y29" s="106">
        <f>IF(($A29&lt;'Alternative 3'!$B$27),(($H29*'Alternative 3'!$B$39)+(3*($N$12/3)*COS($K$13))),IF(($A29&lt;'Alternative 3'!$B$28),(($H29*'Alternative 3'!$B$39)+(2*(($N$12/3)*COS($K$13)))),IF(($A29&lt;'Alternative 3'!$B$29),(($H$3*'Alternative 3'!$B$39+(($N$12/3)*COS($K$13)))),($H29*'Alternative 3'!$B$39))))</f>
        <v>354626.8316446821</v>
      </c>
      <c r="Z29" s="105">
        <f>X29*'Alternative 3'!$K30/'Alternative 3'!$L30</f>
        <v>2062799.0874032741</v>
      </c>
      <c r="AA29" s="105">
        <f>Y29/'Alternative 3'!$M30</f>
        <v>190954.70541897515</v>
      </c>
      <c r="AB29" s="105">
        <f t="shared" si="3"/>
        <v>2.2537537928222493</v>
      </c>
      <c r="AD29" s="105">
        <f>'Alternative 3'!$B$39*$B29*$C29*COS($K$23)-($N$22/3)*$E29*SIN($K$23)-($N$22/3)*$F29*SIN($K$23)-($N$22/3)*$G29*SIN($K$23)</f>
        <v>125444.75120689595</v>
      </c>
      <c r="AE29" s="106">
        <f>IF(($A29&lt;'Alternative 3'!$B$27),(($H29*'Alternative 3'!$B$39)+(3*($N$22/3)*COS($K$23))),IF(($A29&lt;'Alternative 3'!$B$28),(($H29*'Alternative 3'!$B$39)+(2*(($N$22/3)*COS($K$23)))),IF(($A29&lt;'Alternative 3'!$B$29),(($H$3*'Alternative 3'!$B$39+(($N$22/3)*COS($K$23)))),($H29*'Alternative 3'!$B$39))))</f>
        <v>237577.0336884046</v>
      </c>
      <c r="AF29" s="105">
        <f>AD29*'Alternative 3'!$K30/'Alternative 3'!$L30</f>
        <v>1996516.9103367396</v>
      </c>
      <c r="AG29" s="105">
        <f>AE29/'Alternative 3'!$M30</f>
        <v>127927.29831491738</v>
      </c>
      <c r="AH29" s="105">
        <f t="shared" si="4"/>
        <v>2.1244442086516573</v>
      </c>
      <c r="AJ29" s="105">
        <f>'Alternative 3'!$B$39*$B29*$C29*COS($K$33)-($N$32/3)*$E29*SIN($K$33)-($N$32/3)*$F29*SIN($K$33)-($N$32/3)*$G29*SIN($K$33)</f>
        <v>116060.04830104322</v>
      </c>
      <c r="AK29" s="106">
        <f>IF(($A29&lt;'Alternative 3'!$B$27),(($H29*'Alternative 3'!$B$39)+(3*($N$32/3)*COS($K$33))),IF(($A29&lt;'Alternative 3'!$B$28),(($H29*'Alternative 3'!$B$39)+(2*(($N$32/3)*COS($K$33)))),IF(($A29&lt;'Alternative 3'!$B$29),(($H$3*'Alternative 3'!$B$39+(($N$32/3)*COS($K$33)))),($H29*'Alternative 3'!$B$39))))</f>
        <v>198433.30697820301</v>
      </c>
      <c r="AL29" s="105">
        <f>AJ29*'Alternative 3'!$K30/'Alternative 3'!$L30</f>
        <v>1847154.5984842586</v>
      </c>
      <c r="AM29" s="105">
        <f>AK29/'Alternative 3'!$M30</f>
        <v>106849.70875892841</v>
      </c>
      <c r="AN29" s="105">
        <f t="shared" si="5"/>
        <v>1.954004307243187</v>
      </c>
      <c r="AP29" s="105">
        <f>'Alternative 3'!$B$39*$B29*$C29*COS($K$43)-($N$42/3)*$E29*SIN($K$43)-($N$42/3)*$F29*SIN($K$43)-($N$42/3)*$G29*SIN($K$43)</f>
        <v>102798.7378773379</v>
      </c>
      <c r="AQ29" s="106">
        <f>IF(($A29&lt;'Alternative 3'!$B$27),(($H29*'Alternative 3'!$B$39)+(3*($N$42/3)*COS($K$43))),IF(($A29&lt;'Alternative 3'!$B$28),(($H29*'Alternative 3'!$B$39)+(2*(($N$42/3)*COS($K$43)))),IF(($A29&lt;'Alternative 3'!$B$29),(($H$3*'Alternative 3'!$B$39+(($N$42/3)*COS($K$43)))),($H29*'Alternative 3'!$B$39))))</f>
        <v>177754.04796308037</v>
      </c>
      <c r="AR29" s="105">
        <f>AP29*'Alternative 3'!$K30/'Alternative 3'!$L30</f>
        <v>1636094.1096282124</v>
      </c>
      <c r="AS29" s="105">
        <f>AQ29/'Alternative 3'!$M30</f>
        <v>95714.618401546977</v>
      </c>
      <c r="AT29" s="105">
        <f t="shared" si="6"/>
        <v>1.7318087280297594</v>
      </c>
      <c r="AV29" s="105">
        <f>'Alternative 3'!$B$39*$B29*$C29*COS($K$53)-($N$52/3)*$E29*SIN($K$53)-($N$52/3)*$F29*SIN($K$53)-($N$52/3)*$G29*SIN($K$53)</f>
        <v>86262.831432462539</v>
      </c>
      <c r="AW29" s="106">
        <f>IF(($A29&lt;'Alternative 3'!$B$27),(($H29*'Alternative 3'!$B$39)+(3*($N$52/3)*COS($K$53))),IF(($A29&lt;'Alternative 3'!$B$28),(($H29*'Alternative 3'!$B$39)+(2*(($N$52/3)*COS($K$53)))),IF(($A29&lt;'Alternative 3'!$B$29),(($H$3*'Alternative 3'!$B$39+(($N$52/3)*COS($K$53)))),($H29*'Alternative 3'!$B$39))))</f>
        <v>164762.68431790342</v>
      </c>
      <c r="AX29" s="105">
        <f>AV29*'Alternative 3'!$K30/'Alternative 3'!$L30</f>
        <v>1372916.7624111127</v>
      </c>
      <c r="AY29" s="105">
        <f>AW29/'Alternative 3'!$M30</f>
        <v>88719.202949336788</v>
      </c>
      <c r="AZ29" s="105">
        <f t="shared" si="7"/>
        <v>1.4616359653604494</v>
      </c>
      <c r="BB29" s="105">
        <f>'Alternative 3'!$B$39*$B29*$C29*COS($K$63)-($N$62/3)*$E29*SIN($K$63)-($N$62/3)*$F29*SIN($K$63)-($N$62/3)*$G29*SIN($K$63)</f>
        <v>67020.371149098995</v>
      </c>
      <c r="BC29" s="106">
        <f>IF(($A29&lt;'Alternative 3'!$B$27),(($H29*'Alternative 3'!$B$39)+(3*($N$62/3)*COS($K$63))),IF(($A29&lt;'Alternative 3'!$B$28),(($H29*'Alternative 3'!$B$39)+(2*(($N$62/3)*COS($K$63)))),IF(($A29&lt;'Alternative 3'!$B$29),(($H$3*'Alternative 3'!$B$39+(($N$62/3)*COS($K$63)))),($H29*'Alternative 3'!$B$39))))</f>
        <v>156095.32765399892</v>
      </c>
      <c r="BD29" s="105">
        <f>BB29*'Alternative 3'!$K30/'Alternative 3'!$L30</f>
        <v>1066663.2365951478</v>
      </c>
      <c r="BE29" s="105">
        <f>BC29/'Alternative 3'!$M30</f>
        <v>84052.120848297767</v>
      </c>
      <c r="BF29" s="105">
        <f t="shared" si="8"/>
        <v>1.1507153574434457</v>
      </c>
      <c r="BH29" s="105">
        <f>'Alternative 3'!$B$39*$B29*$C29*COS($K$73)-($N$72/3)*$E29*SIN($K$73)-($N$72/3)*$F29*SIN($K$73)-($N$72/3)*$G29*SIN($K$73)</f>
        <v>45683.868692996133</v>
      </c>
      <c r="BI29" s="106">
        <f>IF(($A29&lt;'Alternative 3'!$B$27),(($H29*'Alternative 3'!$B$39)+(3*($N$72/3)*COS($K$73))),IF(($A29&lt;'Alternative 3'!$B$28),(($H29*'Alternative 3'!$B$39)+(2*(($N$72/3)*COS($K$73)))),IF(($A29&lt;'Alternative 3'!$B$29),(($H$3*'Alternative 3'!$B$39+(($N$72/3)*COS($K$73)))),($H29*'Alternative 3'!$B$39))))</f>
        <v>150420.42181415795</v>
      </c>
      <c r="BJ29" s="105">
        <f>BH29*'Alternative 3'!$K30/'Alternative 3'!$L30</f>
        <v>727081.9663450059</v>
      </c>
      <c r="BK29" s="105">
        <f>BI29/'Alternative 3'!$M30</f>
        <v>80996.373577563849</v>
      </c>
      <c r="BL29" s="105">
        <f t="shared" si="9"/>
        <v>0.80807833992256972</v>
      </c>
      <c r="BN29" s="105">
        <f>'Alternative 3'!$B$39*$B29*$C29*COS($K$83)-($N$82/3)*$E29*SIN($K$83)-($N$82/3)*$F29*SIN($K$83)-($N$82/3)*$G29*SIN($K$83)</f>
        <v>22914.933974741867</v>
      </c>
      <c r="BO29" s="106">
        <f>IF(($A29&lt;'Alternative 3'!$B$27),(($H29*'Alternative 3'!$B$39)+(3*($N$82/3)*COS($K$83))),IF(($A29&lt;'Alternative 3'!$B$28),(($H29*'Alternative 3'!$B$39)+(2*(($N$82/3)*COS($K$83)))),IF(($A29&lt;'Alternative 3'!$B$29),(($H$3*'Alternative 3'!$B$39+(($N$82/3)*COS($K$83)))),($H29*'Alternative 3'!$B$39))))</f>
        <v>147147.80466387072</v>
      </c>
      <c r="BP29" s="105">
        <f>BN29*'Alternative 3'!$K30/'Alternative 3'!$L30</f>
        <v>364702.80932174262</v>
      </c>
      <c r="BQ29" s="105">
        <f>BO29/'Alternative 3'!$M30</f>
        <v>79234.178537262094</v>
      </c>
      <c r="BR29" s="105">
        <f t="shared" si="10"/>
        <v>0.44393698785900471</v>
      </c>
      <c r="BT29" s="105">
        <f>'Alternative 3'!$B$39*$B29*$C29*COS($K$93)-($K$92/3)*$E29*SIN($K$93)-($K$92/3)*$F29*SIN($K$93)-($K$92/3)*$G29*SIN($K$93)</f>
        <v>-0.5177810114146344</v>
      </c>
      <c r="BU29" s="106">
        <f>IF(($A29&lt;'Alternative 3'!$B$27),(($H29*'Alternative 3'!$B$39)+(3*($N$92/3)*COS($K$93))),IF(($A29&lt;'Alternative 3'!$B$28),(($H29*'Alternative 3'!$B$39)+(2*(($N$92/3)*COS($K$93)))),IF(($A29&lt;'Alternative 3'!$B$29),(($H$3*'Alternative 3'!$B$39+(($N$92/3)*COS($K$93)))),($H29*'Alternative 3'!$B$39))))</f>
        <v>146014.95830556421</v>
      </c>
      <c r="BV29" s="105">
        <f>BT29*'Alternative 3'!$K30/'Alternative 3'!$L30</f>
        <v>-8.2407477012378205</v>
      </c>
      <c r="BW29" s="105">
        <f>BU29/'Alternative 3'!$M30</f>
        <v>78624.178606822199</v>
      </c>
      <c r="BX29" s="105">
        <f t="shared" si="11"/>
        <v>7.8615937859120966E-2</v>
      </c>
      <c r="BZ29" s="104">
        <v>150</v>
      </c>
      <c r="CA29" s="104">
        <v>-150</v>
      </c>
    </row>
    <row r="30" spans="1:79" ht="15" customHeight="1" x14ac:dyDescent="0.25">
      <c r="A30" s="18">
        <f>IF('Alternative 3'!F31&gt;0,'Alternative 3'!F31,"x")</f>
        <v>28</v>
      </c>
      <c r="B30" s="18">
        <f t="shared" si="17"/>
        <v>8</v>
      </c>
      <c r="C30" s="18">
        <f t="shared" si="12"/>
        <v>4</v>
      </c>
      <c r="D30" s="18">
        <f t="shared" si="13"/>
        <v>28</v>
      </c>
      <c r="E30" s="101">
        <f>IF($A30&lt;='Alternative 3'!$B$27, IF($A30='Alternative 3'!$B$27,0,E31+1),0)</f>
        <v>0</v>
      </c>
      <c r="F30" s="101">
        <f>IF($A30&lt;=('Alternative 3'!$B$28), IF($A30=ROUNDDOWN('Alternative 3'!$B$28,0),0,F31+1),0)</f>
        <v>0</v>
      </c>
      <c r="G30" s="101">
        <f>IF($A30&lt;=('Alternative 3'!$B$29), IF($A30=ROUNDDOWN('Alternative 3'!$B$29,0),0,G31+1),0)</f>
        <v>0</v>
      </c>
      <c r="H30" s="18">
        <f t="shared" si="14"/>
        <v>8</v>
      </c>
      <c r="J30" s="104">
        <f t="shared" si="15"/>
        <v>27</v>
      </c>
      <c r="K30" s="104">
        <f t="shared" si="16"/>
        <v>0.47123889803846897</v>
      </c>
      <c r="L30" s="105">
        <f>'Alternative 3'!$B$27*SIN(K30)+'Alternative 3'!$B$28*SIN(K30)+'Alternative 3'!$B$29*SIN(K30)</f>
        <v>30.412823577552238</v>
      </c>
      <c r="M30" s="104">
        <f>(('Alternative 3'!$B$27)*(((('Alternative 3'!$B$28-'Alternative 3'!$B$27)/2)+'Alternative 3'!$B$27)*'Alternative 3'!$B$39)*COS('Alternative 3-Tilt Up (3pt)'!K30))+(('Alternative 3'!$B$28)*((('Alternative 3'!$B$28-'Alternative 3'!$B$27)/2)+(('Alternative 3'!$B$29-'Alternative 3'!$B$28)/2))*('Alternative 3'!$B$39)*COS('Alternative 3-Tilt Up (3pt)'!K30))+(('Alternative 3'!$B$29)*((('Alternative 3'!$B$12-'Alternative 3'!$B$29+(('Alternative 3'!$B$29-'Alternative 3'!$B$28)/2)*('Alternative 3'!$B$39)*COS('Alternative 3-Tilt Up (3pt)'!K30)))))</f>
        <v>2002602.7007888258</v>
      </c>
      <c r="N30" s="104">
        <f t="shared" si="0"/>
        <v>197541.93776341277</v>
      </c>
      <c r="O30" s="104">
        <f>(((('Alternative 3'!$B$28-'Alternative 3'!$B$27)/2)+'Alternative 3'!$B$27)*('Alternative 3'!$B$39)*COS('Alternative 3-Tilt Up (3pt)'!K30))+(((('Alternative 3'!$B$28-'Alternative 3'!$B$27)/2)+(('Alternative 3'!$B$29-'Alternative 3'!$B$28)/2))*('Alternative 3'!$B$39)*COS('Alternative 3-Tilt Up (3pt)'!K30))+(((('Alternative 3'!$B$12-'Alternative 3'!$B$29)+(('Alternative 3'!$B$29-'Alternative 3'!$B$28)/2))*('Alternative 3'!$B$39)*COS('Alternative 3-Tilt Up (3pt)'!K30)))</f>
        <v>130100.28047935021</v>
      </c>
      <c r="P30" s="104">
        <f t="shared" si="1"/>
        <v>176011.1553480133</v>
      </c>
      <c r="R30" s="105">
        <f>'Alternative 3'!$B$39*$B30*$C30*COS($K$5)-($N$5/3)*$E30*SIN($K$5)-($N$5/3)*$F30*SIN($K$5)-($N$5/3)*$G30*SIN($K$5)</f>
        <v>133418.06622917173</v>
      </c>
      <c r="S30" s="106">
        <f>IF(($A30&lt;'Alternative 3'!$B$27),(($H30*'Alternative 3'!$B$39)+(3*($N$5/3)*COS($K$5))),IF(($A30&lt;'Alternative 3'!$B$28),(($H30*'Alternative 3'!$B$39)+(2*(($N$5/3)*COS($K$5)))),IF(($A30&lt;'Alternative 3'!$B$29),(($H$3*'Alternative 3'!$B$39+(($N$5/3)*COS($K$5)))),($H30*'Alternative 3'!$B$39))))</f>
        <v>1106191.7756332529</v>
      </c>
      <c r="T30" s="105">
        <f>R30*'Alternative 3'!$K31/'Alternative 3'!$L31</f>
        <v>2123416.2673864467</v>
      </c>
      <c r="U30" s="105">
        <f>S30/'Alternative 3'!$M31</f>
        <v>611219.15038577153</v>
      </c>
      <c r="V30" s="105">
        <f t="shared" si="2"/>
        <v>2.7346354177722181</v>
      </c>
      <c r="X30" s="105">
        <f>'Alternative 3'!$B$39*$B30*$C30*COS($K$13)-($N$12/3)*$E30*SIN($K$13)-($N$12/3)*$F30*SIN($K$13)-($N$12/3)*$G30*SIN($K$13)</f>
        <v>131471.23473835329</v>
      </c>
      <c r="Y30" s="106">
        <f>IF(($A30&lt;'Alternative 3'!$B$27),(($H30*'Alternative 3'!$B$39)+(3*($N$12/3)*COS($K$13))),IF(($A30&lt;'Alternative 3'!$B$28),(($H30*'Alternative 3'!$B$39)+(2*(($N$12/3)*COS($K$13)))),IF(($A30&lt;'Alternative 3'!$B$29),(($H$3*'Alternative 3'!$B$39+(($N$12/3)*COS($K$13)))),($H30*'Alternative 3'!$B$39))))</f>
        <v>354626.8316446821</v>
      </c>
      <c r="Z30" s="105">
        <f>X30*'Alternative 3'!$K31/'Alternative 3'!$L31</f>
        <v>2092431.455701624</v>
      </c>
      <c r="AA30" s="105">
        <f>Y30/'Alternative 3'!$M31</f>
        <v>195946.77479660051</v>
      </c>
      <c r="AB30" s="105">
        <f t="shared" si="3"/>
        <v>2.2883782304982243</v>
      </c>
      <c r="AD30" s="105">
        <f>'Alternative 3'!$B$39*$B30*$C30*COS($K$23)-($N$22/3)*$E30*SIN($K$23)-($N$22/3)*$F30*SIN($K$23)-($N$22/3)*$G30*SIN($K$23)</f>
        <v>125448.39208603499</v>
      </c>
      <c r="AE30" s="106">
        <f>IF(($A30&lt;'Alternative 3'!$B$27),(($H30*'Alternative 3'!$B$39)+(3*($N$22/3)*COS($K$23))),IF(($A30&lt;'Alternative 3'!$B$28),(($H30*'Alternative 3'!$B$39)+(2*(($N$22/3)*COS($K$23)))),IF(($A30&lt;'Alternative 3'!$B$29),(($H$3*'Alternative 3'!$B$39+(($N$22/3)*COS($K$23)))),($H30*'Alternative 3'!$B$39))))</f>
        <v>237577.0336884046</v>
      </c>
      <c r="AF30" s="105">
        <f>AD30*'Alternative 3'!$K31/'Alternative 3'!$L31</f>
        <v>1996574.8567769029</v>
      </c>
      <c r="AG30" s="105">
        <f>AE30/'Alternative 3'!$M31</f>
        <v>131271.66182289715</v>
      </c>
      <c r="AH30" s="105">
        <f t="shared" si="4"/>
        <v>2.1278465185997999</v>
      </c>
      <c r="AJ30" s="105">
        <f>'Alternative 3'!$B$39*$B30*$C30*COS($K$33)-($N$32/3)*$E30*SIN($K$33)-($N$32/3)*$F30*SIN($K$33)-($N$32/3)*$G30*SIN($K$33)</f>
        <v>115613.86352013185</v>
      </c>
      <c r="AK30" s="106">
        <f>IF(($A30&lt;'Alternative 3'!$B$27),(($H30*'Alternative 3'!$B$39)+(3*($N$32/3)*COS($K$33))),IF(($A30&lt;'Alternative 3'!$B$28),(($H30*'Alternative 3'!$B$39)+(2*(($N$32/3)*COS($K$33)))),IF(($A30&lt;'Alternative 3'!$B$29),(($H$3*'Alternative 3'!$B$39+(($N$32/3)*COS($K$33)))),($H30*'Alternative 3'!$B$39))))</f>
        <v>198433.30697820301</v>
      </c>
      <c r="AL30" s="105">
        <f>AJ30*'Alternative 3'!$K31/'Alternative 3'!$L31</f>
        <v>1840053.3411446412</v>
      </c>
      <c r="AM30" s="105">
        <f>AK30/'Alternative 3'!$M31</f>
        <v>109643.04740922926</v>
      </c>
      <c r="AN30" s="105">
        <f t="shared" si="5"/>
        <v>1.9496963885538703</v>
      </c>
      <c r="AP30" s="105">
        <f>'Alternative 3'!$B$39*$B30*$C30*COS($K$43)-($N$42/3)*$E30*SIN($K$43)-($N$42/3)*$F30*SIN($K$43)-($N$42/3)*$G30*SIN($K$43)</f>
        <v>102266.4662146073</v>
      </c>
      <c r="AQ30" s="106">
        <f>IF(($A30&lt;'Alternative 3'!$B$27),(($H30*'Alternative 3'!$B$39)+(3*($N$42/3)*COS($K$43))),IF(($A30&lt;'Alternative 3'!$B$28),(($H30*'Alternative 3'!$B$39)+(2*(($N$42/3)*COS($K$43)))),IF(($A30&lt;'Alternative 3'!$B$29),(($H$3*'Alternative 3'!$B$39+(($N$42/3)*COS($K$43)))),($H30*'Alternative 3'!$B$39))))</f>
        <v>177754.04796308037</v>
      </c>
      <c r="AR30" s="105">
        <f>AP30*'Alternative 3'!$K31/'Alternative 3'!$L31</f>
        <v>1627622.7358536173</v>
      </c>
      <c r="AS30" s="105">
        <f>AQ30/'Alternative 3'!$M31</f>
        <v>98216.855853434245</v>
      </c>
      <c r="AT30" s="105">
        <f t="shared" si="6"/>
        <v>1.7258395917070515</v>
      </c>
      <c r="AV30" s="105">
        <f>'Alternative 3'!$B$39*$B30*$C30*COS($K$53)-($N$52/3)*$E30*SIN($K$53)-($N$52/3)*$F30*SIN($K$53)-($N$52/3)*$G30*SIN($K$53)</f>
        <v>85811.754082480751</v>
      </c>
      <c r="AW30" s="106">
        <f>IF(($A30&lt;'Alternative 3'!$B$27),(($H30*'Alternative 3'!$B$39)+(3*($N$52/3)*COS($K$53))),IF(($A30&lt;'Alternative 3'!$B$28),(($H30*'Alternative 3'!$B$39)+(2*(($N$52/3)*COS($K$53)))),IF(($A30&lt;'Alternative 3'!$B$29),(($H$3*'Alternative 3'!$B$39+(($N$52/3)*COS($K$53)))),($H30*'Alternative 3'!$B$39))))</f>
        <v>164762.68431790342</v>
      </c>
      <c r="AX30" s="105">
        <f>AV30*'Alternative 3'!$K31/'Alternative 3'!$L31</f>
        <v>1365737.6373505257</v>
      </c>
      <c r="AY30" s="105">
        <f>AW30/'Alternative 3'!$M31</f>
        <v>91038.561434266303</v>
      </c>
      <c r="AZ30" s="105">
        <f t="shared" si="7"/>
        <v>1.456776198784792</v>
      </c>
      <c r="BB30" s="105">
        <f>'Alternative 3'!$B$39*$B30*$C30*COS($K$63)-($N$62/3)*$E30*SIN($K$63)-($N$62/3)*$F30*SIN($K$63)-($N$62/3)*$G30*SIN($K$63)</f>
        <v>66749.695225400792</v>
      </c>
      <c r="BC30" s="106">
        <f>IF(($A30&lt;'Alternative 3'!$B$27),(($H30*'Alternative 3'!$B$39)+(3*($N$62/3)*COS($K$63))),IF(($A30&lt;'Alternative 3'!$B$28),(($H30*'Alternative 3'!$B$39)+(2*(($N$62/3)*COS($K$63)))),IF(($A30&lt;'Alternative 3'!$B$29),(($H$3*'Alternative 3'!$B$39+(($N$62/3)*COS($K$63)))),($H30*'Alternative 3'!$B$39))))</f>
        <v>156095.32765399892</v>
      </c>
      <c r="BD30" s="105">
        <f>BB30*'Alternative 3'!$K31/'Alternative 3'!$L31</f>
        <v>1062355.291833129</v>
      </c>
      <c r="BE30" s="105">
        <f>BC30/'Alternative 3'!$M31</f>
        <v>86249.469259747595</v>
      </c>
      <c r="BF30" s="105">
        <f t="shared" si="8"/>
        <v>1.1486047610928765</v>
      </c>
      <c r="BH30" s="105">
        <f>'Alternative 3'!$B$39*$B30*$C30*COS($K$73)-($N$72/3)*$E30*SIN($K$73)-($N$72/3)*$F30*SIN($K$73)-($N$72/3)*$G30*SIN($K$73)</f>
        <v>45659.480655872569</v>
      </c>
      <c r="BI30" s="106">
        <f>IF(($A30&lt;'Alternative 3'!$B$27),(($H30*'Alternative 3'!$B$39)+(3*($N$72/3)*COS($K$73))),IF(($A30&lt;'Alternative 3'!$B$28),(($H30*'Alternative 3'!$B$39)+(2*(($N$72/3)*COS($K$73)))),IF(($A30&lt;'Alternative 3'!$B$29),(($H$3*'Alternative 3'!$B$39+(($N$72/3)*COS($K$73)))),($H30*'Alternative 3'!$B$39))))</f>
        <v>150420.42181415795</v>
      </c>
      <c r="BJ30" s="105">
        <f>BH30*'Alternative 3'!$K31/'Alternative 3'!$L31</f>
        <v>726693.81835109892</v>
      </c>
      <c r="BK30" s="105">
        <f>BI30/'Alternative 3'!$M31</f>
        <v>83113.836540040196</v>
      </c>
      <c r="BL30" s="105">
        <f t="shared" si="9"/>
        <v>0.80980765489113915</v>
      </c>
      <c r="BN30" s="105">
        <f>'Alternative 3'!$B$39*$B30*$C30*COS($K$83)-($N$82/3)*$E30*SIN($K$83)-($N$82/3)*$F30*SIN($K$83)-($N$82/3)*$G30*SIN($K$83)</f>
        <v>23181.925871427702</v>
      </c>
      <c r="BO30" s="106">
        <f>IF(($A30&lt;'Alternative 3'!$B$27),(($H30*'Alternative 3'!$B$39)+(3*($N$82/3)*COS($K$83))),IF(($A30&lt;'Alternative 3'!$B$28),(($H30*'Alternative 3'!$B$39)+(2*(($N$82/3)*COS($K$83)))),IF(($A30&lt;'Alternative 3'!$B$29),(($H$3*'Alternative 3'!$B$39+(($N$82/3)*COS($K$83)))),($H30*'Alternative 3'!$B$39))))</f>
        <v>147147.80466387072</v>
      </c>
      <c r="BP30" s="105">
        <f>BN30*'Alternative 3'!$K31/'Alternative 3'!$L31</f>
        <v>368952.12092328578</v>
      </c>
      <c r="BQ30" s="105">
        <f>BO30/'Alternative 3'!$M31</f>
        <v>81305.572983758218</v>
      </c>
      <c r="BR30" s="105">
        <f t="shared" si="10"/>
        <v>0.45025769390704401</v>
      </c>
      <c r="BT30" s="105">
        <f>'Alternative 3'!$B$39*$B30*$C30*COS($K$93)-($K$92/3)*$E30*SIN($K$93)-($K$92/3)*$F30*SIN($K$93)-($K$92/3)*$G30*SIN($K$93)</f>
        <v>8.1778285971021049E-12</v>
      </c>
      <c r="BU30" s="106">
        <f>IF(($A30&lt;'Alternative 3'!$B$27),(($H30*'Alternative 3'!$B$39)+(3*($N$92/3)*COS($K$93))),IF(($A30&lt;'Alternative 3'!$B$28),(($H30*'Alternative 3'!$B$39)+(2*(($N$92/3)*COS($K$93)))),IF(($A30&lt;'Alternative 3'!$B$29),(($H$3*'Alternative 3'!$B$39+(($N$92/3)*COS($K$93)))),($H30*'Alternative 3'!$B$39))))</f>
        <v>146014.95830556421</v>
      </c>
      <c r="BV30" s="105">
        <f>BT30*'Alternative 3'!$K31/'Alternative 3'!$L31</f>
        <v>1.3015429443533538E-10</v>
      </c>
      <c r="BW30" s="105">
        <f>BU30/'Alternative 3'!$M31</f>
        <v>80679.626015163783</v>
      </c>
      <c r="BX30" s="105">
        <f t="shared" si="11"/>
        <v>8.0679626015163916E-2</v>
      </c>
      <c r="BZ30" s="104">
        <v>150</v>
      </c>
      <c r="CA30" s="104">
        <v>-150</v>
      </c>
    </row>
    <row r="31" spans="1:79" ht="15" customHeight="1" x14ac:dyDescent="0.25">
      <c r="A31" s="18">
        <f>IF('Alternative 3'!F32&gt;0,'Alternative 3'!F32,"x")</f>
        <v>29</v>
      </c>
      <c r="B31" s="18">
        <f t="shared" si="17"/>
        <v>7</v>
      </c>
      <c r="C31" s="18">
        <f t="shared" si="12"/>
        <v>3.5</v>
      </c>
      <c r="D31" s="18">
        <f t="shared" si="13"/>
        <v>29</v>
      </c>
      <c r="E31" s="101">
        <f>IF($A31&lt;='Alternative 3'!$B$27, IF($A31='Alternative 3'!$B$27,0,E32+1),0)</f>
        <v>0</v>
      </c>
      <c r="F31" s="101">
        <f>IF($A31&lt;=('Alternative 3'!$B$28), IF($A31=ROUNDDOWN('Alternative 3'!$B$28,0),0,F32+1),0)</f>
        <v>0</v>
      </c>
      <c r="G31" s="101">
        <f>IF($A31&lt;=('Alternative 3'!$B$29), IF($A31=ROUNDDOWN('Alternative 3'!$B$29,0),0,G32+1),0)</f>
        <v>0</v>
      </c>
      <c r="H31" s="18">
        <f t="shared" si="14"/>
        <v>7</v>
      </c>
      <c r="J31" s="104">
        <f t="shared" si="15"/>
        <v>28</v>
      </c>
      <c r="K31" s="104">
        <f t="shared" si="16"/>
        <v>0.48869219055841229</v>
      </c>
      <c r="L31" s="105">
        <f>'Alternative 3'!$B$27*SIN(K31)+'Alternative 3'!$B$28*SIN(K31)+'Alternative 3'!$B$29*SIN(K31)</f>
        <v>31.449899991026825</v>
      </c>
      <c r="M31" s="104">
        <f>(('Alternative 3'!$B$27)*(((('Alternative 3'!$B$28-'Alternative 3'!$B$27)/2)+'Alternative 3'!$B$27)*'Alternative 3'!$B$39)*COS('Alternative 3-Tilt Up (3pt)'!K31))+(('Alternative 3'!$B$28)*((('Alternative 3'!$B$28-'Alternative 3'!$B$27)/2)+(('Alternative 3'!$B$29-'Alternative 3'!$B$28)/2))*('Alternative 3'!$B$39)*COS('Alternative 3-Tilt Up (3pt)'!K31))+(('Alternative 3'!$B$29)*((('Alternative 3'!$B$12-'Alternative 3'!$B$29+(('Alternative 3'!$B$29-'Alternative 3'!$B$28)/2)*('Alternative 3'!$B$39)*COS('Alternative 3-Tilt Up (3pt)'!K31)))))</f>
        <v>1984491.3033248985</v>
      </c>
      <c r="N31" s="104">
        <f t="shared" si="0"/>
        <v>189300.24933857721</v>
      </c>
      <c r="O31" s="104">
        <f>(((('Alternative 3'!$B$28-'Alternative 3'!$B$27)/2)+'Alternative 3'!$B$27)*('Alternative 3'!$B$39)*COS('Alternative 3-Tilt Up (3pt)'!K31))+(((('Alternative 3'!$B$28-'Alternative 3'!$B$27)/2)+(('Alternative 3'!$B$29-'Alternative 3'!$B$28)/2))*('Alternative 3'!$B$39)*COS('Alternative 3-Tilt Up (3pt)'!K31))+(((('Alternative 3'!$B$12-'Alternative 3'!$B$29)+(('Alternative 3'!$B$29-'Alternative 3'!$B$28)/2))*('Alternative 3'!$B$39)*COS('Alternative 3-Tilt Up (3pt)'!K31)))</f>
        <v>128923.55595729451</v>
      </c>
      <c r="P31" s="104">
        <f t="shared" si="1"/>
        <v>167142.19948109143</v>
      </c>
      <c r="R31" s="105">
        <f>'Alternative 3'!$B$39*$B31*$C31*COS($K$5)-($N$5/3)*$E31*SIN($K$5)-($N$5/3)*$F31*SIN($K$5)-($N$5/3)*$G31*SIN($K$5)</f>
        <v>102148.2069567096</v>
      </c>
      <c r="S31" s="106">
        <f>IF(($A31&lt;'Alternative 3'!$B$27),(($H31*'Alternative 3'!$B$39)+(3*($N$5/3)*COS($K$5))),IF(($A31&lt;'Alternative 3'!$B$28),(($H31*'Alternative 3'!$B$39)+(2*(($N$5/3)*COS($K$5)))),IF(($A31&lt;'Alternative 3'!$B$29),(($H$3*'Alternative 3'!$B$39+(($N$5/3)*COS($K$5)))),($H31*'Alternative 3'!$B$39))))</f>
        <v>29202.991661112839</v>
      </c>
      <c r="T31" s="105">
        <f>R31*'Alternative 3'!$K32/'Alternative 3'!$L32</f>
        <v>1625740.5797177481</v>
      </c>
      <c r="U31" s="105">
        <f>S31/'Alternative 3'!$M32</f>
        <v>16563.348429498135</v>
      </c>
      <c r="V31" s="105">
        <f t="shared" si="2"/>
        <v>1.6423039281472462</v>
      </c>
      <c r="X31" s="105">
        <f>'Alternative 3'!$B$39*$B31*$C31*COS($K$13)-($N$12/3)*$E31*SIN($K$13)-($N$12/3)*$F31*SIN($K$13)-($N$12/3)*$G31*SIN($K$13)</f>
        <v>100657.66409655174</v>
      </c>
      <c r="Y31" s="106">
        <f>IF(($A31&lt;'Alternative 3'!$B$27),(($H31*'Alternative 3'!$B$39)+(3*($N$12/3)*COS($K$13))),IF(($A31&lt;'Alternative 3'!$B$28),(($H31*'Alternative 3'!$B$39)+(2*(($N$12/3)*COS($K$13)))),IF(($A31&lt;'Alternative 3'!$B$29),(($H$3*'Alternative 3'!$B$39+(($N$12/3)*COS($K$13)))),($H31*'Alternative 3'!$B$39))))</f>
        <v>29202.991661112839</v>
      </c>
      <c r="Z31" s="105">
        <f>X31*'Alternative 3'!$K32/'Alternative 3'!$L32</f>
        <v>1602017.8332715561</v>
      </c>
      <c r="AA31" s="105">
        <f>Y31/'Alternative 3'!$M32</f>
        <v>16563.348429498135</v>
      </c>
      <c r="AB31" s="105">
        <f t="shared" si="3"/>
        <v>1.618581181701054</v>
      </c>
      <c r="AD31" s="105">
        <f>'Alternative 3'!$B$39*$B31*$C31*COS($K$23)-($N$22/3)*$E31*SIN($K$23)-($N$22/3)*$F31*SIN($K$23)-($N$22/3)*$G31*SIN($K$23)</f>
        <v>96046.425190870534</v>
      </c>
      <c r="AE31" s="106">
        <f>IF(($A31&lt;'Alternative 3'!$B$27),(($H31*'Alternative 3'!$B$39)+(3*($N$22/3)*COS($K$23))),IF(($A31&lt;'Alternative 3'!$B$28),(($H31*'Alternative 3'!$B$39)+(2*(($N$22/3)*COS($K$23)))),IF(($A31&lt;'Alternative 3'!$B$29),(($H$3*'Alternative 3'!$B$39+(($N$22/3)*COS($K$23)))),($H31*'Alternative 3'!$B$39))))</f>
        <v>29202.991661112839</v>
      </c>
      <c r="AF31" s="105">
        <f>AD31*'Alternative 3'!$K32/'Alternative 3'!$L32</f>
        <v>1528627.624719816</v>
      </c>
      <c r="AG31" s="105">
        <f>AE31/'Alternative 3'!$M32</f>
        <v>16563.348429498135</v>
      </c>
      <c r="AH31" s="105">
        <f t="shared" si="4"/>
        <v>1.5451909731493141</v>
      </c>
      <c r="AJ31" s="105">
        <f>'Alternative 3'!$B$39*$B31*$C31*COS($K$33)-($N$32/3)*$E31*SIN($K$33)-($N$32/3)*$F31*SIN($K$33)-($N$32/3)*$G31*SIN($K$33)</f>
        <v>88516.864257600944</v>
      </c>
      <c r="AK31" s="106">
        <f>IF(($A31&lt;'Alternative 3'!$B$27),(($H31*'Alternative 3'!$B$39)+(3*($N$32/3)*COS($K$33))),IF(($A31&lt;'Alternative 3'!$B$28),(($H31*'Alternative 3'!$B$39)+(2*(($N$32/3)*COS($K$33)))),IF(($A31&lt;'Alternative 3'!$B$29),(($H$3*'Alternative 3'!$B$39+(($N$32/3)*COS($K$33)))),($H31*'Alternative 3'!$B$39))))</f>
        <v>29202.991661112839</v>
      </c>
      <c r="AL31" s="105">
        <f>AJ31*'Alternative 3'!$K32/'Alternative 3'!$L32</f>
        <v>1408790.8393138656</v>
      </c>
      <c r="AM31" s="105">
        <f>AK31/'Alternative 3'!$M32</f>
        <v>16563.348429498135</v>
      </c>
      <c r="AN31" s="105">
        <f t="shared" si="5"/>
        <v>1.4253541877433638</v>
      </c>
      <c r="AP31" s="105">
        <f>'Alternative 3'!$B$39*$B31*$C31*COS($K$43)-($N$42/3)*$E31*SIN($K$43)-($N$42/3)*$F31*SIN($K$43)-($N$42/3)*$G31*SIN($K$43)</f>
        <v>78297.763195558698</v>
      </c>
      <c r="AQ31" s="106">
        <f>IF(($A31&lt;'Alternative 3'!$B$27),(($H31*'Alternative 3'!$B$39)+(3*($N$42/3)*COS($K$43))),IF(($A31&lt;'Alternative 3'!$B$28),(($H31*'Alternative 3'!$B$39)+(2*(($N$42/3)*COS($K$43)))),IF(($A31&lt;'Alternative 3'!$B$29),(($H$3*'Alternative 3'!$B$39+(($N$42/3)*COS($K$43)))),($H31*'Alternative 3'!$B$39))))</f>
        <v>29202.991661112839</v>
      </c>
      <c r="AR31" s="105">
        <f>AP31*'Alternative 3'!$K32/'Alternative 3'!$L32</f>
        <v>1246148.6571379253</v>
      </c>
      <c r="AS31" s="105">
        <f>AQ31/'Alternative 3'!$M32</f>
        <v>16563.348429498135</v>
      </c>
      <c r="AT31" s="105">
        <f t="shared" si="6"/>
        <v>1.2627120055674232</v>
      </c>
      <c r="AV31" s="105">
        <f>'Alternative 3'!$B$39*$B31*$C31*COS($K$53)-($N$52/3)*$E31*SIN($K$53)-($N$52/3)*$F31*SIN($K$53)-($N$52/3)*$G31*SIN($K$53)</f>
        <v>65699.624219399324</v>
      </c>
      <c r="AW31" s="106">
        <f>IF(($A31&lt;'Alternative 3'!$B$27),(($H31*'Alternative 3'!$B$39)+(3*($N$52/3)*COS($K$53))),IF(($A31&lt;'Alternative 3'!$B$28),(($H31*'Alternative 3'!$B$39)+(2*(($N$52/3)*COS($K$53)))),IF(($A31&lt;'Alternative 3'!$B$29),(($H$3*'Alternative 3'!$B$39+(($N$52/3)*COS($K$53)))),($H31*'Alternative 3'!$B$39))))</f>
        <v>29202.991661112839</v>
      </c>
      <c r="AX31" s="105">
        <f>AV31*'Alternative 3'!$K32/'Alternative 3'!$L32</f>
        <v>1045642.8785964961</v>
      </c>
      <c r="AY31" s="105">
        <f>AW31/'Alternative 3'!$M32</f>
        <v>16563.348429498135</v>
      </c>
      <c r="AZ31" s="105">
        <f t="shared" si="7"/>
        <v>1.0622062270259942</v>
      </c>
      <c r="BB31" s="105">
        <f>'Alternative 3'!$B$39*$B31*$C31*COS($K$63)-($N$62/3)*$E31*SIN($K$63)-($N$62/3)*$F31*SIN($K$63)-($N$62/3)*$G31*SIN($K$63)</f>
        <v>51105.235406947482</v>
      </c>
      <c r="BC31" s="106">
        <f>IF(($A31&lt;'Alternative 3'!$B$27),(($H31*'Alternative 3'!$B$39)+(3*($N$62/3)*COS($K$63))),IF(($A31&lt;'Alternative 3'!$B$28),(($H31*'Alternative 3'!$B$39)+(2*(($N$62/3)*COS($K$63)))),IF(($A31&lt;'Alternative 3'!$B$29),(($H$3*'Alternative 3'!$B$39+(($N$62/3)*COS($K$63)))),($H31*'Alternative 3'!$B$39))))</f>
        <v>29202.991661112839</v>
      </c>
      <c r="BD31" s="105">
        <f>BB31*'Alternative 3'!$K32/'Alternative 3'!$L32</f>
        <v>813365.7703097394</v>
      </c>
      <c r="BE31" s="105">
        <f>BC31/'Alternative 3'!$M32</f>
        <v>16563.348429498135</v>
      </c>
      <c r="BF31" s="105">
        <f t="shared" si="8"/>
        <v>0.82992911873923758</v>
      </c>
      <c r="BH31" s="105">
        <f>'Alternative 3'!$B$39*$B31*$C31*COS($K$73)-($N$72/3)*$E31*SIN($K$73)-($N$72/3)*$F31*SIN($K$73)-($N$72/3)*$G31*SIN($K$73)</f>
        <v>34958.039877152434</v>
      </c>
      <c r="BI31" s="106">
        <f>IF(($A31&lt;'Alternative 3'!$B$27),(($H31*'Alternative 3'!$B$39)+(3*($N$72/3)*COS($K$73))),IF(($A31&lt;'Alternative 3'!$B$28),(($H31*'Alternative 3'!$B$39)+(2*(($N$72/3)*COS($K$73)))),IF(($A31&lt;'Alternative 3'!$B$29),(($H$3*'Alternative 3'!$B$39+(($N$72/3)*COS($K$73)))),($H31*'Alternative 3'!$B$39))))</f>
        <v>29202.991661112839</v>
      </c>
      <c r="BJ31" s="105">
        <f>BH31*'Alternative 3'!$K32/'Alternative 3'!$L32</f>
        <v>556374.95467506</v>
      </c>
      <c r="BK31" s="105">
        <f>BI31/'Alternative 3'!$M32</f>
        <v>16563.348429498135</v>
      </c>
      <c r="BL31" s="105">
        <f t="shared" si="9"/>
        <v>0.57293830310455818</v>
      </c>
      <c r="BN31" s="105">
        <f>'Alternative 3'!$B$39*$B31*$C31*COS($K$83)-($N$82/3)*$E31*SIN($K$83)-($N$82/3)*$F31*SIN($K$83)-($N$82/3)*$G31*SIN($K$83)</f>
        <v>17748.661995311835</v>
      </c>
      <c r="BO31" s="106">
        <f>IF(($A31&lt;'Alternative 3'!$B$27),(($H31*'Alternative 3'!$B$39)+(3*($N$82/3)*COS($K$83))),IF(($A31&lt;'Alternative 3'!$B$28),(($H31*'Alternative 3'!$B$39)+(2*(($N$82/3)*COS($K$83)))),IF(($A31&lt;'Alternative 3'!$B$29),(($H$3*'Alternative 3'!$B$39+(($N$82/3)*COS($K$83)))),($H31*'Alternative 3'!$B$39))))</f>
        <v>29202.991661112839</v>
      </c>
      <c r="BP31" s="105">
        <f>BN31*'Alternative 3'!$K32/'Alternative 3'!$L32</f>
        <v>282478.96758189064</v>
      </c>
      <c r="BQ31" s="105">
        <f>BO31/'Alternative 3'!$M32</f>
        <v>16563.348429498135</v>
      </c>
      <c r="BR31" s="105">
        <f t="shared" si="10"/>
        <v>0.29904231601138881</v>
      </c>
      <c r="BT31" s="105">
        <f>'Alternative 3'!$B$39*$B31*$C31*COS($K$93)-($K$92/3)*$E31*SIN($K$93)-($K$92/3)*$F31*SIN($K$93)-($K$92/3)*$G31*SIN($K$93)</f>
        <v>6.2611500196562988E-12</v>
      </c>
      <c r="BU31" s="106">
        <f>IF(($A31&lt;'Alternative 3'!$B$27),(($H31*'Alternative 3'!$B$39)+(3*($N$92/3)*COS($K$93))),IF(($A31&lt;'Alternative 3'!$B$28),(($H31*'Alternative 3'!$B$39)+(2*(($N$92/3)*COS($K$93)))),IF(($A31&lt;'Alternative 3'!$B$29),(($H$3*'Alternative 3'!$B$39+(($N$92/3)*COS($K$93)))),($H31*'Alternative 3'!$B$39))))</f>
        <v>29202.991661112839</v>
      </c>
      <c r="BV31" s="105">
        <f>BT31*'Alternative 3'!$K32/'Alternative 3'!$L32</f>
        <v>9.9649381677053636E-11</v>
      </c>
      <c r="BW31" s="105">
        <f>BU31/'Alternative 3'!$M32</f>
        <v>16563.348429498135</v>
      </c>
      <c r="BX31" s="105">
        <f t="shared" si="11"/>
        <v>1.6563348429498234E-2</v>
      </c>
      <c r="BZ31" s="104">
        <v>150</v>
      </c>
      <c r="CA31" s="104">
        <v>-150</v>
      </c>
    </row>
    <row r="32" spans="1:79" ht="15" customHeight="1" x14ac:dyDescent="0.25">
      <c r="A32" s="18">
        <f>IF('Alternative 3'!F33&gt;0,'Alternative 3'!F33,"x")</f>
        <v>30</v>
      </c>
      <c r="B32" s="18">
        <f t="shared" si="17"/>
        <v>6</v>
      </c>
      <c r="C32" s="18">
        <f t="shared" si="12"/>
        <v>3</v>
      </c>
      <c r="D32" s="18">
        <f t="shared" si="13"/>
        <v>30</v>
      </c>
      <c r="E32" s="101">
        <f>IF($A32&lt;='Alternative 3'!$B$27, IF($A32='Alternative 3'!$B$27,0,E33+1),0)</f>
        <v>0</v>
      </c>
      <c r="F32" s="101">
        <f>IF($A32&lt;=('Alternative 3'!$B$28), IF($A32=ROUNDDOWN('Alternative 3'!$B$28,0),0,F33+1),0)</f>
        <v>0</v>
      </c>
      <c r="G32" s="101">
        <f>IF($A32&lt;=('Alternative 3'!$B$29), IF($A32=ROUNDDOWN('Alternative 3'!$B$29,0),0,G33+1),0)</f>
        <v>0</v>
      </c>
      <c r="H32" s="18">
        <f t="shared" si="14"/>
        <v>6</v>
      </c>
      <c r="J32" s="104">
        <f t="shared" si="15"/>
        <v>29</v>
      </c>
      <c r="K32" s="104">
        <f t="shared" si="16"/>
        <v>0.50614548307835561</v>
      </c>
      <c r="L32" s="105">
        <f>'Alternative 3'!$B$27*SIN(K32)+'Alternative 3'!$B$28*SIN(K32)+'Alternative 3'!$B$29*SIN(K32)</f>
        <v>32.477396460302117</v>
      </c>
      <c r="M32" s="104">
        <f>(('Alternative 3'!$B$27)*(((('Alternative 3'!$B$28-'Alternative 3'!$B$27)/2)+'Alternative 3'!$B$27)*'Alternative 3'!$B$39)*COS('Alternative 3-Tilt Up (3pt)'!K32))+(('Alternative 3'!$B$28)*((('Alternative 3'!$B$28-'Alternative 3'!$B$27)/2)+(('Alternative 3'!$B$29-'Alternative 3'!$B$28)/2))*('Alternative 3'!$B$39)*COS('Alternative 3-Tilt Up (3pt)'!K32))+(('Alternative 3'!$B$29)*((('Alternative 3'!$B$12-'Alternative 3'!$B$29+(('Alternative 3'!$B$29-'Alternative 3'!$B$28)/2)*('Alternative 3'!$B$39)*COS('Alternative 3-Tilt Up (3pt)'!K32)))))</f>
        <v>1965775.4659346992</v>
      </c>
      <c r="N32" s="109">
        <f t="shared" si="0"/>
        <v>181582.48629974196</v>
      </c>
      <c r="O32" s="104">
        <f>(((('Alternative 3'!$B$28-'Alternative 3'!$B$27)/2)+'Alternative 3'!$B$27)*('Alternative 3'!$B$39)*COS('Alternative 3-Tilt Up (3pt)'!K32))+(((('Alternative 3'!$B$28-'Alternative 3'!$B$27)/2)+(('Alternative 3'!$B$29-'Alternative 3'!$B$28)/2))*('Alternative 3'!$B$39)*COS('Alternative 3-Tilt Up (3pt)'!K32))+(((('Alternative 3'!$B$12-'Alternative 3'!$B$29)+(('Alternative 3'!$B$29-'Alternative 3'!$B$28)/2))*('Alternative 3'!$B$39)*COS('Alternative 3-Tilt Up (3pt)'!K32)))</f>
        <v>127707.56007118363</v>
      </c>
      <c r="P32" s="104">
        <f t="shared" si="1"/>
        <v>158815.62098912365</v>
      </c>
      <c r="R32" s="105">
        <f>'Alternative 3'!$B$39*$B32*$C32*COS($K$5)-($N$5/3)*$E32*SIN($K$5)-($N$5/3)*$F32*SIN($K$5)-($N$5/3)*$G32*SIN($K$5)</f>
        <v>75047.662253909104</v>
      </c>
      <c r="S32" s="106">
        <f>IF(($A32&lt;'Alternative 3'!$B$27),(($H32*'Alternative 3'!$B$39)+(3*($N$5/3)*COS($K$5))),IF(($A32&lt;'Alternative 3'!$B$28),(($H32*'Alternative 3'!$B$39)+(2*(($N$5/3)*COS($K$5)))),IF(($A32&lt;'Alternative 3'!$B$29),(($H$3*'Alternative 3'!$B$39+(($N$5/3)*COS($K$5)))),($H32*'Alternative 3'!$B$39))))</f>
        <v>25031.13570952529</v>
      </c>
      <c r="T32" s="105">
        <f>R32*'Alternative 3'!$K33/'Alternative 3'!$L33</f>
        <v>1194421.6504048763</v>
      </c>
      <c r="U32" s="105">
        <f>S32/'Alternative 3'!$M33</f>
        <v>14578.270556766665</v>
      </c>
      <c r="V32" s="105">
        <f t="shared" si="2"/>
        <v>1.2089999209616431</v>
      </c>
      <c r="X32" s="105">
        <f>'Alternative 3'!$B$39*$B32*$C32*COS($K$13)-($N$12/3)*$E32*SIN($K$13)-($N$12/3)*$F32*SIN($K$13)-($N$12/3)*$G32*SIN($K$13)</f>
        <v>73952.569540323719</v>
      </c>
      <c r="Y32" s="106">
        <f>IF(($A32&lt;'Alternative 3'!$B$27),(($H32*'Alternative 3'!$B$39)+(3*($N$12/3)*COS($K$13))),IF(($A32&lt;'Alternative 3'!$B$28),(($H32*'Alternative 3'!$B$39)+(2*(($N$12/3)*COS($K$13)))),IF(($A32&lt;'Alternative 3'!$B$29),(($H$3*'Alternative 3'!$B$39+(($N$12/3)*COS($K$13)))),($H32*'Alternative 3'!$B$39))))</f>
        <v>25031.13570952529</v>
      </c>
      <c r="Z32" s="105">
        <f>X32*'Alternative 3'!$K33/'Alternative 3'!$L33</f>
        <v>1176992.6938321635</v>
      </c>
      <c r="AA32" s="105">
        <f>Y32/'Alternative 3'!$M33</f>
        <v>14578.270556766665</v>
      </c>
      <c r="AB32" s="105">
        <f t="shared" si="3"/>
        <v>1.1915709643889303</v>
      </c>
      <c r="AD32" s="105">
        <f>'Alternative 3'!$B$39*$B32*$C32*COS($K$23)-($N$22/3)*$E32*SIN($K$23)-($N$22/3)*$F32*SIN($K$23)-($N$22/3)*$G32*SIN($K$23)</f>
        <v>70564.720548394675</v>
      </c>
      <c r="AE32" s="106">
        <f>IF(($A32&lt;'Alternative 3'!$B$27),(($H32*'Alternative 3'!$B$39)+(3*($N$22/3)*COS($K$23))),IF(($A32&lt;'Alternative 3'!$B$28),(($H32*'Alternative 3'!$B$39)+(2*(($N$22/3)*COS($K$23)))),IF(($A32&lt;'Alternative 3'!$B$29),(($H$3*'Alternative 3'!$B$39+(($N$22/3)*COS($K$23)))),($H32*'Alternative 3'!$B$39))))</f>
        <v>25031.13570952529</v>
      </c>
      <c r="AF32" s="105">
        <f>AD32*'Alternative 3'!$K33/'Alternative 3'!$L33</f>
        <v>1123073.3569370075</v>
      </c>
      <c r="AG32" s="105">
        <f>AE32/'Alternative 3'!$M33</f>
        <v>14578.270556766665</v>
      </c>
      <c r="AH32" s="105">
        <f t="shared" si="4"/>
        <v>1.1376516274937742</v>
      </c>
      <c r="AJ32" s="105">
        <f>'Alternative 3'!$B$39*$B32*$C32*COS($K$33)-($N$32/3)*$E32*SIN($K$33)-($N$32/3)*$F32*SIN($K$33)-($N$32/3)*$G32*SIN($K$33)</f>
        <v>65032.798230074164</v>
      </c>
      <c r="AK32" s="106">
        <f>IF(($A32&lt;'Alternative 3'!$B$27),(($H32*'Alternative 3'!$B$39)+(3*($N$32/3)*COS($K$33))),IF(($A32&lt;'Alternative 3'!$B$28),(($H32*'Alternative 3'!$B$39)+(2*(($N$32/3)*COS($K$33)))),IF(($A32&lt;'Alternative 3'!$B$29),(($H$3*'Alternative 3'!$B$39+(($N$32/3)*COS($K$33)))),($H32*'Alternative 3'!$B$39))))</f>
        <v>25031.13570952529</v>
      </c>
      <c r="AL32" s="105">
        <f>AJ32*'Alternative 3'!$K33/'Alternative 3'!$L33</f>
        <v>1035030.0043938606</v>
      </c>
      <c r="AM32" s="105">
        <f>AK32/'Alternative 3'!$M33</f>
        <v>14578.270556766665</v>
      </c>
      <c r="AN32" s="105">
        <f t="shared" si="5"/>
        <v>1.0496082749506273</v>
      </c>
      <c r="AP32" s="105">
        <f>'Alternative 3'!$B$39*$B32*$C32*COS($K$43)-($N$42/3)*$E32*SIN($K$43)-($N$42/3)*$F32*SIN($K$43)-($N$42/3)*$G32*SIN($K$43)</f>
        <v>57524.887245716593</v>
      </c>
      <c r="AQ32" s="106">
        <f>IF(($A32&lt;'Alternative 3'!$B$27),(($H32*'Alternative 3'!$B$39)+(3*($N$42/3)*COS($K$43))),IF(($A32&lt;'Alternative 3'!$B$28),(($H32*'Alternative 3'!$B$39)+(2*(($N$42/3)*COS($K$43)))),IF(($A32&lt;'Alternative 3'!$B$29),(($H$3*'Alternative 3'!$B$39+(($N$42/3)*COS($K$43)))),($H32*'Alternative 3'!$B$39))))</f>
        <v>25031.13570952529</v>
      </c>
      <c r="AR32" s="105">
        <f>AP32*'Alternative 3'!$K33/'Alternative 3'!$L33</f>
        <v>915537.78891765943</v>
      </c>
      <c r="AS32" s="105">
        <f>AQ32/'Alternative 3'!$M33</f>
        <v>14578.270556766665</v>
      </c>
      <c r="AT32" s="105">
        <f t="shared" si="6"/>
        <v>0.9301160594744261</v>
      </c>
      <c r="AV32" s="105">
        <f>'Alternative 3'!$B$39*$B32*$C32*COS($K$53)-($N$52/3)*$E32*SIN($K$53)-($N$52/3)*$F32*SIN($K$53)-($N$52/3)*$G32*SIN($K$53)</f>
        <v>48269.111671395418</v>
      </c>
      <c r="AW32" s="106">
        <f>IF(($A32&lt;'Alternative 3'!$B$27),(($H32*'Alternative 3'!$B$39)+(3*($N$52/3)*COS($K$53))),IF(($A32&lt;'Alternative 3'!$B$28),(($H32*'Alternative 3'!$B$39)+(2*(($N$52/3)*COS($K$53)))),IF(($A32&lt;'Alternative 3'!$B$29),(($H$3*'Alternative 3'!$B$39+(($N$52/3)*COS($K$53)))),($H32*'Alternative 3'!$B$39))))</f>
        <v>25031.13570952529</v>
      </c>
      <c r="AX32" s="105">
        <f>AV32*'Alternative 3'!$K33/'Alternative 3'!$L33</f>
        <v>768227.42100967059</v>
      </c>
      <c r="AY32" s="105">
        <f>AW32/'Alternative 3'!$M33</f>
        <v>14578.270556766665</v>
      </c>
      <c r="AZ32" s="105">
        <f t="shared" si="7"/>
        <v>0.7828056915664372</v>
      </c>
      <c r="BB32" s="105">
        <f>'Alternative 3'!$B$39*$B32*$C32*COS($K$63)-($N$62/3)*$E32*SIN($K$63)-($N$62/3)*$F32*SIN($K$63)-($N$62/3)*$G32*SIN($K$63)</f>
        <v>37546.703564287942</v>
      </c>
      <c r="BC32" s="106">
        <f>IF(($A32&lt;'Alternative 3'!$B$27),(($H32*'Alternative 3'!$B$39)+(3*($N$62/3)*COS($K$63))),IF(($A32&lt;'Alternative 3'!$B$28),(($H32*'Alternative 3'!$B$39)+(2*(($N$62/3)*COS($K$63)))),IF(($A32&lt;'Alternative 3'!$B$29),(($H$3*'Alternative 3'!$B$39+(($N$62/3)*COS($K$63)))),($H32*'Alternative 3'!$B$39))))</f>
        <v>25031.13570952529</v>
      </c>
      <c r="BD32" s="105">
        <f>BB32*'Alternative 3'!$K33/'Alternative 3'!$L33</f>
        <v>597574.85165613494</v>
      </c>
      <c r="BE32" s="105">
        <f>BC32/'Alternative 3'!$M33</f>
        <v>14578.270556766665</v>
      </c>
      <c r="BF32" s="105">
        <f t="shared" si="8"/>
        <v>0.61215312221290163</v>
      </c>
      <c r="BH32" s="105">
        <f>'Alternative 3'!$B$39*$B32*$C32*COS($K$73)-($N$72/3)*$E32*SIN($K$73)-($N$72/3)*$F32*SIN($K$73)-($N$72/3)*$G32*SIN($K$73)</f>
        <v>25683.457868928319</v>
      </c>
      <c r="BI32" s="106">
        <f>IF(($A32&lt;'Alternative 3'!$B$27),(($H32*'Alternative 3'!$B$39)+(3*($N$72/3)*COS($K$73))),IF(($A32&lt;'Alternative 3'!$B$28),(($H32*'Alternative 3'!$B$39)+(2*(($N$72/3)*COS($K$73)))),IF(($A32&lt;'Alternative 3'!$B$29),(($H$3*'Alternative 3'!$B$39+(($N$72/3)*COS($K$73)))),($H32*'Alternative 3'!$B$39))))</f>
        <v>25031.13570952529</v>
      </c>
      <c r="BJ32" s="105">
        <f>BH32*'Alternative 3'!$K33/'Alternative 3'!$L33</f>
        <v>408765.27282249305</v>
      </c>
      <c r="BK32" s="105">
        <f>BI32/'Alternative 3'!$M33</f>
        <v>14578.270556766665</v>
      </c>
      <c r="BL32" s="105">
        <f t="shared" si="9"/>
        <v>0.42334354337925972</v>
      </c>
      <c r="BN32" s="105">
        <f>'Alternative 3'!$B$39*$B32*$C32*COS($K$83)-($N$82/3)*$E32*SIN($K$83)-($N$82/3)*$F32*SIN($K$83)-($N$82/3)*$G32*SIN($K$83)</f>
        <v>13039.833302678082</v>
      </c>
      <c r="BO32" s="106">
        <f>IF(($A32&lt;'Alternative 3'!$B$27),(($H32*'Alternative 3'!$B$39)+(3*($N$82/3)*COS($K$83))),IF(($A32&lt;'Alternative 3'!$B$28),(($H32*'Alternative 3'!$B$39)+(2*(($N$82/3)*COS($K$83)))),IF(($A32&lt;'Alternative 3'!$B$29),(($H$3*'Alternative 3'!$B$39+(($N$82/3)*COS($K$83)))),($H32*'Alternative 3'!$B$39))))</f>
        <v>25031.13570952529</v>
      </c>
      <c r="BP32" s="105">
        <f>BN32*'Alternative 3'!$K33/'Alternative 3'!$L33</f>
        <v>207535.5680193482</v>
      </c>
      <c r="BQ32" s="105">
        <f>BO32/'Alternative 3'!$M33</f>
        <v>14578.270556766665</v>
      </c>
      <c r="BR32" s="105">
        <f t="shared" si="10"/>
        <v>0.22211383857611486</v>
      </c>
      <c r="BT32" s="105">
        <f>'Alternative 3'!$B$39*$B32*$C32*COS($K$93)-($K$92/3)*$E32*SIN($K$93)-($K$92/3)*$F32*SIN($K$93)-($K$92/3)*$G32*SIN($K$93)</f>
        <v>4.6000285858699337E-12</v>
      </c>
      <c r="BU32" s="106">
        <f>IF(($A32&lt;'Alternative 3'!$B$27),(($H32*'Alternative 3'!$B$39)+(3*($N$92/3)*COS($K$93))),IF(($A32&lt;'Alternative 3'!$B$28),(($H32*'Alternative 3'!$B$39)+(2*(($N$92/3)*COS($K$93)))),IF(($A32&lt;'Alternative 3'!$B$29),(($H$3*'Alternative 3'!$B$39+(($N$92/3)*COS($K$93)))),($H32*'Alternative 3'!$B$39))))</f>
        <v>25031.13570952529</v>
      </c>
      <c r="BV32" s="105">
        <f>BT32*'Alternative 3'!$K33/'Alternative 3'!$L33</f>
        <v>7.3211790619876147E-11</v>
      </c>
      <c r="BW32" s="105">
        <f>BU32/'Alternative 3'!$M33</f>
        <v>14578.270556766665</v>
      </c>
      <c r="BX32" s="105">
        <f t="shared" si="11"/>
        <v>1.4578270556766738E-2</v>
      </c>
      <c r="BZ32" s="104">
        <v>150</v>
      </c>
      <c r="CA32" s="104">
        <v>-150</v>
      </c>
    </row>
    <row r="33" spans="1:79" ht="15" customHeight="1" x14ac:dyDescent="0.25">
      <c r="A33" s="18">
        <f>IF('Alternative 3'!F34&gt;0,'Alternative 3'!F34,"x")</f>
        <v>31</v>
      </c>
      <c r="B33" s="18">
        <f t="shared" si="17"/>
        <v>5</v>
      </c>
      <c r="C33" s="18">
        <f t="shared" si="12"/>
        <v>2.5</v>
      </c>
      <c r="D33" s="18">
        <f t="shared" si="13"/>
        <v>31</v>
      </c>
      <c r="E33" s="101">
        <f>IF($A33&lt;='Alternative 3'!$B$27, IF($A33='Alternative 3'!$B$27,0,E34+1),0)</f>
        <v>0</v>
      </c>
      <c r="F33" s="101">
        <f>IF($A33&lt;=('Alternative 3'!$B$28), IF($A33=ROUNDDOWN('Alternative 3'!$B$28,0),0,F34+1),0)</f>
        <v>0</v>
      </c>
      <c r="G33" s="101">
        <f>IF($A33&lt;=('Alternative 3'!$B$29), IF($A33=ROUNDDOWN('Alternative 3'!$B$29,0),0,G34+1),0)</f>
        <v>0</v>
      </c>
      <c r="H33" s="18">
        <f t="shared" si="14"/>
        <v>5</v>
      </c>
      <c r="J33" s="104">
        <f t="shared" si="15"/>
        <v>30</v>
      </c>
      <c r="K33" s="109">
        <f t="shared" si="16"/>
        <v>0.52359877559829882</v>
      </c>
      <c r="L33" s="105">
        <f>'Alternative 3'!$B$27*SIN(K33)+'Alternative 3'!$B$28*SIN(K33)+'Alternative 3'!$B$29*SIN(K33)</f>
        <v>33.49499999999999</v>
      </c>
      <c r="M33" s="104">
        <f>(('Alternative 3'!$B$27)*(((('Alternative 3'!$B$28-'Alternative 3'!$B$27)/2)+'Alternative 3'!$B$27)*'Alternative 3'!$B$39)*COS('Alternative 3-Tilt Up (3pt)'!K33))+(('Alternative 3'!$B$28)*((('Alternative 3'!$B$28-'Alternative 3'!$B$27)/2)+(('Alternative 3'!$B$29-'Alternative 3'!$B$28)/2))*('Alternative 3'!$B$39)*COS('Alternative 3-Tilt Up (3pt)'!K33))+(('Alternative 3'!$B$29)*((('Alternative 3'!$B$12-'Alternative 3'!$B$29+(('Alternative 3'!$B$29-'Alternative 3'!$B$28)/2)*('Alternative 3'!$B$39)*COS('Alternative 3-Tilt Up (3pt)'!K33)))))</f>
        <v>1946460.8896436028</v>
      </c>
      <c r="N33" s="104">
        <f t="shared" si="0"/>
        <v>174335.95070699535</v>
      </c>
      <c r="O33" s="104">
        <f>(((('Alternative 3'!$B$28-'Alternative 3'!$B$27)/2)+'Alternative 3'!$B$27)*('Alternative 3'!$B$39)*COS('Alternative 3-Tilt Up (3pt)'!K33))+(((('Alternative 3'!$B$28-'Alternative 3'!$B$27)/2)+(('Alternative 3'!$B$29-'Alternative 3'!$B$28)/2))*('Alternative 3'!$B$39)*COS('Alternative 3-Tilt Up (3pt)'!K33))+(((('Alternative 3'!$B$12-'Alternative 3'!$B$29)+(('Alternative 3'!$B$29-'Alternative 3'!$B$28)/2))*('Alternative 3'!$B$39)*COS('Alternative 3-Tilt Up (3pt)'!K33)))</f>
        <v>126452.66322514421</v>
      </c>
      <c r="P33" s="109">
        <f t="shared" si="1"/>
        <v>150979.36210516965</v>
      </c>
      <c r="R33" s="105">
        <f>'Alternative 3'!$B$39*$B33*$C33*COS($K$5)-($N$5/3)*$E33*SIN($K$5)-($N$5/3)*$F33*SIN($K$5)-($N$5/3)*$G33*SIN($K$5)</f>
        <v>52116.432120770209</v>
      </c>
      <c r="S33" s="106">
        <f>IF(($A33&lt;'Alternative 3'!$B$27),(($H33*'Alternative 3'!$B$39)+(3*($N$5/3)*COS($K$5))),IF(($A33&lt;'Alternative 3'!$B$28),(($H33*'Alternative 3'!$B$39)+(2*(($N$5/3)*COS($K$5)))),IF(($A33&lt;'Alternative 3'!$B$29),(($H$3*'Alternative 3'!$B$39+(($N$5/3)*COS($K$5)))),($H33*'Alternative 3'!$B$39))))</f>
        <v>20859.279757937744</v>
      </c>
      <c r="T33" s="105">
        <f>R33*'Alternative 3'!$K34/'Alternative 3'!$L34</f>
        <v>829459.47944783082</v>
      </c>
      <c r="U33" s="105">
        <f>S33/'Alternative 3'!$M34</f>
        <v>12479.116733901337</v>
      </c>
      <c r="V33" s="105">
        <f t="shared" si="2"/>
        <v>0.84193859618173217</v>
      </c>
      <c r="X33" s="105">
        <f>'Alternative 3'!$B$39*$B33*$C33*COS($K$13)-($N$12/3)*$E33*SIN($K$13)-($N$12/3)*$F33*SIN($K$13)-($N$12/3)*$G33*SIN($K$13)</f>
        <v>51355.95106966926</v>
      </c>
      <c r="Y33" s="106">
        <f>IF(($A33&lt;'Alternative 3'!$B$27),(($H33*'Alternative 3'!$B$39)+(3*($N$12/3)*COS($K$13))),IF(($A33&lt;'Alternative 3'!$B$28),(($H33*'Alternative 3'!$B$39)+(2*(($N$12/3)*COS($K$13)))),IF(($A33&lt;'Alternative 3'!$B$29),(($H$3*'Alternative 3'!$B$39+(($N$12/3)*COS($K$13)))),($H33*'Alternative 3'!$B$39))))</f>
        <v>20859.279757937744</v>
      </c>
      <c r="Z33" s="105">
        <f>X33*'Alternative 3'!$K34/'Alternative 3'!$L34</f>
        <v>817356.03738344705</v>
      </c>
      <c r="AA33" s="105">
        <f>Y33/'Alternative 3'!$M34</f>
        <v>12479.116733901337</v>
      </c>
      <c r="AB33" s="105">
        <f t="shared" si="3"/>
        <v>0.82983515411734832</v>
      </c>
      <c r="AD33" s="105">
        <f>'Alternative 3'!$B$39*$B33*$C33*COS($K$23)-($N$22/3)*$E33*SIN($K$23)-($N$22/3)*$F33*SIN($K$23)-($N$22/3)*$G33*SIN($K$23)</f>
        <v>49003.27815860742</v>
      </c>
      <c r="AE33" s="106">
        <f>IF(($A33&lt;'Alternative 3'!$B$27),(($H33*'Alternative 3'!$B$39)+(3*($N$22/3)*COS($K$23))),IF(($A33&lt;'Alternative 3'!$B$28),(($H33*'Alternative 3'!$B$39)+(2*(($N$22/3)*COS($K$23)))),IF(($A33&lt;'Alternative 3'!$B$29),(($H$3*'Alternative 3'!$B$39+(($N$22/3)*COS($K$23)))),($H33*'Alternative 3'!$B$39))))</f>
        <v>20859.279757937744</v>
      </c>
      <c r="AF33" s="105">
        <f>AD33*'Alternative 3'!$K34/'Alternative 3'!$L34</f>
        <v>779912.05342847772</v>
      </c>
      <c r="AG33" s="105">
        <f>AE33/'Alternative 3'!$M34</f>
        <v>12479.116733901337</v>
      </c>
      <c r="AH33" s="105">
        <f t="shared" si="4"/>
        <v>0.79239117016237903</v>
      </c>
      <c r="AJ33" s="105">
        <f>'Alternative 3'!$B$39*$B33*$C33*COS($K$33)-($N$32/3)*$E33*SIN($K$33)-($N$32/3)*$F33*SIN($K$33)-($N$32/3)*$G33*SIN($K$33)</f>
        <v>45161.665437551506</v>
      </c>
      <c r="AK33" s="106">
        <f>IF(($A33&lt;'Alternative 3'!$B$27),(($H33*'Alternative 3'!$B$39)+(3*($N$32/3)*COS($K$33))),IF(($A33&lt;'Alternative 3'!$B$28),(($H33*'Alternative 3'!$B$39)+(2*(($N$32/3)*COS($K$33)))),IF(($A33&lt;'Alternative 3'!$B$29),(($H$3*'Alternative 3'!$B$39+(($N$32/3)*COS($K$33)))),($H33*'Alternative 3'!$B$39))))</f>
        <v>20859.279757937744</v>
      </c>
      <c r="AL33" s="105">
        <f>AJ33*'Alternative 3'!$K34/'Alternative 3'!$L34</f>
        <v>718770.83638462564</v>
      </c>
      <c r="AM33" s="105">
        <f>AK33/'Alternative 3'!$M34</f>
        <v>12479.116733901337</v>
      </c>
      <c r="AN33" s="105">
        <f t="shared" si="5"/>
        <v>0.73124995311852692</v>
      </c>
      <c r="AP33" s="105">
        <f>'Alternative 3'!$B$39*$B33*$C33*COS($K$43)-($N$42/3)*$E33*SIN($K$43)-($N$42/3)*$F33*SIN($K$43)-($N$42/3)*$G33*SIN($K$43)</f>
        <v>39947.83836508097</v>
      </c>
      <c r="AQ33" s="106">
        <f>IF(($A33&lt;'Alternative 3'!$B$27),(($H33*'Alternative 3'!$B$39)+(3*($N$42/3)*COS($K$43))),IF(($A33&lt;'Alternative 3'!$B$28),(($H33*'Alternative 3'!$B$39)+(2*(($N$42/3)*COS($K$43)))),IF(($A33&lt;'Alternative 3'!$B$29),(($H$3*'Alternative 3'!$B$39+(($N$42/3)*COS($K$43)))),($H33*'Alternative 3'!$B$39))))</f>
        <v>20859.279757937744</v>
      </c>
      <c r="AR33" s="105">
        <f>AP33*'Alternative 3'!$K34/'Alternative 3'!$L34</f>
        <v>635790.13119281922</v>
      </c>
      <c r="AS33" s="105">
        <f>AQ33/'Alternative 3'!$M34</f>
        <v>12479.116733901337</v>
      </c>
      <c r="AT33" s="105">
        <f t="shared" si="6"/>
        <v>0.64826924792672058</v>
      </c>
      <c r="AV33" s="105">
        <f>'Alternative 3'!$B$39*$B33*$C33*COS($K$53)-($N$52/3)*$E33*SIN($K$53)-($N$52/3)*$F33*SIN($K$53)-($N$52/3)*$G33*SIN($K$53)</f>
        <v>33520.21643846904</v>
      </c>
      <c r="AW33" s="106">
        <f>IF(($A33&lt;'Alternative 3'!$B$27),(($H33*'Alternative 3'!$B$39)+(3*($N$52/3)*COS($K$53))),IF(($A33&lt;'Alternative 3'!$B$28),(($H33*'Alternative 3'!$B$39)+(2*(($N$52/3)*COS($K$53)))),IF(($A33&lt;'Alternative 3'!$B$29),(($H$3*'Alternative 3'!$B$39+(($N$52/3)*COS($K$53)))),($H33*'Alternative 3'!$B$39))))</f>
        <v>20859.279757937744</v>
      </c>
      <c r="AX33" s="105">
        <f>AV33*'Alternative 3'!$K34/'Alternative 3'!$L34</f>
        <v>533491.26459004905</v>
      </c>
      <c r="AY33" s="105">
        <f>AW33/'Alternative 3'!$M34</f>
        <v>12479.116733901337</v>
      </c>
      <c r="AZ33" s="105">
        <f t="shared" si="7"/>
        <v>0.54597038132395037</v>
      </c>
      <c r="BB33" s="105">
        <f>'Alternative 3'!$B$39*$B33*$C33*COS($K$63)-($N$62/3)*$E33*SIN($K$63)-($N$62/3)*$F33*SIN($K$63)-($N$62/3)*$G33*SIN($K$63)</f>
        <v>26074.099697422185</v>
      </c>
      <c r="BC33" s="106">
        <f>IF(($A33&lt;'Alternative 3'!$B$27),(($H33*'Alternative 3'!$B$39)+(3*($N$62/3)*COS($K$63))),IF(($A33&lt;'Alternative 3'!$B$28),(($H33*'Alternative 3'!$B$39)+(2*(($N$62/3)*COS($K$63)))),IF(($A33&lt;'Alternative 3'!$B$29),(($H$3*'Alternative 3'!$B$39+(($N$62/3)*COS($K$63)))),($H33*'Alternative 3'!$B$39))))</f>
        <v>20859.279757937744</v>
      </c>
      <c r="BD33" s="105">
        <f>BB33*'Alternative 3'!$K34/'Alternative 3'!$L34</f>
        <v>414982.5358723161</v>
      </c>
      <c r="BE33" s="105">
        <f>BC33/'Alternative 3'!$M34</f>
        <v>12479.116733901337</v>
      </c>
      <c r="BF33" s="105">
        <f t="shared" si="8"/>
        <v>0.42746165260621743</v>
      </c>
      <c r="BH33" s="105">
        <f>'Alternative 3'!$B$39*$B33*$C33*COS($K$73)-($N$72/3)*$E33*SIN($K$73)-($N$72/3)*$F33*SIN($K$73)-($N$72/3)*$G33*SIN($K$73)</f>
        <v>17835.734631200223</v>
      </c>
      <c r="BI33" s="106">
        <f>IF(($A33&lt;'Alternative 3'!$B$27),(($H33*'Alternative 3'!$B$39)+(3*($N$72/3)*COS($K$73))),IF(($A33&lt;'Alternative 3'!$B$28),(($H33*'Alternative 3'!$B$39)+(2*(($N$72/3)*COS($K$73)))),IF(($A33&lt;'Alternative 3'!$B$29),(($H$3*'Alternative 3'!$B$39+(($N$72/3)*COS($K$73)))),($H33*'Alternative 3'!$B$39))))</f>
        <v>20859.279757937744</v>
      </c>
      <c r="BJ33" s="105">
        <f>BH33*'Alternative 3'!$K34/'Alternative 3'!$L34</f>
        <v>283864.77279339801</v>
      </c>
      <c r="BK33" s="105">
        <f>BI33/'Alternative 3'!$M34</f>
        <v>12479.116733901337</v>
      </c>
      <c r="BL33" s="105">
        <f t="shared" si="9"/>
        <v>0.29634388952729934</v>
      </c>
      <c r="BN33" s="105">
        <f>'Alternative 3'!$B$39*$B33*$C33*COS($K$83)-($N$82/3)*$E33*SIN($K$83)-($N$82/3)*$F33*SIN($K$83)-($N$82/3)*$G33*SIN($K$83)</f>
        <v>9055.439793526446</v>
      </c>
      <c r="BO33" s="106">
        <f>IF(($A33&lt;'Alternative 3'!$B$27),(($H33*'Alternative 3'!$B$39)+(3*($N$82/3)*COS($K$83))),IF(($A33&lt;'Alternative 3'!$B$28),(($H33*'Alternative 3'!$B$39)+(2*(($N$82/3)*COS($K$83)))),IF(($A33&lt;'Alternative 3'!$B$29),(($H$3*'Alternative 3'!$B$39+(($N$82/3)*COS($K$83)))),($H33*'Alternative 3'!$B$39))))</f>
        <v>20859.279757937744</v>
      </c>
      <c r="BP33" s="105">
        <f>BN33*'Alternative 3'!$K34/'Alternative 3'!$L34</f>
        <v>144121.92223565851</v>
      </c>
      <c r="BQ33" s="105">
        <f>BO33/'Alternative 3'!$M34</f>
        <v>12479.116733901337</v>
      </c>
      <c r="BR33" s="105">
        <f t="shared" si="10"/>
        <v>0.15660103896955985</v>
      </c>
      <c r="BT33" s="105">
        <f>'Alternative 3'!$B$39*$B33*$C33*COS($K$93)-($K$92/3)*$E33*SIN($K$93)-($K$92/3)*$F33*SIN($K$93)-($K$92/3)*$G33*SIN($K$93)</f>
        <v>3.1944642957430097E-12</v>
      </c>
      <c r="BU33" s="106">
        <f>IF(($A33&lt;'Alternative 3'!$B$27),(($H33*'Alternative 3'!$B$39)+(3*($N$92/3)*COS($K$93))),IF(($A33&lt;'Alternative 3'!$B$28),(($H33*'Alternative 3'!$B$39)+(2*(($N$92/3)*COS($K$93)))),IF(($A33&lt;'Alternative 3'!$B$29),(($H$3*'Alternative 3'!$B$39+(($N$92/3)*COS($K$93)))),($H33*'Alternative 3'!$B$39))))</f>
        <v>20859.279757937744</v>
      </c>
      <c r="BV33" s="105">
        <f>BT33*'Alternative 3'!$K34/'Alternative 3'!$L34</f>
        <v>5.0841521263802891E-11</v>
      </c>
      <c r="BW33" s="105">
        <f>BU33/'Alternative 3'!$M34</f>
        <v>12479.116733901337</v>
      </c>
      <c r="BX33" s="105">
        <f t="shared" si="11"/>
        <v>1.2479116733901388E-2</v>
      </c>
      <c r="BZ33" s="104">
        <v>150</v>
      </c>
      <c r="CA33" s="104">
        <v>-150</v>
      </c>
    </row>
    <row r="34" spans="1:79" ht="15" customHeight="1" x14ac:dyDescent="0.25">
      <c r="A34" s="18">
        <f>IF('Alternative 3'!F35&gt;0,'Alternative 3'!F35,"x")</f>
        <v>32</v>
      </c>
      <c r="B34" s="18">
        <f t="shared" si="17"/>
        <v>4</v>
      </c>
      <c r="C34" s="18">
        <f t="shared" si="12"/>
        <v>2</v>
      </c>
      <c r="D34" s="18">
        <f t="shared" si="13"/>
        <v>32</v>
      </c>
      <c r="E34" s="101">
        <f>IF($A34&lt;='Alternative 3'!$B$27, IF($A34='Alternative 3'!$B$27,0,E35+1),0)</f>
        <v>0</v>
      </c>
      <c r="F34" s="101">
        <f>IF($A34&lt;=('Alternative 3'!$B$28), IF($A34=ROUNDDOWN('Alternative 3'!$B$28,0),0,F35+1),0)</f>
        <v>0</v>
      </c>
      <c r="G34" s="101">
        <f>IF($A34&lt;=('Alternative 3'!$B$29), IF($A34=ROUNDDOWN('Alternative 3'!$B$29,0),0,G35+1),0)</f>
        <v>0</v>
      </c>
      <c r="H34" s="18">
        <f t="shared" si="14"/>
        <v>4</v>
      </c>
      <c r="J34" s="104">
        <f t="shared" si="15"/>
        <v>31</v>
      </c>
      <c r="K34" s="104">
        <f t="shared" si="16"/>
        <v>0.54105206811824214</v>
      </c>
      <c r="L34" s="105">
        <f>'Alternative 3'!$B$27*SIN(K34)+'Alternative 3'!$B$28*SIN(K34)+'Alternative 3'!$B$29*SIN(K34)</f>
        <v>34.502400638224529</v>
      </c>
      <c r="M34" s="104">
        <f>(('Alternative 3'!$B$27)*(((('Alternative 3'!$B$28-'Alternative 3'!$B$27)/2)+'Alternative 3'!$B$27)*'Alternative 3'!$B$39)*COS('Alternative 3-Tilt Up (3pt)'!K34))+(('Alternative 3'!$B$28)*((('Alternative 3'!$B$28-'Alternative 3'!$B$27)/2)+(('Alternative 3'!$B$29-'Alternative 3'!$B$28)/2))*('Alternative 3'!$B$39)*COS('Alternative 3-Tilt Up (3pt)'!K34))+(('Alternative 3'!$B$29)*((('Alternative 3'!$B$12-'Alternative 3'!$B$29+(('Alternative 3'!$B$29-'Alternative 3'!$B$28)/2)*('Alternative 3'!$B$39)*COS('Alternative 3-Tilt Up (3pt)'!K34)))))</f>
        <v>1926553.4578586509</v>
      </c>
      <c r="N34" s="104">
        <f t="shared" si="0"/>
        <v>167514.73134228177</v>
      </c>
      <c r="O34" s="104">
        <f>(((('Alternative 3'!$B$28-'Alternative 3'!$B$27)/2)+'Alternative 3'!$B$27)*('Alternative 3'!$B$39)*COS('Alternative 3-Tilt Up (3pt)'!K34))+(((('Alternative 3'!$B$28-'Alternative 3'!$B$27)/2)+(('Alternative 3'!$B$29-'Alternative 3'!$B$28)/2))*('Alternative 3'!$B$39)*COS('Alternative 3-Tilt Up (3pt)'!K34))+(((('Alternative 3'!$B$12-'Alternative 3'!$B$29)+(('Alternative 3'!$B$29-'Alternative 3'!$B$28)/2))*('Alternative 3'!$B$39)*COS('Alternative 3-Tilt Up (3pt)'!K34)))</f>
        <v>125159.24767291194</v>
      </c>
      <c r="P34" s="104">
        <f t="shared" si="1"/>
        <v>143588.1500925032</v>
      </c>
      <c r="R34" s="105">
        <f>'Alternative 3'!$B$39*$B34*$C34*COS($K$5)-($N$5/3)*$E34*SIN($K$5)-($N$5/3)*$F34*SIN($K$5)-($N$5/3)*$G34*SIN($K$5)</f>
        <v>33354.516557292933</v>
      </c>
      <c r="S34" s="106">
        <f>IF(($A34&lt;'Alternative 3'!$B$27),(($H34*'Alternative 3'!$B$39)+(3*($N$5/3)*COS($K$5))),IF(($A34&lt;'Alternative 3'!$B$28),(($H34*'Alternative 3'!$B$39)+(2*(($N$5/3)*COS($K$5)))),IF(($A34&lt;'Alternative 3'!$B$29),(($H$3*'Alternative 3'!$B$39+(($N$5/3)*COS($K$5)))),($H34*'Alternative 3'!$B$39))))</f>
        <v>16687.423806350194</v>
      </c>
      <c r="T34" s="105">
        <f>R34*'Alternative 3'!$K35/'Alternative 3'!$L35</f>
        <v>530854.06684661168</v>
      </c>
      <c r="U34" s="105">
        <f>S34/'Alternative 3'!$M35</f>
        <v>10258.681664078627</v>
      </c>
      <c r="V34" s="105">
        <f t="shared" si="2"/>
        <v>0.54111274851069024</v>
      </c>
      <c r="X34" s="105">
        <f>'Alternative 3'!$B$39*$B34*$C34*COS($K$13)-($N$12/3)*$E34*SIN($K$13)-($N$12/3)*$F34*SIN($K$13)-($N$12/3)*$G34*SIN($K$13)</f>
        <v>32867.808684588323</v>
      </c>
      <c r="Y34" s="106">
        <f>IF(($A34&lt;'Alternative 3'!$B$27),(($H34*'Alternative 3'!$B$39)+(3*($N$12/3)*COS($K$13))),IF(($A34&lt;'Alternative 3'!$B$28),(($H34*'Alternative 3'!$B$39)+(2*(($N$12/3)*COS($K$13)))),IF(($A34&lt;'Alternative 3'!$B$29),(($H$3*'Alternative 3'!$B$39+(($N$12/3)*COS($K$13)))),($H34*'Alternative 3'!$B$39))))</f>
        <v>16687.423806350194</v>
      </c>
      <c r="Z34" s="105">
        <f>X34*'Alternative 3'!$K35/'Alternative 3'!$L35</f>
        <v>523107.86392540601</v>
      </c>
      <c r="AA34" s="105">
        <f>Y34/'Alternative 3'!$M35</f>
        <v>10258.681664078627</v>
      </c>
      <c r="AB34" s="105">
        <f t="shared" si="3"/>
        <v>0.5333665455894846</v>
      </c>
      <c r="AD34" s="105">
        <f>'Alternative 3'!$B$39*$B34*$C34*COS($K$23)-($N$22/3)*$E34*SIN($K$23)-($N$22/3)*$F34*SIN($K$23)-($N$22/3)*$G34*SIN($K$23)</f>
        <v>31362.098021508747</v>
      </c>
      <c r="AE34" s="106">
        <f>IF(($A34&lt;'Alternative 3'!$B$27),(($H34*'Alternative 3'!$B$39)+(3*($N$22/3)*COS($K$23))),IF(($A34&lt;'Alternative 3'!$B$28),(($H34*'Alternative 3'!$B$39)+(2*(($N$22/3)*COS($K$23)))),IF(($A34&lt;'Alternative 3'!$B$29),(($H$3*'Alternative 3'!$B$39+(($N$22/3)*COS($K$23)))),($H34*'Alternative 3'!$B$39))))</f>
        <v>16687.423806350194</v>
      </c>
      <c r="AF34" s="105">
        <f>AD34*'Alternative 3'!$K35/'Alternative 3'!$L35</f>
        <v>499143.71419422567</v>
      </c>
      <c r="AG34" s="105">
        <f>AE34/'Alternative 3'!$M35</f>
        <v>10258.681664078627</v>
      </c>
      <c r="AH34" s="105">
        <f t="shared" si="4"/>
        <v>0.50940239585830427</v>
      </c>
      <c r="AJ34" s="105">
        <f>'Alternative 3'!$B$39*$B34*$C34*COS($K$33)-($N$32/3)*$E34*SIN($K$33)-($N$32/3)*$F34*SIN($K$33)-($N$32/3)*$G34*SIN($K$33)</f>
        <v>28903.465880032963</v>
      </c>
      <c r="AK34" s="106">
        <f>IF(($A34&lt;'Alternative 3'!$B$27),(($H34*'Alternative 3'!$B$39)+(3*($N$32/3)*COS($K$33))),IF(($A34&lt;'Alternative 3'!$B$28),(($H34*'Alternative 3'!$B$39)+(2*(($N$32/3)*COS($K$33)))),IF(($A34&lt;'Alternative 3'!$B$29),(($H$3*'Alternative 3'!$B$39+(($N$32/3)*COS($K$33)))),($H34*'Alternative 3'!$B$39))))</f>
        <v>16687.423806350194</v>
      </c>
      <c r="AL34" s="105">
        <f>AJ34*'Alternative 3'!$K35/'Alternative 3'!$L35</f>
        <v>460013.33528616029</v>
      </c>
      <c r="AM34" s="105">
        <f>AK34/'Alternative 3'!$M35</f>
        <v>10258.681664078627</v>
      </c>
      <c r="AN34" s="105">
        <f t="shared" si="5"/>
        <v>0.4702720169502389</v>
      </c>
      <c r="AP34" s="105">
        <f>'Alternative 3'!$B$39*$B34*$C34*COS($K$43)-($N$42/3)*$E34*SIN($K$43)-($N$42/3)*$F34*SIN($K$43)-($N$42/3)*$G34*SIN($K$43)</f>
        <v>25566.616553651824</v>
      </c>
      <c r="AQ34" s="106">
        <f>IF(($A34&lt;'Alternative 3'!$B$27),(($H34*'Alternative 3'!$B$39)+(3*($N$42/3)*COS($K$43))),IF(($A34&lt;'Alternative 3'!$B$28),(($H34*'Alternative 3'!$B$39)+(2*(($N$42/3)*COS($K$43)))),IF(($A34&lt;'Alternative 3'!$B$29),(($H$3*'Alternative 3'!$B$39+(($N$42/3)*COS($K$43)))),($H34*'Alternative 3'!$B$39))))</f>
        <v>16687.423806350194</v>
      </c>
      <c r="AR34" s="105">
        <f>AP34*'Alternative 3'!$K35/'Alternative 3'!$L35</f>
        <v>406905.68396340427</v>
      </c>
      <c r="AS34" s="105">
        <f>AQ34/'Alternative 3'!$M35</f>
        <v>10258.681664078627</v>
      </c>
      <c r="AT34" s="105">
        <f t="shared" si="6"/>
        <v>0.41716436562748288</v>
      </c>
      <c r="AV34" s="105">
        <f>'Alternative 3'!$B$39*$B34*$C34*COS($K$53)-($N$52/3)*$E34*SIN($K$53)-($N$52/3)*$F34*SIN($K$53)-($N$52/3)*$G34*SIN($K$53)</f>
        <v>21452.938520620188</v>
      </c>
      <c r="AW34" s="106">
        <f>IF(($A34&lt;'Alternative 3'!$B$27),(($H34*'Alternative 3'!$B$39)+(3*($N$52/3)*COS($K$53))),IF(($A34&lt;'Alternative 3'!$B$28),(($H34*'Alternative 3'!$B$39)+(2*(($N$52/3)*COS($K$53)))),IF(($A34&lt;'Alternative 3'!$B$29),(($H$3*'Alternative 3'!$B$39+(($N$52/3)*COS($K$53)))),($H34*'Alternative 3'!$B$39))))</f>
        <v>16687.423806350194</v>
      </c>
      <c r="AX34" s="105">
        <f>AV34*'Alternative 3'!$K35/'Alternative 3'!$L35</f>
        <v>341434.40933763143</v>
      </c>
      <c r="AY34" s="105">
        <f>AW34/'Alternative 3'!$M35</f>
        <v>10258.681664078627</v>
      </c>
      <c r="AZ34" s="105">
        <f t="shared" si="7"/>
        <v>0.35169309100171003</v>
      </c>
      <c r="BB34" s="105">
        <f>'Alternative 3'!$B$39*$B34*$C34*COS($K$63)-($N$62/3)*$E34*SIN($K$63)-($N$62/3)*$F34*SIN($K$63)-($N$62/3)*$G34*SIN($K$63)</f>
        <v>16687.423806350198</v>
      </c>
      <c r="BC34" s="106">
        <f>IF(($A34&lt;'Alternative 3'!$B$27),(($H34*'Alternative 3'!$B$39)+(3*($N$62/3)*COS($K$63))),IF(($A34&lt;'Alternative 3'!$B$28),(($H34*'Alternative 3'!$B$39)+(2*(($N$62/3)*COS($K$63)))),IF(($A34&lt;'Alternative 3'!$B$29),(($H$3*'Alternative 3'!$B$39+(($N$62/3)*COS($K$63)))),($H34*'Alternative 3'!$B$39))))</f>
        <v>16687.423806350194</v>
      </c>
      <c r="BD34" s="105">
        <f>BB34*'Alternative 3'!$K35/'Alternative 3'!$L35</f>
        <v>265588.82295828225</v>
      </c>
      <c r="BE34" s="105">
        <f>BC34/'Alternative 3'!$M35</f>
        <v>10258.681664078627</v>
      </c>
      <c r="BF34" s="105">
        <f t="shared" si="8"/>
        <v>0.27584750462236085</v>
      </c>
      <c r="BH34" s="105">
        <f>'Alternative 3'!$B$39*$B34*$C34*COS($K$73)-($N$72/3)*$E34*SIN($K$73)-($N$72/3)*$F34*SIN($K$73)-($N$72/3)*$G34*SIN($K$73)</f>
        <v>11414.870163968142</v>
      </c>
      <c r="BI34" s="106">
        <f>IF(($A34&lt;'Alternative 3'!$B$27),(($H34*'Alternative 3'!$B$39)+(3*($N$72/3)*COS($K$73))),IF(($A34&lt;'Alternative 3'!$B$28),(($H34*'Alternative 3'!$B$39)+(2*(($N$72/3)*COS($K$73)))),IF(($A34&lt;'Alternative 3'!$B$29),(($H$3*'Alternative 3'!$B$39+(($N$72/3)*COS($K$73)))),($H34*'Alternative 3'!$B$39))))</f>
        <v>16687.423806350194</v>
      </c>
      <c r="BJ34" s="105">
        <f>BH34*'Alternative 3'!$K35/'Alternative 3'!$L35</f>
        <v>181673.45458777473</v>
      </c>
      <c r="BK34" s="105">
        <f>BI34/'Alternative 3'!$M35</f>
        <v>10258.681664078627</v>
      </c>
      <c r="BL34" s="105">
        <f t="shared" si="9"/>
        <v>0.19193213625185337</v>
      </c>
      <c r="BN34" s="105">
        <f>'Alternative 3'!$B$39*$B34*$C34*COS($K$83)-($N$82/3)*$E34*SIN($K$83)-($N$82/3)*$F34*SIN($K$83)-($N$82/3)*$G34*SIN($K$83)</f>
        <v>5795.4814678569255</v>
      </c>
      <c r="BO34" s="106">
        <f>IF(($A34&lt;'Alternative 3'!$B$27),(($H34*'Alternative 3'!$B$39)+(3*($N$82/3)*COS($K$83))),IF(($A34&lt;'Alternative 3'!$B$28),(($H34*'Alternative 3'!$B$39)+(2*(($N$82/3)*COS($K$83)))),IF(($A34&lt;'Alternative 3'!$B$29),(($H$3*'Alternative 3'!$B$39+(($N$82/3)*COS($K$83)))),($H34*'Alternative 3'!$B$39))))</f>
        <v>16687.423806350194</v>
      </c>
      <c r="BP34" s="105">
        <f>BN34*'Alternative 3'!$K35/'Alternative 3'!$L35</f>
        <v>92238.03023082143</v>
      </c>
      <c r="BQ34" s="105">
        <f>BO34/'Alternative 3'!$M35</f>
        <v>10258.681664078627</v>
      </c>
      <c r="BR34" s="105">
        <f t="shared" si="10"/>
        <v>0.10249671189490006</v>
      </c>
      <c r="BT34" s="105">
        <f>'Alternative 3'!$B$39*$B34*$C34*COS($K$93)-($K$92/3)*$E34*SIN($K$93)-($K$92/3)*$F34*SIN($K$93)-($K$92/3)*$G34*SIN($K$93)</f>
        <v>2.0444571492755262E-12</v>
      </c>
      <c r="BU34" s="106">
        <f>IF(($A34&lt;'Alternative 3'!$B$27),(($H34*'Alternative 3'!$B$39)+(3*($N$92/3)*COS($K$93))),IF(($A34&lt;'Alternative 3'!$B$28),(($H34*'Alternative 3'!$B$39)+(2*(($N$92/3)*COS($K$93)))),IF(($A34&lt;'Alternative 3'!$B$29),(($H$3*'Alternative 3'!$B$39+(($N$92/3)*COS($K$93)))),($H34*'Alternative 3'!$B$39))))</f>
        <v>16687.423806350194</v>
      </c>
      <c r="BV34" s="105">
        <f>BT34*'Alternative 3'!$K35/'Alternative 3'!$L35</f>
        <v>3.2538573608833845E-11</v>
      </c>
      <c r="BW34" s="105">
        <f>BU34/'Alternative 3'!$M35</f>
        <v>10258.681664078627</v>
      </c>
      <c r="BX34" s="105">
        <f t="shared" si="11"/>
        <v>1.0258681664078661E-2</v>
      </c>
      <c r="BZ34" s="104">
        <v>150</v>
      </c>
      <c r="CA34" s="104">
        <v>-150</v>
      </c>
    </row>
    <row r="35" spans="1:79" ht="15" customHeight="1" x14ac:dyDescent="0.25">
      <c r="A35" s="18">
        <f>IF('Alternative 3'!F36&gt;0,'Alternative 3'!F36,"x")</f>
        <v>33</v>
      </c>
      <c r="B35" s="18">
        <f t="shared" si="17"/>
        <v>3</v>
      </c>
      <c r="C35" s="18">
        <f t="shared" si="12"/>
        <v>1.5</v>
      </c>
      <c r="D35" s="18">
        <f t="shared" si="13"/>
        <v>33</v>
      </c>
      <c r="E35" s="101">
        <f>IF($A35&lt;='Alternative 3'!$B$27, IF($A35='Alternative 3'!$B$27,0,E36+1),0)</f>
        <v>0</v>
      </c>
      <c r="F35" s="101">
        <f>IF($A35&lt;=('Alternative 3'!$B$28), IF($A35=ROUNDDOWN('Alternative 3'!$B$28,0),0,F36+1),0)</f>
        <v>0</v>
      </c>
      <c r="G35" s="101">
        <f>IF($A35&lt;=('Alternative 3'!$B$29), IF($A35=ROUNDDOWN('Alternative 3'!$B$29,0),0,G36+1),0)</f>
        <v>0</v>
      </c>
      <c r="H35" s="18">
        <f t="shared" si="14"/>
        <v>3</v>
      </c>
      <c r="J35" s="104">
        <f t="shared" si="15"/>
        <v>32</v>
      </c>
      <c r="K35" s="104">
        <f t="shared" si="16"/>
        <v>0.55850536063818546</v>
      </c>
      <c r="L35" s="105">
        <f>'Alternative 3'!$B$27*SIN(K35)+'Alternative 3'!$B$28*SIN(K35)+'Alternative 3'!$B$29*SIN(K35)</f>
        <v>35.499291510982395</v>
      </c>
      <c r="M35" s="104">
        <f>(('Alternative 3'!$B$27)*(((('Alternative 3'!$B$28-'Alternative 3'!$B$27)/2)+'Alternative 3'!$B$27)*'Alternative 3'!$B$39)*COS('Alternative 3-Tilt Up (3pt)'!K35))+(('Alternative 3'!$B$28)*((('Alternative 3'!$B$28-'Alternative 3'!$B$27)/2)+(('Alternative 3'!$B$29-'Alternative 3'!$B$28)/2))*('Alternative 3'!$B$39)*COS('Alternative 3-Tilt Up (3pt)'!K35))+(('Alternative 3'!$B$29)*((('Alternative 3'!$B$12-'Alternative 3'!$B$29+(('Alternative 3'!$B$29-'Alternative 3'!$B$28)/2)*('Alternative 3'!$B$39)*COS('Alternative 3-Tilt Up (3pt)'!K35)))))</f>
        <v>1906059.2345764132</v>
      </c>
      <c r="N35" s="104">
        <f t="shared" si="0"/>
        <v>161078.64299095125</v>
      </c>
      <c r="O35" s="104">
        <f>(((('Alternative 3'!$B$28-'Alternative 3'!$B$27)/2)+'Alternative 3'!$B$27)*('Alternative 3'!$B$39)*COS('Alternative 3-Tilt Up (3pt)'!K35))+(((('Alternative 3'!$B$28-'Alternative 3'!$B$27)/2)+(('Alternative 3'!$B$29-'Alternative 3'!$B$28)/2))*('Alternative 3'!$B$39)*COS('Alternative 3-Tilt Up (3pt)'!K35))+(((('Alternative 3'!$B$12-'Alternative 3'!$B$29)+(('Alternative 3'!$B$29-'Alternative 3'!$B$28)/2))*('Alternative 3'!$B$39)*COS('Alternative 3-Tilt Up (3pt)'!K35)))</f>
        <v>123827.70740139362</v>
      </c>
      <c r="P35" s="104">
        <f t="shared" si="1"/>
        <v>136602.43651993683</v>
      </c>
      <c r="R35" s="105">
        <f>'Alternative 3'!$B$39*$B35*$C35*COS($K$5)-($N$5/3)*$E35*SIN($K$5)-($N$5/3)*$F35*SIN($K$5)-($N$5/3)*$G35*SIN($K$5)</f>
        <v>18761.915563477276</v>
      </c>
      <c r="S35" s="106">
        <f>IF(($A35&lt;'Alternative 3'!$B$27),(($H35*'Alternative 3'!$B$39)+(3*($N$5/3)*COS($K$5))),IF(($A35&lt;'Alternative 3'!$B$28),(($H35*'Alternative 3'!$B$39)+(2*(($N$5/3)*COS($K$5)))),IF(($A35&lt;'Alternative 3'!$B$29),(($H$3*'Alternative 3'!$B$39+(($N$5/3)*COS($K$5)))),($H35*'Alternative 3'!$B$39))))</f>
        <v>12515.567854762645</v>
      </c>
      <c r="T35" s="105">
        <f>R35*'Alternative 3'!$K36/'Alternative 3'!$L36</f>
        <v>298605.41260121908</v>
      </c>
      <c r="U35" s="105">
        <f>S35/'Alternative 3'!$M36</f>
        <v>7909.2179669958041</v>
      </c>
      <c r="V35" s="105">
        <f t="shared" si="2"/>
        <v>0.30651463056821487</v>
      </c>
      <c r="X35" s="105">
        <f>'Alternative 3'!$B$39*$B35*$C35*COS($K$13)-($N$12/3)*$E35*SIN($K$13)-($N$12/3)*$F35*SIN($K$13)-($N$12/3)*$G35*SIN($K$13)</f>
        <v>18488.14238508093</v>
      </c>
      <c r="Y35" s="106">
        <f>IF(($A35&lt;'Alternative 3'!$B$27),(($H35*'Alternative 3'!$B$39)+(3*($N$12/3)*COS($K$13))),IF(($A35&lt;'Alternative 3'!$B$28),(($H35*'Alternative 3'!$B$39)+(2*(($N$12/3)*COS($K$13)))),IF(($A35&lt;'Alternative 3'!$B$29),(($H$3*'Alternative 3'!$B$39+(($N$12/3)*COS($K$13)))),($H35*'Alternative 3'!$B$39))))</f>
        <v>12515.567854762645</v>
      </c>
      <c r="Z35" s="105">
        <f>X35*'Alternative 3'!$K36/'Alternative 3'!$L36</f>
        <v>294248.17345804087</v>
      </c>
      <c r="AA35" s="105">
        <f>Y35/'Alternative 3'!$M36</f>
        <v>7909.2179669958041</v>
      </c>
      <c r="AB35" s="105">
        <f t="shared" si="3"/>
        <v>0.30215739142503667</v>
      </c>
      <c r="AD35" s="105">
        <f>'Alternative 3'!$B$39*$B35*$C35*COS($K$23)-($N$22/3)*$E35*SIN($K$23)-($N$22/3)*$F35*SIN($K$23)-($N$22/3)*$G35*SIN($K$23)</f>
        <v>17641.180137098669</v>
      </c>
      <c r="AE35" s="106">
        <f>IF(($A35&lt;'Alternative 3'!$B$27),(($H35*'Alternative 3'!$B$39)+(3*($N$22/3)*COS($K$23))),IF(($A35&lt;'Alternative 3'!$B$28),(($H35*'Alternative 3'!$B$39)+(2*(($N$22/3)*COS($K$23)))),IF(($A35&lt;'Alternative 3'!$B$29),(($H$3*'Alternative 3'!$B$39+(($N$22/3)*COS($K$23)))),($H35*'Alternative 3'!$B$39))))</f>
        <v>12515.567854762645</v>
      </c>
      <c r="AF35" s="105">
        <f>AD35*'Alternative 3'!$K36/'Alternative 3'!$L36</f>
        <v>280768.33923425194</v>
      </c>
      <c r="AG35" s="105">
        <f>AE35/'Alternative 3'!$M36</f>
        <v>7909.2179669958041</v>
      </c>
      <c r="AH35" s="105">
        <f t="shared" si="4"/>
        <v>0.28867755720124771</v>
      </c>
      <c r="AJ35" s="105">
        <f>'Alternative 3'!$B$39*$B35*$C35*COS($K$33)-($N$32/3)*$E35*SIN($K$33)-($N$32/3)*$F35*SIN($K$33)-($N$32/3)*$G35*SIN($K$33)</f>
        <v>16258.199557518541</v>
      </c>
      <c r="AK35" s="106">
        <f>IF(($A35&lt;'Alternative 3'!$B$27),(($H35*'Alternative 3'!$B$39)+(3*($N$32/3)*COS($K$33))),IF(($A35&lt;'Alternative 3'!$B$28),(($H35*'Alternative 3'!$B$39)+(2*(($N$32/3)*COS($K$33)))),IF(($A35&lt;'Alternative 3'!$B$29),(($H$3*'Alternative 3'!$B$39+(($N$32/3)*COS($K$33)))),($H35*'Alternative 3'!$B$39))))</f>
        <v>12515.567854762645</v>
      </c>
      <c r="AL35" s="105">
        <f>AJ35*'Alternative 3'!$K36/'Alternative 3'!$L36</f>
        <v>258757.50109846515</v>
      </c>
      <c r="AM35" s="105">
        <f>AK35/'Alternative 3'!$M36</f>
        <v>7909.2179669958041</v>
      </c>
      <c r="AN35" s="105">
        <f t="shared" si="5"/>
        <v>0.26666671906546097</v>
      </c>
      <c r="AP35" s="105">
        <f>'Alternative 3'!$B$39*$B35*$C35*COS($K$43)-($N$42/3)*$E35*SIN($K$43)-($N$42/3)*$F35*SIN($K$43)-($N$42/3)*$G35*SIN($K$43)</f>
        <v>14381.221811429148</v>
      </c>
      <c r="AQ35" s="106">
        <f>IF(($A35&lt;'Alternative 3'!$B$27),(($H35*'Alternative 3'!$B$39)+(3*($N$42/3)*COS($K$43))),IF(($A35&lt;'Alternative 3'!$B$28),(($H35*'Alternative 3'!$B$39)+(2*(($N$42/3)*COS($K$43)))),IF(($A35&lt;'Alternative 3'!$B$29),(($H$3*'Alternative 3'!$B$39+(($N$42/3)*COS($K$43)))),($H35*'Alternative 3'!$B$39))))</f>
        <v>12515.567854762645</v>
      </c>
      <c r="AR35" s="105">
        <f>AP35*'Alternative 3'!$K36/'Alternative 3'!$L36</f>
        <v>228884.44722941486</v>
      </c>
      <c r="AS35" s="105">
        <f>AQ35/'Alternative 3'!$M36</f>
        <v>7909.2179669958041</v>
      </c>
      <c r="AT35" s="105">
        <f t="shared" si="6"/>
        <v>0.23679366519641068</v>
      </c>
      <c r="AV35" s="105">
        <f>'Alternative 3'!$B$39*$B35*$C35*COS($K$53)-($N$52/3)*$E35*SIN($K$53)-($N$52/3)*$F35*SIN($K$53)-($N$52/3)*$G35*SIN($K$53)</f>
        <v>12067.277917848854</v>
      </c>
      <c r="AW35" s="106">
        <f>IF(($A35&lt;'Alternative 3'!$B$27),(($H35*'Alternative 3'!$B$39)+(3*($N$52/3)*COS($K$53))),IF(($A35&lt;'Alternative 3'!$B$28),(($H35*'Alternative 3'!$B$39)+(2*(($N$52/3)*COS($K$53)))),IF(($A35&lt;'Alternative 3'!$B$29),(($H$3*'Alternative 3'!$B$39+(($N$52/3)*COS($K$53)))),($H35*'Alternative 3'!$B$39))))</f>
        <v>12515.567854762645</v>
      </c>
      <c r="AX35" s="105">
        <f>AV35*'Alternative 3'!$K36/'Alternative 3'!$L36</f>
        <v>192056.85525241765</v>
      </c>
      <c r="AY35" s="105">
        <f>AW35/'Alternative 3'!$M36</f>
        <v>7909.2179669958041</v>
      </c>
      <c r="AZ35" s="105">
        <f t="shared" si="7"/>
        <v>0.19996607321941345</v>
      </c>
      <c r="BB35" s="105">
        <f>'Alternative 3'!$B$39*$B35*$C35*COS($K$63)-($N$62/3)*$E35*SIN($K$63)-($N$62/3)*$F35*SIN($K$63)-($N$62/3)*$G35*SIN($K$63)</f>
        <v>9386.6758910719855</v>
      </c>
      <c r="BC35" s="106">
        <f>IF(($A35&lt;'Alternative 3'!$B$27),(($H35*'Alternative 3'!$B$39)+(3*($N$62/3)*COS($K$63))),IF(($A35&lt;'Alternative 3'!$B$28),(($H35*'Alternative 3'!$B$39)+(2*(($N$62/3)*COS($K$63)))),IF(($A35&lt;'Alternative 3'!$B$29),(($H$3*'Alternative 3'!$B$39+(($N$62/3)*COS($K$63)))),($H35*'Alternative 3'!$B$39))))</f>
        <v>12515.567854762645</v>
      </c>
      <c r="BD35" s="105">
        <f>BB35*'Alternative 3'!$K36/'Alternative 3'!$L36</f>
        <v>149393.71291403376</v>
      </c>
      <c r="BE35" s="105">
        <f>BC35/'Alternative 3'!$M36</f>
        <v>7909.2179669958041</v>
      </c>
      <c r="BF35" s="105">
        <f t="shared" si="8"/>
        <v>0.15730293088102959</v>
      </c>
      <c r="BH35" s="105">
        <f>'Alternative 3'!$B$39*$B35*$C35*COS($K$73)-($N$72/3)*$E35*SIN($K$73)-($N$72/3)*$F35*SIN($K$73)-($N$72/3)*$G35*SIN($K$73)</f>
        <v>6420.8644672320797</v>
      </c>
      <c r="BI35" s="106">
        <f>IF(($A35&lt;'Alternative 3'!$B$27),(($H35*'Alternative 3'!$B$39)+(3*($N$72/3)*COS($K$73))),IF(($A35&lt;'Alternative 3'!$B$28),(($H35*'Alternative 3'!$B$39)+(2*(($N$72/3)*COS($K$73)))),IF(($A35&lt;'Alternative 3'!$B$29),(($H$3*'Alternative 3'!$B$39+(($N$72/3)*COS($K$73)))),($H35*'Alternative 3'!$B$39))))</f>
        <v>12515.567854762645</v>
      </c>
      <c r="BJ35" s="105">
        <f>BH35*'Alternative 3'!$K36/'Alternative 3'!$L36</f>
        <v>102191.31820562326</v>
      </c>
      <c r="BK35" s="105">
        <f>BI35/'Alternative 3'!$M36</f>
        <v>7909.2179669958041</v>
      </c>
      <c r="BL35" s="105">
        <f t="shared" si="9"/>
        <v>0.11010053617261906</v>
      </c>
      <c r="BN35" s="105">
        <f>'Alternative 3'!$B$39*$B35*$C35*COS($K$83)-($N$82/3)*$E35*SIN($K$83)-($N$82/3)*$F35*SIN($K$83)-($N$82/3)*$G35*SIN($K$83)</f>
        <v>3259.9583256695205</v>
      </c>
      <c r="BO35" s="106">
        <f>IF(($A35&lt;'Alternative 3'!$B$27),(($H35*'Alternative 3'!$B$39)+(3*($N$82/3)*COS($K$83))),IF(($A35&lt;'Alternative 3'!$B$28),(($H35*'Alternative 3'!$B$39)+(2*(($N$82/3)*COS($K$83)))),IF(($A35&lt;'Alternative 3'!$B$29),(($H$3*'Alternative 3'!$B$39+(($N$82/3)*COS($K$83)))),($H35*'Alternative 3'!$B$39))))</f>
        <v>12515.567854762645</v>
      </c>
      <c r="BP35" s="105">
        <f>BN35*'Alternative 3'!$K36/'Alternative 3'!$L36</f>
        <v>51883.892004837049</v>
      </c>
      <c r="BQ35" s="105">
        <f>BO35/'Alternative 3'!$M36</f>
        <v>7909.2179669958041</v>
      </c>
      <c r="BR35" s="105">
        <f t="shared" si="10"/>
        <v>5.9793109971832854E-2</v>
      </c>
      <c r="BT35" s="105">
        <f>'Alternative 3'!$B$39*$B35*$C35*COS($K$93)-($K$92/3)*$E35*SIN($K$93)-($K$92/3)*$F35*SIN($K$93)-($K$92/3)*$G35*SIN($K$93)</f>
        <v>1.1500071464674834E-12</v>
      </c>
      <c r="BU35" s="106">
        <f>IF(($A35&lt;'Alternative 3'!$B$27),(($H35*'Alternative 3'!$B$39)+(3*($N$92/3)*COS($K$93))),IF(($A35&lt;'Alternative 3'!$B$28),(($H35*'Alternative 3'!$B$39)+(2*(($N$92/3)*COS($K$93)))),IF(($A35&lt;'Alternative 3'!$B$29),(($H$3*'Alternative 3'!$B$39+(($N$92/3)*COS($K$93)))),($H35*'Alternative 3'!$B$39))))</f>
        <v>12515.567854762645</v>
      </c>
      <c r="BV35" s="105">
        <f>BT35*'Alternative 3'!$K36/'Alternative 3'!$L36</f>
        <v>1.8302947654969037E-11</v>
      </c>
      <c r="BW35" s="105">
        <f>BU35/'Alternative 3'!$M36</f>
        <v>7909.2179669958041</v>
      </c>
      <c r="BX35" s="105">
        <f t="shared" si="11"/>
        <v>7.9092179669958216E-3</v>
      </c>
      <c r="BZ35" s="104">
        <v>150</v>
      </c>
      <c r="CA35" s="104">
        <v>-150</v>
      </c>
    </row>
    <row r="36" spans="1:79" ht="15" customHeight="1" x14ac:dyDescent="0.25">
      <c r="A36" s="18">
        <f>IF('Alternative 3'!F37&gt;0,'Alternative 3'!F37,"x")</f>
        <v>34</v>
      </c>
      <c r="B36" s="18">
        <f t="shared" si="17"/>
        <v>2</v>
      </c>
      <c r="C36" s="18">
        <f t="shared" si="12"/>
        <v>1</v>
      </c>
      <c r="D36" s="18">
        <f t="shared" si="13"/>
        <v>34</v>
      </c>
      <c r="E36" s="101">
        <f>IF($A36&lt;='Alternative 3'!$B$27, IF($A36='Alternative 3'!$B$27,0,E37+1),0)</f>
        <v>0</v>
      </c>
      <c r="F36" s="101">
        <f>IF($A36&lt;=('Alternative 3'!$B$28), IF($A36=ROUNDDOWN('Alternative 3'!$B$28,0),0,F37+1),0)</f>
        <v>0</v>
      </c>
      <c r="G36" s="101">
        <f>IF($A36&lt;=('Alternative 3'!$B$29), IF($A36=ROUNDDOWN('Alternative 3'!$B$29,0),0,G37+1),0)</f>
        <v>0</v>
      </c>
      <c r="H36" s="18">
        <f t="shared" si="14"/>
        <v>2</v>
      </c>
      <c r="J36" s="104">
        <f t="shared" si="15"/>
        <v>33</v>
      </c>
      <c r="K36" s="104">
        <f t="shared" si="16"/>
        <v>0.57595865315812877</v>
      </c>
      <c r="L36" s="105">
        <f>'Alternative 3'!$B$27*SIN(K36)+'Alternative 3'!$B$28*SIN(K36)+'Alternative 3'!$B$29*SIN(K36)</f>
        <v>36.485368955656668</v>
      </c>
      <c r="M36" s="104">
        <f>(('Alternative 3'!$B$27)*(((('Alternative 3'!$B$28-'Alternative 3'!$B$27)/2)+'Alternative 3'!$B$27)*'Alternative 3'!$B$39)*COS('Alternative 3-Tilt Up (3pt)'!K36))+(('Alternative 3'!$B$28)*((('Alternative 3'!$B$28-'Alternative 3'!$B$27)/2)+(('Alternative 3'!$B$29-'Alternative 3'!$B$28)/2))*('Alternative 3'!$B$39)*COS('Alternative 3-Tilt Up (3pt)'!K36))+(('Alternative 3'!$B$29)*((('Alternative 3'!$B$12-'Alternative 3'!$B$29+(('Alternative 3'!$B$29-'Alternative 3'!$B$28)/2)*('Alternative 3'!$B$39)*COS('Alternative 3-Tilt Up (3pt)'!K36)))))</f>
        <v>1884984.4625358339</v>
      </c>
      <c r="N36" s="104">
        <f t="shared" si="0"/>
        <v>154992.35856653607</v>
      </c>
      <c r="O36" s="104">
        <f>(((('Alternative 3'!$B$28-'Alternative 3'!$B$27)/2)+'Alternative 3'!$B$27)*('Alternative 3'!$B$39)*COS('Alternative 3-Tilt Up (3pt)'!K36))+(((('Alternative 3'!$B$28-'Alternative 3'!$B$27)/2)+(('Alternative 3'!$B$29-'Alternative 3'!$B$28)/2))*('Alternative 3'!$B$39)*COS('Alternative 3-Tilt Up (3pt)'!K36))+(((('Alternative 3'!$B$12-'Alternative 3'!$B$29)+(('Alternative 3'!$B$29-'Alternative 3'!$B$28)/2))*('Alternative 3'!$B$39)*COS('Alternative 3-Tilt Up (3pt)'!K36)))</f>
        <v>122458.44801065495</v>
      </c>
      <c r="P36" s="104">
        <f t="shared" si="1"/>
        <v>129987.52938619762</v>
      </c>
      <c r="R36" s="105">
        <f>'Alternative 3'!$B$39*$B36*$C36*COS($K$5)-($N$5/3)*$E36*SIN($K$5)-($N$5/3)*$F36*SIN($K$5)-($N$5/3)*$G36*SIN($K$5)</f>
        <v>8338.6291393232332</v>
      </c>
      <c r="S36" s="106">
        <f>IF(($A36&lt;'Alternative 3'!$B$27),(($H36*'Alternative 3'!$B$39)+(3*($N$5/3)*COS($K$5))),IF(($A36&lt;'Alternative 3'!$B$28),(($H36*'Alternative 3'!$B$39)+(2*(($N$5/3)*COS($K$5)))),IF(($A36&lt;'Alternative 3'!$B$29),(($H$3*'Alternative 3'!$B$39+(($N$5/3)*COS($K$5)))),($H36*'Alternative 3'!$B$39))))</f>
        <v>8343.7119031750972</v>
      </c>
      <c r="T36" s="105">
        <f>R36*'Alternative 3'!$K37/'Alternative 3'!$L37</f>
        <v>132713.51671165292</v>
      </c>
      <c r="U36" s="105">
        <f>S36/'Alternative 3'!$M37</f>
        <v>5422.3878781863705</v>
      </c>
      <c r="V36" s="105">
        <f t="shared" si="2"/>
        <v>0.13813590458983929</v>
      </c>
      <c r="X36" s="105">
        <f>'Alternative 3'!$B$39*$B36*$C36*COS($K$13)-($N$12/3)*$E36*SIN($K$13)-($N$12/3)*$F36*SIN($K$13)-($N$12/3)*$G36*SIN($K$13)</f>
        <v>8216.9521711470807</v>
      </c>
      <c r="Y36" s="106">
        <f>IF(($A36&lt;'Alternative 3'!$B$27),(($H36*'Alternative 3'!$B$39)+(3*($N$12/3)*COS($K$13))),IF(($A36&lt;'Alternative 3'!$B$28),(($H36*'Alternative 3'!$B$39)+(2*(($N$12/3)*COS($K$13)))),IF(($A36&lt;'Alternative 3'!$B$29),(($H$3*'Alternative 3'!$B$39+(($N$12/3)*COS($K$13)))),($H36*'Alternative 3'!$B$39))))</f>
        <v>8343.7119031750972</v>
      </c>
      <c r="Z36" s="105">
        <f>X36*'Alternative 3'!$K37/'Alternative 3'!$L37</f>
        <v>130776.9659813515</v>
      </c>
      <c r="AA36" s="105">
        <f>Y36/'Alternative 3'!$M37</f>
        <v>5422.3878781863705</v>
      </c>
      <c r="AB36" s="105">
        <f t="shared" si="3"/>
        <v>0.13619935385953785</v>
      </c>
      <c r="AD36" s="105">
        <f>'Alternative 3'!$B$39*$B36*$C36*COS($K$23)-($N$22/3)*$E36*SIN($K$23)-($N$22/3)*$F36*SIN($K$23)-($N$22/3)*$G36*SIN($K$23)</f>
        <v>7840.5245053771869</v>
      </c>
      <c r="AE36" s="106">
        <f>IF(($A36&lt;'Alternative 3'!$B$27),(($H36*'Alternative 3'!$B$39)+(3*($N$22/3)*COS($K$23))),IF(($A36&lt;'Alternative 3'!$B$28),(($H36*'Alternative 3'!$B$39)+(2*(($N$22/3)*COS($K$23)))),IF(($A36&lt;'Alternative 3'!$B$29),(($H$3*'Alternative 3'!$B$39+(($N$22/3)*COS($K$23)))),($H36*'Alternative 3'!$B$39))))</f>
        <v>8343.7119031750972</v>
      </c>
      <c r="AF36" s="105">
        <f>AD36*'Alternative 3'!$K37/'Alternative 3'!$L37</f>
        <v>124785.92854855642</v>
      </c>
      <c r="AG36" s="105">
        <f>AE36/'Alternative 3'!$M37</f>
        <v>5422.3878781863705</v>
      </c>
      <c r="AH36" s="105">
        <f t="shared" si="4"/>
        <v>0.1302083164267428</v>
      </c>
      <c r="AJ36" s="105">
        <f>'Alternative 3'!$B$39*$B36*$C36*COS($K$33)-($N$32/3)*$E36*SIN($K$33)-($N$32/3)*$F36*SIN($K$33)-($N$32/3)*$G36*SIN($K$33)</f>
        <v>7225.8664700082409</v>
      </c>
      <c r="AK36" s="106">
        <f>IF(($A36&lt;'Alternative 3'!$B$27),(($H36*'Alternative 3'!$B$39)+(3*($N$32/3)*COS($K$33))),IF(($A36&lt;'Alternative 3'!$B$28),(($H36*'Alternative 3'!$B$39)+(2*(($N$32/3)*COS($K$33)))),IF(($A36&lt;'Alternative 3'!$B$29),(($H$3*'Alternative 3'!$B$39+(($N$32/3)*COS($K$33)))),($H36*'Alternative 3'!$B$39))))</f>
        <v>8343.7119031750972</v>
      </c>
      <c r="AL36" s="105">
        <f>AJ36*'Alternative 3'!$K37/'Alternative 3'!$L37</f>
        <v>115003.33382154007</v>
      </c>
      <c r="AM36" s="105">
        <f>AK36/'Alternative 3'!$M37</f>
        <v>5422.3878781863705</v>
      </c>
      <c r="AN36" s="105">
        <f t="shared" si="5"/>
        <v>0.12042572169972644</v>
      </c>
      <c r="AP36" s="105">
        <f>'Alternative 3'!$B$39*$B36*$C36*COS($K$43)-($N$42/3)*$E36*SIN($K$43)-($N$42/3)*$F36*SIN($K$43)-($N$42/3)*$G36*SIN($K$43)</f>
        <v>6391.6541384129559</v>
      </c>
      <c r="AQ36" s="106">
        <f>IF(($A36&lt;'Alternative 3'!$B$27),(($H36*'Alternative 3'!$B$39)+(3*($N$42/3)*COS($K$43))),IF(($A36&lt;'Alternative 3'!$B$28),(($H36*'Alternative 3'!$B$39)+(2*(($N$42/3)*COS($K$43)))),IF(($A36&lt;'Alternative 3'!$B$29),(($H$3*'Alternative 3'!$B$39+(($N$42/3)*COS($K$43)))),($H36*'Alternative 3'!$B$39))))</f>
        <v>8343.7119031750972</v>
      </c>
      <c r="AR36" s="105">
        <f>AP36*'Alternative 3'!$K37/'Alternative 3'!$L37</f>
        <v>101726.42099085107</v>
      </c>
      <c r="AS36" s="105">
        <f>AQ36/'Alternative 3'!$M37</f>
        <v>5422.3878781863705</v>
      </c>
      <c r="AT36" s="105">
        <f t="shared" si="6"/>
        <v>0.10714880886903744</v>
      </c>
      <c r="AV36" s="105">
        <f>'Alternative 3'!$B$39*$B36*$C36*COS($K$53)-($N$52/3)*$E36*SIN($K$53)-($N$52/3)*$F36*SIN($K$53)-($N$52/3)*$G36*SIN($K$53)</f>
        <v>5363.2346301550469</v>
      </c>
      <c r="AW36" s="106">
        <f>IF(($A36&lt;'Alternative 3'!$B$27),(($H36*'Alternative 3'!$B$39)+(3*($N$52/3)*COS($K$53))),IF(($A36&lt;'Alternative 3'!$B$28),(($H36*'Alternative 3'!$B$39)+(2*(($N$52/3)*COS($K$53)))),IF(($A36&lt;'Alternative 3'!$B$29),(($H$3*'Alternative 3'!$B$39+(($N$52/3)*COS($K$53)))),($H36*'Alternative 3'!$B$39))))</f>
        <v>8343.7119031750972</v>
      </c>
      <c r="AX36" s="105">
        <f>AV36*'Alternative 3'!$K37/'Alternative 3'!$L37</f>
        <v>85358.602334407842</v>
      </c>
      <c r="AY36" s="105">
        <f>AW36/'Alternative 3'!$M37</f>
        <v>5422.3878781863705</v>
      </c>
      <c r="AZ36" s="105">
        <f t="shared" si="7"/>
        <v>9.0780990212594212E-2</v>
      </c>
      <c r="BB36" s="105">
        <f>'Alternative 3'!$B$39*$B36*$C36*COS($K$63)-($N$62/3)*$E36*SIN($K$63)-($N$62/3)*$F36*SIN($K$63)-($N$62/3)*$G36*SIN($K$63)</f>
        <v>4171.8559515875495</v>
      </c>
      <c r="BC36" s="106">
        <f>IF(($A36&lt;'Alternative 3'!$B$27),(($H36*'Alternative 3'!$B$39)+(3*($N$62/3)*COS($K$63))),IF(($A36&lt;'Alternative 3'!$B$28),(($H36*'Alternative 3'!$B$39)+(2*(($N$62/3)*COS($K$63)))),IF(($A36&lt;'Alternative 3'!$B$29),(($H$3*'Alternative 3'!$B$39+(($N$62/3)*COS($K$63)))),($H36*'Alternative 3'!$B$39))))</f>
        <v>8343.7119031750972</v>
      </c>
      <c r="BD36" s="105">
        <f>BB36*'Alternative 3'!$K37/'Alternative 3'!$L37</f>
        <v>66397.205739570563</v>
      </c>
      <c r="BE36" s="105">
        <f>BC36/'Alternative 3'!$M37</f>
        <v>5422.3878781863705</v>
      </c>
      <c r="BF36" s="105">
        <f t="shared" si="8"/>
        <v>7.1819593617756944E-2</v>
      </c>
      <c r="BH36" s="105">
        <f>'Alternative 3'!$B$39*$B36*$C36*COS($K$73)-($N$72/3)*$E36*SIN($K$73)-($N$72/3)*$F36*SIN($K$73)-($N$72/3)*$G36*SIN($K$73)</f>
        <v>2853.7175409920355</v>
      </c>
      <c r="BI36" s="106">
        <f>IF(($A36&lt;'Alternative 3'!$B$27),(($H36*'Alternative 3'!$B$39)+(3*($N$72/3)*COS($K$73))),IF(($A36&lt;'Alternative 3'!$B$28),(($H36*'Alternative 3'!$B$39)+(2*(($N$72/3)*COS($K$73)))),IF(($A36&lt;'Alternative 3'!$B$29),(($H$3*'Alternative 3'!$B$39+(($N$72/3)*COS($K$73)))),($H36*'Alternative 3'!$B$39))))</f>
        <v>8343.7119031750972</v>
      </c>
      <c r="BJ36" s="105">
        <f>BH36*'Alternative 3'!$K37/'Alternative 3'!$L37</f>
        <v>45418.363646943675</v>
      </c>
      <c r="BK36" s="105">
        <f>BI36/'Alternative 3'!$M37</f>
        <v>5422.3878781863705</v>
      </c>
      <c r="BL36" s="105">
        <f t="shared" si="9"/>
        <v>5.084075152513004E-2</v>
      </c>
      <c r="BN36" s="105">
        <f>'Alternative 3'!$B$39*$B36*$C36*COS($K$83)-($N$82/3)*$E36*SIN($K$83)-($N$82/3)*$F36*SIN($K$83)-($N$82/3)*$G36*SIN($K$83)</f>
        <v>1448.8703669642314</v>
      </c>
      <c r="BO36" s="106">
        <f>IF(($A36&lt;'Alternative 3'!$B$27),(($H36*'Alternative 3'!$B$39)+(3*($N$82/3)*COS($K$83))),IF(($A36&lt;'Alternative 3'!$B$28),(($H36*'Alternative 3'!$B$39)+(2*(($N$82/3)*COS($K$83)))),IF(($A36&lt;'Alternative 3'!$B$29),(($H$3*'Alternative 3'!$B$39+(($N$82/3)*COS($K$83)))),($H36*'Alternative 3'!$B$39))))</f>
        <v>8343.7119031750972</v>
      </c>
      <c r="BP36" s="105">
        <f>BN36*'Alternative 3'!$K37/'Alternative 3'!$L37</f>
        <v>23059.507557705358</v>
      </c>
      <c r="BQ36" s="105">
        <f>BO36/'Alternative 3'!$M37</f>
        <v>5422.3878781863705</v>
      </c>
      <c r="BR36" s="105">
        <f t="shared" si="10"/>
        <v>2.8481895435891729E-2</v>
      </c>
      <c r="BT36" s="105">
        <f>'Alternative 3'!$B$39*$B36*$C36*COS($K$93)-($K$92/3)*$E36*SIN($K$93)-($K$92/3)*$F36*SIN($K$93)-($K$92/3)*$G36*SIN($K$93)</f>
        <v>5.1111428731888156E-13</v>
      </c>
      <c r="BU36" s="106">
        <f>IF(($A36&lt;'Alternative 3'!$B$27),(($H36*'Alternative 3'!$B$39)+(3*($N$92/3)*COS($K$93))),IF(($A36&lt;'Alternative 3'!$B$28),(($H36*'Alternative 3'!$B$39)+(2*(($N$92/3)*COS($K$93)))),IF(($A36&lt;'Alternative 3'!$B$29),(($H$3*'Alternative 3'!$B$39+(($N$92/3)*COS($K$93)))),($H36*'Alternative 3'!$B$39))))</f>
        <v>8343.7119031750972</v>
      </c>
      <c r="BV36" s="105">
        <f>BT36*'Alternative 3'!$K37/'Alternative 3'!$L37</f>
        <v>8.1346434022084613E-12</v>
      </c>
      <c r="BW36" s="105">
        <f>BU36/'Alternative 3'!$M37</f>
        <v>5422.3878781863705</v>
      </c>
      <c r="BX36" s="105">
        <f t="shared" si="11"/>
        <v>5.4223878781863785E-3</v>
      </c>
      <c r="BZ36" s="104">
        <v>150</v>
      </c>
      <c r="CA36" s="104">
        <v>-150</v>
      </c>
    </row>
    <row r="37" spans="1:79" ht="15" customHeight="1" x14ac:dyDescent="0.25">
      <c r="A37" s="18">
        <f>IF('Alternative 3'!F38&gt;0,'Alternative 3'!F38,"x")</f>
        <v>35</v>
      </c>
      <c r="B37" s="18">
        <f t="shared" si="17"/>
        <v>1</v>
      </c>
      <c r="C37" s="18">
        <f t="shared" si="12"/>
        <v>0.5</v>
      </c>
      <c r="D37" s="18">
        <f t="shared" si="13"/>
        <v>35</v>
      </c>
      <c r="E37" s="101">
        <f>IF($A37&lt;='Alternative 3'!$B$27, IF($A37='Alternative 3'!$B$27,0,E38+1),0)</f>
        <v>0</v>
      </c>
      <c r="F37" s="101">
        <f>IF($A37&lt;=('Alternative 3'!$B$28), IF($A37=ROUNDDOWN('Alternative 3'!$B$28,0),0,F38+1),0)</f>
        <v>0</v>
      </c>
      <c r="G37" s="101">
        <f>IF($A37&lt;=('Alternative 3'!$B$29), IF($A37=ROUNDDOWN('Alternative 3'!$B$29,0),0,G38+1),0)</f>
        <v>0</v>
      </c>
      <c r="H37" s="18">
        <f t="shared" si="14"/>
        <v>1</v>
      </c>
      <c r="J37" s="104">
        <f t="shared" si="15"/>
        <v>34</v>
      </c>
      <c r="K37" s="104">
        <f t="shared" si="16"/>
        <v>0.59341194567807209</v>
      </c>
      <c r="L37" s="105">
        <f>'Alternative 3'!$B$27*SIN(K37)+'Alternative 3'!$B$28*SIN(K37)+'Alternative 3'!$B$29*SIN(K37)</f>
        <v>37.460332603505336</v>
      </c>
      <c r="M37" s="104">
        <f>(('Alternative 3'!$B$27)*(((('Alternative 3'!$B$28-'Alternative 3'!$B$27)/2)+'Alternative 3'!$B$27)*'Alternative 3'!$B$39)*COS('Alternative 3-Tilt Up (3pt)'!K37))+(('Alternative 3'!$B$28)*((('Alternative 3'!$B$28-'Alternative 3'!$B$27)/2)+(('Alternative 3'!$B$29-'Alternative 3'!$B$28)/2))*('Alternative 3'!$B$39)*COS('Alternative 3-Tilt Up (3pt)'!K37))+(('Alternative 3'!$B$29)*((('Alternative 3'!$B$12-'Alternative 3'!$B$29+(('Alternative 3'!$B$29-'Alternative 3'!$B$28)/2)*('Alternative 3'!$B$39)*COS('Alternative 3-Tilt Up (3pt)'!K37)))))</f>
        <v>1863335.561316632</v>
      </c>
      <c r="N37" s="104">
        <f t="shared" si="0"/>
        <v>149224.69437515922</v>
      </c>
      <c r="O37" s="104">
        <f>(((('Alternative 3'!$B$28-'Alternative 3'!$B$27)/2)+'Alternative 3'!$B$27)*('Alternative 3'!$B$39)*COS('Alternative 3-Tilt Up (3pt)'!K37))+(((('Alternative 3'!$B$28-'Alternative 3'!$B$27)/2)+(('Alternative 3'!$B$29-'Alternative 3'!$B$28)/2))*('Alternative 3'!$B$39)*COS('Alternative 3-Tilt Up (3pt)'!K37))+(((('Alternative 3'!$B$12-'Alternative 3'!$B$29)+(('Alternative 3'!$B$29-'Alternative 3'!$B$28)/2))*('Alternative 3'!$B$39)*COS('Alternative 3-Tilt Up (3pt)'!K37)))</f>
        <v>121051.88659037056</v>
      </c>
      <c r="P37" s="104">
        <f t="shared" si="1"/>
        <v>123712.87839004997</v>
      </c>
      <c r="R37" s="105">
        <f>'Alternative 3'!$B$39*$B37*$C37*COS($K$5)-($N$5/3)*$E37*SIN($K$5)-($N$5/3)*$F37*SIN($K$5)-($N$5/3)*$G37*SIN($K$5)</f>
        <v>2084.6572848308083</v>
      </c>
      <c r="S37" s="106">
        <f>IF(($A37&lt;'Alternative 3'!$B$27),(($H37*'Alternative 3'!$B$39)+(3*($N$5/3)*COS($K$5))),IF(($A37&lt;'Alternative 3'!$B$28),(($H37*'Alternative 3'!$B$39)+(2*(($N$5/3)*COS($K$5)))),IF(($A37&lt;'Alternative 3'!$B$29),(($H$3*'Alternative 3'!$B$39+(($N$5/3)*COS($K$5)))),($H37*'Alternative 3'!$B$39))))</f>
        <v>4171.8559515875486</v>
      </c>
      <c r="T37" s="105">
        <f>R37*'Alternative 3'!$K38/'Alternative 3'!$L38</f>
        <v>33178.37917791323</v>
      </c>
      <c r="U37" s="105">
        <f>S37/'Alternative 3'!$M38</f>
        <v>2789.2099279528056</v>
      </c>
      <c r="V37" s="105">
        <f t="shared" si="2"/>
        <v>3.5967589105866032E-2</v>
      </c>
      <c r="X37" s="105">
        <f>'Alternative 3'!$B$39*$B37*$C37*COS($K$13)-($N$12/3)*$E37*SIN($K$13)-($N$12/3)*$F37*SIN($K$13)-($N$12/3)*$G37*SIN($K$13)</f>
        <v>2054.2380427867702</v>
      </c>
      <c r="Y37" s="106">
        <f>IF(($A37&lt;'Alternative 3'!$B$27),(($H37*'Alternative 3'!$B$39)+(3*($N$12/3)*COS($K$13))),IF(($A37&lt;'Alternative 3'!$B$28),(($H37*'Alternative 3'!$B$39)+(2*(($N$12/3)*COS($K$13)))),IF(($A37&lt;'Alternative 3'!$B$29),(($H$3*'Alternative 3'!$B$39+(($N$12/3)*COS($K$13)))),($H37*'Alternative 3'!$B$39))))</f>
        <v>4171.8559515875486</v>
      </c>
      <c r="Z37" s="105">
        <f>X37*'Alternative 3'!$K38/'Alternative 3'!$L38</f>
        <v>32694.241495337872</v>
      </c>
      <c r="AA37" s="105">
        <f>Y37/'Alternative 3'!$M38</f>
        <v>2789.2099279528056</v>
      </c>
      <c r="AB37" s="105">
        <f t="shared" si="3"/>
        <v>3.5483451423290679E-2</v>
      </c>
      <c r="AD37" s="105">
        <f>'Alternative 3'!$B$39*$B37*$C37*COS($K$23)-($N$22/3)*$E37*SIN($K$23)-($N$22/3)*$F37*SIN($K$23)-($N$22/3)*$G37*SIN($K$23)</f>
        <v>1960.1311263442967</v>
      </c>
      <c r="AE37" s="106">
        <f>IF(($A37&lt;'Alternative 3'!$B$27),(($H37*'Alternative 3'!$B$39)+(3*($N$22/3)*COS($K$23))),IF(($A37&lt;'Alternative 3'!$B$28),(($H37*'Alternative 3'!$B$39)+(2*(($N$22/3)*COS($K$23)))),IF(($A37&lt;'Alternative 3'!$B$29),(($H$3*'Alternative 3'!$B$39+(($N$22/3)*COS($K$23)))),($H37*'Alternative 3'!$B$39))))</f>
        <v>4171.8559515875486</v>
      </c>
      <c r="AF37" s="105">
        <f>AD37*'Alternative 3'!$K38/'Alternative 3'!$L38</f>
        <v>31196.482137139101</v>
      </c>
      <c r="AG37" s="105">
        <f>AE37/'Alternative 3'!$M38</f>
        <v>2789.2099279528056</v>
      </c>
      <c r="AH37" s="105">
        <f t="shared" si="4"/>
        <v>3.3985692065091909E-2</v>
      </c>
      <c r="AJ37" s="105">
        <f>'Alternative 3'!$B$39*$B37*$C37*COS($K$33)-($N$32/3)*$E37*SIN($K$33)-($N$32/3)*$F37*SIN($K$33)-($N$32/3)*$G37*SIN($K$33)</f>
        <v>1806.4666175020602</v>
      </c>
      <c r="AK37" s="106">
        <f>IF(($A37&lt;'Alternative 3'!$B$27),(($H37*'Alternative 3'!$B$39)+(3*($N$32/3)*COS($K$33))),IF(($A37&lt;'Alternative 3'!$B$28),(($H37*'Alternative 3'!$B$39)+(2*(($N$32/3)*COS($K$33)))),IF(($A37&lt;'Alternative 3'!$B$29),(($H$3*'Alternative 3'!$B$39+(($N$32/3)*COS($K$33)))),($H37*'Alternative 3'!$B$39))))</f>
        <v>4171.8559515875486</v>
      </c>
      <c r="AL37" s="105">
        <f>AJ37*'Alternative 3'!$K38/'Alternative 3'!$L38</f>
        <v>28750.833455385015</v>
      </c>
      <c r="AM37" s="105">
        <f>AK37/'Alternative 3'!$M38</f>
        <v>2789.2099279528056</v>
      </c>
      <c r="AN37" s="105">
        <f t="shared" si="5"/>
        <v>3.1540043383337817E-2</v>
      </c>
      <c r="AP37" s="105">
        <f>'Alternative 3'!$B$39*$B37*$C37*COS($K$43)-($N$42/3)*$E37*SIN($K$43)-($N$42/3)*$F37*SIN($K$43)-($N$42/3)*$G37*SIN($K$43)</f>
        <v>1597.913534603239</v>
      </c>
      <c r="AQ37" s="106">
        <f>IF(($A37&lt;'Alternative 3'!$B$27),(($H37*'Alternative 3'!$B$39)+(3*($N$42/3)*COS($K$43))),IF(($A37&lt;'Alternative 3'!$B$28),(($H37*'Alternative 3'!$B$39)+(2*(($N$42/3)*COS($K$43)))),IF(($A37&lt;'Alternative 3'!$B$29),(($H$3*'Alternative 3'!$B$39+(($N$42/3)*COS($K$43)))),($H37*'Alternative 3'!$B$39))))</f>
        <v>4171.8559515875486</v>
      </c>
      <c r="AR37" s="105">
        <f>AP37*'Alternative 3'!$K38/'Alternative 3'!$L38</f>
        <v>25431.605247712763</v>
      </c>
      <c r="AS37" s="105">
        <f>AQ37/'Alternative 3'!$M38</f>
        <v>2789.2099279528056</v>
      </c>
      <c r="AT37" s="105">
        <f t="shared" si="6"/>
        <v>2.8220815175665569E-2</v>
      </c>
      <c r="AV37" s="105">
        <f>'Alternative 3'!$B$39*$B37*$C37*COS($K$53)-($N$52/3)*$E37*SIN($K$53)-($N$52/3)*$F37*SIN($K$53)-($N$52/3)*$G37*SIN($K$53)</f>
        <v>1340.8086575387617</v>
      </c>
      <c r="AW37" s="106">
        <f>IF(($A37&lt;'Alternative 3'!$B$27),(($H37*'Alternative 3'!$B$39)+(3*($N$52/3)*COS($K$53))),IF(($A37&lt;'Alternative 3'!$B$28),(($H37*'Alternative 3'!$B$39)+(2*(($N$52/3)*COS($K$53)))),IF(($A37&lt;'Alternative 3'!$B$29),(($H$3*'Alternative 3'!$B$39+(($N$52/3)*COS($K$53)))),($H37*'Alternative 3'!$B$39))))</f>
        <v>4171.8559515875486</v>
      </c>
      <c r="AX37" s="105">
        <f>AV37*'Alternative 3'!$K38/'Alternative 3'!$L38</f>
        <v>21339.650583601961</v>
      </c>
      <c r="AY37" s="105">
        <f>AW37/'Alternative 3'!$M38</f>
        <v>2789.2099279528056</v>
      </c>
      <c r="AZ37" s="105">
        <f t="shared" si="7"/>
        <v>2.4128860511554766E-2</v>
      </c>
      <c r="BB37" s="105">
        <f>'Alternative 3'!$B$39*$B37*$C37*COS($K$63)-($N$62/3)*$E37*SIN($K$63)-($N$62/3)*$F37*SIN($K$63)-($N$62/3)*$G37*SIN($K$63)</f>
        <v>1042.9639878968874</v>
      </c>
      <c r="BC37" s="106">
        <f>IF(($A37&lt;'Alternative 3'!$B$27),(($H37*'Alternative 3'!$B$39)+(3*($N$62/3)*COS($K$63))),IF(($A37&lt;'Alternative 3'!$B$28),(($H37*'Alternative 3'!$B$39)+(2*(($N$62/3)*COS($K$63)))),IF(($A37&lt;'Alternative 3'!$B$29),(($H$3*'Alternative 3'!$B$39+(($N$62/3)*COS($K$63)))),($H37*'Alternative 3'!$B$39))))</f>
        <v>4171.8559515875486</v>
      </c>
      <c r="BD37" s="105">
        <f>BB37*'Alternative 3'!$K38/'Alternative 3'!$L38</f>
        <v>16599.301434892637</v>
      </c>
      <c r="BE37" s="105">
        <f>BC37/'Alternative 3'!$M38</f>
        <v>2789.2099279528056</v>
      </c>
      <c r="BF37" s="105">
        <f t="shared" si="8"/>
        <v>1.9388511362845442E-2</v>
      </c>
      <c r="BH37" s="105">
        <f>'Alternative 3'!$B$39*$B37*$C37*COS($K$73)-($N$72/3)*$E37*SIN($K$73)-($N$72/3)*$F37*SIN($K$73)-($N$72/3)*$G37*SIN($K$73)</f>
        <v>713.42938524800888</v>
      </c>
      <c r="BI37" s="106">
        <f>IF(($A37&lt;'Alternative 3'!$B$27),(($H37*'Alternative 3'!$B$39)+(3*($N$72/3)*COS($K$73))),IF(($A37&lt;'Alternative 3'!$B$28),(($H37*'Alternative 3'!$B$39)+(2*(($N$72/3)*COS($K$73)))),IF(($A37&lt;'Alternative 3'!$B$29),(($H$3*'Alternative 3'!$B$39+(($N$72/3)*COS($K$73)))),($H37*'Alternative 3'!$B$39))))</f>
        <v>4171.8559515875486</v>
      </c>
      <c r="BJ37" s="105">
        <f>BH37*'Alternative 3'!$K38/'Alternative 3'!$L38</f>
        <v>11354.590911735919</v>
      </c>
      <c r="BK37" s="105">
        <f>BI37/'Alternative 3'!$M38</f>
        <v>2789.2099279528056</v>
      </c>
      <c r="BL37" s="105">
        <f t="shared" si="9"/>
        <v>1.4143800839688723E-2</v>
      </c>
      <c r="BN37" s="105">
        <f>'Alternative 3'!$B$39*$B37*$C37*COS($K$83)-($N$82/3)*$E37*SIN($K$83)-($N$82/3)*$F37*SIN($K$83)-($N$82/3)*$G37*SIN($K$83)</f>
        <v>362.21759174105784</v>
      </c>
      <c r="BO37" s="106">
        <f>IF(($A37&lt;'Alternative 3'!$B$27),(($H37*'Alternative 3'!$B$39)+(3*($N$82/3)*COS($K$83))),IF(($A37&lt;'Alternative 3'!$B$28),(($H37*'Alternative 3'!$B$39)+(2*(($N$82/3)*COS($K$83)))),IF(($A37&lt;'Alternative 3'!$B$29),(($H$3*'Alternative 3'!$B$39+(($N$82/3)*COS($K$83)))),($H37*'Alternative 3'!$B$39))))</f>
        <v>4171.8559515875486</v>
      </c>
      <c r="BP37" s="105">
        <f>BN37*'Alternative 3'!$K38/'Alternative 3'!$L38</f>
        <v>5764.8768894263385</v>
      </c>
      <c r="BQ37" s="105">
        <f>BO37/'Alternative 3'!$M38</f>
        <v>2789.2099279528056</v>
      </c>
      <c r="BR37" s="105">
        <f t="shared" si="10"/>
        <v>8.5540868173791442E-3</v>
      </c>
      <c r="BT37" s="105">
        <f>'Alternative 3'!$B$39*$B37*$C37*COS($K$93)-($K$92/3)*$E37*SIN($K$93)-($K$92/3)*$F37*SIN($K$93)-($K$92/3)*$G37*SIN($K$93)</f>
        <v>1.2777857182972039E-13</v>
      </c>
      <c r="BU37" s="106">
        <f>IF(($A37&lt;'Alternative 3'!$B$27),(($H37*'Alternative 3'!$B$39)+(3*($N$92/3)*COS($K$93))),IF(($A37&lt;'Alternative 3'!$B$28),(($H37*'Alternative 3'!$B$39)+(2*(($N$92/3)*COS($K$93)))),IF(($A37&lt;'Alternative 3'!$B$29),(($H$3*'Alternative 3'!$B$39+(($N$92/3)*COS($K$93)))),($H37*'Alternative 3'!$B$39))))</f>
        <v>4171.8559515875486</v>
      </c>
      <c r="BV37" s="105">
        <f>BT37*'Alternative 3'!$K38/'Alternative 3'!$L38</f>
        <v>2.0336608505521149E-12</v>
      </c>
      <c r="BW37" s="105">
        <f>BU37/'Alternative 3'!$M38</f>
        <v>2789.2099279528056</v>
      </c>
      <c r="BX37" s="105">
        <f t="shared" si="11"/>
        <v>2.7892099279528074E-3</v>
      </c>
      <c r="BZ37" s="104">
        <v>150</v>
      </c>
      <c r="CA37" s="104">
        <v>-150</v>
      </c>
    </row>
    <row r="38" spans="1:79" ht="15" customHeight="1" x14ac:dyDescent="0.25">
      <c r="A38" s="18" t="str">
        <f>IF('Alternative 3'!F39&gt;0,'Alternative 3'!F39,"x")</f>
        <v>x</v>
      </c>
      <c r="B38" s="18" t="str">
        <f t="shared" si="17"/>
        <v>x</v>
      </c>
      <c r="C38" s="18">
        <f t="shared" si="12"/>
        <v>0</v>
      </c>
      <c r="D38" s="18" t="str">
        <f t="shared" si="13"/>
        <v>x</v>
      </c>
      <c r="E38" s="101">
        <f>IF($A38&lt;='Alternative 3'!$B$27, IF($A38='Alternative 3'!$B$27,0,E39+1),0)</f>
        <v>0</v>
      </c>
      <c r="F38" s="101">
        <f>IF($A38&lt;=('Alternative 3'!$B$28), IF($A38=ROUNDDOWN('Alternative 3'!$B$28,0),0,F39+1),0)</f>
        <v>0</v>
      </c>
      <c r="G38" s="101">
        <f>IF($A38&lt;=('Alternative 3'!$B$29), IF($A38=ROUNDDOWN('Alternative 3'!$B$29,0),0,G39+1),0)</f>
        <v>0</v>
      </c>
      <c r="H38" s="18" t="str">
        <f t="shared" si="14"/>
        <v>x</v>
      </c>
      <c r="J38" s="104">
        <f t="shared" si="15"/>
        <v>35</v>
      </c>
      <c r="K38" s="104">
        <f t="shared" si="16"/>
        <v>0.6108652381980153</v>
      </c>
      <c r="L38" s="105">
        <f>'Alternative 3'!$B$27*SIN(K38)+'Alternative 3'!$B$28*SIN(K38)+'Alternative 3'!$B$29*SIN(K38)</f>
        <v>38.423885471156574</v>
      </c>
      <c r="M38" s="104">
        <f>(('Alternative 3'!$B$27)*(((('Alternative 3'!$B$28-'Alternative 3'!$B$27)/2)+'Alternative 3'!$B$27)*'Alternative 3'!$B$39)*COS('Alternative 3-Tilt Up (3pt)'!K38))+(('Alternative 3'!$B$28)*((('Alternative 3'!$B$28-'Alternative 3'!$B$27)/2)+(('Alternative 3'!$B$29-'Alternative 3'!$B$28)/2))*('Alternative 3'!$B$39)*COS('Alternative 3-Tilt Up (3pt)'!K38))+(('Alternative 3'!$B$29)*((('Alternative 3'!$B$12-'Alternative 3'!$B$29+(('Alternative 3'!$B$29-'Alternative 3'!$B$28)/2)*('Alternative 3'!$B$39)*COS('Alternative 3-Tilt Up (3pt)'!K38)))))</f>
        <v>1841119.1253838367</v>
      </c>
      <c r="N38" s="104">
        <f t="shared" si="0"/>
        <v>143748.01789105099</v>
      </c>
      <c r="O38" s="104">
        <f>(((('Alternative 3'!$B$28-'Alternative 3'!$B$27)/2)+'Alternative 3'!$B$27)*('Alternative 3'!$B$39)*COS('Alternative 3-Tilt Up (3pt)'!K38))+(((('Alternative 3'!$B$28-'Alternative 3'!$B$27)/2)+(('Alternative 3'!$B$29-'Alternative 3'!$B$28)/2))*('Alternative 3'!$B$39)*COS('Alternative 3-Tilt Up (3pt)'!K38))+(((('Alternative 3'!$B$12-'Alternative 3'!$B$29)+(('Alternative 3'!$B$29-'Alternative 3'!$B$28)/2))*('Alternative 3'!$B$39)*COS('Alternative 3-Tilt Up (3pt)'!K38)))</f>
        <v>119608.45159277481</v>
      </c>
      <c r="P38" s="104">
        <f t="shared" si="1"/>
        <v>117751.48271794498</v>
      </c>
      <c r="R38" s="105" t="e">
        <f>'Alternative 3'!$B$39*$B38*$C38*COS($K$5)-($N$5/3)*$E38*SIN($K$5)-($N$5/3)*$F38*SIN($K$5)-($N$5/3)*$G38*SIN($K$5)</f>
        <v>#VALUE!</v>
      </c>
      <c r="S38" s="106" t="e">
        <f>IF(($A38&lt;'Alternative 3'!$B$27),(($H38*'Alternative 3'!$B$39)+(3*($N$5/3)*COS($K$5))),IF(($A38&lt;'Alternative 3'!$B$28),(($H38*'Alternative 3'!$B$39)+(2*(($N$5/3)*COS($K$5)))),IF(($A38&lt;'Alternative 3'!$B$29),(($H$3*'Alternative 3'!$B$39+(($N$5/3)*COS($K$5)))),($H38*'Alternative 3'!$B$39))))</f>
        <v>#VALUE!</v>
      </c>
      <c r="T38" s="105" t="e">
        <f>R38*'Alternative 3'!$K39/'Alternative 3'!$L39</f>
        <v>#VALUE!</v>
      </c>
      <c r="U38" s="105" t="e">
        <f>S38/'Alternative 3'!$M39</f>
        <v>#VALUE!</v>
      </c>
      <c r="V38" s="105" t="e">
        <f t="shared" si="2"/>
        <v>#VALUE!</v>
      </c>
      <c r="X38" s="105" t="e">
        <f>'Alternative 3'!$B$39*$B38*$C38*COS($K$13)-($N$12/3)*$E38*SIN($K$13)-($N$12/3)*$F38*SIN($K$13)-($N$12/3)*$G38*SIN($K$13)</f>
        <v>#VALUE!</v>
      </c>
      <c r="Y38" s="106" t="e">
        <f>IF(($A38&lt;'Alternative 3'!$B$27),(($H38*'Alternative 3'!$B$39)+(3*($N$12/3)*COS($K$13))),IF(($A38&lt;'Alternative 3'!$B$28),(($H38*'Alternative 3'!$B$39)+(2*(($N$12/3)*COS($K$13)))),IF(($A38&lt;'Alternative 3'!$B$29),(($H$3*'Alternative 3'!$B$39+(($N$12/3)*COS($K$13)))),($H38*'Alternative 3'!$B$39))))</f>
        <v>#VALUE!</v>
      </c>
      <c r="Z38" s="105" t="e">
        <f>X38*'Alternative 3'!$K39/'Alternative 3'!$L39</f>
        <v>#VALUE!</v>
      </c>
      <c r="AA38" s="105" t="e">
        <f>Y38/'Alternative 3'!$M39</f>
        <v>#VALUE!</v>
      </c>
      <c r="AB38" s="105" t="e">
        <f t="shared" si="3"/>
        <v>#VALUE!</v>
      </c>
      <c r="AD38" s="105" t="e">
        <f>'Alternative 3'!$B$39*$B38*$C38*COS($K$23)-($N$22/3)*$E38*SIN($K$23)-($N$22/3)*$F38*SIN($K$23)-($N$22/3)*$G38*SIN($K$23)</f>
        <v>#VALUE!</v>
      </c>
      <c r="AE38" s="106" t="e">
        <f>IF(($A38&lt;'Alternative 3'!$B$27),(($H38*'Alternative 3'!$B$39)+(3*($N$22/3)*COS($K$23))),IF(($A38&lt;'Alternative 3'!$B$28),(($H38*'Alternative 3'!$B$39)+(2*(($N$22/3)*COS($K$23)))),IF(($A38&lt;'Alternative 3'!$B$29),(($H$3*'Alternative 3'!$B$39+(($N$22/3)*COS($K$23)))),($H38*'Alternative 3'!$B$39))))</f>
        <v>#VALUE!</v>
      </c>
      <c r="AF38" s="105" t="e">
        <f>AD38*'Alternative 3'!$K39/'Alternative 3'!$L39</f>
        <v>#VALUE!</v>
      </c>
      <c r="AG38" s="105" t="e">
        <f>AE38/'Alternative 3'!$M39</f>
        <v>#VALUE!</v>
      </c>
      <c r="AH38" s="105" t="e">
        <f t="shared" si="4"/>
        <v>#VALUE!</v>
      </c>
      <c r="AJ38" s="105" t="e">
        <f>'Alternative 3'!$B$39*$B38*$C38*COS($K$33)-($N$32/3)*$E38*SIN($K$33)-($N$32/3)*$F38*SIN($K$33)-($N$32/3)*$G38*SIN($K$33)</f>
        <v>#VALUE!</v>
      </c>
      <c r="AK38" s="106" t="e">
        <f>IF(($A38&lt;'Alternative 3'!$B$27),(($H38*'Alternative 3'!$B$39)+(3*($N$32/3)*COS($K$33))),IF(($A38&lt;'Alternative 3'!$B$28),(($H38*'Alternative 3'!$B$39)+(2*(($N$32/3)*COS($K$33)))),IF(($A38&lt;'Alternative 3'!$B$29),(($H$3*'Alternative 3'!$B$39+(($N$32/3)*COS($K$33)))),($H38*'Alternative 3'!$B$39))))</f>
        <v>#VALUE!</v>
      </c>
      <c r="AL38" s="105" t="e">
        <f>AJ38*'Alternative 3'!$K39/'Alternative 3'!$L39</f>
        <v>#VALUE!</v>
      </c>
      <c r="AM38" s="105" t="e">
        <f>AK38/'Alternative 3'!$M39</f>
        <v>#VALUE!</v>
      </c>
      <c r="AN38" s="105" t="e">
        <f t="shared" si="5"/>
        <v>#VALUE!</v>
      </c>
      <c r="AP38" s="105" t="e">
        <f>'Alternative 3'!$B$39*$B38*$C38*COS($K$43)-($N$42/3)*$E38*SIN($K$43)-($N$42/3)*$F38*SIN($K$43)-($N$42/3)*$G38*SIN($K$43)</f>
        <v>#VALUE!</v>
      </c>
      <c r="AQ38" s="106" t="e">
        <f>IF(($A38&lt;'Alternative 3'!$B$27),(($H38*'Alternative 3'!$B$39)+(3*($N$42/3)*COS($K$43))),IF(($A38&lt;'Alternative 3'!$B$28),(($H38*'Alternative 3'!$B$39)+(2*(($N$42/3)*COS($K$43)))),IF(($A38&lt;'Alternative 3'!$B$29),(($H$3*'Alternative 3'!$B$39+(($N$42/3)*COS($K$43)))),($H38*'Alternative 3'!$B$39))))</f>
        <v>#VALUE!</v>
      </c>
      <c r="AR38" s="105" t="e">
        <f>AP38*'Alternative 3'!$K39/'Alternative 3'!$L39</f>
        <v>#VALUE!</v>
      </c>
      <c r="AS38" s="105" t="e">
        <f>AQ38/'Alternative 3'!$M39</f>
        <v>#VALUE!</v>
      </c>
      <c r="AT38" s="105" t="e">
        <f t="shared" si="6"/>
        <v>#VALUE!</v>
      </c>
      <c r="AV38" s="105" t="e">
        <f>'Alternative 3'!$B$39*$B38*$C38*COS($K$53)-($N$52/3)*$E38*SIN($K$53)-($N$52/3)*$F38*SIN($K$53)-($N$52/3)*$G38*SIN($K$53)</f>
        <v>#VALUE!</v>
      </c>
      <c r="AW38" s="106" t="e">
        <f>IF(($A38&lt;'Alternative 3'!$B$27),(($H38*'Alternative 3'!$B$39)+(3*($N$52/3)*COS($K$53))),IF(($A38&lt;'Alternative 3'!$B$28),(($H38*'Alternative 3'!$B$39)+(2*(($N$52/3)*COS($K$53)))),IF(($A38&lt;'Alternative 3'!$B$29),(($H$3*'Alternative 3'!$B$39+(($N$52/3)*COS($K$53)))),($H38*'Alternative 3'!$B$39))))</f>
        <v>#VALUE!</v>
      </c>
      <c r="AX38" s="105" t="e">
        <f>AV38*'Alternative 3'!$K39/'Alternative 3'!$L39</f>
        <v>#VALUE!</v>
      </c>
      <c r="AY38" s="105" t="e">
        <f>AW38/'Alternative 3'!$M39</f>
        <v>#VALUE!</v>
      </c>
      <c r="AZ38" s="105" t="e">
        <f t="shared" si="7"/>
        <v>#VALUE!</v>
      </c>
      <c r="BB38" s="105" t="e">
        <f>'Alternative 3'!$B$39*$B38*$C38*COS($K$63)-($N$62/3)*$E38*SIN($K$63)-($N$62/3)*$F38*SIN($K$63)-($N$62/3)*$G38*SIN($K$63)</f>
        <v>#VALUE!</v>
      </c>
      <c r="BC38" s="106" t="e">
        <f>IF(($A38&lt;'Alternative 3'!$B$27),(($H38*'Alternative 3'!$B$39)+(3*($N$62/3)*COS($K$63))),IF(($A38&lt;'Alternative 3'!$B$28),(($H38*'Alternative 3'!$B$39)+(2*(($N$62/3)*COS($K$63)))),IF(($A38&lt;'Alternative 3'!$B$29),(($H$3*'Alternative 3'!$B$39+(($N$62/3)*COS($K$63)))),($H38*'Alternative 3'!$B$39))))</f>
        <v>#VALUE!</v>
      </c>
      <c r="BD38" s="105" t="e">
        <f>BB38*'Alternative 3'!$K39/'Alternative 3'!$L39</f>
        <v>#VALUE!</v>
      </c>
      <c r="BE38" s="105" t="e">
        <f>BC38/'Alternative 3'!$M39</f>
        <v>#VALUE!</v>
      </c>
      <c r="BF38" s="105" t="e">
        <f t="shared" si="8"/>
        <v>#VALUE!</v>
      </c>
      <c r="BH38" s="105" t="e">
        <f>'Alternative 3'!$B$39*$B38*$C38*COS($K$73)-($N$72/3)*$E38*SIN($K$73)-($N$72/3)*$F38*SIN($K$73)-($N$72/3)*$G38*SIN($K$73)</f>
        <v>#VALUE!</v>
      </c>
      <c r="BI38" s="106" t="e">
        <f>IF(($A38&lt;'Alternative 3'!$B$27),(($H38*'Alternative 3'!$B$39)+(3*($N$72/3)*COS($K$73))),IF(($A38&lt;'Alternative 3'!$B$28),(($H38*'Alternative 3'!$B$39)+(2*(($N$72/3)*COS($K$73)))),IF(($A38&lt;'Alternative 3'!$B$29),(($H$3*'Alternative 3'!$B$39+(($N$72/3)*COS($K$73)))),($H38*'Alternative 3'!$B$39))))</f>
        <v>#VALUE!</v>
      </c>
      <c r="BJ38" s="105" t="e">
        <f>BH38*'Alternative 3'!$K39/'Alternative 3'!$L39</f>
        <v>#VALUE!</v>
      </c>
      <c r="BK38" s="105" t="e">
        <f>BI38/'Alternative 3'!$M39</f>
        <v>#VALUE!</v>
      </c>
      <c r="BL38" s="105" t="e">
        <f t="shared" si="9"/>
        <v>#VALUE!</v>
      </c>
      <c r="BN38" s="105" t="e">
        <f>'Alternative 3'!$B$39*$B38*$C38*COS($K$83)-($N$82/3)*$E38*SIN($K$83)-($N$82/3)*$F38*SIN($K$83)-($N$82/3)*$G38*SIN($K$83)</f>
        <v>#VALUE!</v>
      </c>
      <c r="BO38" s="106" t="e">
        <f>IF(($A38&lt;'Alternative 3'!$B$27),(($H38*'Alternative 3'!$B$39)+(3*($N$82/3)*COS($K$83))),IF(($A38&lt;'Alternative 3'!$B$28),(($H38*'Alternative 3'!$B$39)+(2*(($N$82/3)*COS($K$83)))),IF(($A38&lt;'Alternative 3'!$B$29),(($H$3*'Alternative 3'!$B$39+(($N$82/3)*COS($K$83)))),($H38*'Alternative 3'!$B$39))))</f>
        <v>#VALUE!</v>
      </c>
      <c r="BP38" s="105" t="e">
        <f>BN38*'Alternative 3'!$K39/'Alternative 3'!$L39</f>
        <v>#VALUE!</v>
      </c>
      <c r="BQ38" s="105" t="e">
        <f>BO38/'Alternative 3'!$M39</f>
        <v>#VALUE!</v>
      </c>
      <c r="BR38" s="105" t="e">
        <f t="shared" si="10"/>
        <v>#VALUE!</v>
      </c>
      <c r="BT38" s="105" t="e">
        <f>'Alternative 3'!$B$39*$B38*$C38*COS($K$93)-($K$92/3)*$E38*SIN($K$93)-($K$92/3)*$F38*SIN($K$93)-($K$92/3)*$G38*SIN($K$93)</f>
        <v>#VALUE!</v>
      </c>
      <c r="BU38" s="106" t="e">
        <f>IF(($A38&lt;'Alternative 3'!$B$27),(($H38*'Alternative 3'!$B$39)+(3*($N$92/3)*COS($K$93))),IF(($A38&lt;'Alternative 3'!$B$28),(($H38*'Alternative 3'!$B$39)+(2*(($N$92/3)*COS($K$93)))),IF(($A38&lt;'Alternative 3'!$B$29),(($H$3*'Alternative 3'!$B$39+(($N$92/3)*COS($K$93)))),($H38*'Alternative 3'!$B$39))))</f>
        <v>#VALUE!</v>
      </c>
      <c r="BV38" s="105" t="e">
        <f>BT38*'Alternative 3'!$K39/'Alternative 3'!$L39</f>
        <v>#VALUE!</v>
      </c>
      <c r="BW38" s="105" t="e">
        <f>BU38/'Alternative 3'!$M39</f>
        <v>#VALUE!</v>
      </c>
      <c r="BX38" s="105" t="e">
        <f t="shared" si="11"/>
        <v>#VALUE!</v>
      </c>
      <c r="BZ38" s="104">
        <v>150</v>
      </c>
      <c r="CA38" s="104">
        <v>-150</v>
      </c>
    </row>
    <row r="39" spans="1:79" ht="15" customHeight="1" x14ac:dyDescent="0.25">
      <c r="A39" s="18" t="str">
        <f>IF('Alternative 3'!F40&gt;0,'Alternative 3'!F40,"x")</f>
        <v>x</v>
      </c>
      <c r="B39" s="18" t="e">
        <f t="shared" si="17"/>
        <v>#VALUE!</v>
      </c>
      <c r="C39" s="18">
        <f t="shared" si="12"/>
        <v>0</v>
      </c>
      <c r="D39" s="18" t="str">
        <f t="shared" si="13"/>
        <v>x</v>
      </c>
      <c r="E39" s="101">
        <f>IF($A39&lt;='Alternative 3'!$B$27, IF($A39='Alternative 3'!$B$27,0,E40+1),0)</f>
        <v>0</v>
      </c>
      <c r="F39" s="101">
        <f>IF($A39&lt;=('Alternative 3'!$B$28), IF($A39=ROUNDDOWN('Alternative 3'!$B$28,0),0,F40+1),0)</f>
        <v>0</v>
      </c>
      <c r="G39" s="101">
        <f>IF($A39&lt;=('Alternative 3'!$B$29), IF($A39=ROUNDDOWN('Alternative 3'!$B$29,0),0,G40+1),0)</f>
        <v>0</v>
      </c>
      <c r="H39" s="18" t="e">
        <f t="shared" si="14"/>
        <v>#VALUE!</v>
      </c>
      <c r="J39" s="104">
        <f t="shared" si="15"/>
        <v>36</v>
      </c>
      <c r="K39" s="104">
        <f t="shared" si="16"/>
        <v>0.62831853071795862</v>
      </c>
      <c r="L39" s="105">
        <f>'Alternative 3'!$B$27*SIN(K39)+'Alternative 3'!$B$28*SIN(K39)+'Alternative 3'!$B$29*SIN(K39)</f>
        <v>39.375734051072776</v>
      </c>
      <c r="M39" s="104">
        <f>(('Alternative 3'!$B$27)*(((('Alternative 3'!$B$28-'Alternative 3'!$B$27)/2)+'Alternative 3'!$B$27)*'Alternative 3'!$B$39)*COS('Alternative 3-Tilt Up (3pt)'!K39))+(('Alternative 3'!$B$28)*((('Alternative 3'!$B$28-'Alternative 3'!$B$27)/2)+(('Alternative 3'!$B$29-'Alternative 3'!$B$28)/2))*('Alternative 3'!$B$39)*COS('Alternative 3-Tilt Up (3pt)'!K39))+(('Alternative 3'!$B$29)*((('Alternative 3'!$B$12-'Alternative 3'!$B$29+(('Alternative 3'!$B$29-'Alternative 3'!$B$28)/2)*('Alternative 3'!$B$39)*COS('Alternative 3-Tilt Up (3pt)'!K39)))))</f>
        <v>1818341.9220790486</v>
      </c>
      <c r="N39" s="104">
        <f t="shared" si="0"/>
        <v>138537.75422095339</v>
      </c>
      <c r="O39" s="104">
        <f>(((('Alternative 3'!$B$28-'Alternative 3'!$B$27)/2)+'Alternative 3'!$B$27)*('Alternative 3'!$B$39)*COS('Alternative 3-Tilt Up (3pt)'!K39))+(((('Alternative 3'!$B$28-'Alternative 3'!$B$27)/2)+(('Alternative 3'!$B$29-'Alternative 3'!$B$28)/2))*('Alternative 3'!$B$39)*COS('Alternative 3-Tilt Up (3pt)'!K39))+(((('Alternative 3'!$B$12-'Alternative 3'!$B$29)+(('Alternative 3'!$B$29-'Alternative 3'!$B$28)/2))*('Alternative 3'!$B$39)*COS('Alternative 3-Tilt Up (3pt)'!K39)))</f>
        <v>118128.58270215082</v>
      </c>
      <c r="P39" s="104">
        <f t="shared" si="1"/>
        <v>112079.3975272909</v>
      </c>
      <c r="R39" s="105" t="e">
        <f>'Alternative 3'!$B$39*$B39*$C39*COS($K$5)-($N$5/3)*$E39*SIN($K$5)-($N$5/3)*$F39*SIN($K$5)-($N$5/3)*$G39*SIN($K$5)</f>
        <v>#VALUE!</v>
      </c>
      <c r="S39" s="106" t="e">
        <f>IF(($A39&lt;'Alternative 3'!$B$27),(($H39*'Alternative 3'!$B$39)+(3*($N$5/3)*COS($K$5))),IF(($A39&lt;'Alternative 3'!$B$28),(($H39*'Alternative 3'!$B$39)+(2*(($N$5/3)*COS($K$5)))),IF(($A39&lt;'Alternative 3'!$B$29),(($H$3*'Alternative 3'!$B$39+(($N$5/3)*COS($K$5)))),($H39*'Alternative 3'!$B$39))))</f>
        <v>#VALUE!</v>
      </c>
      <c r="T39" s="105" t="e">
        <f>R39*'Alternative 3'!$K40/'Alternative 3'!$L40</f>
        <v>#VALUE!</v>
      </c>
      <c r="U39" s="105" t="e">
        <f>S39/'Alternative 3'!$M40</f>
        <v>#VALUE!</v>
      </c>
      <c r="V39" s="105" t="e">
        <f t="shared" si="2"/>
        <v>#VALUE!</v>
      </c>
      <c r="X39" s="105" t="e">
        <f>'Alternative 3'!$B$39*$B39*$C39*COS($K$13)-($N$12/3)*$E39*SIN($K$13)-($N$12/3)*$F39*SIN($K$13)-($N$12/3)*$G39*SIN($K$13)</f>
        <v>#VALUE!</v>
      </c>
      <c r="Y39" s="106" t="e">
        <f>IF(($A39&lt;'Alternative 3'!$B$27),(($H39*'Alternative 3'!$B$39)+(3*($N$12/3)*COS($K$13))),IF(($A39&lt;'Alternative 3'!$B$28),(($H39*'Alternative 3'!$B$39)+(2*(($N$12/3)*COS($K$13)))),IF(($A39&lt;'Alternative 3'!$B$29),(($H$3*'Alternative 3'!$B$39+(($N$12/3)*COS($K$13)))),($H39*'Alternative 3'!$B$39))))</f>
        <v>#VALUE!</v>
      </c>
      <c r="Z39" s="105" t="e">
        <f>X39*'Alternative 3'!$K40/'Alternative 3'!$L40</f>
        <v>#VALUE!</v>
      </c>
      <c r="AA39" s="105" t="e">
        <f>Y39/'Alternative 3'!$M40</f>
        <v>#VALUE!</v>
      </c>
      <c r="AB39" s="105" t="e">
        <f t="shared" si="3"/>
        <v>#VALUE!</v>
      </c>
      <c r="AD39" s="105" t="e">
        <f>'Alternative 3'!$B$39*$B39*$C39*COS($K$23)-($N$22/3)*$E39*SIN($K$23)-($N$22/3)*$F39*SIN($K$23)-($N$22/3)*$G39*SIN($K$23)</f>
        <v>#VALUE!</v>
      </c>
      <c r="AE39" s="106" t="e">
        <f>IF(($A39&lt;'Alternative 3'!$B$27),(($H39*'Alternative 3'!$B$39)+(3*($N$22/3)*COS($K$23))),IF(($A39&lt;'Alternative 3'!$B$28),(($H39*'Alternative 3'!$B$39)+(2*(($N$22/3)*COS($K$23)))),IF(($A39&lt;'Alternative 3'!$B$29),(($H$3*'Alternative 3'!$B$39+(($N$22/3)*COS($K$23)))),($H39*'Alternative 3'!$B$39))))</f>
        <v>#VALUE!</v>
      </c>
      <c r="AF39" s="105" t="e">
        <f>AD39*'Alternative 3'!$K40/'Alternative 3'!$L40</f>
        <v>#VALUE!</v>
      </c>
      <c r="AG39" s="105" t="e">
        <f>AE39/'Alternative 3'!$M40</f>
        <v>#VALUE!</v>
      </c>
      <c r="AH39" s="105" t="e">
        <f t="shared" si="4"/>
        <v>#VALUE!</v>
      </c>
      <c r="AJ39" s="105" t="e">
        <f>'Alternative 3'!$B$39*$B39*$C39*COS($K$33)-($N$32/3)*$E39*SIN($K$33)-($N$32/3)*$F39*SIN($K$33)-($N$32/3)*$G39*SIN($K$33)</f>
        <v>#VALUE!</v>
      </c>
      <c r="AK39" s="106" t="e">
        <f>IF(($A39&lt;'Alternative 3'!$B$27),(($H39*'Alternative 3'!$B$39)+(3*($N$32/3)*COS($K$33))),IF(($A39&lt;'Alternative 3'!$B$28),(($H39*'Alternative 3'!$B$39)+(2*(($N$32/3)*COS($K$33)))),IF(($A39&lt;'Alternative 3'!$B$29),(($H$3*'Alternative 3'!$B$39+(($N$32/3)*COS($K$33)))),($H39*'Alternative 3'!$B$39))))</f>
        <v>#VALUE!</v>
      </c>
      <c r="AL39" s="105" t="e">
        <f>AJ39*'Alternative 3'!$K40/'Alternative 3'!$L40</f>
        <v>#VALUE!</v>
      </c>
      <c r="AM39" s="105" t="e">
        <f>AK39/'Alternative 3'!$M40</f>
        <v>#VALUE!</v>
      </c>
      <c r="AN39" s="105" t="e">
        <f t="shared" si="5"/>
        <v>#VALUE!</v>
      </c>
      <c r="AP39" s="105" t="e">
        <f>'Alternative 3'!$B$39*$B39*$C39*COS($K$43)-($N$42/3)*$E39*SIN($K$43)-($N$42/3)*$F39*SIN($K$43)-($N$42/3)*$G39*SIN($K$43)</f>
        <v>#VALUE!</v>
      </c>
      <c r="AQ39" s="106" t="e">
        <f>IF(($A39&lt;'Alternative 3'!$B$27),(($H39*'Alternative 3'!$B$39)+(3*($N$42/3)*COS($K$43))),IF(($A39&lt;'Alternative 3'!$B$28),(($H39*'Alternative 3'!$B$39)+(2*(($N$42/3)*COS($K$43)))),IF(($A39&lt;'Alternative 3'!$B$29),(($H$3*'Alternative 3'!$B$39+(($N$42/3)*COS($K$43)))),($H39*'Alternative 3'!$B$39))))</f>
        <v>#VALUE!</v>
      </c>
      <c r="AR39" s="105" t="e">
        <f>AP39*'Alternative 3'!$K40/'Alternative 3'!$L40</f>
        <v>#VALUE!</v>
      </c>
      <c r="AS39" s="105" t="e">
        <f>AQ39/'Alternative 3'!$M40</f>
        <v>#VALUE!</v>
      </c>
      <c r="AT39" s="105" t="e">
        <f t="shared" si="6"/>
        <v>#VALUE!</v>
      </c>
      <c r="AV39" s="105" t="e">
        <f>'Alternative 3'!$B$39*$B39*$C39*COS($K$53)-($N$52/3)*$E39*SIN($K$53)-($N$52/3)*$F39*SIN($K$53)-($N$52/3)*$G39*SIN($K$53)</f>
        <v>#VALUE!</v>
      </c>
      <c r="AW39" s="106" t="e">
        <f>IF(($A39&lt;'Alternative 3'!$B$27),(($H39*'Alternative 3'!$B$39)+(3*($N$52/3)*COS($K$53))),IF(($A39&lt;'Alternative 3'!$B$28),(($H39*'Alternative 3'!$B$39)+(2*(($N$52/3)*COS($K$53)))),IF(($A39&lt;'Alternative 3'!$B$29),(($H$3*'Alternative 3'!$B$39+(($N$52/3)*COS($K$53)))),($H39*'Alternative 3'!$B$39))))</f>
        <v>#VALUE!</v>
      </c>
      <c r="AX39" s="105" t="e">
        <f>AV39*'Alternative 3'!$K40/'Alternative 3'!$L40</f>
        <v>#VALUE!</v>
      </c>
      <c r="AY39" s="105" t="e">
        <f>AW39/'Alternative 3'!$M40</f>
        <v>#VALUE!</v>
      </c>
      <c r="AZ39" s="105" t="e">
        <f t="shared" si="7"/>
        <v>#VALUE!</v>
      </c>
      <c r="BB39" s="105" t="e">
        <f>'Alternative 3'!$B$39*$B39*$C39*COS($K$63)-($N$62/3)*$E39*SIN($K$63)-($N$62/3)*$F39*SIN($K$63)-($N$62/3)*$G39*SIN($K$63)</f>
        <v>#VALUE!</v>
      </c>
      <c r="BC39" s="106" t="e">
        <f>IF(($A39&lt;'Alternative 3'!$B$27),(($H39*'Alternative 3'!$B$39)+(3*($N$62/3)*COS($K$63))),IF(($A39&lt;'Alternative 3'!$B$28),(($H39*'Alternative 3'!$B$39)+(2*(($N$62/3)*COS($K$63)))),IF(($A39&lt;'Alternative 3'!$B$29),(($H$3*'Alternative 3'!$B$39+(($N$62/3)*COS($K$63)))),($H39*'Alternative 3'!$B$39))))</f>
        <v>#VALUE!</v>
      </c>
      <c r="BD39" s="105" t="e">
        <f>BB39*'Alternative 3'!$K40/'Alternative 3'!$L40</f>
        <v>#VALUE!</v>
      </c>
      <c r="BE39" s="105" t="e">
        <f>BC39/'Alternative 3'!$M40</f>
        <v>#VALUE!</v>
      </c>
      <c r="BF39" s="105" t="e">
        <f t="shared" si="8"/>
        <v>#VALUE!</v>
      </c>
      <c r="BH39" s="105" t="e">
        <f>'Alternative 3'!$B$39*$B39*$C39*COS($K$73)-($N$72/3)*$E39*SIN($K$73)-($N$72/3)*$F39*SIN($K$73)-($N$72/3)*$G39*SIN($K$73)</f>
        <v>#VALUE!</v>
      </c>
      <c r="BI39" s="106" t="e">
        <f>IF(($A39&lt;'Alternative 3'!$B$27),(($H39*'Alternative 3'!$B$39)+(3*($N$72/3)*COS($K$73))),IF(($A39&lt;'Alternative 3'!$B$28),(($H39*'Alternative 3'!$B$39)+(2*(($N$72/3)*COS($K$73)))),IF(($A39&lt;'Alternative 3'!$B$29),(($H$3*'Alternative 3'!$B$39+(($N$72/3)*COS($K$73)))),($H39*'Alternative 3'!$B$39))))</f>
        <v>#VALUE!</v>
      </c>
      <c r="BJ39" s="105" t="e">
        <f>BH39*'Alternative 3'!$K40/'Alternative 3'!$L40</f>
        <v>#VALUE!</v>
      </c>
      <c r="BK39" s="105" t="e">
        <f>BI39/'Alternative 3'!$M40</f>
        <v>#VALUE!</v>
      </c>
      <c r="BL39" s="105" t="e">
        <f t="shared" si="9"/>
        <v>#VALUE!</v>
      </c>
      <c r="BN39" s="105" t="e">
        <f>'Alternative 3'!$B$39*$B39*$C39*COS($K$83)-($N$82/3)*$E39*SIN($K$83)-($N$82/3)*$F39*SIN($K$83)-($N$82/3)*$G39*SIN($K$83)</f>
        <v>#VALUE!</v>
      </c>
      <c r="BO39" s="106" t="e">
        <f>IF(($A39&lt;'Alternative 3'!$B$27),(($H39*'Alternative 3'!$B$39)+(3*($N$82/3)*COS($K$83))),IF(($A39&lt;'Alternative 3'!$B$28),(($H39*'Alternative 3'!$B$39)+(2*(($N$82/3)*COS($K$83)))),IF(($A39&lt;'Alternative 3'!$B$29),(($H$3*'Alternative 3'!$B$39+(($N$82/3)*COS($K$83)))),($H39*'Alternative 3'!$B$39))))</f>
        <v>#VALUE!</v>
      </c>
      <c r="BP39" s="105" t="e">
        <f>BN39*'Alternative 3'!$K40/'Alternative 3'!$L40</f>
        <v>#VALUE!</v>
      </c>
      <c r="BQ39" s="105" t="e">
        <f>BO39/'Alternative 3'!$M40</f>
        <v>#VALUE!</v>
      </c>
      <c r="BR39" s="105" t="e">
        <f t="shared" si="10"/>
        <v>#VALUE!</v>
      </c>
      <c r="BT39" s="105" t="e">
        <f>'Alternative 3'!$B$39*$B39*$C39*COS($K$93)-($K$92/3)*$E39*SIN($K$93)-($K$92/3)*$F39*SIN($K$93)-($K$92/3)*$G39*SIN($K$93)</f>
        <v>#VALUE!</v>
      </c>
      <c r="BU39" s="106" t="e">
        <f>IF(($A39&lt;'Alternative 3'!$B$27),(($H39*'Alternative 3'!$B$39)+(3*($N$92/3)*COS($K$93))),IF(($A39&lt;'Alternative 3'!$B$28),(($H39*'Alternative 3'!$B$39)+(2*(($N$92/3)*COS($K$93)))),IF(($A39&lt;'Alternative 3'!$B$29),(($H$3*'Alternative 3'!$B$39+(($N$92/3)*COS($K$93)))),($H39*'Alternative 3'!$B$39))))</f>
        <v>#VALUE!</v>
      </c>
      <c r="BV39" s="105" t="e">
        <f>BT39*'Alternative 3'!$K40/'Alternative 3'!$L40</f>
        <v>#VALUE!</v>
      </c>
      <c r="BW39" s="105" t="e">
        <f>BU39/'Alternative 3'!$M40</f>
        <v>#VALUE!</v>
      </c>
      <c r="BX39" s="105" t="e">
        <f t="shared" si="11"/>
        <v>#VALUE!</v>
      </c>
      <c r="BZ39" s="104">
        <v>150</v>
      </c>
      <c r="CA39" s="104">
        <v>-150</v>
      </c>
    </row>
    <row r="40" spans="1:79" ht="15" customHeight="1" x14ac:dyDescent="0.25">
      <c r="A40" s="18" t="str">
        <f>IF('Alternative 3'!F41&gt;0,'Alternative 3'!F41,"x")</f>
        <v>x</v>
      </c>
      <c r="B40" s="18" t="e">
        <f t="shared" si="17"/>
        <v>#VALUE!</v>
      </c>
      <c r="C40" s="18">
        <f t="shared" si="12"/>
        <v>0</v>
      </c>
      <c r="D40" s="18" t="str">
        <f t="shared" si="13"/>
        <v>x</v>
      </c>
      <c r="E40" s="101">
        <f>IF($A40&lt;='Alternative 3'!$B$27, IF($A40='Alternative 3'!$B$27,0,E41+1),0)</f>
        <v>0</v>
      </c>
      <c r="F40" s="101">
        <f>IF($A40&lt;=('Alternative 3'!$B$28), IF($A40=ROUNDDOWN('Alternative 3'!$B$28,0),0,F41+1),0)</f>
        <v>0</v>
      </c>
      <c r="G40" s="101">
        <f>IF($A40&lt;=('Alternative 3'!$B$29), IF($A40=ROUNDDOWN('Alternative 3'!$B$29,0),0,G41+1),0)</f>
        <v>0</v>
      </c>
      <c r="H40" s="18" t="e">
        <f t="shared" si="14"/>
        <v>#VALUE!</v>
      </c>
      <c r="J40" s="104">
        <f t="shared" si="15"/>
        <v>37</v>
      </c>
      <c r="K40" s="104">
        <f t="shared" si="16"/>
        <v>0.64577182323790194</v>
      </c>
      <c r="L40" s="105">
        <f>'Alternative 3'!$B$27*SIN(K40)+'Alternative 3'!$B$28*SIN(K40)+'Alternative 3'!$B$29*SIN(K40)</f>
        <v>40.315588400955711</v>
      </c>
      <c r="M40" s="104">
        <f>(('Alternative 3'!$B$27)*(((('Alternative 3'!$B$28-'Alternative 3'!$B$27)/2)+'Alternative 3'!$B$27)*'Alternative 3'!$B$39)*COS('Alternative 3-Tilt Up (3pt)'!K40))+(('Alternative 3'!$B$28)*((('Alternative 3'!$B$28-'Alternative 3'!$B$27)/2)+(('Alternative 3'!$B$29-'Alternative 3'!$B$28)/2))*('Alternative 3'!$B$39)*COS('Alternative 3-Tilt Up (3pt)'!K40))+(('Alternative 3'!$B$29)*((('Alternative 3'!$B$12-'Alternative 3'!$B$29+(('Alternative 3'!$B$29-'Alternative 3'!$B$28)/2)*('Alternative 3'!$B$39)*COS('Alternative 3-Tilt Up (3pt)'!K40)))))</f>
        <v>1795010.8895590417</v>
      </c>
      <c r="N40" s="104">
        <f t="shared" si="0"/>
        <v>133571.97258590598</v>
      </c>
      <c r="O40" s="104">
        <f>(((('Alternative 3'!$B$28-'Alternative 3'!$B$27)/2)+'Alternative 3'!$B$27)*('Alternative 3'!$B$39)*COS('Alternative 3-Tilt Up (3pt)'!K40))+(((('Alternative 3'!$B$28-'Alternative 3'!$B$27)/2)+(('Alternative 3'!$B$29-'Alternative 3'!$B$28)/2))*('Alternative 3'!$B$39)*COS('Alternative 3-Tilt Up (3pt)'!K40))+(((('Alternative 3'!$B$12-'Alternative 3'!$B$29)+(('Alternative 3'!$B$29-'Alternative 3'!$B$28)/2))*('Alternative 3'!$B$39)*COS('Alternative 3-Tilt Up (3pt)'!K40)))</f>
        <v>116612.73070089845</v>
      </c>
      <c r="P40" s="104">
        <f t="shared" si="1"/>
        <v>106675.32045416805</v>
      </c>
      <c r="R40" s="105" t="e">
        <f>'Alternative 3'!$B$39*$B40*$C40*COS($K$5)-($N$5/3)*$E40*SIN($K$5)-($N$5/3)*$F40*SIN($K$5)-($N$5/3)*$G40*SIN($K$5)</f>
        <v>#VALUE!</v>
      </c>
      <c r="S40" s="106" t="e">
        <f>IF(($A40&lt;'Alternative 3'!$B$27),(($H40*'Alternative 3'!$B$39)+(3*($N$5/3)*COS($K$5))),IF(($A40&lt;'Alternative 3'!$B$28),(($H40*'Alternative 3'!$B$39)+(2*(($N$5/3)*COS($K$5)))),IF(($A40&lt;'Alternative 3'!$B$29),(($H$3*'Alternative 3'!$B$39+(($N$5/3)*COS($K$5)))),($H40*'Alternative 3'!$B$39))))</f>
        <v>#VALUE!</v>
      </c>
      <c r="T40" s="105" t="e">
        <f>R40*'Alternative 3'!$K41/'Alternative 3'!$L41</f>
        <v>#VALUE!</v>
      </c>
      <c r="U40" s="105" t="e">
        <f>S40/'Alternative 3'!$M41</f>
        <v>#VALUE!</v>
      </c>
      <c r="V40" s="105" t="e">
        <f t="shared" si="2"/>
        <v>#VALUE!</v>
      </c>
      <c r="X40" s="105" t="e">
        <f>'Alternative 3'!$B$39*$B40*$C40*COS($K$13)-($N$12/3)*$E40*SIN($K$13)-($N$12/3)*$F40*SIN($K$13)-($N$12/3)*$G40*SIN($K$13)</f>
        <v>#VALUE!</v>
      </c>
      <c r="Y40" s="106" t="e">
        <f>IF(($A40&lt;'Alternative 3'!$B$27),(($H40*'Alternative 3'!$B$39)+(3*($N$12/3)*COS($K$13))),IF(($A40&lt;'Alternative 3'!$B$28),(($H40*'Alternative 3'!$B$39)+(2*(($N$12/3)*COS($K$13)))),IF(($A40&lt;'Alternative 3'!$B$29),(($H$3*'Alternative 3'!$B$39+(($N$12/3)*COS($K$13)))),($H40*'Alternative 3'!$B$39))))</f>
        <v>#VALUE!</v>
      </c>
      <c r="Z40" s="105" t="e">
        <f>X40*'Alternative 3'!$K41/'Alternative 3'!$L41</f>
        <v>#VALUE!</v>
      </c>
      <c r="AA40" s="105" t="e">
        <f>Y40/'Alternative 3'!$M41</f>
        <v>#VALUE!</v>
      </c>
      <c r="AB40" s="105" t="e">
        <f t="shared" si="3"/>
        <v>#VALUE!</v>
      </c>
      <c r="AD40" s="105" t="e">
        <f>'Alternative 3'!$B$39*$B40*$C40*COS($K$23)-($N$22/3)*$E40*SIN($K$23)-($N$22/3)*$F40*SIN($K$23)-($N$22/3)*$G40*SIN($K$23)</f>
        <v>#VALUE!</v>
      </c>
      <c r="AE40" s="106" t="e">
        <f>IF(($A40&lt;'Alternative 3'!$B$27),(($H40*'Alternative 3'!$B$39)+(3*($N$22/3)*COS($K$23))),IF(($A40&lt;'Alternative 3'!$B$28),(($H40*'Alternative 3'!$B$39)+(2*(($N$22/3)*COS($K$23)))),IF(($A40&lt;'Alternative 3'!$B$29),(($H$3*'Alternative 3'!$B$39+(($N$22/3)*COS($K$23)))),($H40*'Alternative 3'!$B$39))))</f>
        <v>#VALUE!</v>
      </c>
      <c r="AF40" s="105" t="e">
        <f>AD40*'Alternative 3'!$K41/'Alternative 3'!$L41</f>
        <v>#VALUE!</v>
      </c>
      <c r="AG40" s="105" t="e">
        <f>AE40/'Alternative 3'!$M41</f>
        <v>#VALUE!</v>
      </c>
      <c r="AH40" s="105" t="e">
        <f t="shared" si="4"/>
        <v>#VALUE!</v>
      </c>
      <c r="AJ40" s="105" t="e">
        <f>'Alternative 3'!$B$39*$B40*$C40*COS($K$33)-($N$32/3)*$E40*SIN($K$33)-($N$32/3)*$F40*SIN($K$33)-($N$32/3)*$G40*SIN($K$33)</f>
        <v>#VALUE!</v>
      </c>
      <c r="AK40" s="106" t="e">
        <f>IF(($A40&lt;'Alternative 3'!$B$27),(($H40*'Alternative 3'!$B$39)+(3*($N$32/3)*COS($K$33))),IF(($A40&lt;'Alternative 3'!$B$28),(($H40*'Alternative 3'!$B$39)+(2*(($N$32/3)*COS($K$33)))),IF(($A40&lt;'Alternative 3'!$B$29),(($H$3*'Alternative 3'!$B$39+(($N$32/3)*COS($K$33)))),($H40*'Alternative 3'!$B$39))))</f>
        <v>#VALUE!</v>
      </c>
      <c r="AL40" s="105" t="e">
        <f>AJ40*'Alternative 3'!$K41/'Alternative 3'!$L41</f>
        <v>#VALUE!</v>
      </c>
      <c r="AM40" s="105" t="e">
        <f>AK40/'Alternative 3'!$M41</f>
        <v>#VALUE!</v>
      </c>
      <c r="AN40" s="105" t="e">
        <f t="shared" si="5"/>
        <v>#VALUE!</v>
      </c>
      <c r="AP40" s="105" t="e">
        <f>'Alternative 3'!$B$39*$B40*$C40*COS($K$43)-($N$42/3)*$E40*SIN($K$43)-($N$42/3)*$F40*SIN($K$43)-($N$42/3)*$G40*SIN($K$43)</f>
        <v>#VALUE!</v>
      </c>
      <c r="AQ40" s="106" t="e">
        <f>IF(($A40&lt;'Alternative 3'!$B$27),(($H40*'Alternative 3'!$B$39)+(3*($N$42/3)*COS($K$43))),IF(($A40&lt;'Alternative 3'!$B$28),(($H40*'Alternative 3'!$B$39)+(2*(($N$42/3)*COS($K$43)))),IF(($A40&lt;'Alternative 3'!$B$29),(($H$3*'Alternative 3'!$B$39+(($N$42/3)*COS($K$43)))),($H40*'Alternative 3'!$B$39))))</f>
        <v>#VALUE!</v>
      </c>
      <c r="AR40" s="105" t="e">
        <f>AP40*'Alternative 3'!$K41/'Alternative 3'!$L41</f>
        <v>#VALUE!</v>
      </c>
      <c r="AS40" s="105" t="e">
        <f>AQ40/'Alternative 3'!$M41</f>
        <v>#VALUE!</v>
      </c>
      <c r="AT40" s="105" t="e">
        <f t="shared" si="6"/>
        <v>#VALUE!</v>
      </c>
      <c r="AV40" s="105" t="e">
        <f>'Alternative 3'!$B$39*$B40*$C40*COS($K$53)-($N$52/3)*$E40*SIN($K$53)-($N$52/3)*$F40*SIN($K$53)-($N$52/3)*$G40*SIN($K$53)</f>
        <v>#VALUE!</v>
      </c>
      <c r="AW40" s="106" t="e">
        <f>IF(($A40&lt;'Alternative 3'!$B$27),(($H40*'Alternative 3'!$B$39)+(3*($N$52/3)*COS($K$53))),IF(($A40&lt;'Alternative 3'!$B$28),(($H40*'Alternative 3'!$B$39)+(2*(($N$52/3)*COS($K$53)))),IF(($A40&lt;'Alternative 3'!$B$29),(($H$3*'Alternative 3'!$B$39+(($N$52/3)*COS($K$53)))),($H40*'Alternative 3'!$B$39))))</f>
        <v>#VALUE!</v>
      </c>
      <c r="AX40" s="105" t="e">
        <f>AV40*'Alternative 3'!$K41/'Alternative 3'!$L41</f>
        <v>#VALUE!</v>
      </c>
      <c r="AY40" s="105" t="e">
        <f>AW40/'Alternative 3'!$M41</f>
        <v>#VALUE!</v>
      </c>
      <c r="AZ40" s="105" t="e">
        <f t="shared" si="7"/>
        <v>#VALUE!</v>
      </c>
      <c r="BB40" s="105" t="e">
        <f>'Alternative 3'!$B$39*$B40*$C40*COS($K$63)-($N$62/3)*$E40*SIN($K$63)-($N$62/3)*$F40*SIN($K$63)-($N$62/3)*$G40*SIN($K$63)</f>
        <v>#VALUE!</v>
      </c>
      <c r="BC40" s="106" t="e">
        <f>IF(($A40&lt;'Alternative 3'!$B$27),(($H40*'Alternative 3'!$B$39)+(3*($N$62/3)*COS($K$63))),IF(($A40&lt;'Alternative 3'!$B$28),(($H40*'Alternative 3'!$B$39)+(2*(($N$62/3)*COS($K$63)))),IF(($A40&lt;'Alternative 3'!$B$29),(($H$3*'Alternative 3'!$B$39+(($N$62/3)*COS($K$63)))),($H40*'Alternative 3'!$B$39))))</f>
        <v>#VALUE!</v>
      </c>
      <c r="BD40" s="105" t="e">
        <f>BB40*'Alternative 3'!$K41/'Alternative 3'!$L41</f>
        <v>#VALUE!</v>
      </c>
      <c r="BE40" s="105" t="e">
        <f>BC40/'Alternative 3'!$M41</f>
        <v>#VALUE!</v>
      </c>
      <c r="BF40" s="105" t="e">
        <f t="shared" si="8"/>
        <v>#VALUE!</v>
      </c>
      <c r="BH40" s="105" t="e">
        <f>'Alternative 3'!$B$39*$B40*$C40*COS($K$73)-($N$72/3)*$E40*SIN($K$73)-($N$72/3)*$F40*SIN($K$73)-($N$72/3)*$G40*SIN($K$73)</f>
        <v>#VALUE!</v>
      </c>
      <c r="BI40" s="106" t="e">
        <f>IF(($A40&lt;'Alternative 3'!$B$27),(($H40*'Alternative 3'!$B$39)+(3*($N$72/3)*COS($K$73))),IF(($A40&lt;'Alternative 3'!$B$28),(($H40*'Alternative 3'!$B$39)+(2*(($N$72/3)*COS($K$73)))),IF(($A40&lt;'Alternative 3'!$B$29),(($H$3*'Alternative 3'!$B$39+(($N$72/3)*COS($K$73)))),($H40*'Alternative 3'!$B$39))))</f>
        <v>#VALUE!</v>
      </c>
      <c r="BJ40" s="105" t="e">
        <f>BH40*'Alternative 3'!$K41/'Alternative 3'!$L41</f>
        <v>#VALUE!</v>
      </c>
      <c r="BK40" s="105" t="e">
        <f>BI40/'Alternative 3'!$M41</f>
        <v>#VALUE!</v>
      </c>
      <c r="BL40" s="105" t="e">
        <f t="shared" si="9"/>
        <v>#VALUE!</v>
      </c>
      <c r="BN40" s="105" t="e">
        <f>'Alternative 3'!$B$39*$B40*$C40*COS($K$83)-($N$82/3)*$E40*SIN($K$83)-($N$82/3)*$F40*SIN($K$83)-($N$82/3)*$G40*SIN($K$83)</f>
        <v>#VALUE!</v>
      </c>
      <c r="BO40" s="106" t="e">
        <f>IF(($A40&lt;'Alternative 3'!$B$27),(($H40*'Alternative 3'!$B$39)+(3*($N$82/3)*COS($K$83))),IF(($A40&lt;'Alternative 3'!$B$28),(($H40*'Alternative 3'!$B$39)+(2*(($N$82/3)*COS($K$83)))),IF(($A40&lt;'Alternative 3'!$B$29),(($H$3*'Alternative 3'!$B$39+(($N$82/3)*COS($K$83)))),($H40*'Alternative 3'!$B$39))))</f>
        <v>#VALUE!</v>
      </c>
      <c r="BP40" s="105" t="e">
        <f>BN40*'Alternative 3'!$K41/'Alternative 3'!$L41</f>
        <v>#VALUE!</v>
      </c>
      <c r="BQ40" s="105" t="e">
        <f>BO40/'Alternative 3'!$M41</f>
        <v>#VALUE!</v>
      </c>
      <c r="BR40" s="105" t="e">
        <f t="shared" si="10"/>
        <v>#VALUE!</v>
      </c>
      <c r="BT40" s="105" t="e">
        <f>'Alternative 3'!$B$39*$B40*$C40*COS($K$93)-($K$92/3)*$E40*SIN($K$93)-($K$92/3)*$F40*SIN($K$93)-($K$92/3)*$G40*SIN($K$93)</f>
        <v>#VALUE!</v>
      </c>
      <c r="BU40" s="106" t="e">
        <f>IF(($A40&lt;'Alternative 3'!$B$27),(($H40*'Alternative 3'!$B$39)+(3*($N$92/3)*COS($K$93))),IF(($A40&lt;'Alternative 3'!$B$28),(($H40*'Alternative 3'!$B$39)+(2*(($N$92/3)*COS($K$93)))),IF(($A40&lt;'Alternative 3'!$B$29),(($H$3*'Alternative 3'!$B$39+(($N$92/3)*COS($K$93)))),($H40*'Alternative 3'!$B$39))))</f>
        <v>#VALUE!</v>
      </c>
      <c r="BV40" s="105" t="e">
        <f>BT40*'Alternative 3'!$K41/'Alternative 3'!$L41</f>
        <v>#VALUE!</v>
      </c>
      <c r="BW40" s="105" t="e">
        <f>BU40/'Alternative 3'!$M41</f>
        <v>#VALUE!</v>
      </c>
      <c r="BX40" s="105" t="e">
        <f t="shared" si="11"/>
        <v>#VALUE!</v>
      </c>
      <c r="BZ40" s="104">
        <v>150</v>
      </c>
      <c r="CA40" s="104">
        <v>-150</v>
      </c>
    </row>
    <row r="41" spans="1:79" ht="15" customHeight="1" x14ac:dyDescent="0.25">
      <c r="A41" s="18" t="str">
        <f>IF('Alternative 3'!F42&gt;0,'Alternative 3'!F42,"x")</f>
        <v>x</v>
      </c>
      <c r="B41" s="18" t="e">
        <f t="shared" si="17"/>
        <v>#VALUE!</v>
      </c>
      <c r="C41" s="18">
        <f t="shared" si="12"/>
        <v>0</v>
      </c>
      <c r="D41" s="18" t="str">
        <f t="shared" si="13"/>
        <v>x</v>
      </c>
      <c r="E41" s="101">
        <f>IF($A41&lt;='Alternative 3'!$B$27, IF($A41='Alternative 3'!$B$27,0,E42+1),0)</f>
        <v>0</v>
      </c>
      <c r="F41" s="101">
        <f>IF($A41&lt;=('Alternative 3'!$B$28), IF($A41=ROUNDDOWN('Alternative 3'!$B$28,0),0,F42+1),0)</f>
        <v>0</v>
      </c>
      <c r="G41" s="101">
        <f>IF($A41&lt;=('Alternative 3'!$B$29), IF($A41=ROUNDDOWN('Alternative 3'!$B$29,0),0,G42+1),0)</f>
        <v>0</v>
      </c>
      <c r="H41" s="18" t="e">
        <f t="shared" si="14"/>
        <v>#VALUE!</v>
      </c>
      <c r="J41" s="104">
        <f t="shared" si="15"/>
        <v>38</v>
      </c>
      <c r="K41" s="104">
        <f t="shared" si="16"/>
        <v>0.66322511575784515</v>
      </c>
      <c r="L41" s="105">
        <f>'Alternative 3'!$B$27*SIN(K41)+'Alternative 3'!$B$28*SIN(K41)+'Alternative 3'!$B$29*SIN(K41)</f>
        <v>41.243162232065842</v>
      </c>
      <c r="M41" s="104">
        <f>(('Alternative 3'!$B$27)*(((('Alternative 3'!$B$28-'Alternative 3'!$B$27)/2)+'Alternative 3'!$B$27)*'Alternative 3'!$B$39)*COS('Alternative 3-Tilt Up (3pt)'!K41))+(('Alternative 3'!$B$28)*((('Alternative 3'!$B$28-'Alternative 3'!$B$27)/2)+(('Alternative 3'!$B$29-'Alternative 3'!$B$28)/2))*('Alternative 3'!$B$39)*COS('Alternative 3-Tilt Up (3pt)'!K41))+(('Alternative 3'!$B$29)*((('Alternative 3'!$B$12-'Alternative 3'!$B$29+(('Alternative 3'!$B$29-'Alternative 3'!$B$28)/2)*('Alternative 3'!$B$39)*COS('Alternative 3-Tilt Up (3pt)'!K41)))))</f>
        <v>1771133.134682335</v>
      </c>
      <c r="N41" s="104">
        <f t="shared" si="0"/>
        <v>128831.03807971177</v>
      </c>
      <c r="O41" s="104">
        <f>(((('Alternative 3'!$B$28-'Alternative 3'!$B$27)/2)+'Alternative 3'!$B$27)*('Alternative 3'!$B$39)*COS('Alternative 3-Tilt Up (3pt)'!K41))+(((('Alternative 3'!$B$28-'Alternative 3'!$B$27)/2)+(('Alternative 3'!$B$29-'Alternative 3'!$B$28)/2))*('Alternative 3'!$B$39)*COS('Alternative 3-Tilt Up (3pt)'!K41))+(((('Alternative 3'!$B$12-'Alternative 3'!$B$29)+(('Alternative 3'!$B$29-'Alternative 3'!$B$28)/2))*('Alternative 3'!$B$39)*COS('Alternative 3-Tilt Up (3pt)'!K41)))</f>
        <v>115061.35733222173</v>
      </c>
      <c r="P41" s="104">
        <f t="shared" si="1"/>
        <v>101520.24340512998</v>
      </c>
      <c r="R41" s="105" t="e">
        <f>'Alternative 3'!$B$39*$B41*$C41*COS($K$5)-($N$5/3)*$E41*SIN($K$5)-($N$5/3)*$F41*SIN($K$5)-($N$5/3)*$G41*SIN($K$5)</f>
        <v>#VALUE!</v>
      </c>
      <c r="S41" s="106" t="e">
        <f>IF(($A41&lt;'Alternative 3'!$B$27),(($H41*'Alternative 3'!$B$39)+(3*($N$5/3)*COS($K$5))),IF(($A41&lt;'Alternative 3'!$B$28),(($H41*'Alternative 3'!$B$39)+(2*(($N$5/3)*COS($K$5)))),IF(($A41&lt;'Alternative 3'!$B$29),(($H$3*'Alternative 3'!$B$39+(($N$5/3)*COS($K$5)))),($H41*'Alternative 3'!$B$39))))</f>
        <v>#VALUE!</v>
      </c>
      <c r="T41" s="105" t="e">
        <f>R41*'Alternative 3'!$K42/'Alternative 3'!$L42</f>
        <v>#VALUE!</v>
      </c>
      <c r="U41" s="105" t="e">
        <f>S41/'Alternative 3'!$M42</f>
        <v>#VALUE!</v>
      </c>
      <c r="V41" s="105" t="e">
        <f t="shared" si="2"/>
        <v>#VALUE!</v>
      </c>
      <c r="X41" s="105" t="e">
        <f>'Alternative 3'!$B$39*$B41*$C41*COS($K$13)-($N$12/3)*$E41*SIN($K$13)-($N$12/3)*$F41*SIN($K$13)-($N$12/3)*$G41*SIN($K$13)</f>
        <v>#VALUE!</v>
      </c>
      <c r="Y41" s="106" t="e">
        <f>IF(($A41&lt;'Alternative 3'!$B$27),(($H41*'Alternative 3'!$B$39)+(3*($N$12/3)*COS($K$13))),IF(($A41&lt;'Alternative 3'!$B$28),(($H41*'Alternative 3'!$B$39)+(2*(($N$12/3)*COS($K$13)))),IF(($A41&lt;'Alternative 3'!$B$29),(($H$3*'Alternative 3'!$B$39+(($N$12/3)*COS($K$13)))),($H41*'Alternative 3'!$B$39))))</f>
        <v>#VALUE!</v>
      </c>
      <c r="Z41" s="105" t="e">
        <f>X41*'Alternative 3'!$K42/'Alternative 3'!$L42</f>
        <v>#VALUE!</v>
      </c>
      <c r="AA41" s="105" t="e">
        <f>Y41/'Alternative 3'!$M42</f>
        <v>#VALUE!</v>
      </c>
      <c r="AB41" s="105" t="e">
        <f t="shared" si="3"/>
        <v>#VALUE!</v>
      </c>
      <c r="AD41" s="105" t="e">
        <f>'Alternative 3'!$B$39*$B41*$C41*COS($K$23)-($N$22/3)*$E41*SIN($K$23)-($N$22/3)*$F41*SIN($K$23)-($N$22/3)*$G41*SIN($K$23)</f>
        <v>#VALUE!</v>
      </c>
      <c r="AE41" s="106" t="e">
        <f>IF(($A41&lt;'Alternative 3'!$B$27),(($H41*'Alternative 3'!$B$39)+(3*($N$22/3)*COS($K$23))),IF(($A41&lt;'Alternative 3'!$B$28),(($H41*'Alternative 3'!$B$39)+(2*(($N$22/3)*COS($K$23)))),IF(($A41&lt;'Alternative 3'!$B$29),(($H$3*'Alternative 3'!$B$39+(($N$22/3)*COS($K$23)))),($H41*'Alternative 3'!$B$39))))</f>
        <v>#VALUE!</v>
      </c>
      <c r="AF41" s="105" t="e">
        <f>AD41*'Alternative 3'!$K42/'Alternative 3'!$L42</f>
        <v>#VALUE!</v>
      </c>
      <c r="AG41" s="105" t="e">
        <f>AE41/'Alternative 3'!$M42</f>
        <v>#VALUE!</v>
      </c>
      <c r="AH41" s="105" t="e">
        <f t="shared" si="4"/>
        <v>#VALUE!</v>
      </c>
      <c r="AJ41" s="105" t="e">
        <f>'Alternative 3'!$B$39*$B41*$C41*COS($K$33)-($N$32/3)*$E41*SIN($K$33)-($N$32/3)*$F41*SIN($K$33)-($N$32/3)*$G41*SIN($K$33)</f>
        <v>#VALUE!</v>
      </c>
      <c r="AK41" s="106" t="e">
        <f>IF(($A41&lt;'Alternative 3'!$B$27),(($H41*'Alternative 3'!$B$39)+(3*($N$32/3)*COS($K$33))),IF(($A41&lt;'Alternative 3'!$B$28),(($H41*'Alternative 3'!$B$39)+(2*(($N$32/3)*COS($K$33)))),IF(($A41&lt;'Alternative 3'!$B$29),(($H$3*'Alternative 3'!$B$39+(($N$32/3)*COS($K$33)))),($H41*'Alternative 3'!$B$39))))</f>
        <v>#VALUE!</v>
      </c>
      <c r="AL41" s="105" t="e">
        <f>AJ41*'Alternative 3'!$K42/'Alternative 3'!$L42</f>
        <v>#VALUE!</v>
      </c>
      <c r="AM41" s="105" t="e">
        <f>AK41/'Alternative 3'!$M42</f>
        <v>#VALUE!</v>
      </c>
      <c r="AN41" s="105" t="e">
        <f t="shared" si="5"/>
        <v>#VALUE!</v>
      </c>
      <c r="AP41" s="105" t="e">
        <f>'Alternative 3'!$B$39*$B41*$C41*COS($K$43)-($N$42/3)*$E41*SIN($K$43)-($N$42/3)*$F41*SIN($K$43)-($N$42/3)*$G41*SIN($K$43)</f>
        <v>#VALUE!</v>
      </c>
      <c r="AQ41" s="106" t="e">
        <f>IF(($A41&lt;'Alternative 3'!$B$27),(($H41*'Alternative 3'!$B$39)+(3*($N$42/3)*COS($K$43))),IF(($A41&lt;'Alternative 3'!$B$28),(($H41*'Alternative 3'!$B$39)+(2*(($N$42/3)*COS($K$43)))),IF(($A41&lt;'Alternative 3'!$B$29),(($H$3*'Alternative 3'!$B$39+(($N$42/3)*COS($K$43)))),($H41*'Alternative 3'!$B$39))))</f>
        <v>#VALUE!</v>
      </c>
      <c r="AR41" s="105" t="e">
        <f>AP41*'Alternative 3'!$K42/'Alternative 3'!$L42</f>
        <v>#VALUE!</v>
      </c>
      <c r="AS41" s="105" t="e">
        <f>AQ41/'Alternative 3'!$M42</f>
        <v>#VALUE!</v>
      </c>
      <c r="AT41" s="105" t="e">
        <f t="shared" si="6"/>
        <v>#VALUE!</v>
      </c>
      <c r="AV41" s="105" t="e">
        <f>'Alternative 3'!$B$39*$B41*$C41*COS($K$53)-($N$52/3)*$E41*SIN($K$53)-($N$52/3)*$F41*SIN($K$53)-($N$52/3)*$G41*SIN($K$53)</f>
        <v>#VALUE!</v>
      </c>
      <c r="AW41" s="106" t="e">
        <f>IF(($A41&lt;'Alternative 3'!$B$27),(($H41*'Alternative 3'!$B$39)+(3*($N$52/3)*COS($K$53))),IF(($A41&lt;'Alternative 3'!$B$28),(($H41*'Alternative 3'!$B$39)+(2*(($N$52/3)*COS($K$53)))),IF(($A41&lt;'Alternative 3'!$B$29),(($H$3*'Alternative 3'!$B$39+(($N$52/3)*COS($K$53)))),($H41*'Alternative 3'!$B$39))))</f>
        <v>#VALUE!</v>
      </c>
      <c r="AX41" s="105" t="e">
        <f>AV41*'Alternative 3'!$K42/'Alternative 3'!$L42</f>
        <v>#VALUE!</v>
      </c>
      <c r="AY41" s="105" t="e">
        <f>AW41/'Alternative 3'!$M42</f>
        <v>#VALUE!</v>
      </c>
      <c r="AZ41" s="105" t="e">
        <f t="shared" si="7"/>
        <v>#VALUE!</v>
      </c>
      <c r="BB41" s="105" t="e">
        <f>'Alternative 3'!$B$39*$B41*$C41*COS($K$63)-($N$62/3)*$E41*SIN($K$63)-($N$62/3)*$F41*SIN($K$63)-($N$62/3)*$G41*SIN($K$63)</f>
        <v>#VALUE!</v>
      </c>
      <c r="BC41" s="106" t="e">
        <f>IF(($A41&lt;'Alternative 3'!$B$27),(($H41*'Alternative 3'!$B$39)+(3*($N$62/3)*COS($K$63))),IF(($A41&lt;'Alternative 3'!$B$28),(($H41*'Alternative 3'!$B$39)+(2*(($N$62/3)*COS($K$63)))),IF(($A41&lt;'Alternative 3'!$B$29),(($H$3*'Alternative 3'!$B$39+(($N$62/3)*COS($K$63)))),($H41*'Alternative 3'!$B$39))))</f>
        <v>#VALUE!</v>
      </c>
      <c r="BD41" s="105" t="e">
        <f>BB41*'Alternative 3'!$K42/'Alternative 3'!$L42</f>
        <v>#VALUE!</v>
      </c>
      <c r="BE41" s="105" t="e">
        <f>BC41/'Alternative 3'!$M42</f>
        <v>#VALUE!</v>
      </c>
      <c r="BF41" s="105" t="e">
        <f t="shared" si="8"/>
        <v>#VALUE!</v>
      </c>
      <c r="BH41" s="105" t="e">
        <f>'Alternative 3'!$B$39*$B41*$C41*COS($K$73)-($N$72/3)*$E41*SIN($K$73)-($N$72/3)*$F41*SIN($K$73)-($N$72/3)*$G41*SIN($K$73)</f>
        <v>#VALUE!</v>
      </c>
      <c r="BI41" s="106" t="e">
        <f>IF(($A41&lt;'Alternative 3'!$B$27),(($H41*'Alternative 3'!$B$39)+(3*($N$72/3)*COS($K$73))),IF(($A41&lt;'Alternative 3'!$B$28),(($H41*'Alternative 3'!$B$39)+(2*(($N$72/3)*COS($K$73)))),IF(($A41&lt;'Alternative 3'!$B$29),(($H$3*'Alternative 3'!$B$39+(($N$72/3)*COS($K$73)))),($H41*'Alternative 3'!$B$39))))</f>
        <v>#VALUE!</v>
      </c>
      <c r="BJ41" s="105" t="e">
        <f>BH41*'Alternative 3'!$K42/'Alternative 3'!$L42</f>
        <v>#VALUE!</v>
      </c>
      <c r="BK41" s="105" t="e">
        <f>BI41/'Alternative 3'!$M42</f>
        <v>#VALUE!</v>
      </c>
      <c r="BL41" s="105" t="e">
        <f t="shared" si="9"/>
        <v>#VALUE!</v>
      </c>
      <c r="BN41" s="105" t="e">
        <f>'Alternative 3'!$B$39*$B41*$C41*COS($K$83)-($N$82/3)*$E41*SIN($K$83)-($N$82/3)*$F41*SIN($K$83)-($N$82/3)*$G41*SIN($K$83)</f>
        <v>#VALUE!</v>
      </c>
      <c r="BO41" s="106" t="e">
        <f>IF(($A41&lt;'Alternative 3'!$B$27),(($H41*'Alternative 3'!$B$39)+(3*($N$82/3)*COS($K$83))),IF(($A41&lt;'Alternative 3'!$B$28),(($H41*'Alternative 3'!$B$39)+(2*(($N$82/3)*COS($K$83)))),IF(($A41&lt;'Alternative 3'!$B$29),(($H$3*'Alternative 3'!$B$39+(($N$82/3)*COS($K$83)))),($H41*'Alternative 3'!$B$39))))</f>
        <v>#VALUE!</v>
      </c>
      <c r="BP41" s="105" t="e">
        <f>BN41*'Alternative 3'!$K42/'Alternative 3'!$L42</f>
        <v>#VALUE!</v>
      </c>
      <c r="BQ41" s="105" t="e">
        <f>BO41/'Alternative 3'!$M42</f>
        <v>#VALUE!</v>
      </c>
      <c r="BR41" s="105" t="e">
        <f t="shared" si="10"/>
        <v>#VALUE!</v>
      </c>
      <c r="BT41" s="105" t="e">
        <f>'Alternative 3'!$B$39*$B41*$C41*COS($K$93)-($K$92/3)*$E41*SIN($K$93)-($K$92/3)*$F41*SIN($K$93)-($K$92/3)*$G41*SIN($K$93)</f>
        <v>#VALUE!</v>
      </c>
      <c r="BU41" s="106" t="e">
        <f>IF(($A41&lt;'Alternative 3'!$B$27),(($H41*'Alternative 3'!$B$39)+(3*($N$92/3)*COS($K$93))),IF(($A41&lt;'Alternative 3'!$B$28),(($H41*'Alternative 3'!$B$39)+(2*(($N$92/3)*COS($K$93)))),IF(($A41&lt;'Alternative 3'!$B$29),(($H$3*'Alternative 3'!$B$39+(($N$92/3)*COS($K$93)))),($H41*'Alternative 3'!$B$39))))</f>
        <v>#VALUE!</v>
      </c>
      <c r="BV41" s="105" t="e">
        <f>BT41*'Alternative 3'!$K42/'Alternative 3'!$L42</f>
        <v>#VALUE!</v>
      </c>
      <c r="BW41" s="105" t="e">
        <f>BU41/'Alternative 3'!$M42</f>
        <v>#VALUE!</v>
      </c>
      <c r="BX41" s="105" t="e">
        <f t="shared" si="11"/>
        <v>#VALUE!</v>
      </c>
      <c r="BZ41" s="104">
        <v>150</v>
      </c>
      <c r="CA41" s="104">
        <v>-150</v>
      </c>
    </row>
    <row r="42" spans="1:79" ht="15" customHeight="1" x14ac:dyDescent="0.25">
      <c r="A42" s="18" t="str">
        <f>IF('Alternative 3'!F43&gt;0,'Alternative 3'!F43,"x")</f>
        <v>x</v>
      </c>
      <c r="B42" s="18" t="e">
        <f t="shared" si="17"/>
        <v>#VALUE!</v>
      </c>
      <c r="C42" s="18">
        <f t="shared" si="12"/>
        <v>0</v>
      </c>
      <c r="D42" s="18" t="str">
        <f t="shared" si="13"/>
        <v>x</v>
      </c>
      <c r="E42" s="101">
        <f>IF($A42&lt;='Alternative 3'!$B$27, IF($A42='Alternative 3'!$B$27,0,E43+1),0)</f>
        <v>0</v>
      </c>
      <c r="F42" s="101">
        <f>IF($A42&lt;=('Alternative 3'!$B$28), IF($A42=ROUNDDOWN('Alternative 3'!$B$28,0),0,F43+1),0)</f>
        <v>0</v>
      </c>
      <c r="G42" s="101">
        <f>IF($A42&lt;=('Alternative 3'!$B$29), IF($A42=ROUNDDOWN('Alternative 3'!$B$29,0),0,G43+1),0)</f>
        <v>0</v>
      </c>
      <c r="H42" s="18" t="e">
        <f t="shared" si="14"/>
        <v>#VALUE!</v>
      </c>
      <c r="J42" s="104">
        <f t="shared" si="15"/>
        <v>39</v>
      </c>
      <c r="K42" s="104">
        <f t="shared" si="16"/>
        <v>0.68067840827778847</v>
      </c>
      <c r="L42" s="105">
        <f>'Alternative 3'!$B$27*SIN(K42)+'Alternative 3'!$B$28*SIN(K42)+'Alternative 3'!$B$29*SIN(K42)</f>
        <v>42.158172996428604</v>
      </c>
      <c r="M42" s="104">
        <f>(('Alternative 3'!$B$27)*(((('Alternative 3'!$B$28-'Alternative 3'!$B$27)/2)+'Alternative 3'!$B$27)*'Alternative 3'!$B$39)*COS('Alternative 3-Tilt Up (3pt)'!K42))+(('Alternative 3'!$B$28)*((('Alternative 3'!$B$28-'Alternative 3'!$B$27)/2)+(('Alternative 3'!$B$29-'Alternative 3'!$B$28)/2))*('Alternative 3'!$B$39)*COS('Alternative 3-Tilt Up (3pt)'!K42))+(('Alternative 3'!$B$29)*((('Alternative 3'!$B$12-'Alternative 3'!$B$29+(('Alternative 3'!$B$29-'Alternative 3'!$B$28)/2)*('Alternative 3'!$B$39)*COS('Alternative 3-Tilt Up (3pt)'!K42)))))</f>
        <v>1746715.9308443721</v>
      </c>
      <c r="N42" s="109">
        <f t="shared" si="0"/>
        <v>124297.31698707701</v>
      </c>
      <c r="O42" s="104">
        <f>(((('Alternative 3'!$B$28-'Alternative 3'!$B$27)/2)+'Alternative 3'!$B$27)*('Alternative 3'!$B$39)*COS('Alternative 3-Tilt Up (3pt)'!K42))+(((('Alternative 3'!$B$28-'Alternative 3'!$B$27)/2)+(('Alternative 3'!$B$29-'Alternative 3'!$B$28)/2))*('Alternative 3'!$B$39)*COS('Alternative 3-Tilt Up (3pt)'!K42))+(((('Alternative 3'!$B$12-'Alternative 3'!$B$29)+(('Alternative 3'!$B$29-'Alternative 3'!$B$28)/2))*('Alternative 3'!$B$39)*COS('Alternative 3-Tilt Up (3pt)'!K42)))</f>
        <v>113474.93515947722</v>
      </c>
      <c r="P42" s="104">
        <f t="shared" si="1"/>
        <v>96597.157916443844</v>
      </c>
      <c r="R42" s="105" t="e">
        <f>'Alternative 3'!$B$39*$B42*$C42*COS($K$5)-($N$5/3)*$E42*SIN($K$5)-($N$5/3)*$F42*SIN($K$5)-($N$5/3)*$G42*SIN($K$5)</f>
        <v>#VALUE!</v>
      </c>
      <c r="S42" s="106" t="e">
        <f>IF(($A42&lt;'Alternative 3'!$B$27),(($H42*'Alternative 3'!$B$39)+(3*($N$5/3)*COS($K$5))),IF(($A42&lt;'Alternative 3'!$B$28),(($H42*'Alternative 3'!$B$39)+(2*(($N$5/3)*COS($K$5)))),IF(($A42&lt;'Alternative 3'!$B$29),(($H$3*'Alternative 3'!$B$39+(($N$5/3)*COS($K$5)))),($H42*'Alternative 3'!$B$39))))</f>
        <v>#VALUE!</v>
      </c>
      <c r="T42" s="105" t="e">
        <f>R42*'Alternative 3'!$K43/'Alternative 3'!$L43</f>
        <v>#VALUE!</v>
      </c>
      <c r="U42" s="105" t="e">
        <f>S42/'Alternative 3'!$M43</f>
        <v>#VALUE!</v>
      </c>
      <c r="V42" s="105" t="e">
        <f t="shared" si="2"/>
        <v>#VALUE!</v>
      </c>
      <c r="X42" s="105" t="e">
        <f>'Alternative 3'!$B$39*$B42*$C42*COS($K$13)-($N$12/3)*$E42*SIN($K$13)-($N$12/3)*$F42*SIN($K$13)-($N$12/3)*$G42*SIN($K$13)</f>
        <v>#VALUE!</v>
      </c>
      <c r="Y42" s="106" t="e">
        <f>IF(($A42&lt;'Alternative 3'!$B$27),(($H42*'Alternative 3'!$B$39)+(3*($N$12/3)*COS($K$13))),IF(($A42&lt;'Alternative 3'!$B$28),(($H42*'Alternative 3'!$B$39)+(2*(($N$12/3)*COS($K$13)))),IF(($A42&lt;'Alternative 3'!$B$29),(($H$3*'Alternative 3'!$B$39+(($N$12/3)*COS($K$13)))),($H42*'Alternative 3'!$B$39))))</f>
        <v>#VALUE!</v>
      </c>
      <c r="Z42" s="105" t="e">
        <f>X42*'Alternative 3'!$K43/'Alternative 3'!$L43</f>
        <v>#VALUE!</v>
      </c>
      <c r="AA42" s="105" t="e">
        <f>Y42/'Alternative 3'!$M43</f>
        <v>#VALUE!</v>
      </c>
      <c r="AB42" s="105" t="e">
        <f t="shared" si="3"/>
        <v>#VALUE!</v>
      </c>
      <c r="AD42" s="105" t="e">
        <f>'Alternative 3'!$B$39*$B42*$C42*COS($K$23)-($N$22/3)*$E42*SIN($K$23)-($N$22/3)*$F42*SIN($K$23)-($N$22/3)*$G42*SIN($K$23)</f>
        <v>#VALUE!</v>
      </c>
      <c r="AE42" s="106" t="e">
        <f>IF(($A42&lt;'Alternative 3'!$B$27),(($H42*'Alternative 3'!$B$39)+(3*($N$22/3)*COS($K$23))),IF(($A42&lt;'Alternative 3'!$B$28),(($H42*'Alternative 3'!$B$39)+(2*(($N$22/3)*COS($K$23)))),IF(($A42&lt;'Alternative 3'!$B$29),(($H$3*'Alternative 3'!$B$39+(($N$22/3)*COS($K$23)))),($H42*'Alternative 3'!$B$39))))</f>
        <v>#VALUE!</v>
      </c>
      <c r="AF42" s="105" t="e">
        <f>AD42*'Alternative 3'!$K43/'Alternative 3'!$L43</f>
        <v>#VALUE!</v>
      </c>
      <c r="AG42" s="105" t="e">
        <f>AE42/'Alternative 3'!$M43</f>
        <v>#VALUE!</v>
      </c>
      <c r="AH42" s="105" t="e">
        <f t="shared" si="4"/>
        <v>#VALUE!</v>
      </c>
      <c r="AJ42" s="105" t="e">
        <f>'Alternative 3'!$B$39*$B42*$C42*COS($K$33)-($N$32/3)*$E42*SIN($K$33)-($N$32/3)*$F42*SIN($K$33)-($N$32/3)*$G42*SIN($K$33)</f>
        <v>#VALUE!</v>
      </c>
      <c r="AK42" s="106" t="e">
        <f>IF(($A42&lt;'Alternative 3'!$B$27),(($H42*'Alternative 3'!$B$39)+(3*($N$32/3)*COS($K$33))),IF(($A42&lt;'Alternative 3'!$B$28),(($H42*'Alternative 3'!$B$39)+(2*(($N$32/3)*COS($K$33)))),IF(($A42&lt;'Alternative 3'!$B$29),(($H$3*'Alternative 3'!$B$39+(($N$32/3)*COS($K$33)))),($H42*'Alternative 3'!$B$39))))</f>
        <v>#VALUE!</v>
      </c>
      <c r="AL42" s="105" t="e">
        <f>AJ42*'Alternative 3'!$K43/'Alternative 3'!$L43</f>
        <v>#VALUE!</v>
      </c>
      <c r="AM42" s="105" t="e">
        <f>AK42/'Alternative 3'!$M43</f>
        <v>#VALUE!</v>
      </c>
      <c r="AN42" s="105" t="e">
        <f t="shared" si="5"/>
        <v>#VALUE!</v>
      </c>
      <c r="AP42" s="105" t="e">
        <f>'Alternative 3'!$B$39*$B42*$C42*COS($K$43)-($N$42/3)*$E42*SIN($K$43)-($N$42/3)*$F42*SIN($K$43)-($N$42/3)*$G42*SIN($K$43)</f>
        <v>#VALUE!</v>
      </c>
      <c r="AQ42" s="106" t="e">
        <f>IF(($A42&lt;'Alternative 3'!$B$27),(($H42*'Alternative 3'!$B$39)+(3*($N$42/3)*COS($K$43))),IF(($A42&lt;'Alternative 3'!$B$28),(($H42*'Alternative 3'!$B$39)+(2*(($N$42/3)*COS($K$43)))),IF(($A42&lt;'Alternative 3'!$B$29),(($H$3*'Alternative 3'!$B$39+(($N$42/3)*COS($K$43)))),($H42*'Alternative 3'!$B$39))))</f>
        <v>#VALUE!</v>
      </c>
      <c r="AR42" s="105" t="e">
        <f>AP42*'Alternative 3'!$K43/'Alternative 3'!$L43</f>
        <v>#VALUE!</v>
      </c>
      <c r="AS42" s="105" t="e">
        <f>AQ42/'Alternative 3'!$M43</f>
        <v>#VALUE!</v>
      </c>
      <c r="AT42" s="105" t="e">
        <f t="shared" si="6"/>
        <v>#VALUE!</v>
      </c>
      <c r="AV42" s="105" t="e">
        <f>'Alternative 3'!$B$39*$B42*$C42*COS($K$53)-($N$52/3)*$E42*SIN($K$53)-($N$52/3)*$F42*SIN($K$53)-($N$52/3)*$G42*SIN($K$53)</f>
        <v>#VALUE!</v>
      </c>
      <c r="AW42" s="106" t="e">
        <f>IF(($A42&lt;'Alternative 3'!$B$27),(($H42*'Alternative 3'!$B$39)+(3*($N$52/3)*COS($K$53))),IF(($A42&lt;'Alternative 3'!$B$28),(($H42*'Alternative 3'!$B$39)+(2*(($N$52/3)*COS($K$53)))),IF(($A42&lt;'Alternative 3'!$B$29),(($H$3*'Alternative 3'!$B$39+(($N$52/3)*COS($K$53)))),($H42*'Alternative 3'!$B$39))))</f>
        <v>#VALUE!</v>
      </c>
      <c r="AX42" s="105" t="e">
        <f>AV42*'Alternative 3'!$K43/'Alternative 3'!$L43</f>
        <v>#VALUE!</v>
      </c>
      <c r="AY42" s="105" t="e">
        <f>AW42/'Alternative 3'!$M43</f>
        <v>#VALUE!</v>
      </c>
      <c r="AZ42" s="105" t="e">
        <f t="shared" si="7"/>
        <v>#VALUE!</v>
      </c>
      <c r="BB42" s="105" t="e">
        <f>'Alternative 3'!$B$39*$B42*$C42*COS($K$63)-($N$62/3)*$E42*SIN($K$63)-($N$62/3)*$F42*SIN($K$63)-($N$62/3)*$G42*SIN($K$63)</f>
        <v>#VALUE!</v>
      </c>
      <c r="BC42" s="106" t="e">
        <f>IF(($A42&lt;'Alternative 3'!$B$27),(($H42*'Alternative 3'!$B$39)+(3*($N$62/3)*COS($K$63))),IF(($A42&lt;'Alternative 3'!$B$28),(($H42*'Alternative 3'!$B$39)+(2*(($N$62/3)*COS($K$63)))),IF(($A42&lt;'Alternative 3'!$B$29),(($H$3*'Alternative 3'!$B$39+(($N$62/3)*COS($K$63)))),($H42*'Alternative 3'!$B$39))))</f>
        <v>#VALUE!</v>
      </c>
      <c r="BD42" s="105" t="e">
        <f>BB42*'Alternative 3'!$K43/'Alternative 3'!$L43</f>
        <v>#VALUE!</v>
      </c>
      <c r="BE42" s="105" t="e">
        <f>BC42/'Alternative 3'!$M43</f>
        <v>#VALUE!</v>
      </c>
      <c r="BF42" s="105" t="e">
        <f t="shared" si="8"/>
        <v>#VALUE!</v>
      </c>
      <c r="BH42" s="105" t="e">
        <f>'Alternative 3'!$B$39*$B42*$C42*COS($K$73)-($N$72/3)*$E42*SIN($K$73)-($N$72/3)*$F42*SIN($K$73)-($N$72/3)*$G42*SIN($K$73)</f>
        <v>#VALUE!</v>
      </c>
      <c r="BI42" s="106" t="e">
        <f>IF(($A42&lt;'Alternative 3'!$B$27),(($H42*'Alternative 3'!$B$39)+(3*($N$72/3)*COS($K$73))),IF(($A42&lt;'Alternative 3'!$B$28),(($H42*'Alternative 3'!$B$39)+(2*(($N$72/3)*COS($K$73)))),IF(($A42&lt;'Alternative 3'!$B$29),(($H$3*'Alternative 3'!$B$39+(($N$72/3)*COS($K$73)))),($H42*'Alternative 3'!$B$39))))</f>
        <v>#VALUE!</v>
      </c>
      <c r="BJ42" s="105" t="e">
        <f>BH42*'Alternative 3'!$K43/'Alternative 3'!$L43</f>
        <v>#VALUE!</v>
      </c>
      <c r="BK42" s="105" t="e">
        <f>BI42/'Alternative 3'!$M43</f>
        <v>#VALUE!</v>
      </c>
      <c r="BL42" s="105" t="e">
        <f t="shared" si="9"/>
        <v>#VALUE!</v>
      </c>
      <c r="BN42" s="105" t="e">
        <f>'Alternative 3'!$B$39*$B42*$C42*COS($K$83)-($N$82/3)*$E42*SIN($K$83)-($N$82/3)*$F42*SIN($K$83)-($N$82/3)*$G42*SIN($K$83)</f>
        <v>#VALUE!</v>
      </c>
      <c r="BO42" s="106" t="e">
        <f>IF(($A42&lt;'Alternative 3'!$B$27),(($H42*'Alternative 3'!$B$39)+(3*($N$82/3)*COS($K$83))),IF(($A42&lt;'Alternative 3'!$B$28),(($H42*'Alternative 3'!$B$39)+(2*(($N$82/3)*COS($K$83)))),IF(($A42&lt;'Alternative 3'!$B$29),(($H$3*'Alternative 3'!$B$39+(($N$82/3)*COS($K$83)))),($H42*'Alternative 3'!$B$39))))</f>
        <v>#VALUE!</v>
      </c>
      <c r="BP42" s="105" t="e">
        <f>BN42*'Alternative 3'!$K43/'Alternative 3'!$L43</f>
        <v>#VALUE!</v>
      </c>
      <c r="BQ42" s="105" t="e">
        <f>BO42/'Alternative 3'!$M43</f>
        <v>#VALUE!</v>
      </c>
      <c r="BR42" s="105" t="e">
        <f t="shared" si="10"/>
        <v>#VALUE!</v>
      </c>
      <c r="BT42" s="105" t="e">
        <f>'Alternative 3'!$B$39*$B42*$C42*COS($K$93)-($K$92/3)*$E42*SIN($K$93)-($K$92/3)*$F42*SIN($K$93)-($K$92/3)*$G42*SIN($K$93)</f>
        <v>#VALUE!</v>
      </c>
      <c r="BU42" s="106" t="e">
        <f>IF(($A42&lt;'Alternative 3'!$B$27),(($H42*'Alternative 3'!$B$39)+(3*($N$92/3)*COS($K$93))),IF(($A42&lt;'Alternative 3'!$B$28),(($H42*'Alternative 3'!$B$39)+(2*(($N$92/3)*COS($K$93)))),IF(($A42&lt;'Alternative 3'!$B$29),(($H$3*'Alternative 3'!$B$39+(($N$92/3)*COS($K$93)))),($H42*'Alternative 3'!$B$39))))</f>
        <v>#VALUE!</v>
      </c>
      <c r="BV42" s="105" t="e">
        <f>BT42*'Alternative 3'!$K43/'Alternative 3'!$L43</f>
        <v>#VALUE!</v>
      </c>
      <c r="BW42" s="105" t="e">
        <f>BU42/'Alternative 3'!$M43</f>
        <v>#VALUE!</v>
      </c>
      <c r="BX42" s="105" t="e">
        <f t="shared" si="11"/>
        <v>#VALUE!</v>
      </c>
      <c r="BZ42" s="104">
        <v>150</v>
      </c>
      <c r="CA42" s="104">
        <v>-150</v>
      </c>
    </row>
    <row r="43" spans="1:79" ht="15" customHeight="1" x14ac:dyDescent="0.25">
      <c r="A43" s="18" t="str">
        <f>IF('Alternative 3'!F44&gt;0,'Alternative 3'!F44,"x")</f>
        <v>x</v>
      </c>
      <c r="B43" s="18" t="e">
        <f t="shared" si="17"/>
        <v>#VALUE!</v>
      </c>
      <c r="C43" s="18">
        <f t="shared" si="12"/>
        <v>0</v>
      </c>
      <c r="D43" s="18" t="str">
        <f t="shared" si="13"/>
        <v>x</v>
      </c>
      <c r="E43" s="101">
        <f>IF($A43&lt;='Alternative 3'!$B$27, IF($A43='Alternative 3'!$B$27,0,E44+1),0)</f>
        <v>0</v>
      </c>
      <c r="F43" s="101">
        <f>IF($A43&lt;=('Alternative 3'!$B$28), IF($A43=ROUNDDOWN('Alternative 3'!$B$28,0),0,F44+1),0)</f>
        <v>0</v>
      </c>
      <c r="G43" s="101">
        <f>IF($A43&lt;=('Alternative 3'!$B$29), IF($A43=ROUNDDOWN('Alternative 3'!$B$29,0),0,G44+1),0)</f>
        <v>0</v>
      </c>
      <c r="H43" s="18" t="e">
        <f t="shared" si="14"/>
        <v>#VALUE!</v>
      </c>
      <c r="J43" s="104">
        <f t="shared" si="15"/>
        <v>40</v>
      </c>
      <c r="K43" s="109">
        <f t="shared" si="16"/>
        <v>0.69813170079773179</v>
      </c>
      <c r="L43" s="105">
        <f>'Alternative 3'!$B$27*SIN(K43)+'Alternative 3'!$B$28*SIN(K43)+'Alternative 3'!$B$29*SIN(K43)</f>
        <v>43.060341972901263</v>
      </c>
      <c r="M43" s="104">
        <f>(('Alternative 3'!$B$27)*(((('Alternative 3'!$B$28-'Alternative 3'!$B$27)/2)+'Alternative 3'!$B$27)*'Alternative 3'!$B$39)*COS('Alternative 3-Tilt Up (3pt)'!K43))+(('Alternative 3'!$B$28)*((('Alternative 3'!$B$28-'Alternative 3'!$B$27)/2)+(('Alternative 3'!$B$29-'Alternative 3'!$B$28)/2))*('Alternative 3'!$B$39)*COS('Alternative 3-Tilt Up (3pt)'!K43))+(('Alternative 3'!$B$29)*((('Alternative 3'!$B$12-'Alternative 3'!$B$29+(('Alternative 3'!$B$29-'Alternative 3'!$B$28)/2)*('Alternative 3'!$B$39)*COS('Alternative 3-Tilt Up (3pt)'!K43)))))</f>
        <v>1721766.7157619772</v>
      </c>
      <c r="N43" s="104">
        <f t="shared" si="0"/>
        <v>119954.9262877791</v>
      </c>
      <c r="O43" s="104">
        <f>(((('Alternative 3'!$B$28-'Alternative 3'!$B$27)/2)+'Alternative 3'!$B$27)*('Alternative 3'!$B$39)*COS('Alternative 3-Tilt Up (3pt)'!K43))+(((('Alternative 3'!$B$28-'Alternative 3'!$B$27)/2)+(('Alternative 3'!$B$29-'Alternative 3'!$B$28)/2))*('Alternative 3'!$B$39)*COS('Alternative 3-Tilt Up (3pt)'!K43))+(((('Alternative 3'!$B$12-'Alternative 3'!$B$29)+(('Alternative 3'!$B$29-'Alternative 3'!$B$28)/2))*('Alternative 3'!$B$39)*COS('Alternative 3-Tilt Up (3pt)'!K43)))</f>
        <v>111853.94742222672</v>
      </c>
      <c r="P43" s="109">
        <f t="shared" si="1"/>
        <v>91890.804707499803</v>
      </c>
      <c r="R43" s="105" t="e">
        <f>'Alternative 3'!$B$39*$B43*$C43*COS($K$5)-($N$5/3)*$E43*SIN($K$5)-($N$5/3)*$F43*SIN($K$5)-($N$5/3)*$G43*SIN($K$5)</f>
        <v>#VALUE!</v>
      </c>
      <c r="S43" s="106" t="e">
        <f>IF(($A43&lt;'Alternative 3'!$B$27),(($H43*'Alternative 3'!$B$39)+(3*($N$5/3)*COS($K$5))),IF(($A43&lt;'Alternative 3'!$B$28),(($H43*'Alternative 3'!$B$39)+(2*(($N$5/3)*COS($K$5)))),IF(($A43&lt;'Alternative 3'!$B$29),(($H$3*'Alternative 3'!$B$39+(($N$5/3)*COS($K$5)))),($H43*'Alternative 3'!$B$39))))</f>
        <v>#VALUE!</v>
      </c>
      <c r="T43" s="105" t="e">
        <f>R43*'Alternative 3'!$K44/'Alternative 3'!$L44</f>
        <v>#VALUE!</v>
      </c>
      <c r="U43" s="105" t="e">
        <f>S43/'Alternative 3'!$M44</f>
        <v>#VALUE!</v>
      </c>
      <c r="V43" s="105" t="e">
        <f t="shared" si="2"/>
        <v>#VALUE!</v>
      </c>
      <c r="X43" s="105" t="e">
        <f>'Alternative 3'!$B$39*$B43*$C43*COS($K$13)-($N$12/3)*$E43*SIN($K$13)-($N$12/3)*$F43*SIN($K$13)-($N$12/3)*$G43*SIN($K$13)</f>
        <v>#VALUE!</v>
      </c>
      <c r="Y43" s="106" t="e">
        <f>IF(($A43&lt;'Alternative 3'!$B$27),(($H43*'Alternative 3'!$B$39)+(3*($N$12/3)*COS($K$13))),IF(($A43&lt;'Alternative 3'!$B$28),(($H43*'Alternative 3'!$B$39)+(2*(($N$12/3)*COS($K$13)))),IF(($A43&lt;'Alternative 3'!$B$29),(($H$3*'Alternative 3'!$B$39+(($N$12/3)*COS($K$13)))),($H43*'Alternative 3'!$B$39))))</f>
        <v>#VALUE!</v>
      </c>
      <c r="Z43" s="105" t="e">
        <f>X43*'Alternative 3'!$K44/'Alternative 3'!$L44</f>
        <v>#VALUE!</v>
      </c>
      <c r="AA43" s="105" t="e">
        <f>Y43/'Alternative 3'!$M44</f>
        <v>#VALUE!</v>
      </c>
      <c r="AB43" s="105" t="e">
        <f t="shared" si="3"/>
        <v>#VALUE!</v>
      </c>
      <c r="AD43" s="105" t="e">
        <f>'Alternative 3'!$B$39*$B43*$C43*COS($K$23)-($N$22/3)*$E43*SIN($K$23)-($N$22/3)*$F43*SIN($K$23)-($N$22/3)*$G43*SIN($K$23)</f>
        <v>#VALUE!</v>
      </c>
      <c r="AE43" s="106" t="e">
        <f>IF(($A43&lt;'Alternative 3'!$B$27),(($H43*'Alternative 3'!$B$39)+(3*($N$22/3)*COS($K$23))),IF(($A43&lt;'Alternative 3'!$B$28),(($H43*'Alternative 3'!$B$39)+(2*(($N$22/3)*COS($K$23)))),IF(($A43&lt;'Alternative 3'!$B$29),(($H$3*'Alternative 3'!$B$39+(($N$22/3)*COS($K$23)))),($H43*'Alternative 3'!$B$39))))</f>
        <v>#VALUE!</v>
      </c>
      <c r="AF43" s="105" t="e">
        <f>AD43*'Alternative 3'!$K44/'Alternative 3'!$L44</f>
        <v>#VALUE!</v>
      </c>
      <c r="AG43" s="105" t="e">
        <f>AE43/'Alternative 3'!$M44</f>
        <v>#VALUE!</v>
      </c>
      <c r="AH43" s="105" t="e">
        <f t="shared" si="4"/>
        <v>#VALUE!</v>
      </c>
      <c r="AJ43" s="105" t="e">
        <f>'Alternative 3'!$B$39*$B43*$C43*COS($K$33)-($N$32/3)*$E43*SIN($K$33)-($N$32/3)*$F43*SIN($K$33)-($N$32/3)*$G43*SIN($K$33)</f>
        <v>#VALUE!</v>
      </c>
      <c r="AK43" s="106" t="e">
        <f>IF(($A43&lt;'Alternative 3'!$B$27),(($H43*'Alternative 3'!$B$39)+(3*($N$32/3)*COS($K$33))),IF(($A43&lt;'Alternative 3'!$B$28),(($H43*'Alternative 3'!$B$39)+(2*(($N$32/3)*COS($K$33)))),IF(($A43&lt;'Alternative 3'!$B$29),(($H$3*'Alternative 3'!$B$39+(($N$32/3)*COS($K$33)))),($H43*'Alternative 3'!$B$39))))</f>
        <v>#VALUE!</v>
      </c>
      <c r="AL43" s="105" t="e">
        <f>AJ43*'Alternative 3'!$K44/'Alternative 3'!$L44</f>
        <v>#VALUE!</v>
      </c>
      <c r="AM43" s="105" t="e">
        <f>AK43/'Alternative 3'!$M44</f>
        <v>#VALUE!</v>
      </c>
      <c r="AN43" s="105" t="e">
        <f t="shared" si="5"/>
        <v>#VALUE!</v>
      </c>
      <c r="AP43" s="105" t="e">
        <f>'Alternative 3'!$B$39*$B43*$C43*COS($K$43)-($N$42/3)*$E43*SIN($K$43)-($N$42/3)*$F43*SIN($K$43)-($N$42/3)*$G43*SIN($K$43)</f>
        <v>#VALUE!</v>
      </c>
      <c r="AQ43" s="106" t="e">
        <f>IF(($A43&lt;'Alternative 3'!$B$27),(($H43*'Alternative 3'!$B$39)+(3*($N$42/3)*COS($K$43))),IF(($A43&lt;'Alternative 3'!$B$28),(($H43*'Alternative 3'!$B$39)+(2*(($N$42/3)*COS($K$43)))),IF(($A43&lt;'Alternative 3'!$B$29),(($H$3*'Alternative 3'!$B$39+(($N$42/3)*COS($K$43)))),($H43*'Alternative 3'!$B$39))))</f>
        <v>#VALUE!</v>
      </c>
      <c r="AR43" s="105" t="e">
        <f>AP43*'Alternative 3'!$K44/'Alternative 3'!$L44</f>
        <v>#VALUE!</v>
      </c>
      <c r="AS43" s="105" t="e">
        <f>AQ43/'Alternative 3'!$M44</f>
        <v>#VALUE!</v>
      </c>
      <c r="AT43" s="105" t="e">
        <f t="shared" si="6"/>
        <v>#VALUE!</v>
      </c>
      <c r="AV43" s="105" t="e">
        <f>'Alternative 3'!$B$39*$B43*$C43*COS($K$53)-($N$52/3)*$E43*SIN($K$53)-($N$52/3)*$F43*SIN($K$53)-($N$52/3)*$G43*SIN($K$53)</f>
        <v>#VALUE!</v>
      </c>
      <c r="AW43" s="106" t="e">
        <f>IF(($A43&lt;'Alternative 3'!$B$27),(($H43*'Alternative 3'!$B$39)+(3*($N$52/3)*COS($K$53))),IF(($A43&lt;'Alternative 3'!$B$28),(($H43*'Alternative 3'!$B$39)+(2*(($N$52/3)*COS($K$53)))),IF(($A43&lt;'Alternative 3'!$B$29),(($H$3*'Alternative 3'!$B$39+(($N$52/3)*COS($K$53)))),($H43*'Alternative 3'!$B$39))))</f>
        <v>#VALUE!</v>
      </c>
      <c r="AX43" s="105" t="e">
        <f>AV43*'Alternative 3'!$K44/'Alternative 3'!$L44</f>
        <v>#VALUE!</v>
      </c>
      <c r="AY43" s="105" t="e">
        <f>AW43/'Alternative 3'!$M44</f>
        <v>#VALUE!</v>
      </c>
      <c r="AZ43" s="105" t="e">
        <f t="shared" si="7"/>
        <v>#VALUE!</v>
      </c>
      <c r="BB43" s="105" t="e">
        <f>'Alternative 3'!$B$39*$B43*$C43*COS($K$63)-($N$62/3)*$E43*SIN($K$63)-($N$62/3)*$F43*SIN($K$63)-($N$62/3)*$G43*SIN($K$63)</f>
        <v>#VALUE!</v>
      </c>
      <c r="BC43" s="106" t="e">
        <f>IF(($A43&lt;'Alternative 3'!$B$27),(($H43*'Alternative 3'!$B$39)+(3*($N$62/3)*COS($K$63))),IF(($A43&lt;'Alternative 3'!$B$28),(($H43*'Alternative 3'!$B$39)+(2*(($N$62/3)*COS($K$63)))),IF(($A43&lt;'Alternative 3'!$B$29),(($H$3*'Alternative 3'!$B$39+(($N$62/3)*COS($K$63)))),($H43*'Alternative 3'!$B$39))))</f>
        <v>#VALUE!</v>
      </c>
      <c r="BD43" s="105" t="e">
        <f>BB43*'Alternative 3'!$K44/'Alternative 3'!$L44</f>
        <v>#VALUE!</v>
      </c>
      <c r="BE43" s="105" t="e">
        <f>BC43/'Alternative 3'!$M44</f>
        <v>#VALUE!</v>
      </c>
      <c r="BF43" s="105" t="e">
        <f t="shared" si="8"/>
        <v>#VALUE!</v>
      </c>
      <c r="BH43" s="105" t="e">
        <f>'Alternative 3'!$B$39*$B43*$C43*COS($K$73)-($N$72/3)*$E43*SIN($K$73)-($N$72/3)*$F43*SIN($K$73)-($N$72/3)*$G43*SIN($K$73)</f>
        <v>#VALUE!</v>
      </c>
      <c r="BI43" s="106" t="e">
        <f>IF(($A43&lt;'Alternative 3'!$B$27),(($H43*'Alternative 3'!$B$39)+(3*($N$72/3)*COS($K$73))),IF(($A43&lt;'Alternative 3'!$B$28),(($H43*'Alternative 3'!$B$39)+(2*(($N$72/3)*COS($K$73)))),IF(($A43&lt;'Alternative 3'!$B$29),(($H$3*'Alternative 3'!$B$39+(($N$72/3)*COS($K$73)))),($H43*'Alternative 3'!$B$39))))</f>
        <v>#VALUE!</v>
      </c>
      <c r="BJ43" s="105" t="e">
        <f>BH43*'Alternative 3'!$K44/'Alternative 3'!$L44</f>
        <v>#VALUE!</v>
      </c>
      <c r="BK43" s="105" t="e">
        <f>BI43/'Alternative 3'!$M44</f>
        <v>#VALUE!</v>
      </c>
      <c r="BL43" s="105" t="e">
        <f t="shared" si="9"/>
        <v>#VALUE!</v>
      </c>
      <c r="BN43" s="105" t="e">
        <f>'Alternative 3'!$B$39*$B43*$C43*COS($K$83)-($N$82/3)*$E43*SIN($K$83)-($N$82/3)*$F43*SIN($K$83)-($N$82/3)*$G43*SIN($K$83)</f>
        <v>#VALUE!</v>
      </c>
      <c r="BO43" s="106" t="e">
        <f>IF(($A43&lt;'Alternative 3'!$B$27),(($H43*'Alternative 3'!$B$39)+(3*($N$82/3)*COS($K$83))),IF(($A43&lt;'Alternative 3'!$B$28),(($H43*'Alternative 3'!$B$39)+(2*(($N$82/3)*COS($K$83)))),IF(($A43&lt;'Alternative 3'!$B$29),(($H$3*'Alternative 3'!$B$39+(($N$82/3)*COS($K$83)))),($H43*'Alternative 3'!$B$39))))</f>
        <v>#VALUE!</v>
      </c>
      <c r="BP43" s="105" t="e">
        <f>BN43*'Alternative 3'!$K44/'Alternative 3'!$L44</f>
        <v>#VALUE!</v>
      </c>
      <c r="BQ43" s="105" t="e">
        <f>BO43/'Alternative 3'!$M44</f>
        <v>#VALUE!</v>
      </c>
      <c r="BR43" s="105" t="e">
        <f t="shared" si="10"/>
        <v>#VALUE!</v>
      </c>
      <c r="BT43" s="105" t="e">
        <f>'Alternative 3'!$B$39*$B43*$C43*COS($K$93)-($K$92/3)*$E43*SIN($K$93)-($K$92/3)*$F43*SIN($K$93)-($K$92/3)*$G43*SIN($K$93)</f>
        <v>#VALUE!</v>
      </c>
      <c r="BU43" s="106" t="e">
        <f>IF(($A43&lt;'Alternative 3'!$B$27),(($H43*'Alternative 3'!$B$39)+(3*($N$92/3)*COS($K$93))),IF(($A43&lt;'Alternative 3'!$B$28),(($H43*'Alternative 3'!$B$39)+(2*(($N$92/3)*COS($K$93)))),IF(($A43&lt;'Alternative 3'!$B$29),(($H$3*'Alternative 3'!$B$39+(($N$92/3)*COS($K$93)))),($H43*'Alternative 3'!$B$39))))</f>
        <v>#VALUE!</v>
      </c>
      <c r="BV43" s="105" t="e">
        <f>BT43*'Alternative 3'!$K44/'Alternative 3'!$L44</f>
        <v>#VALUE!</v>
      </c>
      <c r="BW43" s="105" t="e">
        <f>BU43/'Alternative 3'!$M44</f>
        <v>#VALUE!</v>
      </c>
      <c r="BX43" s="105" t="e">
        <f t="shared" si="11"/>
        <v>#VALUE!</v>
      </c>
      <c r="BZ43" s="104">
        <v>150</v>
      </c>
      <c r="CA43" s="104">
        <v>-150</v>
      </c>
    </row>
    <row r="44" spans="1:79" ht="15" customHeight="1" x14ac:dyDescent="0.25">
      <c r="A44" s="18" t="str">
        <f>IF('Alternative 3'!F45&gt;0,'Alternative 3'!F45,"x")</f>
        <v>x</v>
      </c>
      <c r="B44" s="18" t="e">
        <f t="shared" si="17"/>
        <v>#VALUE!</v>
      </c>
      <c r="C44" s="18">
        <f t="shared" si="12"/>
        <v>0</v>
      </c>
      <c r="D44" s="18" t="str">
        <f t="shared" si="13"/>
        <v>x</v>
      </c>
      <c r="E44" s="101">
        <f>IF($A44&lt;='Alternative 3'!$B$27, IF($A44='Alternative 3'!$B$27,0,E45+1),0)</f>
        <v>0</v>
      </c>
      <c r="F44" s="101">
        <f>IF($A44&lt;=('Alternative 3'!$B$28), IF($A44=ROUNDDOWN('Alternative 3'!$B$28,0),0,F45+1),0)</f>
        <v>0</v>
      </c>
      <c r="G44" s="101">
        <f>IF($A44&lt;=('Alternative 3'!$B$29), IF($A44=ROUNDDOWN('Alternative 3'!$B$29,0),0,G45+1),0)</f>
        <v>0</v>
      </c>
      <c r="H44" s="18" t="e">
        <f t="shared" si="14"/>
        <v>#VALUE!</v>
      </c>
      <c r="J44" s="104">
        <f t="shared" si="15"/>
        <v>41</v>
      </c>
      <c r="K44" s="104">
        <f t="shared" si="16"/>
        <v>0.715584993317675</v>
      </c>
      <c r="L44" s="105">
        <f>'Alternative 3'!$B$27*SIN(K44)+'Alternative 3'!$B$28*SIN(K44)+'Alternative 3'!$B$29*SIN(K44)</f>
        <v>43.94939435207408</v>
      </c>
      <c r="M44" s="104">
        <f>(('Alternative 3'!$B$27)*(((('Alternative 3'!$B$28-'Alternative 3'!$B$27)/2)+'Alternative 3'!$B$27)*'Alternative 3'!$B$39)*COS('Alternative 3-Tilt Up (3pt)'!K44))+(('Alternative 3'!$B$28)*((('Alternative 3'!$B$28-'Alternative 3'!$B$27)/2)+(('Alternative 3'!$B$29-'Alternative 3'!$B$28)/2))*('Alternative 3'!$B$39)*COS('Alternative 3-Tilt Up (3pt)'!K44))+(('Alternative 3'!$B$29)*((('Alternative 3'!$B$12-'Alternative 3'!$B$29+(('Alternative 3'!$B$29-'Alternative 3'!$B$28)/2)*('Alternative 3'!$B$39)*COS('Alternative 3-Tilt Up (3pt)'!K44)))))</f>
        <v>1696293.0892077538</v>
      </c>
      <c r="N44" s="104">
        <f t="shared" si="0"/>
        <v>115789.51980217913</v>
      </c>
      <c r="O44" s="104">
        <f>(((('Alternative 3'!$B$28-'Alternative 3'!$B$27)/2)+'Alternative 3'!$B$27)*('Alternative 3'!$B$39)*COS('Alternative 3-Tilt Up (3pt)'!K44))+(((('Alternative 3'!$B$28-'Alternative 3'!$B$27)/2)+(('Alternative 3'!$B$29-'Alternative 3'!$B$28)/2))*('Alternative 3'!$B$39)*COS('Alternative 3-Tilt Up (3pt)'!K44))+(((('Alternative 3'!$B$12-'Alternative 3'!$B$29)+(('Alternative 3'!$B$29-'Alternative 3'!$B$28)/2))*('Alternative 3'!$B$39)*COS('Alternative 3-Tilt Up (3pt)'!K44)))</f>
        <v>110198.88788903793</v>
      </c>
      <c r="P44" s="104">
        <f t="shared" si="1"/>
        <v>87387.459884098978</v>
      </c>
      <c r="R44" s="105" t="e">
        <f>'Alternative 3'!$B$39*$B44*$C44*COS($K$5)-($N$5/3)*$E44*SIN($K$5)-($N$5/3)*$F44*SIN($K$5)-($N$5/3)*$G44*SIN($K$5)</f>
        <v>#VALUE!</v>
      </c>
      <c r="S44" s="106" t="e">
        <f>IF(($A44&lt;'Alternative 3'!$B$27),(($H44*'Alternative 3'!$B$39)+(3*($N$5/3)*COS($K$5))),IF(($A44&lt;'Alternative 3'!$B$28),(($H44*'Alternative 3'!$B$39)+(2*(($N$5/3)*COS($K$5)))),IF(($A44&lt;'Alternative 3'!$B$29),(($H$3*'Alternative 3'!$B$39+(($N$5/3)*COS($K$5)))),($H44*'Alternative 3'!$B$39))))</f>
        <v>#VALUE!</v>
      </c>
      <c r="T44" s="105" t="e">
        <f>R44*'Alternative 3'!$K45/'Alternative 3'!$L45</f>
        <v>#VALUE!</v>
      </c>
      <c r="U44" s="105" t="e">
        <f>S44/'Alternative 3'!$M45</f>
        <v>#VALUE!</v>
      </c>
      <c r="V44" s="105" t="e">
        <f t="shared" si="2"/>
        <v>#VALUE!</v>
      </c>
      <c r="X44" s="105" t="e">
        <f>'Alternative 3'!$B$39*$B44*$C44*COS($K$13)-($N$12/3)*$E44*SIN($K$13)-($N$12/3)*$F44*SIN($K$13)-($N$12/3)*$G44*SIN($K$13)</f>
        <v>#VALUE!</v>
      </c>
      <c r="Y44" s="106" t="e">
        <f>IF(($A44&lt;'Alternative 3'!$B$27),(($H44*'Alternative 3'!$B$39)+(3*($N$12/3)*COS($K$13))),IF(($A44&lt;'Alternative 3'!$B$28),(($H44*'Alternative 3'!$B$39)+(2*(($N$12/3)*COS($K$13)))),IF(($A44&lt;'Alternative 3'!$B$29),(($H$3*'Alternative 3'!$B$39+(($N$12/3)*COS($K$13)))),($H44*'Alternative 3'!$B$39))))</f>
        <v>#VALUE!</v>
      </c>
      <c r="Z44" s="105" t="e">
        <f>X44*'Alternative 3'!$K45/'Alternative 3'!$L45</f>
        <v>#VALUE!</v>
      </c>
      <c r="AA44" s="105" t="e">
        <f>Y44/'Alternative 3'!$M45</f>
        <v>#VALUE!</v>
      </c>
      <c r="AB44" s="105" t="e">
        <f t="shared" si="3"/>
        <v>#VALUE!</v>
      </c>
      <c r="AD44" s="105" t="e">
        <f>'Alternative 3'!$B$39*$B44*$C44*COS($K$23)-($N$22/3)*$E44*SIN($K$23)-($N$22/3)*$F44*SIN($K$23)-($N$22/3)*$G44*SIN($K$23)</f>
        <v>#VALUE!</v>
      </c>
      <c r="AE44" s="106" t="e">
        <f>IF(($A44&lt;'Alternative 3'!$B$27),(($H44*'Alternative 3'!$B$39)+(3*($N$22/3)*COS($K$23))),IF(($A44&lt;'Alternative 3'!$B$28),(($H44*'Alternative 3'!$B$39)+(2*(($N$22/3)*COS($K$23)))),IF(($A44&lt;'Alternative 3'!$B$29),(($H$3*'Alternative 3'!$B$39+(($N$22/3)*COS($K$23)))),($H44*'Alternative 3'!$B$39))))</f>
        <v>#VALUE!</v>
      </c>
      <c r="AF44" s="105" t="e">
        <f>AD44*'Alternative 3'!$K45/'Alternative 3'!$L45</f>
        <v>#VALUE!</v>
      </c>
      <c r="AG44" s="105" t="e">
        <f>AE44/'Alternative 3'!$M45</f>
        <v>#VALUE!</v>
      </c>
      <c r="AH44" s="105" t="e">
        <f t="shared" si="4"/>
        <v>#VALUE!</v>
      </c>
      <c r="AJ44" s="105" t="e">
        <f>'Alternative 3'!$B$39*$B44*$C44*COS($K$33)-($N$32/3)*$E44*SIN($K$33)-($N$32/3)*$F44*SIN($K$33)-($N$32/3)*$G44*SIN($K$33)</f>
        <v>#VALUE!</v>
      </c>
      <c r="AK44" s="106" t="e">
        <f>IF(($A44&lt;'Alternative 3'!$B$27),(($H44*'Alternative 3'!$B$39)+(3*($N$32/3)*COS($K$33))),IF(($A44&lt;'Alternative 3'!$B$28),(($H44*'Alternative 3'!$B$39)+(2*(($N$32/3)*COS($K$33)))),IF(($A44&lt;'Alternative 3'!$B$29),(($H$3*'Alternative 3'!$B$39+(($N$32/3)*COS($K$33)))),($H44*'Alternative 3'!$B$39))))</f>
        <v>#VALUE!</v>
      </c>
      <c r="AL44" s="105" t="e">
        <f>AJ44*'Alternative 3'!$K45/'Alternative 3'!$L45</f>
        <v>#VALUE!</v>
      </c>
      <c r="AM44" s="105" t="e">
        <f>AK44/'Alternative 3'!$M45</f>
        <v>#VALUE!</v>
      </c>
      <c r="AN44" s="105" t="e">
        <f t="shared" si="5"/>
        <v>#VALUE!</v>
      </c>
      <c r="AP44" s="105" t="e">
        <f>'Alternative 3'!$B$39*$B44*$C44*COS($K$43)-($N$42/3)*$E44*SIN($K$43)-($N$42/3)*$F44*SIN($K$43)-($N$42/3)*$G44*SIN($K$43)</f>
        <v>#VALUE!</v>
      </c>
      <c r="AQ44" s="106" t="e">
        <f>IF(($A44&lt;'Alternative 3'!$B$27),(($H44*'Alternative 3'!$B$39)+(3*($N$42/3)*COS($K$43))),IF(($A44&lt;'Alternative 3'!$B$28),(($H44*'Alternative 3'!$B$39)+(2*(($N$42/3)*COS($K$43)))),IF(($A44&lt;'Alternative 3'!$B$29),(($H$3*'Alternative 3'!$B$39+(($N$42/3)*COS($K$43)))),($H44*'Alternative 3'!$B$39))))</f>
        <v>#VALUE!</v>
      </c>
      <c r="AR44" s="105" t="e">
        <f>AP44*'Alternative 3'!$K45/'Alternative 3'!$L45</f>
        <v>#VALUE!</v>
      </c>
      <c r="AS44" s="105" t="e">
        <f>AQ44/'Alternative 3'!$M45</f>
        <v>#VALUE!</v>
      </c>
      <c r="AT44" s="105" t="e">
        <f t="shared" si="6"/>
        <v>#VALUE!</v>
      </c>
      <c r="AV44" s="105" t="e">
        <f>'Alternative 3'!$B$39*$B44*$C44*COS($K$53)-($N$52/3)*$E44*SIN($K$53)-($N$52/3)*$F44*SIN($K$53)-($N$52/3)*$G44*SIN($K$53)</f>
        <v>#VALUE!</v>
      </c>
      <c r="AW44" s="106" t="e">
        <f>IF(($A44&lt;'Alternative 3'!$B$27),(($H44*'Alternative 3'!$B$39)+(3*($N$52/3)*COS($K$53))),IF(($A44&lt;'Alternative 3'!$B$28),(($H44*'Alternative 3'!$B$39)+(2*(($N$52/3)*COS($K$53)))),IF(($A44&lt;'Alternative 3'!$B$29),(($H$3*'Alternative 3'!$B$39+(($N$52/3)*COS($K$53)))),($H44*'Alternative 3'!$B$39))))</f>
        <v>#VALUE!</v>
      </c>
      <c r="AX44" s="105" t="e">
        <f>AV44*'Alternative 3'!$K45/'Alternative 3'!$L45</f>
        <v>#VALUE!</v>
      </c>
      <c r="AY44" s="105" t="e">
        <f>AW44/'Alternative 3'!$M45</f>
        <v>#VALUE!</v>
      </c>
      <c r="AZ44" s="105" t="e">
        <f t="shared" si="7"/>
        <v>#VALUE!</v>
      </c>
      <c r="BB44" s="105" t="e">
        <f>'Alternative 3'!$B$39*$B44*$C44*COS($K$63)-($N$62/3)*$E44*SIN($K$63)-($N$62/3)*$F44*SIN($K$63)-($N$62/3)*$G44*SIN($K$63)</f>
        <v>#VALUE!</v>
      </c>
      <c r="BC44" s="106" t="e">
        <f>IF(($A44&lt;'Alternative 3'!$B$27),(($H44*'Alternative 3'!$B$39)+(3*($N$62/3)*COS($K$63))),IF(($A44&lt;'Alternative 3'!$B$28),(($H44*'Alternative 3'!$B$39)+(2*(($N$62/3)*COS($K$63)))),IF(($A44&lt;'Alternative 3'!$B$29),(($H$3*'Alternative 3'!$B$39+(($N$62/3)*COS($K$63)))),($H44*'Alternative 3'!$B$39))))</f>
        <v>#VALUE!</v>
      </c>
      <c r="BD44" s="105" t="e">
        <f>BB44*'Alternative 3'!$K45/'Alternative 3'!$L45</f>
        <v>#VALUE!</v>
      </c>
      <c r="BE44" s="105" t="e">
        <f>BC44/'Alternative 3'!$M45</f>
        <v>#VALUE!</v>
      </c>
      <c r="BF44" s="105" t="e">
        <f t="shared" si="8"/>
        <v>#VALUE!</v>
      </c>
      <c r="BH44" s="105" t="e">
        <f>'Alternative 3'!$B$39*$B44*$C44*COS($K$73)-($N$72/3)*$E44*SIN($K$73)-($N$72/3)*$F44*SIN($K$73)-($N$72/3)*$G44*SIN($K$73)</f>
        <v>#VALUE!</v>
      </c>
      <c r="BI44" s="106" t="e">
        <f>IF(($A44&lt;'Alternative 3'!$B$27),(($H44*'Alternative 3'!$B$39)+(3*($N$72/3)*COS($K$73))),IF(($A44&lt;'Alternative 3'!$B$28),(($H44*'Alternative 3'!$B$39)+(2*(($N$72/3)*COS($K$73)))),IF(($A44&lt;'Alternative 3'!$B$29),(($H$3*'Alternative 3'!$B$39+(($N$72/3)*COS($K$73)))),($H44*'Alternative 3'!$B$39))))</f>
        <v>#VALUE!</v>
      </c>
      <c r="BJ44" s="105" t="e">
        <f>BH44*'Alternative 3'!$K45/'Alternative 3'!$L45</f>
        <v>#VALUE!</v>
      </c>
      <c r="BK44" s="105" t="e">
        <f>BI44/'Alternative 3'!$M45</f>
        <v>#VALUE!</v>
      </c>
      <c r="BL44" s="105" t="e">
        <f t="shared" si="9"/>
        <v>#VALUE!</v>
      </c>
      <c r="BN44" s="105" t="e">
        <f>'Alternative 3'!$B$39*$B44*$C44*COS($K$83)-($N$82/3)*$E44*SIN($K$83)-($N$82/3)*$F44*SIN($K$83)-($N$82/3)*$G44*SIN($K$83)</f>
        <v>#VALUE!</v>
      </c>
      <c r="BO44" s="106" t="e">
        <f>IF(($A44&lt;'Alternative 3'!$B$27),(($H44*'Alternative 3'!$B$39)+(3*($N$82/3)*COS($K$83))),IF(($A44&lt;'Alternative 3'!$B$28),(($H44*'Alternative 3'!$B$39)+(2*(($N$82/3)*COS($K$83)))),IF(($A44&lt;'Alternative 3'!$B$29),(($H$3*'Alternative 3'!$B$39+(($N$82/3)*COS($K$83)))),($H44*'Alternative 3'!$B$39))))</f>
        <v>#VALUE!</v>
      </c>
      <c r="BP44" s="105" t="e">
        <f>BN44*'Alternative 3'!$K45/'Alternative 3'!$L45</f>
        <v>#VALUE!</v>
      </c>
      <c r="BQ44" s="105" t="e">
        <f>BO44/'Alternative 3'!$M45</f>
        <v>#VALUE!</v>
      </c>
      <c r="BR44" s="105" t="e">
        <f t="shared" si="10"/>
        <v>#VALUE!</v>
      </c>
      <c r="BT44" s="105" t="e">
        <f>'Alternative 3'!$B$39*$B44*$C44*COS($K$93)-($K$92/3)*$E44*SIN($K$93)-($K$92/3)*$F44*SIN($K$93)-($K$92/3)*$G44*SIN($K$93)</f>
        <v>#VALUE!</v>
      </c>
      <c r="BU44" s="106" t="e">
        <f>IF(($A44&lt;'Alternative 3'!$B$27),(($H44*'Alternative 3'!$B$39)+(3*($N$92/3)*COS($K$93))),IF(($A44&lt;'Alternative 3'!$B$28),(($H44*'Alternative 3'!$B$39)+(2*(($N$92/3)*COS($K$93)))),IF(($A44&lt;'Alternative 3'!$B$29),(($H$3*'Alternative 3'!$B$39+(($N$92/3)*COS($K$93)))),($H44*'Alternative 3'!$B$39))))</f>
        <v>#VALUE!</v>
      </c>
      <c r="BV44" s="105" t="e">
        <f>BT44*'Alternative 3'!$K45/'Alternative 3'!$L45</f>
        <v>#VALUE!</v>
      </c>
      <c r="BW44" s="105" t="e">
        <f>BU44/'Alternative 3'!$M45</f>
        <v>#VALUE!</v>
      </c>
      <c r="BX44" s="105" t="e">
        <f t="shared" si="11"/>
        <v>#VALUE!</v>
      </c>
      <c r="BZ44" s="104">
        <v>150</v>
      </c>
      <c r="CA44" s="104">
        <v>-150</v>
      </c>
    </row>
    <row r="45" spans="1:79" ht="15" customHeight="1" x14ac:dyDescent="0.25">
      <c r="A45" s="18" t="str">
        <f>IF('Alternative 3'!F46&gt;0,'Alternative 3'!F46,"x")</f>
        <v>x</v>
      </c>
      <c r="B45" s="18" t="e">
        <f t="shared" si="17"/>
        <v>#VALUE!</v>
      </c>
      <c r="C45" s="18">
        <f t="shared" si="12"/>
        <v>0</v>
      </c>
      <c r="D45" s="18" t="str">
        <f t="shared" si="13"/>
        <v>x</v>
      </c>
      <c r="E45" s="101">
        <f>IF($A45&lt;='Alternative 3'!$B$27, IF($A45='Alternative 3'!$B$27,0,E46+1),0)</f>
        <v>0</v>
      </c>
      <c r="F45" s="101">
        <f>IF($A45&lt;=('Alternative 3'!$B$28), IF($A45=ROUNDDOWN('Alternative 3'!$B$28,0),0,F46+1),0)</f>
        <v>0</v>
      </c>
      <c r="G45" s="101">
        <f>IF($A45&lt;=('Alternative 3'!$B$29), IF($A45=ROUNDDOWN('Alternative 3'!$B$29,0),0,G46+1),0)</f>
        <v>0</v>
      </c>
      <c r="H45" s="18" t="e">
        <f t="shared" si="14"/>
        <v>#VALUE!</v>
      </c>
      <c r="J45" s="104">
        <f t="shared" si="15"/>
        <v>42</v>
      </c>
      <c r="K45" s="104">
        <f t="shared" si="16"/>
        <v>0.73303828583761843</v>
      </c>
      <c r="L45" s="105">
        <f>'Alternative 3'!$B$27*SIN(K45)+'Alternative 3'!$B$28*SIN(K45)+'Alternative 3'!$B$29*SIN(K45)</f>
        <v>44.825059319979914</v>
      </c>
      <c r="M45" s="104">
        <f>(('Alternative 3'!$B$27)*(((('Alternative 3'!$B$28-'Alternative 3'!$B$27)/2)+'Alternative 3'!$B$27)*'Alternative 3'!$B$39)*COS('Alternative 3-Tilt Up (3pt)'!K45))+(('Alternative 3'!$B$28)*((('Alternative 3'!$B$28-'Alternative 3'!$B$27)/2)+(('Alternative 3'!$B$29-'Alternative 3'!$B$28)/2))*('Alternative 3'!$B$39)*COS('Alternative 3-Tilt Up (3pt)'!K45))+(('Alternative 3'!$B$29)*((('Alternative 3'!$B$12-'Alternative 3'!$B$29+(('Alternative 3'!$B$29-'Alternative 3'!$B$28)/2)*('Alternative 3'!$B$39)*COS('Alternative 3-Tilt Up (3pt)'!K45)))))</f>
        <v>1670302.8106951169</v>
      </c>
      <c r="N45" s="104">
        <f t="shared" si="0"/>
        <v>111788.10487043424</v>
      </c>
      <c r="O45" s="104">
        <f>(((('Alternative 3'!$B$28-'Alternative 3'!$B$27)/2)+'Alternative 3'!$B$27)*('Alternative 3'!$B$39)*COS('Alternative 3-Tilt Up (3pt)'!K45))+(((('Alternative 3'!$B$28-'Alternative 3'!$B$27)/2)+(('Alternative 3'!$B$29-'Alternative 3'!$B$28)/2))*('Alternative 3'!$B$39)*COS('Alternative 3-Tilt Up (3pt)'!K45))+(((('Alternative 3'!$B$12-'Alternative 3'!$B$29)+(('Alternative 3'!$B$29-'Alternative 3'!$B$28)/2))*('Alternative 3'!$B$39)*COS('Alternative 3-Tilt Up (3pt)'!K45)))</f>
        <v>108510.2607070775</v>
      </c>
      <c r="P45" s="104">
        <f t="shared" si="1"/>
        <v>83074.751684387506</v>
      </c>
      <c r="R45" s="105" t="e">
        <f>'Alternative 3'!$B$39*$B45*$C45*COS($K$5)-($N$5/3)*$E45*SIN($K$5)-($N$5/3)*$F45*SIN($K$5)-($N$5/3)*$G45*SIN($K$5)</f>
        <v>#VALUE!</v>
      </c>
      <c r="S45" s="106" t="e">
        <f>IF(($A45&lt;'Alternative 3'!$B$27),(($H45*'Alternative 3'!$B$39)+(3*($N$5/3)*COS($K$5))),IF(($A45&lt;'Alternative 3'!$B$28),(($H45*'Alternative 3'!$B$39)+(2*(($N$5/3)*COS($K$5)))),IF(($A45&lt;'Alternative 3'!$B$29),(($H$3*'Alternative 3'!$B$39+(($N$5/3)*COS($K$5)))),($H45*'Alternative 3'!$B$39))))</f>
        <v>#VALUE!</v>
      </c>
      <c r="T45" s="105" t="e">
        <f>R45*'Alternative 3'!$K46/'Alternative 3'!$L46</f>
        <v>#VALUE!</v>
      </c>
      <c r="U45" s="105" t="e">
        <f>S45/'Alternative 3'!$M46</f>
        <v>#VALUE!</v>
      </c>
      <c r="V45" s="105" t="e">
        <f t="shared" si="2"/>
        <v>#VALUE!</v>
      </c>
      <c r="X45" s="105" t="e">
        <f>'Alternative 3'!$B$39*$B45*$C45*COS($K$13)-($N$12/3)*$E45*SIN($K$13)-($N$12/3)*$F45*SIN($K$13)-($N$12/3)*$G45*SIN($K$13)</f>
        <v>#VALUE!</v>
      </c>
      <c r="Y45" s="106" t="e">
        <f>IF(($A45&lt;'Alternative 3'!$B$27),(($H45*'Alternative 3'!$B$39)+(3*($N$12/3)*COS($K$13))),IF(($A45&lt;'Alternative 3'!$B$28),(($H45*'Alternative 3'!$B$39)+(2*(($N$12/3)*COS($K$13)))),IF(($A45&lt;'Alternative 3'!$B$29),(($H$3*'Alternative 3'!$B$39+(($N$12/3)*COS($K$13)))),($H45*'Alternative 3'!$B$39))))</f>
        <v>#VALUE!</v>
      </c>
      <c r="Z45" s="105" t="e">
        <f>X45*'Alternative 3'!$K46/'Alternative 3'!$L46</f>
        <v>#VALUE!</v>
      </c>
      <c r="AA45" s="105" t="e">
        <f>Y45/'Alternative 3'!$M46</f>
        <v>#VALUE!</v>
      </c>
      <c r="AB45" s="105" t="e">
        <f t="shared" si="3"/>
        <v>#VALUE!</v>
      </c>
      <c r="AD45" s="105" t="e">
        <f>'Alternative 3'!$B$39*$B45*$C45*COS($K$23)-($N$22/3)*$E45*SIN($K$23)-($N$22/3)*$F45*SIN($K$23)-($N$22/3)*$G45*SIN($K$23)</f>
        <v>#VALUE!</v>
      </c>
      <c r="AE45" s="106" t="e">
        <f>IF(($A45&lt;'Alternative 3'!$B$27),(($H45*'Alternative 3'!$B$39)+(3*($N$22/3)*COS($K$23))),IF(($A45&lt;'Alternative 3'!$B$28),(($H45*'Alternative 3'!$B$39)+(2*(($N$22/3)*COS($K$23)))),IF(($A45&lt;'Alternative 3'!$B$29),(($H$3*'Alternative 3'!$B$39+(($N$22/3)*COS($K$23)))),($H45*'Alternative 3'!$B$39))))</f>
        <v>#VALUE!</v>
      </c>
      <c r="AF45" s="105" t="e">
        <f>AD45*'Alternative 3'!$K46/'Alternative 3'!$L46</f>
        <v>#VALUE!</v>
      </c>
      <c r="AG45" s="105" t="e">
        <f>AE45/'Alternative 3'!$M46</f>
        <v>#VALUE!</v>
      </c>
      <c r="AH45" s="105" t="e">
        <f t="shared" si="4"/>
        <v>#VALUE!</v>
      </c>
      <c r="AJ45" s="105" t="e">
        <f>'Alternative 3'!$B$39*$B45*$C45*COS($K$33)-($N$32/3)*$E45*SIN($K$33)-($N$32/3)*$F45*SIN($K$33)-($N$32/3)*$G45*SIN($K$33)</f>
        <v>#VALUE!</v>
      </c>
      <c r="AK45" s="106" t="e">
        <f>IF(($A45&lt;'Alternative 3'!$B$27),(($H45*'Alternative 3'!$B$39)+(3*($N$32/3)*COS($K$33))),IF(($A45&lt;'Alternative 3'!$B$28),(($H45*'Alternative 3'!$B$39)+(2*(($N$32/3)*COS($K$33)))),IF(($A45&lt;'Alternative 3'!$B$29),(($H$3*'Alternative 3'!$B$39+(($N$32/3)*COS($K$33)))),($H45*'Alternative 3'!$B$39))))</f>
        <v>#VALUE!</v>
      </c>
      <c r="AL45" s="105" t="e">
        <f>AJ45*'Alternative 3'!$K46/'Alternative 3'!$L46</f>
        <v>#VALUE!</v>
      </c>
      <c r="AM45" s="105" t="e">
        <f>AK45/'Alternative 3'!$M46</f>
        <v>#VALUE!</v>
      </c>
      <c r="AN45" s="105" t="e">
        <f t="shared" si="5"/>
        <v>#VALUE!</v>
      </c>
      <c r="AP45" s="105" t="e">
        <f>'Alternative 3'!$B$39*$B45*$C45*COS($K$43)-($N$42/3)*$E45*SIN($K$43)-($N$42/3)*$F45*SIN($K$43)-($N$42/3)*$G45*SIN($K$43)</f>
        <v>#VALUE!</v>
      </c>
      <c r="AQ45" s="106" t="e">
        <f>IF(($A45&lt;'Alternative 3'!$B$27),(($H45*'Alternative 3'!$B$39)+(3*($N$42/3)*COS($K$43))),IF(($A45&lt;'Alternative 3'!$B$28),(($H45*'Alternative 3'!$B$39)+(2*(($N$42/3)*COS($K$43)))),IF(($A45&lt;'Alternative 3'!$B$29),(($H$3*'Alternative 3'!$B$39+(($N$42/3)*COS($K$43)))),($H45*'Alternative 3'!$B$39))))</f>
        <v>#VALUE!</v>
      </c>
      <c r="AR45" s="105" t="e">
        <f>AP45*'Alternative 3'!$K46/'Alternative 3'!$L46</f>
        <v>#VALUE!</v>
      </c>
      <c r="AS45" s="105" t="e">
        <f>AQ45/'Alternative 3'!$M46</f>
        <v>#VALUE!</v>
      </c>
      <c r="AT45" s="105" t="e">
        <f t="shared" si="6"/>
        <v>#VALUE!</v>
      </c>
      <c r="AV45" s="105" t="e">
        <f>'Alternative 3'!$B$39*$B45*$C45*COS($K$53)-($N$52/3)*$E45*SIN($K$53)-($N$52/3)*$F45*SIN($K$53)-($N$52/3)*$G45*SIN($K$53)</f>
        <v>#VALUE!</v>
      </c>
      <c r="AW45" s="106" t="e">
        <f>IF(($A45&lt;'Alternative 3'!$B$27),(($H45*'Alternative 3'!$B$39)+(3*($N$52/3)*COS($K$53))),IF(($A45&lt;'Alternative 3'!$B$28),(($H45*'Alternative 3'!$B$39)+(2*(($N$52/3)*COS($K$53)))),IF(($A45&lt;'Alternative 3'!$B$29),(($H$3*'Alternative 3'!$B$39+(($N$52/3)*COS($K$53)))),($H45*'Alternative 3'!$B$39))))</f>
        <v>#VALUE!</v>
      </c>
      <c r="AX45" s="105" t="e">
        <f>AV45*'Alternative 3'!$K46/'Alternative 3'!$L46</f>
        <v>#VALUE!</v>
      </c>
      <c r="AY45" s="105" t="e">
        <f>AW45/'Alternative 3'!$M46</f>
        <v>#VALUE!</v>
      </c>
      <c r="AZ45" s="105" t="e">
        <f t="shared" si="7"/>
        <v>#VALUE!</v>
      </c>
      <c r="BB45" s="105" t="e">
        <f>'Alternative 3'!$B$39*$B45*$C45*COS($K$63)-($N$62/3)*$E45*SIN($K$63)-($N$62/3)*$F45*SIN($K$63)-($N$62/3)*$G45*SIN($K$63)</f>
        <v>#VALUE!</v>
      </c>
      <c r="BC45" s="106" t="e">
        <f>IF(($A45&lt;'Alternative 3'!$B$27),(($H45*'Alternative 3'!$B$39)+(3*($N$62/3)*COS($K$63))),IF(($A45&lt;'Alternative 3'!$B$28),(($H45*'Alternative 3'!$B$39)+(2*(($N$62/3)*COS($K$63)))),IF(($A45&lt;'Alternative 3'!$B$29),(($H$3*'Alternative 3'!$B$39+(($N$62/3)*COS($K$63)))),($H45*'Alternative 3'!$B$39))))</f>
        <v>#VALUE!</v>
      </c>
      <c r="BD45" s="105" t="e">
        <f>BB45*'Alternative 3'!$K46/'Alternative 3'!$L46</f>
        <v>#VALUE!</v>
      </c>
      <c r="BE45" s="105" t="e">
        <f>BC45/'Alternative 3'!$M46</f>
        <v>#VALUE!</v>
      </c>
      <c r="BF45" s="105" t="e">
        <f t="shared" si="8"/>
        <v>#VALUE!</v>
      </c>
      <c r="BH45" s="105" t="e">
        <f>'Alternative 3'!$B$39*$B45*$C45*COS($K$73)-($N$72/3)*$E45*SIN($K$73)-($N$72/3)*$F45*SIN($K$73)-($N$72/3)*$G45*SIN($K$73)</f>
        <v>#VALUE!</v>
      </c>
      <c r="BI45" s="106" t="e">
        <f>IF(($A45&lt;'Alternative 3'!$B$27),(($H45*'Alternative 3'!$B$39)+(3*($N$72/3)*COS($K$73))),IF(($A45&lt;'Alternative 3'!$B$28),(($H45*'Alternative 3'!$B$39)+(2*(($N$72/3)*COS($K$73)))),IF(($A45&lt;'Alternative 3'!$B$29),(($H$3*'Alternative 3'!$B$39+(($N$72/3)*COS($K$73)))),($H45*'Alternative 3'!$B$39))))</f>
        <v>#VALUE!</v>
      </c>
      <c r="BJ45" s="105" t="e">
        <f>BH45*'Alternative 3'!$K46/'Alternative 3'!$L46</f>
        <v>#VALUE!</v>
      </c>
      <c r="BK45" s="105" t="e">
        <f>BI45/'Alternative 3'!$M46</f>
        <v>#VALUE!</v>
      </c>
      <c r="BL45" s="105" t="e">
        <f t="shared" si="9"/>
        <v>#VALUE!</v>
      </c>
      <c r="BN45" s="105" t="e">
        <f>'Alternative 3'!$B$39*$B45*$C45*COS($K$83)-($N$82/3)*$E45*SIN($K$83)-($N$82/3)*$F45*SIN($K$83)-($N$82/3)*$G45*SIN($K$83)</f>
        <v>#VALUE!</v>
      </c>
      <c r="BO45" s="106" t="e">
        <f>IF(($A45&lt;'Alternative 3'!$B$27),(($H45*'Alternative 3'!$B$39)+(3*($N$82/3)*COS($K$83))),IF(($A45&lt;'Alternative 3'!$B$28),(($H45*'Alternative 3'!$B$39)+(2*(($N$82/3)*COS($K$83)))),IF(($A45&lt;'Alternative 3'!$B$29),(($H$3*'Alternative 3'!$B$39+(($N$82/3)*COS($K$83)))),($H45*'Alternative 3'!$B$39))))</f>
        <v>#VALUE!</v>
      </c>
      <c r="BP45" s="105" t="e">
        <f>BN45*'Alternative 3'!$K46/'Alternative 3'!$L46</f>
        <v>#VALUE!</v>
      </c>
      <c r="BQ45" s="105" t="e">
        <f>BO45/'Alternative 3'!$M46</f>
        <v>#VALUE!</v>
      </c>
      <c r="BR45" s="105" t="e">
        <f t="shared" si="10"/>
        <v>#VALUE!</v>
      </c>
      <c r="BT45" s="105" t="e">
        <f>'Alternative 3'!$B$39*$B45*$C45*COS($K$93)-($K$92/3)*$E45*SIN($K$93)-($K$92/3)*$F45*SIN($K$93)-($K$92/3)*$G45*SIN($K$93)</f>
        <v>#VALUE!</v>
      </c>
      <c r="BU45" s="106" t="e">
        <f>IF(($A45&lt;'Alternative 3'!$B$27),(($H45*'Alternative 3'!$B$39)+(3*($N$92/3)*COS($K$93))),IF(($A45&lt;'Alternative 3'!$B$28),(($H45*'Alternative 3'!$B$39)+(2*(($N$92/3)*COS($K$93)))),IF(($A45&lt;'Alternative 3'!$B$29),(($H$3*'Alternative 3'!$B$39+(($N$92/3)*COS($K$93)))),($H45*'Alternative 3'!$B$39))))</f>
        <v>#VALUE!</v>
      </c>
      <c r="BV45" s="105" t="e">
        <f>BT45*'Alternative 3'!$K46/'Alternative 3'!$L46</f>
        <v>#VALUE!</v>
      </c>
      <c r="BW45" s="105" t="e">
        <f>BU45/'Alternative 3'!$M46</f>
        <v>#VALUE!</v>
      </c>
      <c r="BX45" s="105" t="e">
        <f t="shared" si="11"/>
        <v>#VALUE!</v>
      </c>
      <c r="BZ45" s="104">
        <v>150</v>
      </c>
      <c r="CA45" s="104">
        <v>-150</v>
      </c>
    </row>
    <row r="46" spans="1:79" ht="15" customHeight="1" x14ac:dyDescent="0.25">
      <c r="A46" s="18" t="str">
        <f>IF('Alternative 3'!F47&gt;0,'Alternative 3'!F47,"x")</f>
        <v>x</v>
      </c>
      <c r="B46" s="18" t="e">
        <f t="shared" si="17"/>
        <v>#VALUE!</v>
      </c>
      <c r="C46" s="18">
        <f t="shared" si="12"/>
        <v>0</v>
      </c>
      <c r="D46" s="18" t="str">
        <f t="shared" si="13"/>
        <v>x</v>
      </c>
      <c r="E46" s="101">
        <f>IF($A46&lt;='Alternative 3'!$B$27, IF($A46='Alternative 3'!$B$27,0,E47+1),0)</f>
        <v>0</v>
      </c>
      <c r="F46" s="101">
        <f>IF($A46&lt;=('Alternative 3'!$B$28), IF($A46=ROUNDDOWN('Alternative 3'!$B$28,0),0,F47+1),0)</f>
        <v>0</v>
      </c>
      <c r="G46" s="101">
        <f>IF($A46&lt;=('Alternative 3'!$B$29), IF($A46=ROUNDDOWN('Alternative 3'!$B$29,0),0,G47+1),0)</f>
        <v>0</v>
      </c>
      <c r="H46" s="18" t="e">
        <f t="shared" si="14"/>
        <v>#VALUE!</v>
      </c>
      <c r="J46" s="104">
        <f t="shared" si="15"/>
        <v>43</v>
      </c>
      <c r="K46" s="104">
        <f t="shared" si="16"/>
        <v>0.75049157835756164</v>
      </c>
      <c r="L46" s="105">
        <f>'Alternative 3'!$B$27*SIN(K46)+'Alternative 3'!$B$28*SIN(K46)+'Alternative 3'!$B$29*SIN(K46)</f>
        <v>45.687070140586769</v>
      </c>
      <c r="M46" s="104">
        <f>(('Alternative 3'!$B$27)*(((('Alternative 3'!$B$28-'Alternative 3'!$B$27)/2)+'Alternative 3'!$B$27)*'Alternative 3'!$B$39)*COS('Alternative 3-Tilt Up (3pt)'!K46))+(('Alternative 3'!$B$28)*((('Alternative 3'!$B$28-'Alternative 3'!$B$27)/2)+(('Alternative 3'!$B$29-'Alternative 3'!$B$28)/2))*('Alternative 3'!$B$39)*COS('Alternative 3-Tilt Up (3pt)'!K46))+(('Alternative 3'!$B$29)*((('Alternative 3'!$B$12-'Alternative 3'!$B$29+(('Alternative 3'!$B$29-'Alternative 3'!$B$28)/2)*('Alternative 3'!$B$39)*COS('Alternative 3-Tilt Up (3pt)'!K46)))))</f>
        <v>1643803.797114677</v>
      </c>
      <c r="N46" s="104">
        <f t="shared" si="0"/>
        <v>107938.88459402742</v>
      </c>
      <c r="O46" s="104">
        <f>(((('Alternative 3'!$B$28-'Alternative 3'!$B$27)/2)+'Alternative 3'!$B$27)*('Alternative 3'!$B$39)*COS('Alternative 3-Tilt Up (3pt)'!K46))+(((('Alternative 3'!$B$28-'Alternative 3'!$B$27)/2)+(('Alternative 3'!$B$29-'Alternative 3'!$B$28)/2))*('Alternative 3'!$B$39)*COS('Alternative 3-Tilt Up (3pt)'!K46))+(((('Alternative 3'!$B$12-'Alternative 3'!$B$29)+(('Alternative 3'!$B$29-'Alternative 3'!$B$28)/2))*('Alternative 3'!$B$39)*COS('Alternative 3-Tilt Up (3pt)'!K46)))</f>
        <v>106788.58024854324</v>
      </c>
      <c r="P46" s="104">
        <f t="shared" si="1"/>
        <v>78941.502796486413</v>
      </c>
      <c r="R46" s="105" t="e">
        <f>'Alternative 3'!$B$39*$B46*$C46*COS($K$5)-($N$5/3)*$E46*SIN($K$5)-($N$5/3)*$F46*SIN($K$5)-($N$5/3)*$G46*SIN($K$5)</f>
        <v>#VALUE!</v>
      </c>
      <c r="S46" s="106" t="e">
        <f>IF(($A46&lt;'Alternative 3'!$B$27),(($H46*'Alternative 3'!$B$39)+(3*($N$5/3)*COS($K$5))),IF(($A46&lt;'Alternative 3'!$B$28),(($H46*'Alternative 3'!$B$39)+(2*(($N$5/3)*COS($K$5)))),IF(($A46&lt;'Alternative 3'!$B$29),(($H$3*'Alternative 3'!$B$39+(($N$5/3)*COS($K$5)))),($H46*'Alternative 3'!$B$39))))</f>
        <v>#VALUE!</v>
      </c>
      <c r="T46" s="105" t="e">
        <f>R46*'Alternative 3'!$K47/'Alternative 3'!$L47</f>
        <v>#VALUE!</v>
      </c>
      <c r="U46" s="105" t="e">
        <f>S46/'Alternative 3'!$M47</f>
        <v>#VALUE!</v>
      </c>
      <c r="V46" s="105" t="e">
        <f t="shared" si="2"/>
        <v>#VALUE!</v>
      </c>
      <c r="X46" s="105" t="e">
        <f>'Alternative 3'!$B$39*$B46*$C46*COS($K$13)-($N$12/3)*$E46*SIN($K$13)-($N$12/3)*$F46*SIN($K$13)-($N$12/3)*$G46*SIN($K$13)</f>
        <v>#VALUE!</v>
      </c>
      <c r="Y46" s="106" t="e">
        <f>IF(($A46&lt;'Alternative 3'!$B$27),(($H46*'Alternative 3'!$B$39)+(3*($N$12/3)*COS($K$13))),IF(($A46&lt;'Alternative 3'!$B$28),(($H46*'Alternative 3'!$B$39)+(2*(($N$12/3)*COS($K$13)))),IF(($A46&lt;'Alternative 3'!$B$29),(($H$3*'Alternative 3'!$B$39+(($N$12/3)*COS($K$13)))),($H46*'Alternative 3'!$B$39))))</f>
        <v>#VALUE!</v>
      </c>
      <c r="Z46" s="105" t="e">
        <f>X46*'Alternative 3'!$K47/'Alternative 3'!$L47</f>
        <v>#VALUE!</v>
      </c>
      <c r="AA46" s="105" t="e">
        <f>Y46/'Alternative 3'!$M47</f>
        <v>#VALUE!</v>
      </c>
      <c r="AB46" s="105" t="e">
        <f t="shared" si="3"/>
        <v>#VALUE!</v>
      </c>
      <c r="AD46" s="105" t="e">
        <f>'Alternative 3'!$B$39*$B46*$C46*COS($K$23)-($N$22/3)*$E46*SIN($K$23)-($N$22/3)*$F46*SIN($K$23)-($N$22/3)*$G46*SIN($K$23)</f>
        <v>#VALUE!</v>
      </c>
      <c r="AE46" s="106" t="e">
        <f>IF(($A46&lt;'Alternative 3'!$B$27),(($H46*'Alternative 3'!$B$39)+(3*($N$22/3)*COS($K$23))),IF(($A46&lt;'Alternative 3'!$B$28),(($H46*'Alternative 3'!$B$39)+(2*(($N$22/3)*COS($K$23)))),IF(($A46&lt;'Alternative 3'!$B$29),(($H$3*'Alternative 3'!$B$39+(($N$22/3)*COS($K$23)))),($H46*'Alternative 3'!$B$39))))</f>
        <v>#VALUE!</v>
      </c>
      <c r="AF46" s="105" t="e">
        <f>AD46*'Alternative 3'!$K47/'Alternative 3'!$L47</f>
        <v>#VALUE!</v>
      </c>
      <c r="AG46" s="105" t="e">
        <f>AE46/'Alternative 3'!$M47</f>
        <v>#VALUE!</v>
      </c>
      <c r="AH46" s="105" t="e">
        <f t="shared" si="4"/>
        <v>#VALUE!</v>
      </c>
      <c r="AJ46" s="105" t="e">
        <f>'Alternative 3'!$B$39*$B46*$C46*COS($K$33)-($N$32/3)*$E46*SIN($K$33)-($N$32/3)*$F46*SIN($K$33)-($N$32/3)*$G46*SIN($K$33)</f>
        <v>#VALUE!</v>
      </c>
      <c r="AK46" s="106" t="e">
        <f>IF(($A46&lt;'Alternative 3'!$B$27),(($H46*'Alternative 3'!$B$39)+(3*($N$32/3)*COS($K$33))),IF(($A46&lt;'Alternative 3'!$B$28),(($H46*'Alternative 3'!$B$39)+(2*(($N$32/3)*COS($K$33)))),IF(($A46&lt;'Alternative 3'!$B$29),(($H$3*'Alternative 3'!$B$39+(($N$32/3)*COS($K$33)))),($H46*'Alternative 3'!$B$39))))</f>
        <v>#VALUE!</v>
      </c>
      <c r="AL46" s="105" t="e">
        <f>AJ46*'Alternative 3'!$K47/'Alternative 3'!$L47</f>
        <v>#VALUE!</v>
      </c>
      <c r="AM46" s="105" t="e">
        <f>AK46/'Alternative 3'!$M47</f>
        <v>#VALUE!</v>
      </c>
      <c r="AN46" s="105" t="e">
        <f t="shared" si="5"/>
        <v>#VALUE!</v>
      </c>
      <c r="AP46" s="105" t="e">
        <f>'Alternative 3'!$B$39*$B46*$C46*COS($K$43)-($N$42/3)*$E46*SIN($K$43)-($N$42/3)*$F46*SIN($K$43)-($N$42/3)*$G46*SIN($K$43)</f>
        <v>#VALUE!</v>
      </c>
      <c r="AQ46" s="106" t="e">
        <f>IF(($A46&lt;'Alternative 3'!$B$27),(($H46*'Alternative 3'!$B$39)+(3*($N$42/3)*COS($K$43))),IF(($A46&lt;'Alternative 3'!$B$28),(($H46*'Alternative 3'!$B$39)+(2*(($N$42/3)*COS($K$43)))),IF(($A46&lt;'Alternative 3'!$B$29),(($H$3*'Alternative 3'!$B$39+(($N$42/3)*COS($K$43)))),($H46*'Alternative 3'!$B$39))))</f>
        <v>#VALUE!</v>
      </c>
      <c r="AR46" s="105" t="e">
        <f>AP46*'Alternative 3'!$K47/'Alternative 3'!$L47</f>
        <v>#VALUE!</v>
      </c>
      <c r="AS46" s="105" t="e">
        <f>AQ46/'Alternative 3'!$M47</f>
        <v>#VALUE!</v>
      </c>
      <c r="AT46" s="105" t="e">
        <f t="shared" si="6"/>
        <v>#VALUE!</v>
      </c>
      <c r="AV46" s="105" t="e">
        <f>'Alternative 3'!$B$39*$B46*$C46*COS($K$53)-($N$52/3)*$E46*SIN($K$53)-($N$52/3)*$F46*SIN($K$53)-($N$52/3)*$G46*SIN($K$53)</f>
        <v>#VALUE!</v>
      </c>
      <c r="AW46" s="106" t="e">
        <f>IF(($A46&lt;'Alternative 3'!$B$27),(($H46*'Alternative 3'!$B$39)+(3*($N$52/3)*COS($K$53))),IF(($A46&lt;'Alternative 3'!$B$28),(($H46*'Alternative 3'!$B$39)+(2*(($N$52/3)*COS($K$53)))),IF(($A46&lt;'Alternative 3'!$B$29),(($H$3*'Alternative 3'!$B$39+(($N$52/3)*COS($K$53)))),($H46*'Alternative 3'!$B$39))))</f>
        <v>#VALUE!</v>
      </c>
      <c r="AX46" s="105" t="e">
        <f>AV46*'Alternative 3'!$K47/'Alternative 3'!$L47</f>
        <v>#VALUE!</v>
      </c>
      <c r="AY46" s="105" t="e">
        <f>AW46/'Alternative 3'!$M47</f>
        <v>#VALUE!</v>
      </c>
      <c r="AZ46" s="105" t="e">
        <f t="shared" si="7"/>
        <v>#VALUE!</v>
      </c>
      <c r="BB46" s="105" t="e">
        <f>'Alternative 3'!$B$39*$B46*$C46*COS($K$63)-($N$62/3)*$E46*SIN($K$63)-($N$62/3)*$F46*SIN($K$63)-($N$62/3)*$G46*SIN($K$63)</f>
        <v>#VALUE!</v>
      </c>
      <c r="BC46" s="106" t="e">
        <f>IF(($A46&lt;'Alternative 3'!$B$27),(($H46*'Alternative 3'!$B$39)+(3*($N$62/3)*COS($K$63))),IF(($A46&lt;'Alternative 3'!$B$28),(($H46*'Alternative 3'!$B$39)+(2*(($N$62/3)*COS($K$63)))),IF(($A46&lt;'Alternative 3'!$B$29),(($H$3*'Alternative 3'!$B$39+(($N$62/3)*COS($K$63)))),($H46*'Alternative 3'!$B$39))))</f>
        <v>#VALUE!</v>
      </c>
      <c r="BD46" s="105" t="e">
        <f>BB46*'Alternative 3'!$K47/'Alternative 3'!$L47</f>
        <v>#VALUE!</v>
      </c>
      <c r="BE46" s="105" t="e">
        <f>BC46/'Alternative 3'!$M47</f>
        <v>#VALUE!</v>
      </c>
      <c r="BF46" s="105" t="e">
        <f t="shared" si="8"/>
        <v>#VALUE!</v>
      </c>
      <c r="BH46" s="105" t="e">
        <f>'Alternative 3'!$B$39*$B46*$C46*COS($K$73)-($N$72/3)*$E46*SIN($K$73)-($N$72/3)*$F46*SIN($K$73)-($N$72/3)*$G46*SIN($K$73)</f>
        <v>#VALUE!</v>
      </c>
      <c r="BI46" s="106" t="e">
        <f>IF(($A46&lt;'Alternative 3'!$B$27),(($H46*'Alternative 3'!$B$39)+(3*($N$72/3)*COS($K$73))),IF(($A46&lt;'Alternative 3'!$B$28),(($H46*'Alternative 3'!$B$39)+(2*(($N$72/3)*COS($K$73)))),IF(($A46&lt;'Alternative 3'!$B$29),(($H$3*'Alternative 3'!$B$39+(($N$72/3)*COS($K$73)))),($H46*'Alternative 3'!$B$39))))</f>
        <v>#VALUE!</v>
      </c>
      <c r="BJ46" s="105" t="e">
        <f>BH46*'Alternative 3'!$K47/'Alternative 3'!$L47</f>
        <v>#VALUE!</v>
      </c>
      <c r="BK46" s="105" t="e">
        <f>BI46/'Alternative 3'!$M47</f>
        <v>#VALUE!</v>
      </c>
      <c r="BL46" s="105" t="e">
        <f t="shared" si="9"/>
        <v>#VALUE!</v>
      </c>
      <c r="BN46" s="105" t="e">
        <f>'Alternative 3'!$B$39*$B46*$C46*COS($K$83)-($N$82/3)*$E46*SIN($K$83)-($N$82/3)*$F46*SIN($K$83)-($N$82/3)*$G46*SIN($K$83)</f>
        <v>#VALUE!</v>
      </c>
      <c r="BO46" s="106" t="e">
        <f>IF(($A46&lt;'Alternative 3'!$B$27),(($H46*'Alternative 3'!$B$39)+(3*($N$82/3)*COS($K$83))),IF(($A46&lt;'Alternative 3'!$B$28),(($H46*'Alternative 3'!$B$39)+(2*(($N$82/3)*COS($K$83)))),IF(($A46&lt;'Alternative 3'!$B$29),(($H$3*'Alternative 3'!$B$39+(($N$82/3)*COS($K$83)))),($H46*'Alternative 3'!$B$39))))</f>
        <v>#VALUE!</v>
      </c>
      <c r="BP46" s="105" t="e">
        <f>BN46*'Alternative 3'!$K47/'Alternative 3'!$L47</f>
        <v>#VALUE!</v>
      </c>
      <c r="BQ46" s="105" t="e">
        <f>BO46/'Alternative 3'!$M47</f>
        <v>#VALUE!</v>
      </c>
      <c r="BR46" s="105" t="e">
        <f t="shared" si="10"/>
        <v>#VALUE!</v>
      </c>
      <c r="BT46" s="105" t="e">
        <f>'Alternative 3'!$B$39*$B46*$C46*COS($K$93)-($K$92/3)*$E46*SIN($K$93)-($K$92/3)*$F46*SIN($K$93)-($K$92/3)*$G46*SIN($K$93)</f>
        <v>#VALUE!</v>
      </c>
      <c r="BU46" s="106" t="e">
        <f>IF(($A46&lt;'Alternative 3'!$B$27),(($H46*'Alternative 3'!$B$39)+(3*($N$92/3)*COS($K$93))),IF(($A46&lt;'Alternative 3'!$B$28),(($H46*'Alternative 3'!$B$39)+(2*(($N$92/3)*COS($K$93)))),IF(($A46&lt;'Alternative 3'!$B$29),(($H$3*'Alternative 3'!$B$39+(($N$92/3)*COS($K$93)))),($H46*'Alternative 3'!$B$39))))</f>
        <v>#VALUE!</v>
      </c>
      <c r="BV46" s="105" t="e">
        <f>BT46*'Alternative 3'!$K47/'Alternative 3'!$L47</f>
        <v>#VALUE!</v>
      </c>
      <c r="BW46" s="105" t="e">
        <f>BU46/'Alternative 3'!$M47</f>
        <v>#VALUE!</v>
      </c>
      <c r="BX46" s="105" t="e">
        <f t="shared" si="11"/>
        <v>#VALUE!</v>
      </c>
      <c r="BZ46" s="104">
        <v>150</v>
      </c>
      <c r="CA46" s="104">
        <v>-150</v>
      </c>
    </row>
    <row r="47" spans="1:79" ht="15" customHeight="1" x14ac:dyDescent="0.25">
      <c r="A47" s="18" t="str">
        <f>IF('Alternative 3'!F48&gt;0,'Alternative 3'!F48,"x")</f>
        <v>x</v>
      </c>
      <c r="B47" s="18" t="e">
        <f t="shared" si="17"/>
        <v>#VALUE!</v>
      </c>
      <c r="C47" s="18">
        <f t="shared" si="12"/>
        <v>0</v>
      </c>
      <c r="D47" s="18" t="str">
        <f t="shared" si="13"/>
        <v>x</v>
      </c>
      <c r="E47" s="101">
        <f>IF($A47&lt;='Alternative 3'!$B$27, IF($A47='Alternative 3'!$B$27,0,E48+1),0)</f>
        <v>0</v>
      </c>
      <c r="F47" s="101">
        <f>IF($A47&lt;=('Alternative 3'!$B$28), IF($A47=ROUNDDOWN('Alternative 3'!$B$28,0),0,F48+1),0)</f>
        <v>0</v>
      </c>
      <c r="G47" s="101">
        <f>IF($A47&lt;=('Alternative 3'!$B$29), IF($A47=ROUNDDOWN('Alternative 3'!$B$29,0),0,G48+1),0)</f>
        <v>0</v>
      </c>
      <c r="H47" s="18" t="e">
        <f t="shared" si="14"/>
        <v>#VALUE!</v>
      </c>
      <c r="J47" s="104">
        <f t="shared" si="15"/>
        <v>44</v>
      </c>
      <c r="K47" s="104">
        <f t="shared" si="16"/>
        <v>0.76794487087750496</v>
      </c>
      <c r="L47" s="105">
        <f>'Alternative 3'!$B$27*SIN(K47)+'Alternative 3'!$B$28*SIN(K47)+'Alternative 3'!$B$29*SIN(K47)</f>
        <v>46.535164237048228</v>
      </c>
      <c r="M47" s="104">
        <f>(('Alternative 3'!$B$27)*(((('Alternative 3'!$B$28-'Alternative 3'!$B$27)/2)+'Alternative 3'!$B$27)*'Alternative 3'!$B$39)*COS('Alternative 3-Tilt Up (3pt)'!K47))+(('Alternative 3'!$B$28)*((('Alternative 3'!$B$28-'Alternative 3'!$B$27)/2)+(('Alternative 3'!$B$29-'Alternative 3'!$B$28)/2))*('Alternative 3'!$B$39)*COS('Alternative 3-Tilt Up (3pt)'!K47))+(('Alternative 3'!$B$29)*((('Alternative 3'!$B$12-'Alternative 3'!$B$29+(('Alternative 3'!$B$29-'Alternative 3'!$B$28)/2)*('Alternative 3'!$B$39)*COS('Alternative 3-Tilt Up (3pt)'!K47)))))</f>
        <v>1616804.120322671</v>
      </c>
      <c r="N47" s="104">
        <f t="shared" si="0"/>
        <v>104231.1215720699</v>
      </c>
      <c r="O47" s="104">
        <f>(((('Alternative 3'!$B$28-'Alternative 3'!$B$27)/2)+'Alternative 3'!$B$27)*('Alternative 3'!$B$39)*COS('Alternative 3-Tilt Up (3pt)'!K47))+(((('Alternative 3'!$B$28-'Alternative 3'!$B$27)/2)+(('Alternative 3'!$B$29-'Alternative 3'!$B$28)/2))*('Alternative 3'!$B$39)*COS('Alternative 3-Tilt Up (3pt)'!K47))+(((('Alternative 3'!$B$12-'Alternative 3'!$B$29)+(('Alternative 3'!$B$29-'Alternative 3'!$B$28)/2))*('Alternative 3'!$B$39)*COS('Alternative 3-Tilt Up (3pt)'!K47)))</f>
        <v>105034.37095398102</v>
      </c>
      <c r="P47" s="104">
        <f t="shared" si="1"/>
        <v>74977.594180726432</v>
      </c>
      <c r="R47" s="105" t="e">
        <f>'Alternative 3'!$B$39*$B47*$C47*COS($K$5)-($N$5/3)*$E47*SIN($K$5)-($N$5/3)*$F47*SIN($K$5)-($N$5/3)*$G47*SIN($K$5)</f>
        <v>#VALUE!</v>
      </c>
      <c r="S47" s="106" t="e">
        <f>IF(($A47&lt;'Alternative 3'!$B$27),(($H47*'Alternative 3'!$B$39)+(3*($N$5/3)*COS($K$5))),IF(($A47&lt;'Alternative 3'!$B$28),(($H47*'Alternative 3'!$B$39)+(2*(($N$5/3)*COS($K$5)))),IF(($A47&lt;'Alternative 3'!$B$29),(($H$3*'Alternative 3'!$B$39+(($N$5/3)*COS($K$5)))),($H47*'Alternative 3'!$B$39))))</f>
        <v>#VALUE!</v>
      </c>
      <c r="T47" s="105" t="e">
        <f>R47*'Alternative 3'!$K48/'Alternative 3'!$L48</f>
        <v>#VALUE!</v>
      </c>
      <c r="U47" s="105" t="e">
        <f>S47/'Alternative 3'!$M48</f>
        <v>#VALUE!</v>
      </c>
      <c r="V47" s="105" t="e">
        <f t="shared" si="2"/>
        <v>#VALUE!</v>
      </c>
      <c r="X47" s="105" t="e">
        <f>'Alternative 3'!$B$39*$B47*$C47*COS($K$13)-($N$12/3)*$E47*SIN($K$13)-($N$12/3)*$F47*SIN($K$13)-($N$12/3)*$G47*SIN($K$13)</f>
        <v>#VALUE!</v>
      </c>
      <c r="Y47" s="106" t="e">
        <f>IF(($A47&lt;'Alternative 3'!$B$27),(($H47*'Alternative 3'!$B$39)+(3*($N$12/3)*COS($K$13))),IF(($A47&lt;'Alternative 3'!$B$28),(($H47*'Alternative 3'!$B$39)+(2*(($N$12/3)*COS($K$13)))),IF(($A47&lt;'Alternative 3'!$B$29),(($H$3*'Alternative 3'!$B$39+(($N$12/3)*COS($K$13)))),($H47*'Alternative 3'!$B$39))))</f>
        <v>#VALUE!</v>
      </c>
      <c r="Z47" s="105" t="e">
        <f>X47*'Alternative 3'!$K48/'Alternative 3'!$L48</f>
        <v>#VALUE!</v>
      </c>
      <c r="AA47" s="105" t="e">
        <f>Y47/'Alternative 3'!$M48</f>
        <v>#VALUE!</v>
      </c>
      <c r="AB47" s="105" t="e">
        <f t="shared" si="3"/>
        <v>#VALUE!</v>
      </c>
      <c r="AD47" s="105" t="e">
        <f>'Alternative 3'!$B$39*$B47*$C47*COS($K$23)-($N$22/3)*$E47*SIN($K$23)-($N$22/3)*$F47*SIN($K$23)-($N$22/3)*$G47*SIN($K$23)</f>
        <v>#VALUE!</v>
      </c>
      <c r="AE47" s="106" t="e">
        <f>IF(($A47&lt;'Alternative 3'!$B$27),(($H47*'Alternative 3'!$B$39)+(3*($N$22/3)*COS($K$23))),IF(($A47&lt;'Alternative 3'!$B$28),(($H47*'Alternative 3'!$B$39)+(2*(($N$22/3)*COS($K$23)))),IF(($A47&lt;'Alternative 3'!$B$29),(($H$3*'Alternative 3'!$B$39+(($N$22/3)*COS($K$23)))),($H47*'Alternative 3'!$B$39))))</f>
        <v>#VALUE!</v>
      </c>
      <c r="AF47" s="105" t="e">
        <f>AD47*'Alternative 3'!$K48/'Alternative 3'!$L48</f>
        <v>#VALUE!</v>
      </c>
      <c r="AG47" s="105" t="e">
        <f>AE47/'Alternative 3'!$M48</f>
        <v>#VALUE!</v>
      </c>
      <c r="AH47" s="105" t="e">
        <f t="shared" si="4"/>
        <v>#VALUE!</v>
      </c>
      <c r="AJ47" s="105" t="e">
        <f>'Alternative 3'!$B$39*$B47*$C47*COS($K$33)-($N$32/3)*$E47*SIN($K$33)-($N$32/3)*$F47*SIN($K$33)-($N$32/3)*$G47*SIN($K$33)</f>
        <v>#VALUE!</v>
      </c>
      <c r="AK47" s="106" t="e">
        <f>IF(($A47&lt;'Alternative 3'!$B$27),(($H47*'Alternative 3'!$B$39)+(3*($N$32/3)*COS($K$33))),IF(($A47&lt;'Alternative 3'!$B$28),(($H47*'Alternative 3'!$B$39)+(2*(($N$32/3)*COS($K$33)))),IF(($A47&lt;'Alternative 3'!$B$29),(($H$3*'Alternative 3'!$B$39+(($N$32/3)*COS($K$33)))),($H47*'Alternative 3'!$B$39))))</f>
        <v>#VALUE!</v>
      </c>
      <c r="AL47" s="105" t="e">
        <f>AJ47*'Alternative 3'!$K48/'Alternative 3'!$L48</f>
        <v>#VALUE!</v>
      </c>
      <c r="AM47" s="105" t="e">
        <f>AK47/'Alternative 3'!$M48</f>
        <v>#VALUE!</v>
      </c>
      <c r="AN47" s="105" t="e">
        <f t="shared" si="5"/>
        <v>#VALUE!</v>
      </c>
      <c r="AP47" s="105" t="e">
        <f>'Alternative 3'!$B$39*$B47*$C47*COS($K$43)-($N$42/3)*$E47*SIN($K$43)-($N$42/3)*$F47*SIN($K$43)-($N$42/3)*$G47*SIN($K$43)</f>
        <v>#VALUE!</v>
      </c>
      <c r="AQ47" s="106" t="e">
        <f>IF(($A47&lt;'Alternative 3'!$B$27),(($H47*'Alternative 3'!$B$39)+(3*($N$42/3)*COS($K$43))),IF(($A47&lt;'Alternative 3'!$B$28),(($H47*'Alternative 3'!$B$39)+(2*(($N$42/3)*COS($K$43)))),IF(($A47&lt;'Alternative 3'!$B$29),(($H$3*'Alternative 3'!$B$39+(($N$42/3)*COS($K$43)))),($H47*'Alternative 3'!$B$39))))</f>
        <v>#VALUE!</v>
      </c>
      <c r="AR47" s="105" t="e">
        <f>AP47*'Alternative 3'!$K48/'Alternative 3'!$L48</f>
        <v>#VALUE!</v>
      </c>
      <c r="AS47" s="105" t="e">
        <f>AQ47/'Alternative 3'!$M48</f>
        <v>#VALUE!</v>
      </c>
      <c r="AT47" s="105" t="e">
        <f t="shared" si="6"/>
        <v>#VALUE!</v>
      </c>
      <c r="AV47" s="105" t="e">
        <f>'Alternative 3'!$B$39*$B47*$C47*COS($K$53)-($N$52/3)*$E47*SIN($K$53)-($N$52/3)*$F47*SIN($K$53)-($N$52/3)*$G47*SIN($K$53)</f>
        <v>#VALUE!</v>
      </c>
      <c r="AW47" s="106" t="e">
        <f>IF(($A47&lt;'Alternative 3'!$B$27),(($H47*'Alternative 3'!$B$39)+(3*($N$52/3)*COS($K$53))),IF(($A47&lt;'Alternative 3'!$B$28),(($H47*'Alternative 3'!$B$39)+(2*(($N$52/3)*COS($K$53)))),IF(($A47&lt;'Alternative 3'!$B$29),(($H$3*'Alternative 3'!$B$39+(($N$52/3)*COS($K$53)))),($H47*'Alternative 3'!$B$39))))</f>
        <v>#VALUE!</v>
      </c>
      <c r="AX47" s="105" t="e">
        <f>AV47*'Alternative 3'!$K48/'Alternative 3'!$L48</f>
        <v>#VALUE!</v>
      </c>
      <c r="AY47" s="105" t="e">
        <f>AW47/'Alternative 3'!$M48</f>
        <v>#VALUE!</v>
      </c>
      <c r="AZ47" s="105" t="e">
        <f t="shared" si="7"/>
        <v>#VALUE!</v>
      </c>
      <c r="BB47" s="105" t="e">
        <f>'Alternative 3'!$B$39*$B47*$C47*COS($K$63)-($N$62/3)*$E47*SIN($K$63)-($N$62/3)*$F47*SIN($K$63)-($N$62/3)*$G47*SIN($K$63)</f>
        <v>#VALUE!</v>
      </c>
      <c r="BC47" s="106" t="e">
        <f>IF(($A47&lt;'Alternative 3'!$B$27),(($H47*'Alternative 3'!$B$39)+(3*($N$62/3)*COS($K$63))),IF(($A47&lt;'Alternative 3'!$B$28),(($H47*'Alternative 3'!$B$39)+(2*(($N$62/3)*COS($K$63)))),IF(($A47&lt;'Alternative 3'!$B$29),(($H$3*'Alternative 3'!$B$39+(($N$62/3)*COS($K$63)))),($H47*'Alternative 3'!$B$39))))</f>
        <v>#VALUE!</v>
      </c>
      <c r="BD47" s="105" t="e">
        <f>BB47*'Alternative 3'!$K48/'Alternative 3'!$L48</f>
        <v>#VALUE!</v>
      </c>
      <c r="BE47" s="105" t="e">
        <f>BC47/'Alternative 3'!$M48</f>
        <v>#VALUE!</v>
      </c>
      <c r="BF47" s="105" t="e">
        <f t="shared" si="8"/>
        <v>#VALUE!</v>
      </c>
      <c r="BH47" s="105" t="e">
        <f>'Alternative 3'!$B$39*$B47*$C47*COS($K$73)-($N$72/3)*$E47*SIN($K$73)-($N$72/3)*$F47*SIN($K$73)-($N$72/3)*$G47*SIN($K$73)</f>
        <v>#VALUE!</v>
      </c>
      <c r="BI47" s="106" t="e">
        <f>IF(($A47&lt;'Alternative 3'!$B$27),(($H47*'Alternative 3'!$B$39)+(3*($N$72/3)*COS($K$73))),IF(($A47&lt;'Alternative 3'!$B$28),(($H47*'Alternative 3'!$B$39)+(2*(($N$72/3)*COS($K$73)))),IF(($A47&lt;'Alternative 3'!$B$29),(($H$3*'Alternative 3'!$B$39+(($N$72/3)*COS($K$73)))),($H47*'Alternative 3'!$B$39))))</f>
        <v>#VALUE!</v>
      </c>
      <c r="BJ47" s="105" t="e">
        <f>BH47*'Alternative 3'!$K48/'Alternative 3'!$L48</f>
        <v>#VALUE!</v>
      </c>
      <c r="BK47" s="105" t="e">
        <f>BI47/'Alternative 3'!$M48</f>
        <v>#VALUE!</v>
      </c>
      <c r="BL47" s="105" t="e">
        <f t="shared" si="9"/>
        <v>#VALUE!</v>
      </c>
      <c r="BN47" s="105" t="e">
        <f>'Alternative 3'!$B$39*$B47*$C47*COS($K$83)-($N$82/3)*$E47*SIN($K$83)-($N$82/3)*$F47*SIN($K$83)-($N$82/3)*$G47*SIN($K$83)</f>
        <v>#VALUE!</v>
      </c>
      <c r="BO47" s="106" t="e">
        <f>IF(($A47&lt;'Alternative 3'!$B$27),(($H47*'Alternative 3'!$B$39)+(3*($N$82/3)*COS($K$83))),IF(($A47&lt;'Alternative 3'!$B$28),(($H47*'Alternative 3'!$B$39)+(2*(($N$82/3)*COS($K$83)))),IF(($A47&lt;'Alternative 3'!$B$29),(($H$3*'Alternative 3'!$B$39+(($N$82/3)*COS($K$83)))),($H47*'Alternative 3'!$B$39))))</f>
        <v>#VALUE!</v>
      </c>
      <c r="BP47" s="105" t="e">
        <f>BN47*'Alternative 3'!$K48/'Alternative 3'!$L48</f>
        <v>#VALUE!</v>
      </c>
      <c r="BQ47" s="105" t="e">
        <f>BO47/'Alternative 3'!$M48</f>
        <v>#VALUE!</v>
      </c>
      <c r="BR47" s="105" t="e">
        <f t="shared" si="10"/>
        <v>#VALUE!</v>
      </c>
      <c r="BT47" s="105" t="e">
        <f>'Alternative 3'!$B$39*$B47*$C47*COS($K$93)-($K$92/3)*$E47*SIN($K$93)-($K$92/3)*$F47*SIN($K$93)-($K$92/3)*$G47*SIN($K$93)</f>
        <v>#VALUE!</v>
      </c>
      <c r="BU47" s="106" t="e">
        <f>IF(($A47&lt;'Alternative 3'!$B$27),(($H47*'Alternative 3'!$B$39)+(3*($N$92/3)*COS($K$93))),IF(($A47&lt;'Alternative 3'!$B$28),(($H47*'Alternative 3'!$B$39)+(2*(($N$92/3)*COS($K$93)))),IF(($A47&lt;'Alternative 3'!$B$29),(($H$3*'Alternative 3'!$B$39+(($N$92/3)*COS($K$93)))),($H47*'Alternative 3'!$B$39))))</f>
        <v>#VALUE!</v>
      </c>
      <c r="BV47" s="105" t="e">
        <f>BT47*'Alternative 3'!$K48/'Alternative 3'!$L48</f>
        <v>#VALUE!</v>
      </c>
      <c r="BW47" s="105" t="e">
        <f>BU47/'Alternative 3'!$M48</f>
        <v>#VALUE!</v>
      </c>
      <c r="BX47" s="105" t="e">
        <f t="shared" si="11"/>
        <v>#VALUE!</v>
      </c>
      <c r="BZ47" s="104">
        <v>150</v>
      </c>
      <c r="CA47" s="104">
        <v>-150</v>
      </c>
    </row>
    <row r="48" spans="1:79" ht="15" customHeight="1" x14ac:dyDescent="0.25">
      <c r="A48" s="18" t="str">
        <f>IF('Alternative 3'!F49&gt;0,'Alternative 3'!F49,"x")</f>
        <v>x</v>
      </c>
      <c r="B48" s="18" t="e">
        <f t="shared" si="17"/>
        <v>#VALUE!</v>
      </c>
      <c r="C48" s="18">
        <f t="shared" si="12"/>
        <v>0</v>
      </c>
      <c r="D48" s="18" t="str">
        <f t="shared" si="13"/>
        <v>x</v>
      </c>
      <c r="E48" s="101">
        <f>IF($A48&lt;='Alternative 3'!$B$27, IF($A48='Alternative 3'!$B$27,0,E49+1),0)</f>
        <v>0</v>
      </c>
      <c r="F48" s="101">
        <f>IF($A48&lt;=('Alternative 3'!$B$28), IF($A48=ROUNDDOWN('Alternative 3'!$B$28,0),0,F49+1),0)</f>
        <v>0</v>
      </c>
      <c r="G48" s="101">
        <f>IF($A48&lt;=('Alternative 3'!$B$29), IF($A48=ROUNDDOWN('Alternative 3'!$B$29,0),0,G49+1),0)</f>
        <v>0</v>
      </c>
      <c r="H48" s="18" t="e">
        <f t="shared" si="14"/>
        <v>#VALUE!</v>
      </c>
      <c r="J48" s="104">
        <f t="shared" si="15"/>
        <v>45</v>
      </c>
      <c r="K48" s="104">
        <f t="shared" si="16"/>
        <v>0.78539816339744828</v>
      </c>
      <c r="L48" s="105">
        <f>'Alternative 3'!$B$27*SIN(K48)+'Alternative 3'!$B$28*SIN(K48)+'Alternative 3'!$B$29*SIN(K48)</f>
        <v>47.369083271686819</v>
      </c>
      <c r="M48" s="104">
        <f>(('Alternative 3'!$B$27)*(((('Alternative 3'!$B$28-'Alternative 3'!$B$27)/2)+'Alternative 3'!$B$27)*'Alternative 3'!$B$39)*COS('Alternative 3-Tilt Up (3pt)'!K48))+(('Alternative 3'!$B$28)*((('Alternative 3'!$B$28-'Alternative 3'!$B$27)/2)+(('Alternative 3'!$B$29-'Alternative 3'!$B$28)/2))*('Alternative 3'!$B$39)*COS('Alternative 3-Tilt Up (3pt)'!K48))+(('Alternative 3'!$B$29)*((('Alternative 3'!$B$12-'Alternative 3'!$B$29+(('Alternative 3'!$B$29-'Alternative 3'!$B$28)/2)*('Alternative 3'!$B$39)*COS('Alternative 3-Tilt Up (3pt)'!K48)))))</f>
        <v>1589312.0046822019</v>
      </c>
      <c r="N48" s="104">
        <f t="shared" si="0"/>
        <v>100655.01978790604</v>
      </c>
      <c r="O48" s="104">
        <f>(((('Alternative 3'!$B$28-'Alternative 3'!$B$27)/2)+'Alternative 3'!$B$27)*('Alternative 3'!$B$39)*COS('Alternative 3-Tilt Up (3pt)'!K48))+(((('Alternative 3'!$B$28-'Alternative 3'!$B$27)/2)+(('Alternative 3'!$B$29-'Alternative 3'!$B$28)/2))*('Alternative 3'!$B$39)*COS('Alternative 3-Tilt Up (3pt)'!K48))+(((('Alternative 3'!$B$12-'Alternative 3'!$B$29)+(('Alternative 3'!$B$29-'Alternative 3'!$B$28)/2))*('Alternative 3'!$B$39)*COS('Alternative 3-Tilt Up (3pt)'!K48)))</f>
        <v>103248.16717253544</v>
      </c>
      <c r="P48" s="104">
        <f t="shared" si="1"/>
        <v>71173.847052494501</v>
      </c>
      <c r="R48" s="105" t="e">
        <f>'Alternative 3'!$B$39*$B48*$C48*COS($K$5)-($N$5/3)*$E48*SIN($K$5)-($N$5/3)*$F48*SIN($K$5)-($N$5/3)*$G48*SIN($K$5)</f>
        <v>#VALUE!</v>
      </c>
      <c r="S48" s="106" t="e">
        <f>IF(($A48&lt;'Alternative 3'!$B$27),(($H48*'Alternative 3'!$B$39)+(3*($N$5/3)*COS($K$5))),IF(($A48&lt;'Alternative 3'!$B$28),(($H48*'Alternative 3'!$B$39)+(2*(($N$5/3)*COS($K$5)))),IF(($A48&lt;'Alternative 3'!$B$29),(($H$3*'Alternative 3'!$B$39+(($N$5/3)*COS($K$5)))),($H48*'Alternative 3'!$B$39))))</f>
        <v>#VALUE!</v>
      </c>
      <c r="T48" s="105" t="e">
        <f>R48*'Alternative 3'!$K49/'Alternative 3'!$L49</f>
        <v>#VALUE!</v>
      </c>
      <c r="U48" s="105" t="e">
        <f>S48/'Alternative 3'!$M49</f>
        <v>#VALUE!</v>
      </c>
      <c r="V48" s="105" t="e">
        <f t="shared" si="2"/>
        <v>#VALUE!</v>
      </c>
      <c r="X48" s="105" t="e">
        <f>'Alternative 3'!$B$39*$B48*$C48*COS($K$13)-($N$12/3)*$E48*SIN($K$13)-($N$12/3)*$F48*SIN($K$13)-($N$12/3)*$G48*SIN($K$13)</f>
        <v>#VALUE!</v>
      </c>
      <c r="Y48" s="106" t="e">
        <f>IF(($A48&lt;'Alternative 3'!$B$27),(($H48*'Alternative 3'!$B$39)+(3*($N$12/3)*COS($K$13))),IF(($A48&lt;'Alternative 3'!$B$28),(($H48*'Alternative 3'!$B$39)+(2*(($N$12/3)*COS($K$13)))),IF(($A48&lt;'Alternative 3'!$B$29),(($H$3*'Alternative 3'!$B$39+(($N$12/3)*COS($K$13)))),($H48*'Alternative 3'!$B$39))))</f>
        <v>#VALUE!</v>
      </c>
      <c r="Z48" s="105" t="e">
        <f>X48*'Alternative 3'!$K49/'Alternative 3'!$L49</f>
        <v>#VALUE!</v>
      </c>
      <c r="AA48" s="105" t="e">
        <f>Y48/'Alternative 3'!$M49</f>
        <v>#VALUE!</v>
      </c>
      <c r="AB48" s="105" t="e">
        <f t="shared" si="3"/>
        <v>#VALUE!</v>
      </c>
      <c r="AD48" s="105" t="e">
        <f>'Alternative 3'!$B$39*$B48*$C48*COS($K$23)-($N$22/3)*$E48*SIN($K$23)-($N$22/3)*$F48*SIN($K$23)-($N$22/3)*$G48*SIN($K$23)</f>
        <v>#VALUE!</v>
      </c>
      <c r="AE48" s="106" t="e">
        <f>IF(($A48&lt;'Alternative 3'!$B$27),(($H48*'Alternative 3'!$B$39)+(3*($N$22/3)*COS($K$23))),IF(($A48&lt;'Alternative 3'!$B$28),(($H48*'Alternative 3'!$B$39)+(2*(($N$22/3)*COS($K$23)))),IF(($A48&lt;'Alternative 3'!$B$29),(($H$3*'Alternative 3'!$B$39+(($N$22/3)*COS($K$23)))),($H48*'Alternative 3'!$B$39))))</f>
        <v>#VALUE!</v>
      </c>
      <c r="AF48" s="105" t="e">
        <f>AD48*'Alternative 3'!$K49/'Alternative 3'!$L49</f>
        <v>#VALUE!</v>
      </c>
      <c r="AG48" s="105" t="e">
        <f>AE48/'Alternative 3'!$M49</f>
        <v>#VALUE!</v>
      </c>
      <c r="AH48" s="105" t="e">
        <f t="shared" si="4"/>
        <v>#VALUE!</v>
      </c>
      <c r="AJ48" s="105" t="e">
        <f>'Alternative 3'!$B$39*$B48*$C48*COS($K$33)-($N$32/3)*$E48*SIN($K$33)-($N$32/3)*$F48*SIN($K$33)-($N$32/3)*$G48*SIN($K$33)</f>
        <v>#VALUE!</v>
      </c>
      <c r="AK48" s="106" t="e">
        <f>IF(($A48&lt;'Alternative 3'!$B$27),(($H48*'Alternative 3'!$B$39)+(3*($N$32/3)*COS($K$33))),IF(($A48&lt;'Alternative 3'!$B$28),(($H48*'Alternative 3'!$B$39)+(2*(($N$32/3)*COS($K$33)))),IF(($A48&lt;'Alternative 3'!$B$29),(($H$3*'Alternative 3'!$B$39+(($N$32/3)*COS($K$33)))),($H48*'Alternative 3'!$B$39))))</f>
        <v>#VALUE!</v>
      </c>
      <c r="AL48" s="105" t="e">
        <f>AJ48*'Alternative 3'!$K49/'Alternative 3'!$L49</f>
        <v>#VALUE!</v>
      </c>
      <c r="AM48" s="105" t="e">
        <f>AK48/'Alternative 3'!$M49</f>
        <v>#VALUE!</v>
      </c>
      <c r="AN48" s="105" t="e">
        <f t="shared" si="5"/>
        <v>#VALUE!</v>
      </c>
      <c r="AP48" s="105" t="e">
        <f>'Alternative 3'!$B$39*$B48*$C48*COS($K$43)-($N$42/3)*$E48*SIN($K$43)-($N$42/3)*$F48*SIN($K$43)-($N$42/3)*$G48*SIN($K$43)</f>
        <v>#VALUE!</v>
      </c>
      <c r="AQ48" s="106" t="e">
        <f>IF(($A48&lt;'Alternative 3'!$B$27),(($H48*'Alternative 3'!$B$39)+(3*($N$42/3)*COS($K$43))),IF(($A48&lt;'Alternative 3'!$B$28),(($H48*'Alternative 3'!$B$39)+(2*(($N$42/3)*COS($K$43)))),IF(($A48&lt;'Alternative 3'!$B$29),(($H$3*'Alternative 3'!$B$39+(($N$42/3)*COS($K$43)))),($H48*'Alternative 3'!$B$39))))</f>
        <v>#VALUE!</v>
      </c>
      <c r="AR48" s="105" t="e">
        <f>AP48*'Alternative 3'!$K49/'Alternative 3'!$L49</f>
        <v>#VALUE!</v>
      </c>
      <c r="AS48" s="105" t="e">
        <f>AQ48/'Alternative 3'!$M49</f>
        <v>#VALUE!</v>
      </c>
      <c r="AT48" s="105" t="e">
        <f t="shared" si="6"/>
        <v>#VALUE!</v>
      </c>
      <c r="AV48" s="105" t="e">
        <f>'Alternative 3'!$B$39*$B48*$C48*COS($K$53)-($N$52/3)*$E48*SIN($K$53)-($N$52/3)*$F48*SIN($K$53)-($N$52/3)*$G48*SIN($K$53)</f>
        <v>#VALUE!</v>
      </c>
      <c r="AW48" s="106" t="e">
        <f>IF(($A48&lt;'Alternative 3'!$B$27),(($H48*'Alternative 3'!$B$39)+(3*($N$52/3)*COS($K$53))),IF(($A48&lt;'Alternative 3'!$B$28),(($H48*'Alternative 3'!$B$39)+(2*(($N$52/3)*COS($K$53)))),IF(($A48&lt;'Alternative 3'!$B$29),(($H$3*'Alternative 3'!$B$39+(($N$52/3)*COS($K$53)))),($H48*'Alternative 3'!$B$39))))</f>
        <v>#VALUE!</v>
      </c>
      <c r="AX48" s="105" t="e">
        <f>AV48*'Alternative 3'!$K49/'Alternative 3'!$L49</f>
        <v>#VALUE!</v>
      </c>
      <c r="AY48" s="105" t="e">
        <f>AW48/'Alternative 3'!$M49</f>
        <v>#VALUE!</v>
      </c>
      <c r="AZ48" s="105" t="e">
        <f t="shared" si="7"/>
        <v>#VALUE!</v>
      </c>
      <c r="BB48" s="105" t="e">
        <f>'Alternative 3'!$B$39*$B48*$C48*COS($K$63)-($N$62/3)*$E48*SIN($K$63)-($N$62/3)*$F48*SIN($K$63)-($N$62/3)*$G48*SIN($K$63)</f>
        <v>#VALUE!</v>
      </c>
      <c r="BC48" s="106" t="e">
        <f>IF(($A48&lt;'Alternative 3'!$B$27),(($H48*'Alternative 3'!$B$39)+(3*($N$62/3)*COS($K$63))),IF(($A48&lt;'Alternative 3'!$B$28),(($H48*'Alternative 3'!$B$39)+(2*(($N$62/3)*COS($K$63)))),IF(($A48&lt;'Alternative 3'!$B$29),(($H$3*'Alternative 3'!$B$39+(($N$62/3)*COS($K$63)))),($H48*'Alternative 3'!$B$39))))</f>
        <v>#VALUE!</v>
      </c>
      <c r="BD48" s="105" t="e">
        <f>BB48*'Alternative 3'!$K49/'Alternative 3'!$L49</f>
        <v>#VALUE!</v>
      </c>
      <c r="BE48" s="105" t="e">
        <f>BC48/'Alternative 3'!$M49</f>
        <v>#VALUE!</v>
      </c>
      <c r="BF48" s="105" t="e">
        <f t="shared" si="8"/>
        <v>#VALUE!</v>
      </c>
      <c r="BH48" s="105" t="e">
        <f>'Alternative 3'!$B$39*$B48*$C48*COS($K$73)-($N$72/3)*$E48*SIN($K$73)-($N$72/3)*$F48*SIN($K$73)-($N$72/3)*$G48*SIN($K$73)</f>
        <v>#VALUE!</v>
      </c>
      <c r="BI48" s="106" t="e">
        <f>IF(($A48&lt;'Alternative 3'!$B$27),(($H48*'Alternative 3'!$B$39)+(3*($N$72/3)*COS($K$73))),IF(($A48&lt;'Alternative 3'!$B$28),(($H48*'Alternative 3'!$B$39)+(2*(($N$72/3)*COS($K$73)))),IF(($A48&lt;'Alternative 3'!$B$29),(($H$3*'Alternative 3'!$B$39+(($N$72/3)*COS($K$73)))),($H48*'Alternative 3'!$B$39))))</f>
        <v>#VALUE!</v>
      </c>
      <c r="BJ48" s="105" t="e">
        <f>BH48*'Alternative 3'!$K49/'Alternative 3'!$L49</f>
        <v>#VALUE!</v>
      </c>
      <c r="BK48" s="105" t="e">
        <f>BI48/'Alternative 3'!$M49</f>
        <v>#VALUE!</v>
      </c>
      <c r="BL48" s="105" t="e">
        <f t="shared" si="9"/>
        <v>#VALUE!</v>
      </c>
      <c r="BN48" s="105" t="e">
        <f>'Alternative 3'!$B$39*$B48*$C48*COS($K$83)-($N$82/3)*$E48*SIN($K$83)-($N$82/3)*$F48*SIN($K$83)-($N$82/3)*$G48*SIN($K$83)</f>
        <v>#VALUE!</v>
      </c>
      <c r="BO48" s="106" t="e">
        <f>IF(($A48&lt;'Alternative 3'!$B$27),(($H48*'Alternative 3'!$B$39)+(3*($N$82/3)*COS($K$83))),IF(($A48&lt;'Alternative 3'!$B$28),(($H48*'Alternative 3'!$B$39)+(2*(($N$82/3)*COS($K$83)))),IF(($A48&lt;'Alternative 3'!$B$29),(($H$3*'Alternative 3'!$B$39+(($N$82/3)*COS($K$83)))),($H48*'Alternative 3'!$B$39))))</f>
        <v>#VALUE!</v>
      </c>
      <c r="BP48" s="105" t="e">
        <f>BN48*'Alternative 3'!$K49/'Alternative 3'!$L49</f>
        <v>#VALUE!</v>
      </c>
      <c r="BQ48" s="105" t="e">
        <f>BO48/'Alternative 3'!$M49</f>
        <v>#VALUE!</v>
      </c>
      <c r="BR48" s="105" t="e">
        <f t="shared" si="10"/>
        <v>#VALUE!</v>
      </c>
      <c r="BT48" s="105" t="e">
        <f>'Alternative 3'!$B$39*$B48*$C48*COS($K$93)-($K$92/3)*$E48*SIN($K$93)-($K$92/3)*$F48*SIN($K$93)-($K$92/3)*$G48*SIN($K$93)</f>
        <v>#VALUE!</v>
      </c>
      <c r="BU48" s="106" t="e">
        <f>IF(($A48&lt;'Alternative 3'!$B$27),(($H48*'Alternative 3'!$B$39)+(3*($N$92/3)*COS($K$93))),IF(($A48&lt;'Alternative 3'!$B$28),(($H48*'Alternative 3'!$B$39)+(2*(($N$92/3)*COS($K$93)))),IF(($A48&lt;'Alternative 3'!$B$29),(($H$3*'Alternative 3'!$B$39+(($N$92/3)*COS($K$93)))),($H48*'Alternative 3'!$B$39))))</f>
        <v>#VALUE!</v>
      </c>
      <c r="BV48" s="105" t="e">
        <f>BT48*'Alternative 3'!$K49/'Alternative 3'!$L49</f>
        <v>#VALUE!</v>
      </c>
      <c r="BW48" s="105" t="e">
        <f>BU48/'Alternative 3'!$M49</f>
        <v>#VALUE!</v>
      </c>
      <c r="BX48" s="105" t="e">
        <f t="shared" si="11"/>
        <v>#VALUE!</v>
      </c>
      <c r="BZ48" s="104">
        <v>150</v>
      </c>
      <c r="CA48" s="104">
        <v>-150</v>
      </c>
    </row>
    <row r="49" spans="1:79" ht="15" customHeight="1" x14ac:dyDescent="0.25">
      <c r="A49" s="18" t="str">
        <f>IF('Alternative 3'!F50&gt;0,'Alternative 3'!F50,"x")</f>
        <v>x</v>
      </c>
      <c r="B49" s="18" t="e">
        <f t="shared" si="17"/>
        <v>#VALUE!</v>
      </c>
      <c r="C49" s="18">
        <f t="shared" si="12"/>
        <v>0</v>
      </c>
      <c r="D49" s="18" t="str">
        <f t="shared" si="13"/>
        <v>x</v>
      </c>
      <c r="E49" s="101">
        <f>IF($A49&lt;='Alternative 3'!$B$27, IF($A49='Alternative 3'!$B$27,0,E50+1),0)</f>
        <v>0</v>
      </c>
      <c r="F49" s="101">
        <f>IF($A49&lt;=('Alternative 3'!$B$28), IF($A49=ROUNDDOWN('Alternative 3'!$B$28,0),0,F50+1),0)</f>
        <v>0</v>
      </c>
      <c r="G49" s="101">
        <f>IF($A49&lt;=('Alternative 3'!$B$29), IF($A49=ROUNDDOWN('Alternative 3'!$B$29,0),0,G50+1),0)</f>
        <v>0</v>
      </c>
      <c r="H49" s="18" t="e">
        <f t="shared" si="14"/>
        <v>#VALUE!</v>
      </c>
      <c r="J49" s="104">
        <f t="shared" si="15"/>
        <v>46</v>
      </c>
      <c r="K49" s="104">
        <f t="shared" si="16"/>
        <v>0.80285145591739149</v>
      </c>
      <c r="L49" s="105">
        <f>'Alternative 3'!$B$27*SIN(K49)+'Alternative 3'!$B$28*SIN(K49)+'Alternative 3'!$B$29*SIN(K49)</f>
        <v>48.188573224686237</v>
      </c>
      <c r="M49" s="104">
        <f>(('Alternative 3'!$B$27)*(((('Alternative 3'!$B$28-'Alternative 3'!$B$27)/2)+'Alternative 3'!$B$27)*'Alternative 3'!$B$39)*COS('Alternative 3-Tilt Up (3pt)'!K49))+(('Alternative 3'!$B$28)*((('Alternative 3'!$B$28-'Alternative 3'!$B$27)/2)+(('Alternative 3'!$B$29-'Alternative 3'!$B$28)/2))*('Alternative 3'!$B$39)*COS('Alternative 3-Tilt Up (3pt)'!K49))+(('Alternative 3'!$B$29)*((('Alternative 3'!$B$12-'Alternative 3'!$B$29+(('Alternative 3'!$B$29-'Alternative 3'!$B$28)/2)*('Alternative 3'!$B$39)*COS('Alternative 3-Tilt Up (3pt)'!K49)))))</f>
        <v>1561335.8245580161</v>
      </c>
      <c r="N49" s="104">
        <f t="shared" si="0"/>
        <v>97201.621883141925</v>
      </c>
      <c r="O49" s="104">
        <f>(((('Alternative 3'!$B$28-'Alternative 3'!$B$27)/2)+'Alternative 3'!$B$27)*('Alternative 3'!$B$39)*COS('Alternative 3-Tilt Up (3pt)'!K49))+(((('Alternative 3'!$B$28-'Alternative 3'!$B$27)/2)+(('Alternative 3'!$B$29-'Alternative 3'!$B$28)/2))*('Alternative 3'!$B$39)*COS('Alternative 3-Tilt Up (3pt)'!K49))+(((('Alternative 3'!$B$12-'Alternative 3'!$B$29)+(('Alternative 3'!$B$29-'Alternative 3'!$B$28)/2))*('Alternative 3'!$B$39)*COS('Alternative 3-Tilt Up (3pt)'!K49)))</f>
        <v>101430.51299918166</v>
      </c>
      <c r="P49" s="104">
        <f t="shared" si="1"/>
        <v>67521.920263314983</v>
      </c>
      <c r="R49" s="105" t="e">
        <f>'Alternative 3'!$B$39*$B49*$C49*COS($K$5)-($N$5/3)*$E49*SIN($K$5)-($N$5/3)*$F49*SIN($K$5)-($N$5/3)*$G49*SIN($K$5)</f>
        <v>#VALUE!</v>
      </c>
      <c r="S49" s="106" t="e">
        <f>IF(($A49&lt;'Alternative 3'!$B$27),(($H49*'Alternative 3'!$B$39)+(3*($N$5/3)*COS($K$5))),IF(($A49&lt;'Alternative 3'!$B$28),(($H49*'Alternative 3'!$B$39)+(2*(($N$5/3)*COS($K$5)))),IF(($A49&lt;'Alternative 3'!$B$29),(($H$3*'Alternative 3'!$B$39+(($N$5/3)*COS($K$5)))),($H49*'Alternative 3'!$B$39))))</f>
        <v>#VALUE!</v>
      </c>
      <c r="T49" s="105" t="e">
        <f>R49*'Alternative 3'!$K50/'Alternative 3'!$L50</f>
        <v>#VALUE!</v>
      </c>
      <c r="U49" s="105" t="e">
        <f>S49/'Alternative 3'!$M50</f>
        <v>#VALUE!</v>
      </c>
      <c r="V49" s="105" t="e">
        <f t="shared" si="2"/>
        <v>#VALUE!</v>
      </c>
      <c r="X49" s="105" t="e">
        <f>'Alternative 3'!$B$39*$B49*$C49*COS($K$13)-($N$12/3)*$E49*SIN($K$13)-($N$12/3)*$F49*SIN($K$13)-($N$12/3)*$G49*SIN($K$13)</f>
        <v>#VALUE!</v>
      </c>
      <c r="Y49" s="106" t="e">
        <f>IF(($A49&lt;'Alternative 3'!$B$27),(($H49*'Alternative 3'!$B$39)+(3*($N$12/3)*COS($K$13))),IF(($A49&lt;'Alternative 3'!$B$28),(($H49*'Alternative 3'!$B$39)+(2*(($N$12/3)*COS($K$13)))),IF(($A49&lt;'Alternative 3'!$B$29),(($H$3*'Alternative 3'!$B$39+(($N$12/3)*COS($K$13)))),($H49*'Alternative 3'!$B$39))))</f>
        <v>#VALUE!</v>
      </c>
      <c r="Z49" s="105" t="e">
        <f>X49*'Alternative 3'!$K50/'Alternative 3'!$L50</f>
        <v>#VALUE!</v>
      </c>
      <c r="AA49" s="105" t="e">
        <f>Y49/'Alternative 3'!$M50</f>
        <v>#VALUE!</v>
      </c>
      <c r="AB49" s="105" t="e">
        <f t="shared" si="3"/>
        <v>#VALUE!</v>
      </c>
      <c r="AD49" s="105" t="e">
        <f>'Alternative 3'!$B$39*$B49*$C49*COS($K$23)-($N$22/3)*$E49*SIN($K$23)-($N$22/3)*$F49*SIN($K$23)-($N$22/3)*$G49*SIN($K$23)</f>
        <v>#VALUE!</v>
      </c>
      <c r="AE49" s="106" t="e">
        <f>IF(($A49&lt;'Alternative 3'!$B$27),(($H49*'Alternative 3'!$B$39)+(3*($N$22/3)*COS($K$23))),IF(($A49&lt;'Alternative 3'!$B$28),(($H49*'Alternative 3'!$B$39)+(2*(($N$22/3)*COS($K$23)))),IF(($A49&lt;'Alternative 3'!$B$29),(($H$3*'Alternative 3'!$B$39+(($N$22/3)*COS($K$23)))),($H49*'Alternative 3'!$B$39))))</f>
        <v>#VALUE!</v>
      </c>
      <c r="AF49" s="105" t="e">
        <f>AD49*'Alternative 3'!$K50/'Alternative 3'!$L50</f>
        <v>#VALUE!</v>
      </c>
      <c r="AG49" s="105" t="e">
        <f>AE49/'Alternative 3'!$M50</f>
        <v>#VALUE!</v>
      </c>
      <c r="AH49" s="105" t="e">
        <f t="shared" si="4"/>
        <v>#VALUE!</v>
      </c>
      <c r="AJ49" s="105" t="e">
        <f>'Alternative 3'!$B$39*$B49*$C49*COS($K$33)-($N$32/3)*$E49*SIN($K$33)-($N$32/3)*$F49*SIN($K$33)-($N$32/3)*$G49*SIN($K$33)</f>
        <v>#VALUE!</v>
      </c>
      <c r="AK49" s="106" t="e">
        <f>IF(($A49&lt;'Alternative 3'!$B$27),(($H49*'Alternative 3'!$B$39)+(3*($N$32/3)*COS($K$33))),IF(($A49&lt;'Alternative 3'!$B$28),(($H49*'Alternative 3'!$B$39)+(2*(($N$32/3)*COS($K$33)))),IF(($A49&lt;'Alternative 3'!$B$29),(($H$3*'Alternative 3'!$B$39+(($N$32/3)*COS($K$33)))),($H49*'Alternative 3'!$B$39))))</f>
        <v>#VALUE!</v>
      </c>
      <c r="AL49" s="105" t="e">
        <f>AJ49*'Alternative 3'!$K50/'Alternative 3'!$L50</f>
        <v>#VALUE!</v>
      </c>
      <c r="AM49" s="105" t="e">
        <f>AK49/'Alternative 3'!$M50</f>
        <v>#VALUE!</v>
      </c>
      <c r="AN49" s="105" t="e">
        <f t="shared" si="5"/>
        <v>#VALUE!</v>
      </c>
      <c r="AP49" s="105" t="e">
        <f>'Alternative 3'!$B$39*$B49*$C49*COS($K$43)-($N$42/3)*$E49*SIN($K$43)-($N$42/3)*$F49*SIN($K$43)-($N$42/3)*$G49*SIN($K$43)</f>
        <v>#VALUE!</v>
      </c>
      <c r="AQ49" s="106" t="e">
        <f>IF(($A49&lt;'Alternative 3'!$B$27),(($H49*'Alternative 3'!$B$39)+(3*($N$42/3)*COS($K$43))),IF(($A49&lt;'Alternative 3'!$B$28),(($H49*'Alternative 3'!$B$39)+(2*(($N$42/3)*COS($K$43)))),IF(($A49&lt;'Alternative 3'!$B$29),(($H$3*'Alternative 3'!$B$39+(($N$42/3)*COS($K$43)))),($H49*'Alternative 3'!$B$39))))</f>
        <v>#VALUE!</v>
      </c>
      <c r="AR49" s="105" t="e">
        <f>AP49*'Alternative 3'!$K50/'Alternative 3'!$L50</f>
        <v>#VALUE!</v>
      </c>
      <c r="AS49" s="105" t="e">
        <f>AQ49/'Alternative 3'!$M50</f>
        <v>#VALUE!</v>
      </c>
      <c r="AT49" s="105" t="e">
        <f t="shared" si="6"/>
        <v>#VALUE!</v>
      </c>
      <c r="AV49" s="105" t="e">
        <f>'Alternative 3'!$B$39*$B49*$C49*COS($K$53)-($N$52/3)*$E49*SIN($K$53)-($N$52/3)*$F49*SIN($K$53)-($N$52/3)*$G49*SIN($K$53)</f>
        <v>#VALUE!</v>
      </c>
      <c r="AW49" s="106" t="e">
        <f>IF(($A49&lt;'Alternative 3'!$B$27),(($H49*'Alternative 3'!$B$39)+(3*($N$52/3)*COS($K$53))),IF(($A49&lt;'Alternative 3'!$B$28),(($H49*'Alternative 3'!$B$39)+(2*(($N$52/3)*COS($K$53)))),IF(($A49&lt;'Alternative 3'!$B$29),(($H$3*'Alternative 3'!$B$39+(($N$52/3)*COS($K$53)))),($H49*'Alternative 3'!$B$39))))</f>
        <v>#VALUE!</v>
      </c>
      <c r="AX49" s="105" t="e">
        <f>AV49*'Alternative 3'!$K50/'Alternative 3'!$L50</f>
        <v>#VALUE!</v>
      </c>
      <c r="AY49" s="105" t="e">
        <f>AW49/'Alternative 3'!$M50</f>
        <v>#VALUE!</v>
      </c>
      <c r="AZ49" s="105" t="e">
        <f t="shared" si="7"/>
        <v>#VALUE!</v>
      </c>
      <c r="BB49" s="105" t="e">
        <f>'Alternative 3'!$B$39*$B49*$C49*COS($K$63)-($N$62/3)*$E49*SIN($K$63)-($N$62/3)*$F49*SIN($K$63)-($N$62/3)*$G49*SIN($K$63)</f>
        <v>#VALUE!</v>
      </c>
      <c r="BC49" s="106" t="e">
        <f>IF(($A49&lt;'Alternative 3'!$B$27),(($H49*'Alternative 3'!$B$39)+(3*($N$62/3)*COS($K$63))),IF(($A49&lt;'Alternative 3'!$B$28),(($H49*'Alternative 3'!$B$39)+(2*(($N$62/3)*COS($K$63)))),IF(($A49&lt;'Alternative 3'!$B$29),(($H$3*'Alternative 3'!$B$39+(($N$62/3)*COS($K$63)))),($H49*'Alternative 3'!$B$39))))</f>
        <v>#VALUE!</v>
      </c>
      <c r="BD49" s="105" t="e">
        <f>BB49*'Alternative 3'!$K50/'Alternative 3'!$L50</f>
        <v>#VALUE!</v>
      </c>
      <c r="BE49" s="105" t="e">
        <f>BC49/'Alternative 3'!$M50</f>
        <v>#VALUE!</v>
      </c>
      <c r="BF49" s="105" t="e">
        <f t="shared" si="8"/>
        <v>#VALUE!</v>
      </c>
      <c r="BH49" s="105" t="e">
        <f>'Alternative 3'!$B$39*$B49*$C49*COS($K$73)-($N$72/3)*$E49*SIN($K$73)-($N$72/3)*$F49*SIN($K$73)-($N$72/3)*$G49*SIN($K$73)</f>
        <v>#VALUE!</v>
      </c>
      <c r="BI49" s="106" t="e">
        <f>IF(($A49&lt;'Alternative 3'!$B$27),(($H49*'Alternative 3'!$B$39)+(3*($N$72/3)*COS($K$73))),IF(($A49&lt;'Alternative 3'!$B$28),(($H49*'Alternative 3'!$B$39)+(2*(($N$72/3)*COS($K$73)))),IF(($A49&lt;'Alternative 3'!$B$29),(($H$3*'Alternative 3'!$B$39+(($N$72/3)*COS($K$73)))),($H49*'Alternative 3'!$B$39))))</f>
        <v>#VALUE!</v>
      </c>
      <c r="BJ49" s="105" t="e">
        <f>BH49*'Alternative 3'!$K50/'Alternative 3'!$L50</f>
        <v>#VALUE!</v>
      </c>
      <c r="BK49" s="105" t="e">
        <f>BI49/'Alternative 3'!$M50</f>
        <v>#VALUE!</v>
      </c>
      <c r="BL49" s="105" t="e">
        <f t="shared" si="9"/>
        <v>#VALUE!</v>
      </c>
      <c r="BN49" s="105" t="e">
        <f>'Alternative 3'!$B$39*$B49*$C49*COS($K$83)-($N$82/3)*$E49*SIN($K$83)-($N$82/3)*$F49*SIN($K$83)-($N$82/3)*$G49*SIN($K$83)</f>
        <v>#VALUE!</v>
      </c>
      <c r="BO49" s="106" t="e">
        <f>IF(($A49&lt;'Alternative 3'!$B$27),(($H49*'Alternative 3'!$B$39)+(3*($N$82/3)*COS($K$83))),IF(($A49&lt;'Alternative 3'!$B$28),(($H49*'Alternative 3'!$B$39)+(2*(($N$82/3)*COS($K$83)))),IF(($A49&lt;'Alternative 3'!$B$29),(($H$3*'Alternative 3'!$B$39+(($N$82/3)*COS($K$83)))),($H49*'Alternative 3'!$B$39))))</f>
        <v>#VALUE!</v>
      </c>
      <c r="BP49" s="105" t="e">
        <f>BN49*'Alternative 3'!$K50/'Alternative 3'!$L50</f>
        <v>#VALUE!</v>
      </c>
      <c r="BQ49" s="105" t="e">
        <f>BO49/'Alternative 3'!$M50</f>
        <v>#VALUE!</v>
      </c>
      <c r="BR49" s="105" t="e">
        <f t="shared" si="10"/>
        <v>#VALUE!</v>
      </c>
      <c r="BT49" s="105" t="e">
        <f>'Alternative 3'!$B$39*$B49*$C49*COS($K$93)-($K$92/3)*$E49*SIN($K$93)-($K$92/3)*$F49*SIN($K$93)-($K$92/3)*$G49*SIN($K$93)</f>
        <v>#VALUE!</v>
      </c>
      <c r="BU49" s="106" t="e">
        <f>IF(($A49&lt;'Alternative 3'!$B$27),(($H49*'Alternative 3'!$B$39)+(3*($N$92/3)*COS($K$93))),IF(($A49&lt;'Alternative 3'!$B$28),(($H49*'Alternative 3'!$B$39)+(2*(($N$92/3)*COS($K$93)))),IF(($A49&lt;'Alternative 3'!$B$29),(($H$3*'Alternative 3'!$B$39+(($N$92/3)*COS($K$93)))),($H49*'Alternative 3'!$B$39))))</f>
        <v>#VALUE!</v>
      </c>
      <c r="BV49" s="105" t="e">
        <f>BT49*'Alternative 3'!$K50/'Alternative 3'!$L50</f>
        <v>#VALUE!</v>
      </c>
      <c r="BW49" s="105" t="e">
        <f>BU49/'Alternative 3'!$M50</f>
        <v>#VALUE!</v>
      </c>
      <c r="BX49" s="105" t="e">
        <f t="shared" si="11"/>
        <v>#VALUE!</v>
      </c>
      <c r="BZ49" s="104">
        <v>150</v>
      </c>
      <c r="CA49" s="104">
        <v>-150</v>
      </c>
    </row>
    <row r="50" spans="1:79" ht="15" customHeight="1" x14ac:dyDescent="0.25">
      <c r="A50" s="18" t="str">
        <f>IF('Alternative 3'!F51&gt;0,'Alternative 3'!F51,"x")</f>
        <v>x</v>
      </c>
      <c r="B50" s="18" t="e">
        <f t="shared" si="17"/>
        <v>#VALUE!</v>
      </c>
      <c r="C50" s="18">
        <f t="shared" si="12"/>
        <v>0</v>
      </c>
      <c r="D50" s="18" t="str">
        <f t="shared" si="13"/>
        <v>x</v>
      </c>
      <c r="E50" s="101">
        <f>IF($A50&lt;='Alternative 3'!$B$27, IF($A50='Alternative 3'!$B$27,0,E51+1),0)</f>
        <v>0</v>
      </c>
      <c r="F50" s="101">
        <f>IF($A50&lt;=('Alternative 3'!$B$28), IF($A50=ROUNDDOWN('Alternative 3'!$B$28,0),0,F51+1),0)</f>
        <v>0</v>
      </c>
      <c r="G50" s="101">
        <f>IF($A50&lt;=('Alternative 3'!$B$29), IF($A50=ROUNDDOWN('Alternative 3'!$B$29,0),0,G51+1),0)</f>
        <v>0</v>
      </c>
      <c r="H50" s="18" t="e">
        <f t="shared" si="14"/>
        <v>#VALUE!</v>
      </c>
      <c r="J50" s="104">
        <f t="shared" si="15"/>
        <v>47</v>
      </c>
      <c r="K50" s="104">
        <f t="shared" si="16"/>
        <v>0.82030474843733492</v>
      </c>
      <c r="L50" s="105">
        <f>'Alternative 3'!$B$27*SIN(K50)+'Alternative 3'!$B$28*SIN(K50)+'Alternative 3'!$B$29*SIN(K50)</f>
        <v>48.993384471468232</v>
      </c>
      <c r="M50" s="104">
        <f>(('Alternative 3'!$B$27)*(((('Alternative 3'!$B$28-'Alternative 3'!$B$27)/2)+'Alternative 3'!$B$27)*'Alternative 3'!$B$39)*COS('Alternative 3-Tilt Up (3pt)'!K50))+(('Alternative 3'!$B$28)*((('Alternative 3'!$B$28-'Alternative 3'!$B$27)/2)+(('Alternative 3'!$B$29-'Alternative 3'!$B$28)/2))*('Alternative 3'!$B$39)*COS('Alternative 3-Tilt Up (3pt)'!K50))+(('Alternative 3'!$B$29)*((('Alternative 3'!$B$12-'Alternative 3'!$B$29+(('Alternative 3'!$B$29-'Alternative 3'!$B$28)/2)*('Alternative 3'!$B$39)*COS('Alternative 3-Tilt Up (3pt)'!K50)))))</f>
        <v>1532884.1017655905</v>
      </c>
      <c r="N50" s="104">
        <f t="shared" si="0"/>
        <v>93862.719526446279</v>
      </c>
      <c r="O50" s="104">
        <f>(((('Alternative 3'!$B$28-'Alternative 3'!$B$27)/2)+'Alternative 3'!$B$27)*('Alternative 3'!$B$39)*COS('Alternative 3-Tilt Up (3pt)'!K50))+(((('Alternative 3'!$B$28-'Alternative 3'!$B$27)/2)+(('Alternative 3'!$B$29-'Alternative 3'!$B$28)/2))*('Alternative 3'!$B$39)*COS('Alternative 3-Tilt Up (3pt)'!K50))+(((('Alternative 3'!$B$12-'Alternative 3'!$B$29)+(('Alternative 3'!$B$29-'Alternative 3'!$B$28)/2))*('Alternative 3'!$B$39)*COS('Alternative 3-Tilt Up (3pt)'!K50)))</f>
        <v>99581.962108988868</v>
      </c>
      <c r="P50" s="104">
        <f t="shared" si="1"/>
        <v>64014.220788042614</v>
      </c>
      <c r="R50" s="105" t="e">
        <f>'Alternative 3'!$B$39*$B50*$C50*COS($K$5)-($N$5/3)*$E50*SIN($K$5)-($N$5/3)*$F50*SIN($K$5)-($N$5/3)*$G50*SIN($K$5)</f>
        <v>#VALUE!</v>
      </c>
      <c r="S50" s="106" t="e">
        <f>IF(($A50&lt;'Alternative 3'!$B$27),(($H50*'Alternative 3'!$B$39)+(3*($N$5/3)*COS($K$5))),IF(($A50&lt;'Alternative 3'!$B$28),(($H50*'Alternative 3'!$B$39)+(2*(($N$5/3)*COS($K$5)))),IF(($A50&lt;'Alternative 3'!$B$29),(($H$3*'Alternative 3'!$B$39+(($N$5/3)*COS($K$5)))),($H50*'Alternative 3'!$B$39))))</f>
        <v>#VALUE!</v>
      </c>
      <c r="T50" s="105" t="e">
        <f>R50*'Alternative 3'!$K51/'Alternative 3'!$L51</f>
        <v>#VALUE!</v>
      </c>
      <c r="U50" s="105" t="e">
        <f>S50/'Alternative 3'!$M51</f>
        <v>#VALUE!</v>
      </c>
      <c r="V50" s="105" t="e">
        <f t="shared" si="2"/>
        <v>#VALUE!</v>
      </c>
      <c r="X50" s="105" t="e">
        <f>'Alternative 3'!$B$39*$B50*$C50*COS($K$13)-($N$12/3)*$E50*SIN($K$13)-($N$12/3)*$F50*SIN($K$13)-($N$12/3)*$G50*SIN($K$13)</f>
        <v>#VALUE!</v>
      </c>
      <c r="Y50" s="106" t="e">
        <f>IF(($A50&lt;'Alternative 3'!$B$27),(($H50*'Alternative 3'!$B$39)+(3*($N$12/3)*COS($K$13))),IF(($A50&lt;'Alternative 3'!$B$28),(($H50*'Alternative 3'!$B$39)+(2*(($N$12/3)*COS($K$13)))),IF(($A50&lt;'Alternative 3'!$B$29),(($H$3*'Alternative 3'!$B$39+(($N$12/3)*COS($K$13)))),($H50*'Alternative 3'!$B$39))))</f>
        <v>#VALUE!</v>
      </c>
      <c r="Z50" s="105" t="e">
        <f>X50*'Alternative 3'!$K51/'Alternative 3'!$L51</f>
        <v>#VALUE!</v>
      </c>
      <c r="AA50" s="105" t="e">
        <f>Y50/'Alternative 3'!$M51</f>
        <v>#VALUE!</v>
      </c>
      <c r="AB50" s="105" t="e">
        <f t="shared" si="3"/>
        <v>#VALUE!</v>
      </c>
      <c r="AD50" s="105" t="e">
        <f>'Alternative 3'!$B$39*$B50*$C50*COS($K$23)-($N$22/3)*$E50*SIN($K$23)-($N$22/3)*$F50*SIN($K$23)-($N$22/3)*$G50*SIN($K$23)</f>
        <v>#VALUE!</v>
      </c>
      <c r="AE50" s="106" t="e">
        <f>IF(($A50&lt;'Alternative 3'!$B$27),(($H50*'Alternative 3'!$B$39)+(3*($N$22/3)*COS($K$23))),IF(($A50&lt;'Alternative 3'!$B$28),(($H50*'Alternative 3'!$B$39)+(2*(($N$22/3)*COS($K$23)))),IF(($A50&lt;'Alternative 3'!$B$29),(($H$3*'Alternative 3'!$B$39+(($N$22/3)*COS($K$23)))),($H50*'Alternative 3'!$B$39))))</f>
        <v>#VALUE!</v>
      </c>
      <c r="AF50" s="105" t="e">
        <f>AD50*'Alternative 3'!$K51/'Alternative 3'!$L51</f>
        <v>#VALUE!</v>
      </c>
      <c r="AG50" s="105" t="e">
        <f>AE50/'Alternative 3'!$M51</f>
        <v>#VALUE!</v>
      </c>
      <c r="AH50" s="105" t="e">
        <f t="shared" si="4"/>
        <v>#VALUE!</v>
      </c>
      <c r="AJ50" s="105" t="e">
        <f>'Alternative 3'!$B$39*$B50*$C50*COS($K$33)-($N$32/3)*$E50*SIN($K$33)-($N$32/3)*$F50*SIN($K$33)-($N$32/3)*$G50*SIN($K$33)</f>
        <v>#VALUE!</v>
      </c>
      <c r="AK50" s="106" t="e">
        <f>IF(($A50&lt;'Alternative 3'!$B$27),(($H50*'Alternative 3'!$B$39)+(3*($N$32/3)*COS($K$33))),IF(($A50&lt;'Alternative 3'!$B$28),(($H50*'Alternative 3'!$B$39)+(2*(($N$32/3)*COS($K$33)))),IF(($A50&lt;'Alternative 3'!$B$29),(($H$3*'Alternative 3'!$B$39+(($N$32/3)*COS($K$33)))),($H50*'Alternative 3'!$B$39))))</f>
        <v>#VALUE!</v>
      </c>
      <c r="AL50" s="105" t="e">
        <f>AJ50*'Alternative 3'!$K51/'Alternative 3'!$L51</f>
        <v>#VALUE!</v>
      </c>
      <c r="AM50" s="105" t="e">
        <f>AK50/'Alternative 3'!$M51</f>
        <v>#VALUE!</v>
      </c>
      <c r="AN50" s="105" t="e">
        <f t="shared" si="5"/>
        <v>#VALUE!</v>
      </c>
      <c r="AP50" s="105" t="e">
        <f>'Alternative 3'!$B$39*$B50*$C50*COS($K$43)-($N$42/3)*$E50*SIN($K$43)-($N$42/3)*$F50*SIN($K$43)-($N$42/3)*$G50*SIN($K$43)</f>
        <v>#VALUE!</v>
      </c>
      <c r="AQ50" s="106" t="e">
        <f>IF(($A50&lt;'Alternative 3'!$B$27),(($H50*'Alternative 3'!$B$39)+(3*($N$42/3)*COS($K$43))),IF(($A50&lt;'Alternative 3'!$B$28),(($H50*'Alternative 3'!$B$39)+(2*(($N$42/3)*COS($K$43)))),IF(($A50&lt;'Alternative 3'!$B$29),(($H$3*'Alternative 3'!$B$39+(($N$42/3)*COS($K$43)))),($H50*'Alternative 3'!$B$39))))</f>
        <v>#VALUE!</v>
      </c>
      <c r="AR50" s="105" t="e">
        <f>AP50*'Alternative 3'!$K51/'Alternative 3'!$L51</f>
        <v>#VALUE!</v>
      </c>
      <c r="AS50" s="105" t="e">
        <f>AQ50/'Alternative 3'!$M51</f>
        <v>#VALUE!</v>
      </c>
      <c r="AT50" s="105" t="e">
        <f t="shared" si="6"/>
        <v>#VALUE!</v>
      </c>
      <c r="AV50" s="105" t="e">
        <f>'Alternative 3'!$B$39*$B50*$C50*COS($K$53)-($N$52/3)*$E50*SIN($K$53)-($N$52/3)*$F50*SIN($K$53)-($N$52/3)*$G50*SIN($K$53)</f>
        <v>#VALUE!</v>
      </c>
      <c r="AW50" s="106" t="e">
        <f>IF(($A50&lt;'Alternative 3'!$B$27),(($H50*'Alternative 3'!$B$39)+(3*($N$52/3)*COS($K$53))),IF(($A50&lt;'Alternative 3'!$B$28),(($H50*'Alternative 3'!$B$39)+(2*(($N$52/3)*COS($K$53)))),IF(($A50&lt;'Alternative 3'!$B$29),(($H$3*'Alternative 3'!$B$39+(($N$52/3)*COS($K$53)))),($H50*'Alternative 3'!$B$39))))</f>
        <v>#VALUE!</v>
      </c>
      <c r="AX50" s="105" t="e">
        <f>AV50*'Alternative 3'!$K51/'Alternative 3'!$L51</f>
        <v>#VALUE!</v>
      </c>
      <c r="AY50" s="105" t="e">
        <f>AW50/'Alternative 3'!$M51</f>
        <v>#VALUE!</v>
      </c>
      <c r="AZ50" s="105" t="e">
        <f t="shared" si="7"/>
        <v>#VALUE!</v>
      </c>
      <c r="BB50" s="105" t="e">
        <f>'Alternative 3'!$B$39*$B50*$C50*COS($K$63)-($N$62/3)*$E50*SIN($K$63)-($N$62/3)*$F50*SIN($K$63)-($N$62/3)*$G50*SIN($K$63)</f>
        <v>#VALUE!</v>
      </c>
      <c r="BC50" s="106" t="e">
        <f>IF(($A50&lt;'Alternative 3'!$B$27),(($H50*'Alternative 3'!$B$39)+(3*($N$62/3)*COS($K$63))),IF(($A50&lt;'Alternative 3'!$B$28),(($H50*'Alternative 3'!$B$39)+(2*(($N$62/3)*COS($K$63)))),IF(($A50&lt;'Alternative 3'!$B$29),(($H$3*'Alternative 3'!$B$39+(($N$62/3)*COS($K$63)))),($H50*'Alternative 3'!$B$39))))</f>
        <v>#VALUE!</v>
      </c>
      <c r="BD50" s="105" t="e">
        <f>BB50*'Alternative 3'!$K51/'Alternative 3'!$L51</f>
        <v>#VALUE!</v>
      </c>
      <c r="BE50" s="105" t="e">
        <f>BC50/'Alternative 3'!$M51</f>
        <v>#VALUE!</v>
      </c>
      <c r="BF50" s="105" t="e">
        <f t="shared" si="8"/>
        <v>#VALUE!</v>
      </c>
      <c r="BH50" s="105" t="e">
        <f>'Alternative 3'!$B$39*$B50*$C50*COS($K$73)-($N$72/3)*$E50*SIN($K$73)-($N$72/3)*$F50*SIN($K$73)-($N$72/3)*$G50*SIN($K$73)</f>
        <v>#VALUE!</v>
      </c>
      <c r="BI50" s="106" t="e">
        <f>IF(($A50&lt;'Alternative 3'!$B$27),(($H50*'Alternative 3'!$B$39)+(3*($N$72/3)*COS($K$73))),IF(($A50&lt;'Alternative 3'!$B$28),(($H50*'Alternative 3'!$B$39)+(2*(($N$72/3)*COS($K$73)))),IF(($A50&lt;'Alternative 3'!$B$29),(($H$3*'Alternative 3'!$B$39+(($N$72/3)*COS($K$73)))),($H50*'Alternative 3'!$B$39))))</f>
        <v>#VALUE!</v>
      </c>
      <c r="BJ50" s="105" t="e">
        <f>BH50*'Alternative 3'!$K51/'Alternative 3'!$L51</f>
        <v>#VALUE!</v>
      </c>
      <c r="BK50" s="105" t="e">
        <f>BI50/'Alternative 3'!$M51</f>
        <v>#VALUE!</v>
      </c>
      <c r="BL50" s="105" t="e">
        <f t="shared" si="9"/>
        <v>#VALUE!</v>
      </c>
      <c r="BN50" s="105" t="e">
        <f>'Alternative 3'!$B$39*$B50*$C50*COS($K$83)-($N$82/3)*$E50*SIN($K$83)-($N$82/3)*$F50*SIN($K$83)-($N$82/3)*$G50*SIN($K$83)</f>
        <v>#VALUE!</v>
      </c>
      <c r="BO50" s="106" t="e">
        <f>IF(($A50&lt;'Alternative 3'!$B$27),(($H50*'Alternative 3'!$B$39)+(3*($N$82/3)*COS($K$83))),IF(($A50&lt;'Alternative 3'!$B$28),(($H50*'Alternative 3'!$B$39)+(2*(($N$82/3)*COS($K$83)))),IF(($A50&lt;'Alternative 3'!$B$29),(($H$3*'Alternative 3'!$B$39+(($N$82/3)*COS($K$83)))),($H50*'Alternative 3'!$B$39))))</f>
        <v>#VALUE!</v>
      </c>
      <c r="BP50" s="105" t="e">
        <f>BN50*'Alternative 3'!$K51/'Alternative 3'!$L51</f>
        <v>#VALUE!</v>
      </c>
      <c r="BQ50" s="105" t="e">
        <f>BO50/'Alternative 3'!$M51</f>
        <v>#VALUE!</v>
      </c>
      <c r="BR50" s="105" t="e">
        <f t="shared" si="10"/>
        <v>#VALUE!</v>
      </c>
      <c r="BT50" s="105" t="e">
        <f>'Alternative 3'!$B$39*$B50*$C50*COS($K$93)-($K$92/3)*$E50*SIN($K$93)-($K$92/3)*$F50*SIN($K$93)-($K$92/3)*$G50*SIN($K$93)</f>
        <v>#VALUE!</v>
      </c>
      <c r="BU50" s="106" t="e">
        <f>IF(($A50&lt;'Alternative 3'!$B$27),(($H50*'Alternative 3'!$B$39)+(3*($N$92/3)*COS($K$93))),IF(($A50&lt;'Alternative 3'!$B$28),(($H50*'Alternative 3'!$B$39)+(2*(($N$92/3)*COS($K$93)))),IF(($A50&lt;'Alternative 3'!$B$29),(($H$3*'Alternative 3'!$B$39+(($N$92/3)*COS($K$93)))),($H50*'Alternative 3'!$B$39))))</f>
        <v>#VALUE!</v>
      </c>
      <c r="BV50" s="105" t="e">
        <f>BT50*'Alternative 3'!$K51/'Alternative 3'!$L51</f>
        <v>#VALUE!</v>
      </c>
      <c r="BW50" s="105" t="e">
        <f>BU50/'Alternative 3'!$M51</f>
        <v>#VALUE!</v>
      </c>
      <c r="BX50" s="105" t="e">
        <f t="shared" si="11"/>
        <v>#VALUE!</v>
      </c>
      <c r="BZ50" s="104">
        <v>150</v>
      </c>
      <c r="CA50" s="104">
        <v>-150</v>
      </c>
    </row>
    <row r="51" spans="1:79" ht="15" customHeight="1" x14ac:dyDescent="0.25">
      <c r="A51" s="18" t="str">
        <f>IF('Alternative 3'!F52&gt;0,'Alternative 3'!F52,"x")</f>
        <v>x</v>
      </c>
      <c r="B51" s="18" t="e">
        <f t="shared" si="17"/>
        <v>#VALUE!</v>
      </c>
      <c r="C51" s="18">
        <f t="shared" si="12"/>
        <v>0</v>
      </c>
      <c r="D51" s="18" t="str">
        <f t="shared" si="13"/>
        <v>x</v>
      </c>
      <c r="E51" s="101">
        <f>IF($A51&lt;='Alternative 3'!$B$27, IF($A51='Alternative 3'!$B$27,0,E52+1),0)</f>
        <v>0</v>
      </c>
      <c r="F51" s="101">
        <f>IF($A51&lt;=('Alternative 3'!$B$28), IF($A51=ROUNDDOWN('Alternative 3'!$B$28,0),0,F52+1),0)</f>
        <v>0</v>
      </c>
      <c r="G51" s="101">
        <f>IF($A51&lt;=('Alternative 3'!$B$29), IF($A51=ROUNDDOWN('Alternative 3'!$B$29,0),0,G52+1),0)</f>
        <v>0</v>
      </c>
      <c r="H51" s="18" t="e">
        <f t="shared" si="14"/>
        <v>#VALUE!</v>
      </c>
      <c r="J51" s="104">
        <f t="shared" si="15"/>
        <v>48</v>
      </c>
      <c r="K51" s="104">
        <f t="shared" si="16"/>
        <v>0.83775804095727813</v>
      </c>
      <c r="L51" s="105">
        <f>'Alternative 3'!$B$27*SIN(K51)+'Alternative 3'!$B$28*SIN(K51)+'Alternative 3'!$B$29*SIN(K51)</f>
        <v>49.783271858730629</v>
      </c>
      <c r="M51" s="104">
        <f>(('Alternative 3'!$B$27)*(((('Alternative 3'!$B$28-'Alternative 3'!$B$27)/2)+'Alternative 3'!$B$27)*'Alternative 3'!$B$39)*COS('Alternative 3-Tilt Up (3pt)'!K51))+(('Alternative 3'!$B$28)*((('Alternative 3'!$B$28-'Alternative 3'!$B$27)/2)+(('Alternative 3'!$B$29-'Alternative 3'!$B$28)/2))*('Alternative 3'!$B$39)*COS('Alternative 3-Tilt Up (3pt)'!K51))+(('Alternative 3'!$B$29)*((('Alternative 3'!$B$12-'Alternative 3'!$B$29+(('Alternative 3'!$B$29-'Alternative 3'!$B$28)/2)*('Alternative 3'!$B$39)*COS('Alternative 3-Tilt Up (3pt)'!K51)))))</f>
        <v>1503965.502975306</v>
      </c>
      <c r="N51" s="104">
        <f t="shared" si="0"/>
        <v>90630.774966524317</v>
      </c>
      <c r="O51" s="104">
        <f>(((('Alternative 3'!$B$28-'Alternative 3'!$B$27)/2)+'Alternative 3'!$B$27)*('Alternative 3'!$B$39)*COS('Alternative 3-Tilt Up (3pt)'!K51))+(((('Alternative 3'!$B$28-'Alternative 3'!$B$27)/2)+(('Alternative 3'!$B$29-'Alternative 3'!$B$28)/2))*('Alternative 3'!$B$39)*COS('Alternative 3-Tilt Up (3pt)'!K51))+(((('Alternative 3'!$B$12-'Alternative 3'!$B$29)+(('Alternative 3'!$B$29-'Alternative 3'!$B$28)/2))*('Alternative 3'!$B$39)*COS('Alternative 3-Tilt Up (3pt)'!K51)))</f>
        <v>97703.07758846556</v>
      </c>
      <c r="P51" s="104">
        <f t="shared" si="1"/>
        <v>60643.825408123645</v>
      </c>
      <c r="R51" s="105" t="e">
        <f>'Alternative 3'!$B$39*$B51*$C51*COS($K$5)-($N$5/3)*$E51*SIN($K$5)-($N$5/3)*$F51*SIN($K$5)-($N$5/3)*$G51*SIN($K$5)</f>
        <v>#VALUE!</v>
      </c>
      <c r="S51" s="106" t="e">
        <f>IF(($A51&lt;'Alternative 3'!$B$27),(($H51*'Alternative 3'!$B$39)+(3*($N$5/3)*COS($K$5))),IF(($A51&lt;'Alternative 3'!$B$28),(($H51*'Alternative 3'!$B$39)+(2*(($N$5/3)*COS($K$5)))),IF(($A51&lt;'Alternative 3'!$B$29),(($H$3*'Alternative 3'!$B$39+(($N$5/3)*COS($K$5)))),($H51*'Alternative 3'!$B$39))))</f>
        <v>#VALUE!</v>
      </c>
      <c r="T51" s="105" t="e">
        <f>R51*'Alternative 3'!$K52/'Alternative 3'!$L52</f>
        <v>#VALUE!</v>
      </c>
      <c r="U51" s="105" t="e">
        <f>S51/'Alternative 3'!$M52</f>
        <v>#VALUE!</v>
      </c>
      <c r="V51" s="105" t="e">
        <f t="shared" si="2"/>
        <v>#VALUE!</v>
      </c>
      <c r="X51" s="105" t="e">
        <f>'Alternative 3'!$B$39*$B51*$C51*COS($K$13)-($N$12/3)*$E51*SIN($K$13)-($N$12/3)*$F51*SIN($K$13)-($N$12/3)*$G51*SIN($K$13)</f>
        <v>#VALUE!</v>
      </c>
      <c r="Y51" s="106" t="e">
        <f>IF(($A51&lt;'Alternative 3'!$B$27),(($H51*'Alternative 3'!$B$39)+(3*($N$12/3)*COS($K$13))),IF(($A51&lt;'Alternative 3'!$B$28),(($H51*'Alternative 3'!$B$39)+(2*(($N$12/3)*COS($K$13)))),IF(($A51&lt;'Alternative 3'!$B$29),(($H$3*'Alternative 3'!$B$39+(($N$12/3)*COS($K$13)))),($H51*'Alternative 3'!$B$39))))</f>
        <v>#VALUE!</v>
      </c>
      <c r="Z51" s="105" t="e">
        <f>X51*'Alternative 3'!$K52/'Alternative 3'!$L52</f>
        <v>#VALUE!</v>
      </c>
      <c r="AA51" s="105" t="e">
        <f>Y51/'Alternative 3'!$M52</f>
        <v>#VALUE!</v>
      </c>
      <c r="AB51" s="105" t="e">
        <f t="shared" si="3"/>
        <v>#VALUE!</v>
      </c>
      <c r="AD51" s="105" t="e">
        <f>'Alternative 3'!$B$39*$B51*$C51*COS($K$23)-($N$22/3)*$E51*SIN($K$23)-($N$22/3)*$F51*SIN($K$23)-($N$22/3)*$G51*SIN($K$23)</f>
        <v>#VALUE!</v>
      </c>
      <c r="AE51" s="106" t="e">
        <f>IF(($A51&lt;'Alternative 3'!$B$27),(($H51*'Alternative 3'!$B$39)+(3*($N$22/3)*COS($K$23))),IF(($A51&lt;'Alternative 3'!$B$28),(($H51*'Alternative 3'!$B$39)+(2*(($N$22/3)*COS($K$23)))),IF(($A51&lt;'Alternative 3'!$B$29),(($H$3*'Alternative 3'!$B$39+(($N$22/3)*COS($K$23)))),($H51*'Alternative 3'!$B$39))))</f>
        <v>#VALUE!</v>
      </c>
      <c r="AF51" s="105" t="e">
        <f>AD51*'Alternative 3'!$K52/'Alternative 3'!$L52</f>
        <v>#VALUE!</v>
      </c>
      <c r="AG51" s="105" t="e">
        <f>AE51/'Alternative 3'!$M52</f>
        <v>#VALUE!</v>
      </c>
      <c r="AH51" s="105" t="e">
        <f t="shared" si="4"/>
        <v>#VALUE!</v>
      </c>
      <c r="AJ51" s="105" t="e">
        <f>'Alternative 3'!$B$39*$B51*$C51*COS($K$33)-($N$32/3)*$E51*SIN($K$33)-($N$32/3)*$F51*SIN($K$33)-($N$32/3)*$G51*SIN($K$33)</f>
        <v>#VALUE!</v>
      </c>
      <c r="AK51" s="106" t="e">
        <f>IF(($A51&lt;'Alternative 3'!$B$27),(($H51*'Alternative 3'!$B$39)+(3*($N$32/3)*COS($K$33))),IF(($A51&lt;'Alternative 3'!$B$28),(($H51*'Alternative 3'!$B$39)+(2*(($N$32/3)*COS($K$33)))),IF(($A51&lt;'Alternative 3'!$B$29),(($H$3*'Alternative 3'!$B$39+(($N$32/3)*COS($K$33)))),($H51*'Alternative 3'!$B$39))))</f>
        <v>#VALUE!</v>
      </c>
      <c r="AL51" s="105" t="e">
        <f>AJ51*'Alternative 3'!$K52/'Alternative 3'!$L52</f>
        <v>#VALUE!</v>
      </c>
      <c r="AM51" s="105" t="e">
        <f>AK51/'Alternative 3'!$M52</f>
        <v>#VALUE!</v>
      </c>
      <c r="AN51" s="105" t="e">
        <f t="shared" si="5"/>
        <v>#VALUE!</v>
      </c>
      <c r="AP51" s="105" t="e">
        <f>'Alternative 3'!$B$39*$B51*$C51*COS($K$43)-($N$42/3)*$E51*SIN($K$43)-($N$42/3)*$F51*SIN($K$43)-($N$42/3)*$G51*SIN($K$43)</f>
        <v>#VALUE!</v>
      </c>
      <c r="AQ51" s="106" t="e">
        <f>IF(($A51&lt;'Alternative 3'!$B$27),(($H51*'Alternative 3'!$B$39)+(3*($N$42/3)*COS($K$43))),IF(($A51&lt;'Alternative 3'!$B$28),(($H51*'Alternative 3'!$B$39)+(2*(($N$42/3)*COS($K$43)))),IF(($A51&lt;'Alternative 3'!$B$29),(($H$3*'Alternative 3'!$B$39+(($N$42/3)*COS($K$43)))),($H51*'Alternative 3'!$B$39))))</f>
        <v>#VALUE!</v>
      </c>
      <c r="AR51" s="105" t="e">
        <f>AP51*'Alternative 3'!$K52/'Alternative 3'!$L52</f>
        <v>#VALUE!</v>
      </c>
      <c r="AS51" s="105" t="e">
        <f>AQ51/'Alternative 3'!$M52</f>
        <v>#VALUE!</v>
      </c>
      <c r="AT51" s="105" t="e">
        <f t="shared" si="6"/>
        <v>#VALUE!</v>
      </c>
      <c r="AV51" s="105" t="e">
        <f>'Alternative 3'!$B$39*$B51*$C51*COS($K$53)-($N$52/3)*$E51*SIN($K$53)-($N$52/3)*$F51*SIN($K$53)-($N$52/3)*$G51*SIN($K$53)</f>
        <v>#VALUE!</v>
      </c>
      <c r="AW51" s="106" t="e">
        <f>IF(($A51&lt;'Alternative 3'!$B$27),(($H51*'Alternative 3'!$B$39)+(3*($N$52/3)*COS($K$53))),IF(($A51&lt;'Alternative 3'!$B$28),(($H51*'Alternative 3'!$B$39)+(2*(($N$52/3)*COS($K$53)))),IF(($A51&lt;'Alternative 3'!$B$29),(($H$3*'Alternative 3'!$B$39+(($N$52/3)*COS($K$53)))),($H51*'Alternative 3'!$B$39))))</f>
        <v>#VALUE!</v>
      </c>
      <c r="AX51" s="105" t="e">
        <f>AV51*'Alternative 3'!$K52/'Alternative 3'!$L52</f>
        <v>#VALUE!</v>
      </c>
      <c r="AY51" s="105" t="e">
        <f>AW51/'Alternative 3'!$M52</f>
        <v>#VALUE!</v>
      </c>
      <c r="AZ51" s="105" t="e">
        <f t="shared" si="7"/>
        <v>#VALUE!</v>
      </c>
      <c r="BB51" s="105" t="e">
        <f>'Alternative 3'!$B$39*$B51*$C51*COS($K$63)-($N$62/3)*$E51*SIN($K$63)-($N$62/3)*$F51*SIN($K$63)-($N$62/3)*$G51*SIN($K$63)</f>
        <v>#VALUE!</v>
      </c>
      <c r="BC51" s="106" t="e">
        <f>IF(($A51&lt;'Alternative 3'!$B$27),(($H51*'Alternative 3'!$B$39)+(3*($N$62/3)*COS($K$63))),IF(($A51&lt;'Alternative 3'!$B$28),(($H51*'Alternative 3'!$B$39)+(2*(($N$62/3)*COS($K$63)))),IF(($A51&lt;'Alternative 3'!$B$29),(($H$3*'Alternative 3'!$B$39+(($N$62/3)*COS($K$63)))),($H51*'Alternative 3'!$B$39))))</f>
        <v>#VALUE!</v>
      </c>
      <c r="BD51" s="105" t="e">
        <f>BB51*'Alternative 3'!$K52/'Alternative 3'!$L52</f>
        <v>#VALUE!</v>
      </c>
      <c r="BE51" s="105" t="e">
        <f>BC51/'Alternative 3'!$M52</f>
        <v>#VALUE!</v>
      </c>
      <c r="BF51" s="105" t="e">
        <f t="shared" si="8"/>
        <v>#VALUE!</v>
      </c>
      <c r="BH51" s="105" t="e">
        <f>'Alternative 3'!$B$39*$B51*$C51*COS($K$73)-($N$72/3)*$E51*SIN($K$73)-($N$72/3)*$F51*SIN($K$73)-($N$72/3)*$G51*SIN($K$73)</f>
        <v>#VALUE!</v>
      </c>
      <c r="BI51" s="106" t="e">
        <f>IF(($A51&lt;'Alternative 3'!$B$27),(($H51*'Alternative 3'!$B$39)+(3*($N$72/3)*COS($K$73))),IF(($A51&lt;'Alternative 3'!$B$28),(($H51*'Alternative 3'!$B$39)+(2*(($N$72/3)*COS($K$73)))),IF(($A51&lt;'Alternative 3'!$B$29),(($H$3*'Alternative 3'!$B$39+(($N$72/3)*COS($K$73)))),($H51*'Alternative 3'!$B$39))))</f>
        <v>#VALUE!</v>
      </c>
      <c r="BJ51" s="105" t="e">
        <f>BH51*'Alternative 3'!$K52/'Alternative 3'!$L52</f>
        <v>#VALUE!</v>
      </c>
      <c r="BK51" s="105" t="e">
        <f>BI51/'Alternative 3'!$M52</f>
        <v>#VALUE!</v>
      </c>
      <c r="BL51" s="105" t="e">
        <f t="shared" si="9"/>
        <v>#VALUE!</v>
      </c>
      <c r="BN51" s="105" t="e">
        <f>'Alternative 3'!$B$39*$B51*$C51*COS($K$83)-($N$82/3)*$E51*SIN($K$83)-($N$82/3)*$F51*SIN($K$83)-($N$82/3)*$G51*SIN($K$83)</f>
        <v>#VALUE!</v>
      </c>
      <c r="BO51" s="106" t="e">
        <f>IF(($A51&lt;'Alternative 3'!$B$27),(($H51*'Alternative 3'!$B$39)+(3*($N$82/3)*COS($K$83))),IF(($A51&lt;'Alternative 3'!$B$28),(($H51*'Alternative 3'!$B$39)+(2*(($N$82/3)*COS($K$83)))),IF(($A51&lt;'Alternative 3'!$B$29),(($H$3*'Alternative 3'!$B$39+(($N$82/3)*COS($K$83)))),($H51*'Alternative 3'!$B$39))))</f>
        <v>#VALUE!</v>
      </c>
      <c r="BP51" s="105" t="e">
        <f>BN51*'Alternative 3'!$K52/'Alternative 3'!$L52</f>
        <v>#VALUE!</v>
      </c>
      <c r="BQ51" s="105" t="e">
        <f>BO51/'Alternative 3'!$M52</f>
        <v>#VALUE!</v>
      </c>
      <c r="BR51" s="105" t="e">
        <f t="shared" si="10"/>
        <v>#VALUE!</v>
      </c>
      <c r="BT51" s="105" t="e">
        <f>'Alternative 3'!$B$39*$B51*$C51*COS($K$93)-($K$92/3)*$E51*SIN($K$93)-($K$92/3)*$F51*SIN($K$93)-($K$92/3)*$G51*SIN($K$93)</f>
        <v>#VALUE!</v>
      </c>
      <c r="BU51" s="106" t="e">
        <f>IF(($A51&lt;'Alternative 3'!$B$27),(($H51*'Alternative 3'!$B$39)+(3*($N$92/3)*COS($K$93))),IF(($A51&lt;'Alternative 3'!$B$28),(($H51*'Alternative 3'!$B$39)+(2*(($N$92/3)*COS($K$93)))),IF(($A51&lt;'Alternative 3'!$B$29),(($H$3*'Alternative 3'!$B$39+(($N$92/3)*COS($K$93)))),($H51*'Alternative 3'!$B$39))))</f>
        <v>#VALUE!</v>
      </c>
      <c r="BV51" s="105" t="e">
        <f>BT51*'Alternative 3'!$K52/'Alternative 3'!$L52</f>
        <v>#VALUE!</v>
      </c>
      <c r="BW51" s="105" t="e">
        <f>BU51/'Alternative 3'!$M52</f>
        <v>#VALUE!</v>
      </c>
      <c r="BX51" s="105" t="e">
        <f t="shared" si="11"/>
        <v>#VALUE!</v>
      </c>
      <c r="BZ51" s="104">
        <v>150</v>
      </c>
      <c r="CA51" s="104">
        <v>-150</v>
      </c>
    </row>
    <row r="52" spans="1:79" ht="15" customHeight="1" x14ac:dyDescent="0.25">
      <c r="A52" s="18" t="str">
        <f>IF('Alternative 3'!F53&gt;0,'Alternative 3'!F53,"x")</f>
        <v>x</v>
      </c>
      <c r="B52" s="18" t="e">
        <f t="shared" si="17"/>
        <v>#VALUE!</v>
      </c>
      <c r="C52" s="18">
        <f t="shared" si="12"/>
        <v>0</v>
      </c>
      <c r="D52" s="18" t="str">
        <f t="shared" si="13"/>
        <v>x</v>
      </c>
      <c r="E52" s="101">
        <f>IF($A52&lt;='Alternative 3'!$B$27, IF($A52='Alternative 3'!$B$27,0,E53+1),0)</f>
        <v>0</v>
      </c>
      <c r="F52" s="101">
        <f>IF($A52&lt;=('Alternative 3'!$B$28), IF($A52=ROUNDDOWN('Alternative 3'!$B$28,0),0,F53+1),0)</f>
        <v>0</v>
      </c>
      <c r="G52" s="101">
        <f>IF($A52&lt;=('Alternative 3'!$B$29), IF($A52=ROUNDDOWN('Alternative 3'!$B$29,0),0,G53+1),0)</f>
        <v>0</v>
      </c>
      <c r="H52" s="18" t="e">
        <f t="shared" si="14"/>
        <v>#VALUE!</v>
      </c>
      <c r="J52" s="104">
        <f t="shared" si="15"/>
        <v>49</v>
      </c>
      <c r="K52" s="104">
        <f t="shared" si="16"/>
        <v>0.85521133347722145</v>
      </c>
      <c r="L52" s="105">
        <f>'Alternative 3'!$B$27*SIN(K52)+'Alternative 3'!$B$28*SIN(K52)+'Alternative 3'!$B$29*SIN(K52)</f>
        <v>50.55799477912349</v>
      </c>
      <c r="M52" s="104">
        <f>(('Alternative 3'!$B$27)*(((('Alternative 3'!$B$28-'Alternative 3'!$B$27)/2)+'Alternative 3'!$B$27)*'Alternative 3'!$B$39)*COS('Alternative 3-Tilt Up (3pt)'!K52))+(('Alternative 3'!$B$28)*((('Alternative 3'!$B$28-'Alternative 3'!$B$27)/2)+(('Alternative 3'!$B$29-'Alternative 3'!$B$28)/2))*('Alternative 3'!$B$39)*COS('Alternative 3-Tilt Up (3pt)'!K52))+(('Alternative 3'!$B$29)*((('Alternative 3'!$B$12-'Alternative 3'!$B$29+(('Alternative 3'!$B$29-'Alternative 3'!$B$28)/2)*('Alternative 3'!$B$39)*COS('Alternative 3-Tilt Up (3pt)'!K52)))))</f>
        <v>1474588.8370724947</v>
      </c>
      <c r="N52" s="109">
        <f t="shared" si="0"/>
        <v>87498.852170540486</v>
      </c>
      <c r="O52" s="104">
        <f>(((('Alternative 3'!$B$28-'Alternative 3'!$B$27)/2)+'Alternative 3'!$B$27)*('Alternative 3'!$B$39)*COS('Alternative 3-Tilt Up (3pt)'!K52))+(((('Alternative 3'!$B$28-'Alternative 3'!$B$27)/2)+(('Alternative 3'!$B$29-'Alternative 3'!$B$28)/2))*('Alternative 3'!$B$39)*COS('Alternative 3-Tilt Up (3pt)'!K52))+(((('Alternative 3'!$B$12-'Alternative 3'!$B$29)+(('Alternative 3'!$B$29-'Alternative 3'!$B$28)/2))*('Alternative 3'!$B$39)*COS('Alternative 3-Tilt Up (3pt)'!K52)))</f>
        <v>95794.431764037858</v>
      </c>
      <c r="P52" s="104">
        <f t="shared" si="1"/>
        <v>57404.41199278873</v>
      </c>
      <c r="R52" s="105" t="e">
        <f>'Alternative 3'!$B$39*$B52*$C52*COS($K$5)-($N$5/3)*$E52*SIN($K$5)-($N$5/3)*$F52*SIN($K$5)-($N$5/3)*$G52*SIN($K$5)</f>
        <v>#VALUE!</v>
      </c>
      <c r="S52" s="106" t="e">
        <f>IF(($A52&lt;'Alternative 3'!$B$27),(($H52*'Alternative 3'!$B$39)+(3*($N$5/3)*COS($K$5))),IF(($A52&lt;'Alternative 3'!$B$28),(($H52*'Alternative 3'!$B$39)+(2*(($N$5/3)*COS($K$5)))),IF(($A52&lt;'Alternative 3'!$B$29),(($H$3*'Alternative 3'!$B$39+(($N$5/3)*COS($K$5)))),($H52*'Alternative 3'!$B$39))))</f>
        <v>#VALUE!</v>
      </c>
      <c r="T52" s="105" t="e">
        <f>R52*'Alternative 3'!$K53/'Alternative 3'!$L53</f>
        <v>#VALUE!</v>
      </c>
      <c r="U52" s="105" t="e">
        <f>S52/'Alternative 3'!$M53</f>
        <v>#VALUE!</v>
      </c>
      <c r="V52" s="105" t="e">
        <f t="shared" si="2"/>
        <v>#VALUE!</v>
      </c>
      <c r="X52" s="105" t="e">
        <f>'Alternative 3'!$B$39*$B52*$C52*COS($K$13)-($N$12/3)*$E52*SIN($K$13)-($N$12/3)*$F52*SIN($K$13)-($N$12/3)*$G52*SIN($K$13)</f>
        <v>#VALUE!</v>
      </c>
      <c r="Y52" s="106" t="e">
        <f>IF(($A52&lt;'Alternative 3'!$B$27),(($H52*'Alternative 3'!$B$39)+(3*($N$12/3)*COS($K$13))),IF(($A52&lt;'Alternative 3'!$B$28),(($H52*'Alternative 3'!$B$39)+(2*(($N$12/3)*COS($K$13)))),IF(($A52&lt;'Alternative 3'!$B$29),(($H$3*'Alternative 3'!$B$39+(($N$12/3)*COS($K$13)))),($H52*'Alternative 3'!$B$39))))</f>
        <v>#VALUE!</v>
      </c>
      <c r="Z52" s="105" t="e">
        <f>X52*'Alternative 3'!$K53/'Alternative 3'!$L53</f>
        <v>#VALUE!</v>
      </c>
      <c r="AA52" s="105" t="e">
        <f>Y52/'Alternative 3'!$M53</f>
        <v>#VALUE!</v>
      </c>
      <c r="AB52" s="105" t="e">
        <f t="shared" si="3"/>
        <v>#VALUE!</v>
      </c>
      <c r="AD52" s="105" t="e">
        <f>'Alternative 3'!$B$39*$B52*$C52*COS($K$23)-($N$22/3)*$E52*SIN($K$23)-($N$22/3)*$F52*SIN($K$23)-($N$22/3)*$G52*SIN($K$23)</f>
        <v>#VALUE!</v>
      </c>
      <c r="AE52" s="106" t="e">
        <f>IF(($A52&lt;'Alternative 3'!$B$27),(($H52*'Alternative 3'!$B$39)+(3*($N$22/3)*COS($K$23))),IF(($A52&lt;'Alternative 3'!$B$28),(($H52*'Alternative 3'!$B$39)+(2*(($N$22/3)*COS($K$23)))),IF(($A52&lt;'Alternative 3'!$B$29),(($H$3*'Alternative 3'!$B$39+(($N$22/3)*COS($K$23)))),($H52*'Alternative 3'!$B$39))))</f>
        <v>#VALUE!</v>
      </c>
      <c r="AF52" s="105" t="e">
        <f>AD52*'Alternative 3'!$K53/'Alternative 3'!$L53</f>
        <v>#VALUE!</v>
      </c>
      <c r="AG52" s="105" t="e">
        <f>AE52/'Alternative 3'!$M53</f>
        <v>#VALUE!</v>
      </c>
      <c r="AH52" s="105" t="e">
        <f t="shared" si="4"/>
        <v>#VALUE!</v>
      </c>
      <c r="AJ52" s="105" t="e">
        <f>'Alternative 3'!$B$39*$B52*$C52*COS($K$33)-($N$32/3)*$E52*SIN($K$33)-($N$32/3)*$F52*SIN($K$33)-($N$32/3)*$G52*SIN($K$33)</f>
        <v>#VALUE!</v>
      </c>
      <c r="AK52" s="106" t="e">
        <f>IF(($A52&lt;'Alternative 3'!$B$27),(($H52*'Alternative 3'!$B$39)+(3*($N$32/3)*COS($K$33))),IF(($A52&lt;'Alternative 3'!$B$28),(($H52*'Alternative 3'!$B$39)+(2*(($N$32/3)*COS($K$33)))),IF(($A52&lt;'Alternative 3'!$B$29),(($H$3*'Alternative 3'!$B$39+(($N$32/3)*COS($K$33)))),($H52*'Alternative 3'!$B$39))))</f>
        <v>#VALUE!</v>
      </c>
      <c r="AL52" s="105" t="e">
        <f>AJ52*'Alternative 3'!$K53/'Alternative 3'!$L53</f>
        <v>#VALUE!</v>
      </c>
      <c r="AM52" s="105" t="e">
        <f>AK52/'Alternative 3'!$M53</f>
        <v>#VALUE!</v>
      </c>
      <c r="AN52" s="105" t="e">
        <f t="shared" si="5"/>
        <v>#VALUE!</v>
      </c>
      <c r="AP52" s="105" t="e">
        <f>'Alternative 3'!$B$39*$B52*$C52*COS($K$43)-($N$42/3)*$E52*SIN($K$43)-($N$42/3)*$F52*SIN($K$43)-($N$42/3)*$G52*SIN($K$43)</f>
        <v>#VALUE!</v>
      </c>
      <c r="AQ52" s="106" t="e">
        <f>IF(($A52&lt;'Alternative 3'!$B$27),(($H52*'Alternative 3'!$B$39)+(3*($N$42/3)*COS($K$43))),IF(($A52&lt;'Alternative 3'!$B$28),(($H52*'Alternative 3'!$B$39)+(2*(($N$42/3)*COS($K$43)))),IF(($A52&lt;'Alternative 3'!$B$29),(($H$3*'Alternative 3'!$B$39+(($N$42/3)*COS($K$43)))),($H52*'Alternative 3'!$B$39))))</f>
        <v>#VALUE!</v>
      </c>
      <c r="AR52" s="105" t="e">
        <f>AP52*'Alternative 3'!$K53/'Alternative 3'!$L53</f>
        <v>#VALUE!</v>
      </c>
      <c r="AS52" s="105" t="e">
        <f>AQ52/'Alternative 3'!$M53</f>
        <v>#VALUE!</v>
      </c>
      <c r="AT52" s="105" t="e">
        <f t="shared" si="6"/>
        <v>#VALUE!</v>
      </c>
      <c r="AV52" s="105" t="e">
        <f>'Alternative 3'!$B$39*$B52*$C52*COS($K$53)-($N$52/3)*$E52*SIN($K$53)-($N$52/3)*$F52*SIN($K$53)-($N$52/3)*$G52*SIN($K$53)</f>
        <v>#VALUE!</v>
      </c>
      <c r="AW52" s="106" t="e">
        <f>IF(($A52&lt;'Alternative 3'!$B$27),(($H52*'Alternative 3'!$B$39)+(3*($N$52/3)*COS($K$53))),IF(($A52&lt;'Alternative 3'!$B$28),(($H52*'Alternative 3'!$B$39)+(2*(($N$52/3)*COS($K$53)))),IF(($A52&lt;'Alternative 3'!$B$29),(($H$3*'Alternative 3'!$B$39+(($N$52/3)*COS($K$53)))),($H52*'Alternative 3'!$B$39))))</f>
        <v>#VALUE!</v>
      </c>
      <c r="AX52" s="105" t="e">
        <f>AV52*'Alternative 3'!$K53/'Alternative 3'!$L53</f>
        <v>#VALUE!</v>
      </c>
      <c r="AY52" s="105" t="e">
        <f>AW52/'Alternative 3'!$M53</f>
        <v>#VALUE!</v>
      </c>
      <c r="AZ52" s="105" t="e">
        <f t="shared" si="7"/>
        <v>#VALUE!</v>
      </c>
      <c r="BB52" s="105" t="e">
        <f>'Alternative 3'!$B$39*$B52*$C52*COS($K$63)-($N$62/3)*$E52*SIN($K$63)-($N$62/3)*$F52*SIN($K$63)-($N$62/3)*$G52*SIN($K$63)</f>
        <v>#VALUE!</v>
      </c>
      <c r="BC52" s="106" t="e">
        <f>IF(($A52&lt;'Alternative 3'!$B$27),(($H52*'Alternative 3'!$B$39)+(3*($N$62/3)*COS($K$63))),IF(($A52&lt;'Alternative 3'!$B$28),(($H52*'Alternative 3'!$B$39)+(2*(($N$62/3)*COS($K$63)))),IF(($A52&lt;'Alternative 3'!$B$29),(($H$3*'Alternative 3'!$B$39+(($N$62/3)*COS($K$63)))),($H52*'Alternative 3'!$B$39))))</f>
        <v>#VALUE!</v>
      </c>
      <c r="BD52" s="105" t="e">
        <f>BB52*'Alternative 3'!$K53/'Alternative 3'!$L53</f>
        <v>#VALUE!</v>
      </c>
      <c r="BE52" s="105" t="e">
        <f>BC52/'Alternative 3'!$M53</f>
        <v>#VALUE!</v>
      </c>
      <c r="BF52" s="105" t="e">
        <f t="shared" si="8"/>
        <v>#VALUE!</v>
      </c>
      <c r="BH52" s="105" t="e">
        <f>'Alternative 3'!$B$39*$B52*$C52*COS($K$73)-($N$72/3)*$E52*SIN($K$73)-($N$72/3)*$F52*SIN($K$73)-($N$72/3)*$G52*SIN($K$73)</f>
        <v>#VALUE!</v>
      </c>
      <c r="BI52" s="106" t="e">
        <f>IF(($A52&lt;'Alternative 3'!$B$27),(($H52*'Alternative 3'!$B$39)+(3*($N$72/3)*COS($K$73))),IF(($A52&lt;'Alternative 3'!$B$28),(($H52*'Alternative 3'!$B$39)+(2*(($N$72/3)*COS($K$73)))),IF(($A52&lt;'Alternative 3'!$B$29),(($H$3*'Alternative 3'!$B$39+(($N$72/3)*COS($K$73)))),($H52*'Alternative 3'!$B$39))))</f>
        <v>#VALUE!</v>
      </c>
      <c r="BJ52" s="105" t="e">
        <f>BH52*'Alternative 3'!$K53/'Alternative 3'!$L53</f>
        <v>#VALUE!</v>
      </c>
      <c r="BK52" s="105" t="e">
        <f>BI52/'Alternative 3'!$M53</f>
        <v>#VALUE!</v>
      </c>
      <c r="BL52" s="105" t="e">
        <f t="shared" si="9"/>
        <v>#VALUE!</v>
      </c>
      <c r="BN52" s="105" t="e">
        <f>'Alternative 3'!$B$39*$B52*$C52*COS($K$83)-($N$82/3)*$E52*SIN($K$83)-($N$82/3)*$F52*SIN($K$83)-($N$82/3)*$G52*SIN($K$83)</f>
        <v>#VALUE!</v>
      </c>
      <c r="BO52" s="106" t="e">
        <f>IF(($A52&lt;'Alternative 3'!$B$27),(($H52*'Alternative 3'!$B$39)+(3*($N$82/3)*COS($K$83))),IF(($A52&lt;'Alternative 3'!$B$28),(($H52*'Alternative 3'!$B$39)+(2*(($N$82/3)*COS($K$83)))),IF(($A52&lt;'Alternative 3'!$B$29),(($H$3*'Alternative 3'!$B$39+(($N$82/3)*COS($K$83)))),($H52*'Alternative 3'!$B$39))))</f>
        <v>#VALUE!</v>
      </c>
      <c r="BP52" s="105" t="e">
        <f>BN52*'Alternative 3'!$K53/'Alternative 3'!$L53</f>
        <v>#VALUE!</v>
      </c>
      <c r="BQ52" s="105" t="e">
        <f>BO52/'Alternative 3'!$M53</f>
        <v>#VALUE!</v>
      </c>
      <c r="BR52" s="105" t="e">
        <f t="shared" si="10"/>
        <v>#VALUE!</v>
      </c>
      <c r="BT52" s="105" t="e">
        <f>'Alternative 3'!$B$39*$B52*$C52*COS($K$93)-($K$92/3)*$E52*SIN($K$93)-($K$92/3)*$F52*SIN($K$93)-($K$92/3)*$G52*SIN($K$93)</f>
        <v>#VALUE!</v>
      </c>
      <c r="BU52" s="106" t="e">
        <f>IF(($A52&lt;'Alternative 3'!$B$27),(($H52*'Alternative 3'!$B$39)+(3*($N$92/3)*COS($K$93))),IF(($A52&lt;'Alternative 3'!$B$28),(($H52*'Alternative 3'!$B$39)+(2*(($N$92/3)*COS($K$93)))),IF(($A52&lt;'Alternative 3'!$B$29),(($H$3*'Alternative 3'!$B$39+(($N$92/3)*COS($K$93)))),($H52*'Alternative 3'!$B$39))))</f>
        <v>#VALUE!</v>
      </c>
      <c r="BV52" s="105" t="e">
        <f>BT52*'Alternative 3'!$K53/'Alternative 3'!$L53</f>
        <v>#VALUE!</v>
      </c>
      <c r="BW52" s="105" t="e">
        <f>BU52/'Alternative 3'!$M53</f>
        <v>#VALUE!</v>
      </c>
      <c r="BX52" s="105" t="e">
        <f t="shared" si="11"/>
        <v>#VALUE!</v>
      </c>
      <c r="BZ52" s="104">
        <v>150</v>
      </c>
      <c r="CA52" s="104">
        <v>-150</v>
      </c>
    </row>
    <row r="53" spans="1:79" ht="15" customHeight="1" x14ac:dyDescent="0.25">
      <c r="A53" s="18" t="str">
        <f>IF('Alternative 3'!F54&gt;0,'Alternative 3'!F54,"x")</f>
        <v>x</v>
      </c>
      <c r="B53" s="18" t="e">
        <f t="shared" si="17"/>
        <v>#VALUE!</v>
      </c>
      <c r="C53" s="18">
        <f t="shared" si="12"/>
        <v>0</v>
      </c>
      <c r="D53" s="18" t="str">
        <f t="shared" si="13"/>
        <v>x</v>
      </c>
      <c r="E53" s="101">
        <f>IF($A53&lt;='Alternative 3'!$B$27, IF($A53='Alternative 3'!$B$27,0,E54+1),0)</f>
        <v>0</v>
      </c>
      <c r="F53" s="101">
        <f>IF($A53&lt;=('Alternative 3'!$B$28), IF($A53=ROUNDDOWN('Alternative 3'!$B$28,0),0,F54+1),0)</f>
        <v>0</v>
      </c>
      <c r="G53" s="101">
        <f>IF($A53&lt;=('Alternative 3'!$B$29), IF($A53=ROUNDDOWN('Alternative 3'!$B$29,0),0,G54+1),0)</f>
        <v>0</v>
      </c>
      <c r="H53" s="18" t="e">
        <f t="shared" si="14"/>
        <v>#VALUE!</v>
      </c>
      <c r="J53" s="104">
        <f t="shared" si="15"/>
        <v>50</v>
      </c>
      <c r="K53" s="109">
        <f t="shared" si="16"/>
        <v>0.87266462599716477</v>
      </c>
      <c r="L53" s="105">
        <f>'Alternative 3'!$B$27*SIN(K53)+'Alternative 3'!$B$28*SIN(K53)+'Alternative 3'!$B$29*SIN(K53)</f>
        <v>51.317317244540334</v>
      </c>
      <c r="M53" s="104">
        <f>(('Alternative 3'!$B$27)*(((('Alternative 3'!$B$28-'Alternative 3'!$B$27)/2)+'Alternative 3'!$B$27)*'Alternative 3'!$B$39)*COS('Alternative 3-Tilt Up (3pt)'!K53))+(('Alternative 3'!$B$28)*((('Alternative 3'!$B$28-'Alternative 3'!$B$27)/2)+(('Alternative 3'!$B$29-'Alternative 3'!$B$28)/2))*('Alternative 3'!$B$39)*COS('Alternative 3-Tilt Up (3pt)'!K53))+(('Alternative 3'!$B$29)*((('Alternative 3'!$B$12-'Alternative 3'!$B$29+(('Alternative 3'!$B$29-'Alternative 3'!$B$28)/2)*('Alternative 3'!$B$39)*COS('Alternative 3-Tilt Up (3pt)'!K53)))))</f>
        <v>1444763.0524741686</v>
      </c>
      <c r="N53" s="104">
        <f t="shared" si="0"/>
        <v>84460.556205003712</v>
      </c>
      <c r="O53" s="104">
        <f>(((('Alternative 3'!$B$28-'Alternative 3'!$B$27)/2)+'Alternative 3'!$B$27)*('Alternative 3'!$B$39)*COS('Alternative 3-Tilt Up (3pt)'!K53))+(((('Alternative 3'!$B$28-'Alternative 3'!$B$27)/2)+(('Alternative 3'!$B$29-'Alternative 3'!$B$28)/2))*('Alternative 3'!$B$39)*COS('Alternative 3-Tilt Up (3pt)'!K53))+(((('Alternative 3'!$B$12-'Alternative 3'!$B$29)+(('Alternative 3'!$B$29-'Alternative 3'!$B$28)/2))*('Alternative 3'!$B$39)*COS('Alternative 3-Tilt Up (3pt)'!K53)))</f>
        <v>93856.606027713322</v>
      </c>
      <c r="P53" s="109">
        <f t="shared" si="1"/>
        <v>54290.199035809943</v>
      </c>
      <c r="R53" s="105" t="e">
        <f>'Alternative 3'!$B$39*$B53*$C53*COS($K$5)-($N$5/3)*$E53*SIN($K$5)-($N$5/3)*$F53*SIN($K$5)-($N$5/3)*$G53*SIN($K$5)</f>
        <v>#VALUE!</v>
      </c>
      <c r="S53" s="106" t="e">
        <f>IF(($A53&lt;'Alternative 3'!$B$27),(($H53*'Alternative 3'!$B$39)+(3*($N$5/3)*COS($K$5))),IF(($A53&lt;'Alternative 3'!$B$28),(($H53*'Alternative 3'!$B$39)+(2*(($N$5/3)*COS($K$5)))),IF(($A53&lt;'Alternative 3'!$B$29),(($H$3*'Alternative 3'!$B$39+(($N$5/3)*COS($K$5)))),($H53*'Alternative 3'!$B$39))))</f>
        <v>#VALUE!</v>
      </c>
      <c r="T53" s="105" t="e">
        <f>R53*'Alternative 3'!$K54/'Alternative 3'!$L54</f>
        <v>#VALUE!</v>
      </c>
      <c r="U53" s="105" t="e">
        <f>S53/'Alternative 3'!$M54</f>
        <v>#VALUE!</v>
      </c>
      <c r="V53" s="105" t="e">
        <f t="shared" si="2"/>
        <v>#VALUE!</v>
      </c>
      <c r="X53" s="105" t="e">
        <f>'Alternative 3'!$B$39*$B53*$C53*COS($K$13)-($N$12/3)*$E53*SIN($K$13)-($N$12/3)*$F53*SIN($K$13)-($N$12/3)*$G53*SIN($K$13)</f>
        <v>#VALUE!</v>
      </c>
      <c r="Y53" s="106" t="e">
        <f>IF(($A53&lt;'Alternative 3'!$B$27),(($H53*'Alternative 3'!$B$39)+(3*($N$12/3)*COS($K$13))),IF(($A53&lt;'Alternative 3'!$B$28),(($H53*'Alternative 3'!$B$39)+(2*(($N$12/3)*COS($K$13)))),IF(($A53&lt;'Alternative 3'!$B$29),(($H$3*'Alternative 3'!$B$39+(($N$12/3)*COS($K$13)))),($H53*'Alternative 3'!$B$39))))</f>
        <v>#VALUE!</v>
      </c>
      <c r="Z53" s="105" t="e">
        <f>X53*'Alternative 3'!$K54/'Alternative 3'!$L54</f>
        <v>#VALUE!</v>
      </c>
      <c r="AA53" s="105" t="e">
        <f>Y53/'Alternative 3'!$M54</f>
        <v>#VALUE!</v>
      </c>
      <c r="AB53" s="105" t="e">
        <f t="shared" si="3"/>
        <v>#VALUE!</v>
      </c>
      <c r="AD53" s="105" t="e">
        <f>'Alternative 3'!$B$39*$B53*$C53*COS($K$23)-($N$22/3)*$E53*SIN($K$23)-($N$22/3)*$F53*SIN($K$23)-($N$22/3)*$G53*SIN($K$23)</f>
        <v>#VALUE!</v>
      </c>
      <c r="AE53" s="106" t="e">
        <f>IF(($A53&lt;'Alternative 3'!$B$27),(($H53*'Alternative 3'!$B$39)+(3*($N$22/3)*COS($K$23))),IF(($A53&lt;'Alternative 3'!$B$28),(($H53*'Alternative 3'!$B$39)+(2*(($N$22/3)*COS($K$23)))),IF(($A53&lt;'Alternative 3'!$B$29),(($H$3*'Alternative 3'!$B$39+(($N$22/3)*COS($K$23)))),($H53*'Alternative 3'!$B$39))))</f>
        <v>#VALUE!</v>
      </c>
      <c r="AF53" s="105" t="e">
        <f>AD53*'Alternative 3'!$K54/'Alternative 3'!$L54</f>
        <v>#VALUE!</v>
      </c>
      <c r="AG53" s="105" t="e">
        <f>AE53/'Alternative 3'!$M54</f>
        <v>#VALUE!</v>
      </c>
      <c r="AH53" s="105" t="e">
        <f t="shared" si="4"/>
        <v>#VALUE!</v>
      </c>
      <c r="AJ53" s="105" t="e">
        <f>'Alternative 3'!$B$39*$B53*$C53*COS($K$33)-($N$32/3)*$E53*SIN($K$33)-($N$32/3)*$F53*SIN($K$33)-($N$32/3)*$G53*SIN($K$33)</f>
        <v>#VALUE!</v>
      </c>
      <c r="AK53" s="106" t="e">
        <f>IF(($A53&lt;'Alternative 3'!$B$27),(($H53*'Alternative 3'!$B$39)+(3*($N$32/3)*COS($K$33))),IF(($A53&lt;'Alternative 3'!$B$28),(($H53*'Alternative 3'!$B$39)+(2*(($N$32/3)*COS($K$33)))),IF(($A53&lt;'Alternative 3'!$B$29),(($H$3*'Alternative 3'!$B$39+(($N$32/3)*COS($K$33)))),($H53*'Alternative 3'!$B$39))))</f>
        <v>#VALUE!</v>
      </c>
      <c r="AL53" s="105" t="e">
        <f>AJ53*'Alternative 3'!$K54/'Alternative 3'!$L54</f>
        <v>#VALUE!</v>
      </c>
      <c r="AM53" s="105" t="e">
        <f>AK53/'Alternative 3'!$M54</f>
        <v>#VALUE!</v>
      </c>
      <c r="AN53" s="105" t="e">
        <f t="shared" si="5"/>
        <v>#VALUE!</v>
      </c>
      <c r="AP53" s="105" t="e">
        <f>'Alternative 3'!$B$39*$B53*$C53*COS($K$43)-($N$42/3)*$E53*SIN($K$43)-($N$42/3)*$F53*SIN($K$43)-($N$42/3)*$G53*SIN($K$43)</f>
        <v>#VALUE!</v>
      </c>
      <c r="AQ53" s="106" t="e">
        <f>IF(($A53&lt;'Alternative 3'!$B$27),(($H53*'Alternative 3'!$B$39)+(3*($N$42/3)*COS($K$43))),IF(($A53&lt;'Alternative 3'!$B$28),(($H53*'Alternative 3'!$B$39)+(2*(($N$42/3)*COS($K$43)))),IF(($A53&lt;'Alternative 3'!$B$29),(($H$3*'Alternative 3'!$B$39+(($N$42/3)*COS($K$43)))),($H53*'Alternative 3'!$B$39))))</f>
        <v>#VALUE!</v>
      </c>
      <c r="AR53" s="105" t="e">
        <f>AP53*'Alternative 3'!$K54/'Alternative 3'!$L54</f>
        <v>#VALUE!</v>
      </c>
      <c r="AS53" s="105" t="e">
        <f>AQ53/'Alternative 3'!$M54</f>
        <v>#VALUE!</v>
      </c>
      <c r="AT53" s="105" t="e">
        <f t="shared" si="6"/>
        <v>#VALUE!</v>
      </c>
      <c r="AV53" s="105" t="e">
        <f>'Alternative 3'!$B$39*$B53*$C53*COS($K$53)-($N$52/3)*$E53*SIN($K$53)-($N$52/3)*$F53*SIN($K$53)-($N$52/3)*$G53*SIN($K$53)</f>
        <v>#VALUE!</v>
      </c>
      <c r="AW53" s="106" t="e">
        <f>IF(($A53&lt;'Alternative 3'!$B$27),(($H53*'Alternative 3'!$B$39)+(3*($N$52/3)*COS($K$53))),IF(($A53&lt;'Alternative 3'!$B$28),(($H53*'Alternative 3'!$B$39)+(2*(($N$52/3)*COS($K$53)))),IF(($A53&lt;'Alternative 3'!$B$29),(($H$3*'Alternative 3'!$B$39+(($N$52/3)*COS($K$53)))),($H53*'Alternative 3'!$B$39))))</f>
        <v>#VALUE!</v>
      </c>
      <c r="AX53" s="105" t="e">
        <f>AV53*'Alternative 3'!$K54/'Alternative 3'!$L54</f>
        <v>#VALUE!</v>
      </c>
      <c r="AY53" s="105" t="e">
        <f>AW53/'Alternative 3'!$M54</f>
        <v>#VALUE!</v>
      </c>
      <c r="AZ53" s="105" t="e">
        <f t="shared" si="7"/>
        <v>#VALUE!</v>
      </c>
      <c r="BB53" s="105" t="e">
        <f>'Alternative 3'!$B$39*$B53*$C53*COS($K$63)-($N$62/3)*$E53*SIN($K$63)-($N$62/3)*$F53*SIN($K$63)-($N$62/3)*$G53*SIN($K$63)</f>
        <v>#VALUE!</v>
      </c>
      <c r="BC53" s="106" t="e">
        <f>IF(($A53&lt;'Alternative 3'!$B$27),(($H53*'Alternative 3'!$B$39)+(3*($N$62/3)*COS($K$63))),IF(($A53&lt;'Alternative 3'!$B$28),(($H53*'Alternative 3'!$B$39)+(2*(($N$62/3)*COS($K$63)))),IF(($A53&lt;'Alternative 3'!$B$29),(($H$3*'Alternative 3'!$B$39+(($N$62/3)*COS($K$63)))),($H53*'Alternative 3'!$B$39))))</f>
        <v>#VALUE!</v>
      </c>
      <c r="BD53" s="105" t="e">
        <f>BB53*'Alternative 3'!$K54/'Alternative 3'!$L54</f>
        <v>#VALUE!</v>
      </c>
      <c r="BE53" s="105" t="e">
        <f>BC53/'Alternative 3'!$M54</f>
        <v>#VALUE!</v>
      </c>
      <c r="BF53" s="105" t="e">
        <f t="shared" si="8"/>
        <v>#VALUE!</v>
      </c>
      <c r="BH53" s="105" t="e">
        <f>'Alternative 3'!$B$39*$B53*$C53*COS($K$73)-($N$72/3)*$E53*SIN($K$73)-($N$72/3)*$F53*SIN($K$73)-($N$72/3)*$G53*SIN($K$73)</f>
        <v>#VALUE!</v>
      </c>
      <c r="BI53" s="106" t="e">
        <f>IF(($A53&lt;'Alternative 3'!$B$27),(($H53*'Alternative 3'!$B$39)+(3*($N$72/3)*COS($K$73))),IF(($A53&lt;'Alternative 3'!$B$28),(($H53*'Alternative 3'!$B$39)+(2*(($N$72/3)*COS($K$73)))),IF(($A53&lt;'Alternative 3'!$B$29),(($H$3*'Alternative 3'!$B$39+(($N$72/3)*COS($K$73)))),($H53*'Alternative 3'!$B$39))))</f>
        <v>#VALUE!</v>
      </c>
      <c r="BJ53" s="105" t="e">
        <f>BH53*'Alternative 3'!$K54/'Alternative 3'!$L54</f>
        <v>#VALUE!</v>
      </c>
      <c r="BK53" s="105" t="e">
        <f>BI53/'Alternative 3'!$M54</f>
        <v>#VALUE!</v>
      </c>
      <c r="BL53" s="105" t="e">
        <f t="shared" si="9"/>
        <v>#VALUE!</v>
      </c>
      <c r="BN53" s="105" t="e">
        <f>'Alternative 3'!$B$39*$B53*$C53*COS($K$83)-($N$82/3)*$E53*SIN($K$83)-($N$82/3)*$F53*SIN($K$83)-($N$82/3)*$G53*SIN($K$83)</f>
        <v>#VALUE!</v>
      </c>
      <c r="BO53" s="106" t="e">
        <f>IF(($A53&lt;'Alternative 3'!$B$27),(($H53*'Alternative 3'!$B$39)+(3*($N$82/3)*COS($K$83))),IF(($A53&lt;'Alternative 3'!$B$28),(($H53*'Alternative 3'!$B$39)+(2*(($N$82/3)*COS($K$83)))),IF(($A53&lt;'Alternative 3'!$B$29),(($H$3*'Alternative 3'!$B$39+(($N$82/3)*COS($K$83)))),($H53*'Alternative 3'!$B$39))))</f>
        <v>#VALUE!</v>
      </c>
      <c r="BP53" s="105" t="e">
        <f>BN53*'Alternative 3'!$K54/'Alternative 3'!$L54</f>
        <v>#VALUE!</v>
      </c>
      <c r="BQ53" s="105" t="e">
        <f>BO53/'Alternative 3'!$M54</f>
        <v>#VALUE!</v>
      </c>
      <c r="BR53" s="105" t="e">
        <f t="shared" si="10"/>
        <v>#VALUE!</v>
      </c>
      <c r="BT53" s="105" t="e">
        <f>'Alternative 3'!$B$39*$B53*$C53*COS($K$93)-($K$92/3)*$E53*SIN($K$93)-($K$92/3)*$F53*SIN($K$93)-($K$92/3)*$G53*SIN($K$93)</f>
        <v>#VALUE!</v>
      </c>
      <c r="BU53" s="106" t="e">
        <f>IF(($A53&lt;'Alternative 3'!$B$27),(($H53*'Alternative 3'!$B$39)+(3*($N$92/3)*COS($K$93))),IF(($A53&lt;'Alternative 3'!$B$28),(($H53*'Alternative 3'!$B$39)+(2*(($N$92/3)*COS($K$93)))),IF(($A53&lt;'Alternative 3'!$B$29),(($H$3*'Alternative 3'!$B$39+(($N$92/3)*COS($K$93)))),($H53*'Alternative 3'!$B$39))))</f>
        <v>#VALUE!</v>
      </c>
      <c r="BV53" s="105" t="e">
        <f>BT53*'Alternative 3'!$K54/'Alternative 3'!$L54</f>
        <v>#VALUE!</v>
      </c>
      <c r="BW53" s="105" t="e">
        <f>BU53/'Alternative 3'!$M54</f>
        <v>#VALUE!</v>
      </c>
      <c r="BX53" s="105" t="e">
        <f t="shared" si="11"/>
        <v>#VALUE!</v>
      </c>
      <c r="BZ53" s="104">
        <v>150</v>
      </c>
      <c r="CA53" s="104">
        <v>-150</v>
      </c>
    </row>
    <row r="54" spans="1:79" ht="15" customHeight="1" x14ac:dyDescent="0.25">
      <c r="A54" s="18" t="str">
        <f>IF('Alternative 3'!F55&gt;0,'Alternative 3'!F55,"x")</f>
        <v>x</v>
      </c>
      <c r="B54" s="18" t="e">
        <f t="shared" si="17"/>
        <v>#VALUE!</v>
      </c>
      <c r="C54" s="18">
        <f t="shared" si="12"/>
        <v>0</v>
      </c>
      <c r="D54" s="18" t="str">
        <f t="shared" si="13"/>
        <v>x</v>
      </c>
      <c r="E54" s="101">
        <f>IF($A54&lt;='Alternative 3'!$B$27, IF($A54='Alternative 3'!$B$27,0,E55+1),0)</f>
        <v>0</v>
      </c>
      <c r="F54" s="101">
        <f>IF($A54&lt;=('Alternative 3'!$B$28), IF($A54=ROUNDDOWN('Alternative 3'!$B$28,0),0,F55+1),0)</f>
        <v>0</v>
      </c>
      <c r="G54" s="101">
        <f>IF($A54&lt;=('Alternative 3'!$B$29), IF($A54=ROUNDDOWN('Alternative 3'!$B$29,0),0,G55+1),0)</f>
        <v>0</v>
      </c>
      <c r="H54" s="18" t="e">
        <f t="shared" si="14"/>
        <v>#VALUE!</v>
      </c>
      <c r="J54" s="104">
        <f t="shared" si="15"/>
        <v>51</v>
      </c>
      <c r="K54" s="104">
        <f t="shared" si="16"/>
        <v>0.89011791851710798</v>
      </c>
      <c r="L54" s="105">
        <f>'Alternative 3'!$B$27*SIN(K54)+'Alternative 3'!$B$28*SIN(K54)+'Alternative 3'!$B$29*SIN(K54)</f>
        <v>52.06100795800247</v>
      </c>
      <c r="M54" s="104">
        <f>(('Alternative 3'!$B$27)*(((('Alternative 3'!$B$28-'Alternative 3'!$B$27)/2)+'Alternative 3'!$B$27)*'Alternative 3'!$B$39)*COS('Alternative 3-Tilt Up (3pt)'!K54))+(('Alternative 3'!$B$28)*((('Alternative 3'!$B$28-'Alternative 3'!$B$27)/2)+(('Alternative 3'!$B$29-'Alternative 3'!$B$28)/2))*('Alternative 3'!$B$39)*COS('Alternative 3-Tilt Up (3pt)'!K54))+(('Alternative 3'!$B$29)*((('Alternative 3'!$B$12-'Alternative 3'!$B$29+(('Alternative 3'!$B$29-'Alternative 3'!$B$28)/2)*('Alternative 3'!$B$39)*COS('Alternative 3-Tilt Up (3pt)'!K54)))))</f>
        <v>1414497.2344032456</v>
      </c>
      <c r="N54" s="104">
        <f t="shared" si="0"/>
        <v>81509.979726726669</v>
      </c>
      <c r="O54" s="104">
        <f>(((('Alternative 3'!$B$28-'Alternative 3'!$B$27)/2)+'Alternative 3'!$B$27)*('Alternative 3'!$B$39)*COS('Alternative 3-Tilt Up (3pt)'!K54))+(((('Alternative 3'!$B$28-'Alternative 3'!$B$27)/2)+(('Alternative 3'!$B$29-'Alternative 3'!$B$28)/2))*('Alternative 3'!$B$39)*COS('Alternative 3-Tilt Up (3pt)'!K54))+(((('Alternative 3'!$B$12-'Alternative 3'!$B$29)+(('Alternative 3'!$B$29-'Alternative 3'!$B$28)/2))*('Alternative 3'!$B$39)*COS('Alternative 3-Tilt Up (3pt)'!K54)))</f>
        <v>91890.190659983375</v>
      </c>
      <c r="P54" s="104">
        <f t="shared" si="1"/>
        <v>51295.892316087957</v>
      </c>
      <c r="R54" s="105" t="e">
        <f>'Alternative 3'!$B$39*$B54*$C54*COS($K$5)-($N$5/3)*$E54*SIN($K$5)-($N$5/3)*$F54*SIN($K$5)-($N$5/3)*$G54*SIN($K$5)</f>
        <v>#VALUE!</v>
      </c>
      <c r="S54" s="106" t="e">
        <f>IF(($A54&lt;'Alternative 3'!$B$27),(($H54*'Alternative 3'!$B$39)+(3*($N$5/3)*COS($K$5))),IF(($A54&lt;'Alternative 3'!$B$28),(($H54*'Alternative 3'!$B$39)+(2*(($N$5/3)*COS($K$5)))),IF(($A54&lt;'Alternative 3'!$B$29),(($H$3*'Alternative 3'!$B$39+(($N$5/3)*COS($K$5)))),($H54*'Alternative 3'!$B$39))))</f>
        <v>#VALUE!</v>
      </c>
      <c r="T54" s="105" t="e">
        <f>R54*'Alternative 3'!$K55/'Alternative 3'!$L55</f>
        <v>#VALUE!</v>
      </c>
      <c r="U54" s="105" t="e">
        <f>S54/'Alternative 3'!$M55</f>
        <v>#VALUE!</v>
      </c>
      <c r="V54" s="105" t="e">
        <f t="shared" si="2"/>
        <v>#VALUE!</v>
      </c>
      <c r="X54" s="105" t="e">
        <f>'Alternative 3'!$B$39*$B54*$C54*COS($K$13)-($N$12/3)*$E54*SIN($K$13)-($N$12/3)*$F54*SIN($K$13)-($N$12/3)*$G54*SIN($K$13)</f>
        <v>#VALUE!</v>
      </c>
      <c r="Y54" s="106" t="e">
        <f>IF(($A54&lt;'Alternative 3'!$B$27),(($H54*'Alternative 3'!$B$39)+(3*($N$12/3)*COS($K$13))),IF(($A54&lt;'Alternative 3'!$B$28),(($H54*'Alternative 3'!$B$39)+(2*(($N$12/3)*COS($K$13)))),IF(($A54&lt;'Alternative 3'!$B$29),(($H$3*'Alternative 3'!$B$39+(($N$12/3)*COS($K$13)))),($H54*'Alternative 3'!$B$39))))</f>
        <v>#VALUE!</v>
      </c>
      <c r="Z54" s="105" t="e">
        <f>X54*'Alternative 3'!$K55/'Alternative 3'!$L55</f>
        <v>#VALUE!</v>
      </c>
      <c r="AA54" s="105" t="e">
        <f>Y54/'Alternative 3'!$M55</f>
        <v>#VALUE!</v>
      </c>
      <c r="AB54" s="105" t="e">
        <f t="shared" si="3"/>
        <v>#VALUE!</v>
      </c>
      <c r="AD54" s="105" t="e">
        <f>'Alternative 3'!$B$39*$B54*$C54*COS($K$23)-($N$22/3)*$E54*SIN($K$23)-($N$22/3)*$F54*SIN($K$23)-($N$22/3)*$G54*SIN($K$23)</f>
        <v>#VALUE!</v>
      </c>
      <c r="AE54" s="106" t="e">
        <f>IF(($A54&lt;'Alternative 3'!$B$27),(($H54*'Alternative 3'!$B$39)+(3*($N$22/3)*COS($K$23))),IF(($A54&lt;'Alternative 3'!$B$28),(($H54*'Alternative 3'!$B$39)+(2*(($N$22/3)*COS($K$23)))),IF(($A54&lt;'Alternative 3'!$B$29),(($H$3*'Alternative 3'!$B$39+(($N$22/3)*COS($K$23)))),($H54*'Alternative 3'!$B$39))))</f>
        <v>#VALUE!</v>
      </c>
      <c r="AF54" s="105" t="e">
        <f>AD54*'Alternative 3'!$K55/'Alternative 3'!$L55</f>
        <v>#VALUE!</v>
      </c>
      <c r="AG54" s="105" t="e">
        <f>AE54/'Alternative 3'!$M55</f>
        <v>#VALUE!</v>
      </c>
      <c r="AH54" s="105" t="e">
        <f t="shared" si="4"/>
        <v>#VALUE!</v>
      </c>
      <c r="AJ54" s="105" t="e">
        <f>'Alternative 3'!$B$39*$B54*$C54*COS($K$33)-($N$32/3)*$E54*SIN($K$33)-($N$32/3)*$F54*SIN($K$33)-($N$32/3)*$G54*SIN($K$33)</f>
        <v>#VALUE!</v>
      </c>
      <c r="AK54" s="106" t="e">
        <f>IF(($A54&lt;'Alternative 3'!$B$27),(($H54*'Alternative 3'!$B$39)+(3*($N$32/3)*COS($K$33))),IF(($A54&lt;'Alternative 3'!$B$28),(($H54*'Alternative 3'!$B$39)+(2*(($N$32/3)*COS($K$33)))),IF(($A54&lt;'Alternative 3'!$B$29),(($H$3*'Alternative 3'!$B$39+(($N$32/3)*COS($K$33)))),($H54*'Alternative 3'!$B$39))))</f>
        <v>#VALUE!</v>
      </c>
      <c r="AL54" s="105" t="e">
        <f>AJ54*'Alternative 3'!$K55/'Alternative 3'!$L55</f>
        <v>#VALUE!</v>
      </c>
      <c r="AM54" s="105" t="e">
        <f>AK54/'Alternative 3'!$M55</f>
        <v>#VALUE!</v>
      </c>
      <c r="AN54" s="105" t="e">
        <f t="shared" si="5"/>
        <v>#VALUE!</v>
      </c>
      <c r="AP54" s="105" t="e">
        <f>'Alternative 3'!$B$39*$B54*$C54*COS($K$43)-($N$42/3)*$E54*SIN($K$43)-($N$42/3)*$F54*SIN($K$43)-($N$42/3)*$G54*SIN($K$43)</f>
        <v>#VALUE!</v>
      </c>
      <c r="AQ54" s="106" t="e">
        <f>IF(($A54&lt;'Alternative 3'!$B$27),(($H54*'Alternative 3'!$B$39)+(3*($N$42/3)*COS($K$43))),IF(($A54&lt;'Alternative 3'!$B$28),(($H54*'Alternative 3'!$B$39)+(2*(($N$42/3)*COS($K$43)))),IF(($A54&lt;'Alternative 3'!$B$29),(($H$3*'Alternative 3'!$B$39+(($N$42/3)*COS($K$43)))),($H54*'Alternative 3'!$B$39))))</f>
        <v>#VALUE!</v>
      </c>
      <c r="AR54" s="105" t="e">
        <f>AP54*'Alternative 3'!$K55/'Alternative 3'!$L55</f>
        <v>#VALUE!</v>
      </c>
      <c r="AS54" s="105" t="e">
        <f>AQ54/'Alternative 3'!$M55</f>
        <v>#VALUE!</v>
      </c>
      <c r="AT54" s="105" t="e">
        <f t="shared" si="6"/>
        <v>#VALUE!</v>
      </c>
      <c r="AV54" s="105" t="e">
        <f>'Alternative 3'!$B$39*$B54*$C54*COS($K$53)-($N$52/3)*$E54*SIN($K$53)-($N$52/3)*$F54*SIN($K$53)-($N$52/3)*$G54*SIN($K$53)</f>
        <v>#VALUE!</v>
      </c>
      <c r="AW54" s="106" t="e">
        <f>IF(($A54&lt;'Alternative 3'!$B$27),(($H54*'Alternative 3'!$B$39)+(3*($N$52/3)*COS($K$53))),IF(($A54&lt;'Alternative 3'!$B$28),(($H54*'Alternative 3'!$B$39)+(2*(($N$52/3)*COS($K$53)))),IF(($A54&lt;'Alternative 3'!$B$29),(($H$3*'Alternative 3'!$B$39+(($N$52/3)*COS($K$53)))),($H54*'Alternative 3'!$B$39))))</f>
        <v>#VALUE!</v>
      </c>
      <c r="AX54" s="105" t="e">
        <f>AV54*'Alternative 3'!$K55/'Alternative 3'!$L55</f>
        <v>#VALUE!</v>
      </c>
      <c r="AY54" s="105" t="e">
        <f>AW54/'Alternative 3'!$M55</f>
        <v>#VALUE!</v>
      </c>
      <c r="AZ54" s="105" t="e">
        <f t="shared" si="7"/>
        <v>#VALUE!</v>
      </c>
      <c r="BB54" s="105" t="e">
        <f>'Alternative 3'!$B$39*$B54*$C54*COS($K$63)-($N$62/3)*$E54*SIN($K$63)-($N$62/3)*$F54*SIN($K$63)-($N$62/3)*$G54*SIN($K$63)</f>
        <v>#VALUE!</v>
      </c>
      <c r="BC54" s="106" t="e">
        <f>IF(($A54&lt;'Alternative 3'!$B$27),(($H54*'Alternative 3'!$B$39)+(3*($N$62/3)*COS($K$63))),IF(($A54&lt;'Alternative 3'!$B$28),(($H54*'Alternative 3'!$B$39)+(2*(($N$62/3)*COS($K$63)))),IF(($A54&lt;'Alternative 3'!$B$29),(($H$3*'Alternative 3'!$B$39+(($N$62/3)*COS($K$63)))),($H54*'Alternative 3'!$B$39))))</f>
        <v>#VALUE!</v>
      </c>
      <c r="BD54" s="105" t="e">
        <f>BB54*'Alternative 3'!$K55/'Alternative 3'!$L55</f>
        <v>#VALUE!</v>
      </c>
      <c r="BE54" s="105" t="e">
        <f>BC54/'Alternative 3'!$M55</f>
        <v>#VALUE!</v>
      </c>
      <c r="BF54" s="105" t="e">
        <f t="shared" si="8"/>
        <v>#VALUE!</v>
      </c>
      <c r="BH54" s="105" t="e">
        <f>'Alternative 3'!$B$39*$B54*$C54*COS($K$73)-($N$72/3)*$E54*SIN($K$73)-($N$72/3)*$F54*SIN($K$73)-($N$72/3)*$G54*SIN($K$73)</f>
        <v>#VALUE!</v>
      </c>
      <c r="BI54" s="106" t="e">
        <f>IF(($A54&lt;'Alternative 3'!$B$27),(($H54*'Alternative 3'!$B$39)+(3*($N$72/3)*COS($K$73))),IF(($A54&lt;'Alternative 3'!$B$28),(($H54*'Alternative 3'!$B$39)+(2*(($N$72/3)*COS($K$73)))),IF(($A54&lt;'Alternative 3'!$B$29),(($H$3*'Alternative 3'!$B$39+(($N$72/3)*COS($K$73)))),($H54*'Alternative 3'!$B$39))))</f>
        <v>#VALUE!</v>
      </c>
      <c r="BJ54" s="105" t="e">
        <f>BH54*'Alternative 3'!$K55/'Alternative 3'!$L55</f>
        <v>#VALUE!</v>
      </c>
      <c r="BK54" s="105" t="e">
        <f>BI54/'Alternative 3'!$M55</f>
        <v>#VALUE!</v>
      </c>
      <c r="BL54" s="105" t="e">
        <f t="shared" si="9"/>
        <v>#VALUE!</v>
      </c>
      <c r="BN54" s="105" t="e">
        <f>'Alternative 3'!$B$39*$B54*$C54*COS($K$83)-($N$82/3)*$E54*SIN($K$83)-($N$82/3)*$F54*SIN($K$83)-($N$82/3)*$G54*SIN($K$83)</f>
        <v>#VALUE!</v>
      </c>
      <c r="BO54" s="106" t="e">
        <f>IF(($A54&lt;'Alternative 3'!$B$27),(($H54*'Alternative 3'!$B$39)+(3*($N$82/3)*COS($K$83))),IF(($A54&lt;'Alternative 3'!$B$28),(($H54*'Alternative 3'!$B$39)+(2*(($N$82/3)*COS($K$83)))),IF(($A54&lt;'Alternative 3'!$B$29),(($H$3*'Alternative 3'!$B$39+(($N$82/3)*COS($K$83)))),($H54*'Alternative 3'!$B$39))))</f>
        <v>#VALUE!</v>
      </c>
      <c r="BP54" s="105" t="e">
        <f>BN54*'Alternative 3'!$K55/'Alternative 3'!$L55</f>
        <v>#VALUE!</v>
      </c>
      <c r="BQ54" s="105" t="e">
        <f>BO54/'Alternative 3'!$M55</f>
        <v>#VALUE!</v>
      </c>
      <c r="BR54" s="105" t="e">
        <f t="shared" si="10"/>
        <v>#VALUE!</v>
      </c>
      <c r="BT54" s="105" t="e">
        <f>'Alternative 3'!$B$39*$B54*$C54*COS($K$93)-($K$92/3)*$E54*SIN($K$93)-($K$92/3)*$F54*SIN($K$93)-($K$92/3)*$G54*SIN($K$93)</f>
        <v>#VALUE!</v>
      </c>
      <c r="BU54" s="106" t="e">
        <f>IF(($A54&lt;'Alternative 3'!$B$27),(($H54*'Alternative 3'!$B$39)+(3*($N$92/3)*COS($K$93))),IF(($A54&lt;'Alternative 3'!$B$28),(($H54*'Alternative 3'!$B$39)+(2*(($N$92/3)*COS($K$93)))),IF(($A54&lt;'Alternative 3'!$B$29),(($H$3*'Alternative 3'!$B$39+(($N$92/3)*COS($K$93)))),($H54*'Alternative 3'!$B$39))))</f>
        <v>#VALUE!</v>
      </c>
      <c r="BV54" s="105" t="e">
        <f>BT54*'Alternative 3'!$K55/'Alternative 3'!$L55</f>
        <v>#VALUE!</v>
      </c>
      <c r="BW54" s="105" t="e">
        <f>BU54/'Alternative 3'!$M55</f>
        <v>#VALUE!</v>
      </c>
      <c r="BX54" s="105" t="e">
        <f t="shared" si="11"/>
        <v>#VALUE!</v>
      </c>
      <c r="BZ54" s="104">
        <v>150</v>
      </c>
      <c r="CA54" s="104">
        <v>-150</v>
      </c>
    </row>
    <row r="55" spans="1:79" ht="15" customHeight="1" x14ac:dyDescent="0.25">
      <c r="A55" s="18" t="str">
        <f>IF('Alternative 3'!F56&gt;0,'Alternative 3'!F56,"x")</f>
        <v>x</v>
      </c>
      <c r="B55" s="18" t="e">
        <f t="shared" si="17"/>
        <v>#VALUE!</v>
      </c>
      <c r="C55" s="18">
        <f t="shared" si="12"/>
        <v>0</v>
      </c>
      <c r="D55" s="18" t="str">
        <f t="shared" si="13"/>
        <v>x</v>
      </c>
      <c r="E55" s="101">
        <f>IF($A55&lt;='Alternative 3'!$B$27, IF($A55='Alternative 3'!$B$27,0,E56+1),0)</f>
        <v>0</v>
      </c>
      <c r="F55" s="101">
        <f>IF($A55&lt;=('Alternative 3'!$B$28), IF($A55=ROUNDDOWN('Alternative 3'!$B$28,0),0,F56+1),0)</f>
        <v>0</v>
      </c>
      <c r="G55" s="101">
        <f>IF($A55&lt;=('Alternative 3'!$B$29), IF($A55=ROUNDDOWN('Alternative 3'!$B$29,0),0,G56+1),0)</f>
        <v>0</v>
      </c>
      <c r="H55" s="18" t="e">
        <f t="shared" si="14"/>
        <v>#VALUE!</v>
      </c>
      <c r="J55" s="104">
        <f t="shared" si="15"/>
        <v>52</v>
      </c>
      <c r="K55" s="104">
        <f t="shared" si="16"/>
        <v>0.90757121103705141</v>
      </c>
      <c r="L55" s="105">
        <f>'Alternative 3'!$B$27*SIN(K55)+'Alternative 3'!$B$28*SIN(K55)+'Alternative 3'!$B$29*SIN(K55)</f>
        <v>52.788840384114309</v>
      </c>
      <c r="M55" s="104">
        <f>(('Alternative 3'!$B$27)*(((('Alternative 3'!$B$28-'Alternative 3'!$B$27)/2)+'Alternative 3'!$B$27)*'Alternative 3'!$B$39)*COS('Alternative 3-Tilt Up (3pt)'!K55))+(('Alternative 3'!$B$28)*((('Alternative 3'!$B$28-'Alternative 3'!$B$27)/2)+(('Alternative 3'!$B$29-'Alternative 3'!$B$28)/2))*('Alternative 3'!$B$39)*COS('Alternative 3-Tilt Up (3pt)'!K55))+(('Alternative 3'!$B$29)*((('Alternative 3'!$B$12-'Alternative 3'!$B$29+(('Alternative 3'!$B$29-'Alternative 3'!$B$28)/2)*('Alternative 3'!$B$39)*COS('Alternative 3-Tilt Up (3pt)'!K55)))))</f>
        <v>1383800.6021211012</v>
      </c>
      <c r="N55" s="104">
        <f t="shared" si="0"/>
        <v>78641.655625619329</v>
      </c>
      <c r="O55" s="104">
        <f>(((('Alternative 3'!$B$28-'Alternative 3'!$B$27)/2)+'Alternative 3'!$B$27)*('Alternative 3'!$B$39)*COS('Alternative 3-Tilt Up (3pt)'!K55))+(((('Alternative 3'!$B$28-'Alternative 3'!$B$27)/2)+(('Alternative 3'!$B$29-'Alternative 3'!$B$28)/2))*('Alternative 3'!$B$39)*COS('Alternative 3-Tilt Up (3pt)'!K55))+(((('Alternative 3'!$B$12-'Alternative 3'!$B$29)+(('Alternative 3'!$B$29-'Alternative 3'!$B$28)/2))*('Alternative 3'!$B$39)*COS('Alternative 3-Tilt Up (3pt)'!K55)))</f>
        <v>89895.784650018133</v>
      </c>
      <c r="P55" s="104">
        <f t="shared" si="1"/>
        <v>48416.637724521148</v>
      </c>
      <c r="R55" s="105" t="e">
        <f>'Alternative 3'!$B$39*$B55*$C55*COS($K$5)-($N$5/3)*$E55*SIN($K$5)-($N$5/3)*$F55*SIN($K$5)-($N$5/3)*$G55*SIN($K$5)</f>
        <v>#VALUE!</v>
      </c>
      <c r="S55" s="106" t="e">
        <f>IF(($A55&lt;'Alternative 3'!$B$27),(($H55*'Alternative 3'!$B$39)+(3*($N$5/3)*COS($K$5))),IF(($A55&lt;'Alternative 3'!$B$28),(($H55*'Alternative 3'!$B$39)+(2*(($N$5/3)*COS($K$5)))),IF(($A55&lt;'Alternative 3'!$B$29),(($H$3*'Alternative 3'!$B$39+(($N$5/3)*COS($K$5)))),($H55*'Alternative 3'!$B$39))))</f>
        <v>#VALUE!</v>
      </c>
      <c r="T55" s="105" t="e">
        <f>R55*'Alternative 3'!$K56/'Alternative 3'!$L56</f>
        <v>#VALUE!</v>
      </c>
      <c r="U55" s="105" t="e">
        <f>S55/'Alternative 3'!$M56</f>
        <v>#VALUE!</v>
      </c>
      <c r="V55" s="105" t="e">
        <f t="shared" si="2"/>
        <v>#VALUE!</v>
      </c>
      <c r="X55" s="105" t="e">
        <f>'Alternative 3'!$B$39*$B55*$C55*COS($K$13)-($N$12/3)*$E55*SIN($K$13)-($N$12/3)*$F55*SIN($K$13)-($N$12/3)*$G55*SIN($K$13)</f>
        <v>#VALUE!</v>
      </c>
      <c r="Y55" s="106" t="e">
        <f>IF(($A55&lt;'Alternative 3'!$B$27),(($H55*'Alternative 3'!$B$39)+(3*($N$12/3)*COS($K$13))),IF(($A55&lt;'Alternative 3'!$B$28),(($H55*'Alternative 3'!$B$39)+(2*(($N$12/3)*COS($K$13)))),IF(($A55&lt;'Alternative 3'!$B$29),(($H$3*'Alternative 3'!$B$39+(($N$12/3)*COS($K$13)))),($H55*'Alternative 3'!$B$39))))</f>
        <v>#VALUE!</v>
      </c>
      <c r="Z55" s="105" t="e">
        <f>X55*'Alternative 3'!$K56/'Alternative 3'!$L56</f>
        <v>#VALUE!</v>
      </c>
      <c r="AA55" s="105" t="e">
        <f>Y55/'Alternative 3'!$M56</f>
        <v>#VALUE!</v>
      </c>
      <c r="AB55" s="105" t="e">
        <f t="shared" si="3"/>
        <v>#VALUE!</v>
      </c>
      <c r="AD55" s="105" t="e">
        <f>'Alternative 3'!$B$39*$B55*$C55*COS($K$23)-($N$22/3)*$E55*SIN($K$23)-($N$22/3)*$F55*SIN($K$23)-($N$22/3)*$G55*SIN($K$23)</f>
        <v>#VALUE!</v>
      </c>
      <c r="AE55" s="106" t="e">
        <f>IF(($A55&lt;'Alternative 3'!$B$27),(($H55*'Alternative 3'!$B$39)+(3*($N$22/3)*COS($K$23))),IF(($A55&lt;'Alternative 3'!$B$28),(($H55*'Alternative 3'!$B$39)+(2*(($N$22/3)*COS($K$23)))),IF(($A55&lt;'Alternative 3'!$B$29),(($H$3*'Alternative 3'!$B$39+(($N$22/3)*COS($K$23)))),($H55*'Alternative 3'!$B$39))))</f>
        <v>#VALUE!</v>
      </c>
      <c r="AF55" s="105" t="e">
        <f>AD55*'Alternative 3'!$K56/'Alternative 3'!$L56</f>
        <v>#VALUE!</v>
      </c>
      <c r="AG55" s="105" t="e">
        <f>AE55/'Alternative 3'!$M56</f>
        <v>#VALUE!</v>
      </c>
      <c r="AH55" s="105" t="e">
        <f t="shared" si="4"/>
        <v>#VALUE!</v>
      </c>
      <c r="AJ55" s="105" t="e">
        <f>'Alternative 3'!$B$39*$B55*$C55*COS($K$33)-($N$32/3)*$E55*SIN($K$33)-($N$32/3)*$F55*SIN($K$33)-($N$32/3)*$G55*SIN($K$33)</f>
        <v>#VALUE!</v>
      </c>
      <c r="AK55" s="106" t="e">
        <f>IF(($A55&lt;'Alternative 3'!$B$27),(($H55*'Alternative 3'!$B$39)+(3*($N$32/3)*COS($K$33))),IF(($A55&lt;'Alternative 3'!$B$28),(($H55*'Alternative 3'!$B$39)+(2*(($N$32/3)*COS($K$33)))),IF(($A55&lt;'Alternative 3'!$B$29),(($H$3*'Alternative 3'!$B$39+(($N$32/3)*COS($K$33)))),($H55*'Alternative 3'!$B$39))))</f>
        <v>#VALUE!</v>
      </c>
      <c r="AL55" s="105" t="e">
        <f>AJ55*'Alternative 3'!$K56/'Alternative 3'!$L56</f>
        <v>#VALUE!</v>
      </c>
      <c r="AM55" s="105" t="e">
        <f>AK55/'Alternative 3'!$M56</f>
        <v>#VALUE!</v>
      </c>
      <c r="AN55" s="105" t="e">
        <f t="shared" si="5"/>
        <v>#VALUE!</v>
      </c>
      <c r="AP55" s="105" t="e">
        <f>'Alternative 3'!$B$39*$B55*$C55*COS($K$43)-($N$42/3)*$E55*SIN($K$43)-($N$42/3)*$F55*SIN($K$43)-($N$42/3)*$G55*SIN($K$43)</f>
        <v>#VALUE!</v>
      </c>
      <c r="AQ55" s="106" t="e">
        <f>IF(($A55&lt;'Alternative 3'!$B$27),(($H55*'Alternative 3'!$B$39)+(3*($N$42/3)*COS($K$43))),IF(($A55&lt;'Alternative 3'!$B$28),(($H55*'Alternative 3'!$B$39)+(2*(($N$42/3)*COS($K$43)))),IF(($A55&lt;'Alternative 3'!$B$29),(($H$3*'Alternative 3'!$B$39+(($N$42/3)*COS($K$43)))),($H55*'Alternative 3'!$B$39))))</f>
        <v>#VALUE!</v>
      </c>
      <c r="AR55" s="105" t="e">
        <f>AP55*'Alternative 3'!$K56/'Alternative 3'!$L56</f>
        <v>#VALUE!</v>
      </c>
      <c r="AS55" s="105" t="e">
        <f>AQ55/'Alternative 3'!$M56</f>
        <v>#VALUE!</v>
      </c>
      <c r="AT55" s="105" t="e">
        <f t="shared" si="6"/>
        <v>#VALUE!</v>
      </c>
      <c r="AV55" s="105" t="e">
        <f>'Alternative 3'!$B$39*$B55*$C55*COS($K$53)-($N$52/3)*$E55*SIN($K$53)-($N$52/3)*$F55*SIN($K$53)-($N$52/3)*$G55*SIN($K$53)</f>
        <v>#VALUE!</v>
      </c>
      <c r="AW55" s="106" t="e">
        <f>IF(($A55&lt;'Alternative 3'!$B$27),(($H55*'Alternative 3'!$B$39)+(3*($N$52/3)*COS($K$53))),IF(($A55&lt;'Alternative 3'!$B$28),(($H55*'Alternative 3'!$B$39)+(2*(($N$52/3)*COS($K$53)))),IF(($A55&lt;'Alternative 3'!$B$29),(($H$3*'Alternative 3'!$B$39+(($N$52/3)*COS($K$53)))),($H55*'Alternative 3'!$B$39))))</f>
        <v>#VALUE!</v>
      </c>
      <c r="AX55" s="105" t="e">
        <f>AV55*'Alternative 3'!$K56/'Alternative 3'!$L56</f>
        <v>#VALUE!</v>
      </c>
      <c r="AY55" s="105" t="e">
        <f>AW55/'Alternative 3'!$M56</f>
        <v>#VALUE!</v>
      </c>
      <c r="AZ55" s="105" t="e">
        <f t="shared" si="7"/>
        <v>#VALUE!</v>
      </c>
      <c r="BB55" s="105" t="e">
        <f>'Alternative 3'!$B$39*$B55*$C55*COS($K$63)-($N$62/3)*$E55*SIN($K$63)-($N$62/3)*$F55*SIN($K$63)-($N$62/3)*$G55*SIN($K$63)</f>
        <v>#VALUE!</v>
      </c>
      <c r="BC55" s="106" t="e">
        <f>IF(($A55&lt;'Alternative 3'!$B$27),(($H55*'Alternative 3'!$B$39)+(3*($N$62/3)*COS($K$63))),IF(($A55&lt;'Alternative 3'!$B$28),(($H55*'Alternative 3'!$B$39)+(2*(($N$62/3)*COS($K$63)))),IF(($A55&lt;'Alternative 3'!$B$29),(($H$3*'Alternative 3'!$B$39+(($N$62/3)*COS($K$63)))),($H55*'Alternative 3'!$B$39))))</f>
        <v>#VALUE!</v>
      </c>
      <c r="BD55" s="105" t="e">
        <f>BB55*'Alternative 3'!$K56/'Alternative 3'!$L56</f>
        <v>#VALUE!</v>
      </c>
      <c r="BE55" s="105" t="e">
        <f>BC55/'Alternative 3'!$M56</f>
        <v>#VALUE!</v>
      </c>
      <c r="BF55" s="105" t="e">
        <f t="shared" si="8"/>
        <v>#VALUE!</v>
      </c>
      <c r="BH55" s="105" t="e">
        <f>'Alternative 3'!$B$39*$B55*$C55*COS($K$73)-($N$72/3)*$E55*SIN($K$73)-($N$72/3)*$F55*SIN($K$73)-($N$72/3)*$G55*SIN($K$73)</f>
        <v>#VALUE!</v>
      </c>
      <c r="BI55" s="106" t="e">
        <f>IF(($A55&lt;'Alternative 3'!$B$27),(($H55*'Alternative 3'!$B$39)+(3*($N$72/3)*COS($K$73))),IF(($A55&lt;'Alternative 3'!$B$28),(($H55*'Alternative 3'!$B$39)+(2*(($N$72/3)*COS($K$73)))),IF(($A55&lt;'Alternative 3'!$B$29),(($H$3*'Alternative 3'!$B$39+(($N$72/3)*COS($K$73)))),($H55*'Alternative 3'!$B$39))))</f>
        <v>#VALUE!</v>
      </c>
      <c r="BJ55" s="105" t="e">
        <f>BH55*'Alternative 3'!$K56/'Alternative 3'!$L56</f>
        <v>#VALUE!</v>
      </c>
      <c r="BK55" s="105" t="e">
        <f>BI55/'Alternative 3'!$M56</f>
        <v>#VALUE!</v>
      </c>
      <c r="BL55" s="105" t="e">
        <f t="shared" si="9"/>
        <v>#VALUE!</v>
      </c>
      <c r="BN55" s="105" t="e">
        <f>'Alternative 3'!$B$39*$B55*$C55*COS($K$83)-($N$82/3)*$E55*SIN($K$83)-($N$82/3)*$F55*SIN($K$83)-($N$82/3)*$G55*SIN($K$83)</f>
        <v>#VALUE!</v>
      </c>
      <c r="BO55" s="106" t="e">
        <f>IF(($A55&lt;'Alternative 3'!$B$27),(($H55*'Alternative 3'!$B$39)+(3*($N$82/3)*COS($K$83))),IF(($A55&lt;'Alternative 3'!$B$28),(($H55*'Alternative 3'!$B$39)+(2*(($N$82/3)*COS($K$83)))),IF(($A55&lt;'Alternative 3'!$B$29),(($H$3*'Alternative 3'!$B$39+(($N$82/3)*COS($K$83)))),($H55*'Alternative 3'!$B$39))))</f>
        <v>#VALUE!</v>
      </c>
      <c r="BP55" s="105" t="e">
        <f>BN55*'Alternative 3'!$K56/'Alternative 3'!$L56</f>
        <v>#VALUE!</v>
      </c>
      <c r="BQ55" s="105" t="e">
        <f>BO55/'Alternative 3'!$M56</f>
        <v>#VALUE!</v>
      </c>
      <c r="BR55" s="105" t="e">
        <f t="shared" si="10"/>
        <v>#VALUE!</v>
      </c>
      <c r="BT55" s="105" t="e">
        <f>'Alternative 3'!$B$39*$B55*$C55*COS($K$93)-($K$92/3)*$E55*SIN($K$93)-($K$92/3)*$F55*SIN($K$93)-($K$92/3)*$G55*SIN($K$93)</f>
        <v>#VALUE!</v>
      </c>
      <c r="BU55" s="106" t="e">
        <f>IF(($A55&lt;'Alternative 3'!$B$27),(($H55*'Alternative 3'!$B$39)+(3*($N$92/3)*COS($K$93))),IF(($A55&lt;'Alternative 3'!$B$28),(($H55*'Alternative 3'!$B$39)+(2*(($N$92/3)*COS($K$93)))),IF(($A55&lt;'Alternative 3'!$B$29),(($H$3*'Alternative 3'!$B$39+(($N$92/3)*COS($K$93)))),($H55*'Alternative 3'!$B$39))))</f>
        <v>#VALUE!</v>
      </c>
      <c r="BV55" s="105" t="e">
        <f>BT55*'Alternative 3'!$K56/'Alternative 3'!$L56</f>
        <v>#VALUE!</v>
      </c>
      <c r="BW55" s="105" t="e">
        <f>BU55/'Alternative 3'!$M56</f>
        <v>#VALUE!</v>
      </c>
      <c r="BX55" s="105" t="e">
        <f t="shared" si="11"/>
        <v>#VALUE!</v>
      </c>
      <c r="BZ55" s="104">
        <v>150</v>
      </c>
      <c r="CA55" s="104">
        <v>-150</v>
      </c>
    </row>
    <row r="56" spans="1:79" ht="15" customHeight="1" x14ac:dyDescent="0.25">
      <c r="A56" s="18" t="str">
        <f>IF('Alternative 3'!F57&gt;0,'Alternative 3'!F57,"x")</f>
        <v>x</v>
      </c>
      <c r="B56" s="18" t="e">
        <f t="shared" si="17"/>
        <v>#VALUE!</v>
      </c>
      <c r="C56" s="18">
        <f t="shared" si="12"/>
        <v>0</v>
      </c>
      <c r="D56" s="18" t="str">
        <f t="shared" si="13"/>
        <v>x</v>
      </c>
      <c r="E56" s="101">
        <f>IF($A56&lt;='Alternative 3'!$B$27, IF($A56='Alternative 3'!$B$27,0,E57+1),0)</f>
        <v>0</v>
      </c>
      <c r="F56" s="101">
        <f>IF($A56&lt;=('Alternative 3'!$B$28), IF($A56=ROUNDDOWN('Alternative 3'!$B$28,0),0,F57+1),0)</f>
        <v>0</v>
      </c>
      <c r="G56" s="101">
        <f>IF($A56&lt;=('Alternative 3'!$B$29), IF($A56=ROUNDDOWN('Alternative 3'!$B$29,0),0,G57+1),0)</f>
        <v>0</v>
      </c>
      <c r="H56" s="18" t="e">
        <f t="shared" si="14"/>
        <v>#VALUE!</v>
      </c>
      <c r="J56" s="104">
        <f t="shared" si="15"/>
        <v>53</v>
      </c>
      <c r="K56" s="104">
        <f t="shared" si="16"/>
        <v>0.92502450355699462</v>
      </c>
      <c r="L56" s="105">
        <f>'Alternative 3'!$B$27*SIN(K56)+'Alternative 3'!$B$28*SIN(K56)+'Alternative 3'!$B$29*SIN(K56)</f>
        <v>53.500592818068142</v>
      </c>
      <c r="M56" s="104">
        <f>(('Alternative 3'!$B$27)*(((('Alternative 3'!$B$28-'Alternative 3'!$B$27)/2)+'Alternative 3'!$B$27)*'Alternative 3'!$B$39)*COS('Alternative 3-Tilt Up (3pt)'!K56))+(('Alternative 3'!$B$28)*((('Alternative 3'!$B$28-'Alternative 3'!$B$27)/2)+(('Alternative 3'!$B$29-'Alternative 3'!$B$28)/2))*('Alternative 3'!$B$39)*COS('Alternative 3-Tilt Up (3pt)'!K56))+(('Alternative 3'!$B$29)*((('Alternative 3'!$B$12-'Alternative 3'!$B$29+(('Alternative 3'!$B$29-'Alternative 3'!$B$28)/2)*('Alternative 3'!$B$39)*COS('Alternative 3-Tilt Up (3pt)'!K56)))))</f>
        <v>1352682.5061192939</v>
      </c>
      <c r="N56" s="104">
        <f t="shared" si="0"/>
        <v>75850.515005646885</v>
      </c>
      <c r="O56" s="104">
        <f>(((('Alternative 3'!$B$28-'Alternative 3'!$B$27)/2)+'Alternative 3'!$B$27)*('Alternative 3'!$B$39)*COS('Alternative 3-Tilt Up (3pt)'!K56))+(((('Alternative 3'!$B$28-'Alternative 3'!$B$27)/2)+(('Alternative 3'!$B$29-'Alternative 3'!$B$28)/2))*('Alternative 3'!$B$39)*COS('Alternative 3-Tilt Up (3pt)'!K56))+(((('Alternative 3'!$B$12-'Alternative 3'!$B$29)+(('Alternative 3'!$B$29-'Alternative 3'!$B$28)/2))*('Alternative 3'!$B$39)*COS('Alternative 3-Tilt Up (3pt)'!K56)))</f>
        <v>87873.995513208502</v>
      </c>
      <c r="P56" s="104">
        <f t="shared" si="1"/>
        <v>45647.979444218174</v>
      </c>
      <c r="R56" s="105" t="e">
        <f>'Alternative 3'!$B$39*$B56*$C56*COS($K$5)-($N$5/3)*$E56*SIN($K$5)-($N$5/3)*$F56*SIN($K$5)-($N$5/3)*$G56*SIN($K$5)</f>
        <v>#VALUE!</v>
      </c>
      <c r="S56" s="106" t="e">
        <f>IF(($A56&lt;'Alternative 3'!$B$27),(($H56*'Alternative 3'!$B$39)+(3*($N$5/3)*COS($K$5))),IF(($A56&lt;'Alternative 3'!$B$28),(($H56*'Alternative 3'!$B$39)+(2*(($N$5/3)*COS($K$5)))),IF(($A56&lt;'Alternative 3'!$B$29),(($H$3*'Alternative 3'!$B$39+(($N$5/3)*COS($K$5)))),($H56*'Alternative 3'!$B$39))))</f>
        <v>#VALUE!</v>
      </c>
      <c r="T56" s="105" t="e">
        <f>R56*'Alternative 3'!$K57/'Alternative 3'!$L57</f>
        <v>#VALUE!</v>
      </c>
      <c r="U56" s="105" t="e">
        <f>S56/'Alternative 3'!$M57</f>
        <v>#VALUE!</v>
      </c>
      <c r="V56" s="105" t="e">
        <f t="shared" si="2"/>
        <v>#VALUE!</v>
      </c>
      <c r="X56" s="105" t="e">
        <f>'Alternative 3'!$B$39*$B56*$C56*COS($K$13)-($N$12/3)*$E56*SIN($K$13)-($N$12/3)*$F56*SIN($K$13)-($N$12/3)*$G56*SIN($K$13)</f>
        <v>#VALUE!</v>
      </c>
      <c r="Y56" s="106" t="e">
        <f>IF(($A56&lt;'Alternative 3'!$B$27),(($H56*'Alternative 3'!$B$39)+(3*($N$12/3)*COS($K$13))),IF(($A56&lt;'Alternative 3'!$B$28),(($H56*'Alternative 3'!$B$39)+(2*(($N$12/3)*COS($K$13)))),IF(($A56&lt;'Alternative 3'!$B$29),(($H$3*'Alternative 3'!$B$39+(($N$12/3)*COS($K$13)))),($H56*'Alternative 3'!$B$39))))</f>
        <v>#VALUE!</v>
      </c>
      <c r="Z56" s="105" t="e">
        <f>X56*'Alternative 3'!$K57/'Alternative 3'!$L57</f>
        <v>#VALUE!</v>
      </c>
      <c r="AA56" s="105" t="e">
        <f>Y56/'Alternative 3'!$M57</f>
        <v>#VALUE!</v>
      </c>
      <c r="AB56" s="105" t="e">
        <f t="shared" si="3"/>
        <v>#VALUE!</v>
      </c>
      <c r="AD56" s="105" t="e">
        <f>'Alternative 3'!$B$39*$B56*$C56*COS($K$23)-($N$22/3)*$E56*SIN($K$23)-($N$22/3)*$F56*SIN($K$23)-($N$22/3)*$G56*SIN($K$23)</f>
        <v>#VALUE!</v>
      </c>
      <c r="AE56" s="106" t="e">
        <f>IF(($A56&lt;'Alternative 3'!$B$27),(($H56*'Alternative 3'!$B$39)+(3*($N$22/3)*COS($K$23))),IF(($A56&lt;'Alternative 3'!$B$28),(($H56*'Alternative 3'!$B$39)+(2*(($N$22/3)*COS($K$23)))),IF(($A56&lt;'Alternative 3'!$B$29),(($H$3*'Alternative 3'!$B$39+(($N$22/3)*COS($K$23)))),($H56*'Alternative 3'!$B$39))))</f>
        <v>#VALUE!</v>
      </c>
      <c r="AF56" s="105" t="e">
        <f>AD56*'Alternative 3'!$K57/'Alternative 3'!$L57</f>
        <v>#VALUE!</v>
      </c>
      <c r="AG56" s="105" t="e">
        <f>AE56/'Alternative 3'!$M57</f>
        <v>#VALUE!</v>
      </c>
      <c r="AH56" s="105" t="e">
        <f t="shared" si="4"/>
        <v>#VALUE!</v>
      </c>
      <c r="AJ56" s="105" t="e">
        <f>'Alternative 3'!$B$39*$B56*$C56*COS($K$33)-($N$32/3)*$E56*SIN($K$33)-($N$32/3)*$F56*SIN($K$33)-($N$32/3)*$G56*SIN($K$33)</f>
        <v>#VALUE!</v>
      </c>
      <c r="AK56" s="106" t="e">
        <f>IF(($A56&lt;'Alternative 3'!$B$27),(($H56*'Alternative 3'!$B$39)+(3*($N$32/3)*COS($K$33))),IF(($A56&lt;'Alternative 3'!$B$28),(($H56*'Alternative 3'!$B$39)+(2*(($N$32/3)*COS($K$33)))),IF(($A56&lt;'Alternative 3'!$B$29),(($H$3*'Alternative 3'!$B$39+(($N$32/3)*COS($K$33)))),($H56*'Alternative 3'!$B$39))))</f>
        <v>#VALUE!</v>
      </c>
      <c r="AL56" s="105" t="e">
        <f>AJ56*'Alternative 3'!$K57/'Alternative 3'!$L57</f>
        <v>#VALUE!</v>
      </c>
      <c r="AM56" s="105" t="e">
        <f>AK56/'Alternative 3'!$M57</f>
        <v>#VALUE!</v>
      </c>
      <c r="AN56" s="105" t="e">
        <f t="shared" si="5"/>
        <v>#VALUE!</v>
      </c>
      <c r="AP56" s="105" t="e">
        <f>'Alternative 3'!$B$39*$B56*$C56*COS($K$43)-($N$42/3)*$E56*SIN($K$43)-($N$42/3)*$F56*SIN($K$43)-($N$42/3)*$G56*SIN($K$43)</f>
        <v>#VALUE!</v>
      </c>
      <c r="AQ56" s="106" t="e">
        <f>IF(($A56&lt;'Alternative 3'!$B$27),(($H56*'Alternative 3'!$B$39)+(3*($N$42/3)*COS($K$43))),IF(($A56&lt;'Alternative 3'!$B$28),(($H56*'Alternative 3'!$B$39)+(2*(($N$42/3)*COS($K$43)))),IF(($A56&lt;'Alternative 3'!$B$29),(($H$3*'Alternative 3'!$B$39+(($N$42/3)*COS($K$43)))),($H56*'Alternative 3'!$B$39))))</f>
        <v>#VALUE!</v>
      </c>
      <c r="AR56" s="105" t="e">
        <f>AP56*'Alternative 3'!$K57/'Alternative 3'!$L57</f>
        <v>#VALUE!</v>
      </c>
      <c r="AS56" s="105" t="e">
        <f>AQ56/'Alternative 3'!$M57</f>
        <v>#VALUE!</v>
      </c>
      <c r="AT56" s="105" t="e">
        <f t="shared" si="6"/>
        <v>#VALUE!</v>
      </c>
      <c r="AV56" s="105" t="e">
        <f>'Alternative 3'!$B$39*$B56*$C56*COS($K$53)-($N$52/3)*$E56*SIN($K$53)-($N$52/3)*$F56*SIN($K$53)-($N$52/3)*$G56*SIN($K$53)</f>
        <v>#VALUE!</v>
      </c>
      <c r="AW56" s="106" t="e">
        <f>IF(($A56&lt;'Alternative 3'!$B$27),(($H56*'Alternative 3'!$B$39)+(3*($N$52/3)*COS($K$53))),IF(($A56&lt;'Alternative 3'!$B$28),(($H56*'Alternative 3'!$B$39)+(2*(($N$52/3)*COS($K$53)))),IF(($A56&lt;'Alternative 3'!$B$29),(($H$3*'Alternative 3'!$B$39+(($N$52/3)*COS($K$53)))),($H56*'Alternative 3'!$B$39))))</f>
        <v>#VALUE!</v>
      </c>
      <c r="AX56" s="105" t="e">
        <f>AV56*'Alternative 3'!$K57/'Alternative 3'!$L57</f>
        <v>#VALUE!</v>
      </c>
      <c r="AY56" s="105" t="e">
        <f>AW56/'Alternative 3'!$M57</f>
        <v>#VALUE!</v>
      </c>
      <c r="AZ56" s="105" t="e">
        <f t="shared" si="7"/>
        <v>#VALUE!</v>
      </c>
      <c r="BB56" s="105" t="e">
        <f>'Alternative 3'!$B$39*$B56*$C56*COS($K$63)-($N$62/3)*$E56*SIN($K$63)-($N$62/3)*$F56*SIN($K$63)-($N$62/3)*$G56*SIN($K$63)</f>
        <v>#VALUE!</v>
      </c>
      <c r="BC56" s="106" t="e">
        <f>IF(($A56&lt;'Alternative 3'!$B$27),(($H56*'Alternative 3'!$B$39)+(3*($N$62/3)*COS($K$63))),IF(($A56&lt;'Alternative 3'!$B$28),(($H56*'Alternative 3'!$B$39)+(2*(($N$62/3)*COS($K$63)))),IF(($A56&lt;'Alternative 3'!$B$29),(($H$3*'Alternative 3'!$B$39+(($N$62/3)*COS($K$63)))),($H56*'Alternative 3'!$B$39))))</f>
        <v>#VALUE!</v>
      </c>
      <c r="BD56" s="105" t="e">
        <f>BB56*'Alternative 3'!$K57/'Alternative 3'!$L57</f>
        <v>#VALUE!</v>
      </c>
      <c r="BE56" s="105" t="e">
        <f>BC56/'Alternative 3'!$M57</f>
        <v>#VALUE!</v>
      </c>
      <c r="BF56" s="105" t="e">
        <f t="shared" si="8"/>
        <v>#VALUE!</v>
      </c>
      <c r="BH56" s="105" t="e">
        <f>'Alternative 3'!$B$39*$B56*$C56*COS($K$73)-($N$72/3)*$E56*SIN($K$73)-($N$72/3)*$F56*SIN($K$73)-($N$72/3)*$G56*SIN($K$73)</f>
        <v>#VALUE!</v>
      </c>
      <c r="BI56" s="106" t="e">
        <f>IF(($A56&lt;'Alternative 3'!$B$27),(($H56*'Alternative 3'!$B$39)+(3*($N$72/3)*COS($K$73))),IF(($A56&lt;'Alternative 3'!$B$28),(($H56*'Alternative 3'!$B$39)+(2*(($N$72/3)*COS($K$73)))),IF(($A56&lt;'Alternative 3'!$B$29),(($H$3*'Alternative 3'!$B$39+(($N$72/3)*COS($K$73)))),($H56*'Alternative 3'!$B$39))))</f>
        <v>#VALUE!</v>
      </c>
      <c r="BJ56" s="105" t="e">
        <f>BH56*'Alternative 3'!$K57/'Alternative 3'!$L57</f>
        <v>#VALUE!</v>
      </c>
      <c r="BK56" s="105" t="e">
        <f>BI56/'Alternative 3'!$M57</f>
        <v>#VALUE!</v>
      </c>
      <c r="BL56" s="105" t="e">
        <f t="shared" si="9"/>
        <v>#VALUE!</v>
      </c>
      <c r="BN56" s="105" t="e">
        <f>'Alternative 3'!$B$39*$B56*$C56*COS($K$83)-($N$82/3)*$E56*SIN($K$83)-($N$82/3)*$F56*SIN($K$83)-($N$82/3)*$G56*SIN($K$83)</f>
        <v>#VALUE!</v>
      </c>
      <c r="BO56" s="106" t="e">
        <f>IF(($A56&lt;'Alternative 3'!$B$27),(($H56*'Alternative 3'!$B$39)+(3*($N$82/3)*COS($K$83))),IF(($A56&lt;'Alternative 3'!$B$28),(($H56*'Alternative 3'!$B$39)+(2*(($N$82/3)*COS($K$83)))),IF(($A56&lt;'Alternative 3'!$B$29),(($H$3*'Alternative 3'!$B$39+(($N$82/3)*COS($K$83)))),($H56*'Alternative 3'!$B$39))))</f>
        <v>#VALUE!</v>
      </c>
      <c r="BP56" s="105" t="e">
        <f>BN56*'Alternative 3'!$K57/'Alternative 3'!$L57</f>
        <v>#VALUE!</v>
      </c>
      <c r="BQ56" s="105" t="e">
        <f>BO56/'Alternative 3'!$M57</f>
        <v>#VALUE!</v>
      </c>
      <c r="BR56" s="105" t="e">
        <f t="shared" si="10"/>
        <v>#VALUE!</v>
      </c>
      <c r="BT56" s="105" t="e">
        <f>'Alternative 3'!$B$39*$B56*$C56*COS($K$93)-($K$92/3)*$E56*SIN($K$93)-($K$92/3)*$F56*SIN($K$93)-($K$92/3)*$G56*SIN($K$93)</f>
        <v>#VALUE!</v>
      </c>
      <c r="BU56" s="106" t="e">
        <f>IF(($A56&lt;'Alternative 3'!$B$27),(($H56*'Alternative 3'!$B$39)+(3*($N$92/3)*COS($K$93))),IF(($A56&lt;'Alternative 3'!$B$28),(($H56*'Alternative 3'!$B$39)+(2*(($N$92/3)*COS($K$93)))),IF(($A56&lt;'Alternative 3'!$B$29),(($H$3*'Alternative 3'!$B$39+(($N$92/3)*COS($K$93)))),($H56*'Alternative 3'!$B$39))))</f>
        <v>#VALUE!</v>
      </c>
      <c r="BV56" s="105" t="e">
        <f>BT56*'Alternative 3'!$K57/'Alternative 3'!$L57</f>
        <v>#VALUE!</v>
      </c>
      <c r="BW56" s="105" t="e">
        <f>BU56/'Alternative 3'!$M57</f>
        <v>#VALUE!</v>
      </c>
      <c r="BX56" s="105" t="e">
        <f t="shared" si="11"/>
        <v>#VALUE!</v>
      </c>
      <c r="BZ56" s="104">
        <v>150</v>
      </c>
      <c r="CA56" s="104">
        <v>-150</v>
      </c>
    </row>
    <row r="57" spans="1:79" ht="15" customHeight="1" x14ac:dyDescent="0.25">
      <c r="A57" s="18" t="str">
        <f>IF('Alternative 3'!F58&gt;0,'Alternative 3'!F58,"x")</f>
        <v>x</v>
      </c>
      <c r="B57" s="18" t="e">
        <f t="shared" si="17"/>
        <v>#VALUE!</v>
      </c>
      <c r="C57" s="18">
        <f t="shared" si="12"/>
        <v>0</v>
      </c>
      <c r="D57" s="18" t="str">
        <f t="shared" si="13"/>
        <v>x</v>
      </c>
      <c r="E57" s="101">
        <f>IF($A57&lt;='Alternative 3'!$B$27, IF($A57='Alternative 3'!$B$27,0,E58+1),0)</f>
        <v>0</v>
      </c>
      <c r="F57" s="101">
        <f>IF($A57&lt;=('Alternative 3'!$B$28), IF($A57=ROUNDDOWN('Alternative 3'!$B$28,0),0,F58+1),0)</f>
        <v>0</v>
      </c>
      <c r="G57" s="101">
        <f>IF($A57&lt;=('Alternative 3'!$B$29), IF($A57=ROUNDDOWN('Alternative 3'!$B$29,0),0,G58+1),0)</f>
        <v>0</v>
      </c>
      <c r="H57" s="18" t="e">
        <f t="shared" si="14"/>
        <v>#VALUE!</v>
      </c>
      <c r="J57" s="104">
        <f t="shared" si="15"/>
        <v>54</v>
      </c>
      <c r="K57" s="104">
        <f t="shared" si="16"/>
        <v>0.94247779607693793</v>
      </c>
      <c r="L57" s="105">
        <f>'Alternative 3'!$B$27*SIN(K57)+'Alternative 3'!$B$28*SIN(K57)+'Alternative 3'!$B$29*SIN(K57)</f>
        <v>54.196048453177724</v>
      </c>
      <c r="M57" s="104">
        <f>(('Alternative 3'!$B$27)*(((('Alternative 3'!$B$28-'Alternative 3'!$B$27)/2)+'Alternative 3'!$B$27)*'Alternative 3'!$B$39)*COS('Alternative 3-Tilt Up (3pt)'!K57))+(('Alternative 3'!$B$28)*((('Alternative 3'!$B$28-'Alternative 3'!$B$27)/2)+(('Alternative 3'!$B$29-'Alternative 3'!$B$28)/2))*('Alternative 3'!$B$39)*COS('Alternative 3-Tilt Up (3pt)'!K57))+(('Alternative 3'!$B$29)*((('Alternative 3'!$B$12-'Alternative 3'!$B$29+(('Alternative 3'!$B$29-'Alternative 3'!$B$28)/2)*('Alternative 3'!$B$39)*COS('Alternative 3-Tilt Up (3pt)'!K57)))))</f>
        <v>1321152.4252713132</v>
      </c>
      <c r="N57" s="104">
        <f t="shared" si="0"/>
        <v>73131.849810750296</v>
      </c>
      <c r="O57" s="104">
        <f>(((('Alternative 3'!$B$28-'Alternative 3'!$B$27)/2)+'Alternative 3'!$B$27)*('Alternative 3'!$B$39)*COS('Alternative 3-Tilt Up (3pt)'!K57))+(((('Alternative 3'!$B$28-'Alternative 3'!$B$27)/2)+(('Alternative 3'!$B$29-'Alternative 3'!$B$28)/2))*('Alternative 3'!$B$39)*COS('Alternative 3-Tilt Up (3pt)'!K57))+(((('Alternative 3'!$B$12-'Alternative 3'!$B$29)+(('Alternative 3'!$B$29-'Alternative 3'!$B$28)/2))*('Alternative 3'!$B$39)*COS('Alternative 3-Tilt Up (3pt)'!K57)))</f>
        <v>85825.439106110993</v>
      </c>
      <c r="P57" s="104">
        <f t="shared" si="1"/>
        <v>42985.822791627113</v>
      </c>
      <c r="R57" s="105" t="e">
        <f>'Alternative 3'!$B$39*$B57*$C57*COS($K$5)-($N$5/3)*$E57*SIN($K$5)-($N$5/3)*$F57*SIN($K$5)-($N$5/3)*$G57*SIN($K$5)</f>
        <v>#VALUE!</v>
      </c>
      <c r="S57" s="106" t="e">
        <f>IF(($A57&lt;'Alternative 3'!$B$27),(($H57*'Alternative 3'!$B$39)+(3*($N$5/3)*COS($K$5))),IF(($A57&lt;'Alternative 3'!$B$28),(($H57*'Alternative 3'!$B$39)+(2*(($N$5/3)*COS($K$5)))),IF(($A57&lt;'Alternative 3'!$B$29),(($H$3*'Alternative 3'!$B$39+(($N$5/3)*COS($K$5)))),($H57*'Alternative 3'!$B$39))))</f>
        <v>#VALUE!</v>
      </c>
      <c r="T57" s="105" t="e">
        <f>R57*'Alternative 3'!$K58/'Alternative 3'!$L58</f>
        <v>#VALUE!</v>
      </c>
      <c r="U57" s="105" t="e">
        <f>S57/'Alternative 3'!$M58</f>
        <v>#VALUE!</v>
      </c>
      <c r="V57" s="105" t="e">
        <f t="shared" si="2"/>
        <v>#VALUE!</v>
      </c>
      <c r="X57" s="105" t="e">
        <f>'Alternative 3'!$B$39*$B57*$C57*COS($K$13)-($N$12/3)*$E57*SIN($K$13)-($N$12/3)*$F57*SIN($K$13)-($N$12/3)*$G57*SIN($K$13)</f>
        <v>#VALUE!</v>
      </c>
      <c r="Y57" s="106" t="e">
        <f>IF(($A57&lt;'Alternative 3'!$B$27),(($H57*'Alternative 3'!$B$39)+(3*($N$12/3)*COS($K$13))),IF(($A57&lt;'Alternative 3'!$B$28),(($H57*'Alternative 3'!$B$39)+(2*(($N$12/3)*COS($K$13)))),IF(($A57&lt;'Alternative 3'!$B$29),(($H$3*'Alternative 3'!$B$39+(($N$12/3)*COS($K$13)))),($H57*'Alternative 3'!$B$39))))</f>
        <v>#VALUE!</v>
      </c>
      <c r="Z57" s="105" t="e">
        <f>X57*'Alternative 3'!$K58/'Alternative 3'!$L58</f>
        <v>#VALUE!</v>
      </c>
      <c r="AA57" s="105" t="e">
        <f>Y57/'Alternative 3'!$M58</f>
        <v>#VALUE!</v>
      </c>
      <c r="AB57" s="105" t="e">
        <f t="shared" si="3"/>
        <v>#VALUE!</v>
      </c>
      <c r="AD57" s="105" t="e">
        <f>'Alternative 3'!$B$39*$B57*$C57*COS($K$23)-($N$22/3)*$E57*SIN($K$23)-($N$22/3)*$F57*SIN($K$23)-($N$22/3)*$G57*SIN($K$23)</f>
        <v>#VALUE!</v>
      </c>
      <c r="AE57" s="106" t="e">
        <f>IF(($A57&lt;'Alternative 3'!$B$27),(($H57*'Alternative 3'!$B$39)+(3*($N$22/3)*COS($K$23))),IF(($A57&lt;'Alternative 3'!$B$28),(($H57*'Alternative 3'!$B$39)+(2*(($N$22/3)*COS($K$23)))),IF(($A57&lt;'Alternative 3'!$B$29),(($H$3*'Alternative 3'!$B$39+(($N$22/3)*COS($K$23)))),($H57*'Alternative 3'!$B$39))))</f>
        <v>#VALUE!</v>
      </c>
      <c r="AF57" s="105" t="e">
        <f>AD57*'Alternative 3'!$K58/'Alternative 3'!$L58</f>
        <v>#VALUE!</v>
      </c>
      <c r="AG57" s="105" t="e">
        <f>AE57/'Alternative 3'!$M58</f>
        <v>#VALUE!</v>
      </c>
      <c r="AH57" s="105" t="e">
        <f t="shared" si="4"/>
        <v>#VALUE!</v>
      </c>
      <c r="AJ57" s="105" t="e">
        <f>'Alternative 3'!$B$39*$B57*$C57*COS($K$33)-($N$32/3)*$E57*SIN($K$33)-($N$32/3)*$F57*SIN($K$33)-($N$32/3)*$G57*SIN($K$33)</f>
        <v>#VALUE!</v>
      </c>
      <c r="AK57" s="106" t="e">
        <f>IF(($A57&lt;'Alternative 3'!$B$27),(($H57*'Alternative 3'!$B$39)+(3*($N$32/3)*COS($K$33))),IF(($A57&lt;'Alternative 3'!$B$28),(($H57*'Alternative 3'!$B$39)+(2*(($N$32/3)*COS($K$33)))),IF(($A57&lt;'Alternative 3'!$B$29),(($H$3*'Alternative 3'!$B$39+(($N$32/3)*COS($K$33)))),($H57*'Alternative 3'!$B$39))))</f>
        <v>#VALUE!</v>
      </c>
      <c r="AL57" s="105" t="e">
        <f>AJ57*'Alternative 3'!$K58/'Alternative 3'!$L58</f>
        <v>#VALUE!</v>
      </c>
      <c r="AM57" s="105" t="e">
        <f>AK57/'Alternative 3'!$M58</f>
        <v>#VALUE!</v>
      </c>
      <c r="AN57" s="105" t="e">
        <f t="shared" si="5"/>
        <v>#VALUE!</v>
      </c>
      <c r="AP57" s="105" t="e">
        <f>'Alternative 3'!$B$39*$B57*$C57*COS($K$43)-($N$42/3)*$E57*SIN($K$43)-($N$42/3)*$F57*SIN($K$43)-($N$42/3)*$G57*SIN($K$43)</f>
        <v>#VALUE!</v>
      </c>
      <c r="AQ57" s="106" t="e">
        <f>IF(($A57&lt;'Alternative 3'!$B$27),(($H57*'Alternative 3'!$B$39)+(3*($N$42/3)*COS($K$43))),IF(($A57&lt;'Alternative 3'!$B$28),(($H57*'Alternative 3'!$B$39)+(2*(($N$42/3)*COS($K$43)))),IF(($A57&lt;'Alternative 3'!$B$29),(($H$3*'Alternative 3'!$B$39+(($N$42/3)*COS($K$43)))),($H57*'Alternative 3'!$B$39))))</f>
        <v>#VALUE!</v>
      </c>
      <c r="AR57" s="105" t="e">
        <f>AP57*'Alternative 3'!$K58/'Alternative 3'!$L58</f>
        <v>#VALUE!</v>
      </c>
      <c r="AS57" s="105" t="e">
        <f>AQ57/'Alternative 3'!$M58</f>
        <v>#VALUE!</v>
      </c>
      <c r="AT57" s="105" t="e">
        <f t="shared" si="6"/>
        <v>#VALUE!</v>
      </c>
      <c r="AV57" s="105" t="e">
        <f>'Alternative 3'!$B$39*$B57*$C57*COS($K$53)-($N$52/3)*$E57*SIN($K$53)-($N$52/3)*$F57*SIN($K$53)-($N$52/3)*$G57*SIN($K$53)</f>
        <v>#VALUE!</v>
      </c>
      <c r="AW57" s="106" t="e">
        <f>IF(($A57&lt;'Alternative 3'!$B$27),(($H57*'Alternative 3'!$B$39)+(3*($N$52/3)*COS($K$53))),IF(($A57&lt;'Alternative 3'!$B$28),(($H57*'Alternative 3'!$B$39)+(2*(($N$52/3)*COS($K$53)))),IF(($A57&lt;'Alternative 3'!$B$29),(($H$3*'Alternative 3'!$B$39+(($N$52/3)*COS($K$53)))),($H57*'Alternative 3'!$B$39))))</f>
        <v>#VALUE!</v>
      </c>
      <c r="AX57" s="105" t="e">
        <f>AV57*'Alternative 3'!$K58/'Alternative 3'!$L58</f>
        <v>#VALUE!</v>
      </c>
      <c r="AY57" s="105" t="e">
        <f>AW57/'Alternative 3'!$M58</f>
        <v>#VALUE!</v>
      </c>
      <c r="AZ57" s="105" t="e">
        <f t="shared" si="7"/>
        <v>#VALUE!</v>
      </c>
      <c r="BB57" s="105" t="e">
        <f>'Alternative 3'!$B$39*$B57*$C57*COS($K$63)-($N$62/3)*$E57*SIN($K$63)-($N$62/3)*$F57*SIN($K$63)-($N$62/3)*$G57*SIN($K$63)</f>
        <v>#VALUE!</v>
      </c>
      <c r="BC57" s="106" t="e">
        <f>IF(($A57&lt;'Alternative 3'!$B$27),(($H57*'Alternative 3'!$B$39)+(3*($N$62/3)*COS($K$63))),IF(($A57&lt;'Alternative 3'!$B$28),(($H57*'Alternative 3'!$B$39)+(2*(($N$62/3)*COS($K$63)))),IF(($A57&lt;'Alternative 3'!$B$29),(($H$3*'Alternative 3'!$B$39+(($N$62/3)*COS($K$63)))),($H57*'Alternative 3'!$B$39))))</f>
        <v>#VALUE!</v>
      </c>
      <c r="BD57" s="105" t="e">
        <f>BB57*'Alternative 3'!$K58/'Alternative 3'!$L58</f>
        <v>#VALUE!</v>
      </c>
      <c r="BE57" s="105" t="e">
        <f>BC57/'Alternative 3'!$M58</f>
        <v>#VALUE!</v>
      </c>
      <c r="BF57" s="105" t="e">
        <f t="shared" si="8"/>
        <v>#VALUE!</v>
      </c>
      <c r="BH57" s="105" t="e">
        <f>'Alternative 3'!$B$39*$B57*$C57*COS($K$73)-($N$72/3)*$E57*SIN($K$73)-($N$72/3)*$F57*SIN($K$73)-($N$72/3)*$G57*SIN($K$73)</f>
        <v>#VALUE!</v>
      </c>
      <c r="BI57" s="106" t="e">
        <f>IF(($A57&lt;'Alternative 3'!$B$27),(($H57*'Alternative 3'!$B$39)+(3*($N$72/3)*COS($K$73))),IF(($A57&lt;'Alternative 3'!$B$28),(($H57*'Alternative 3'!$B$39)+(2*(($N$72/3)*COS($K$73)))),IF(($A57&lt;'Alternative 3'!$B$29),(($H$3*'Alternative 3'!$B$39+(($N$72/3)*COS($K$73)))),($H57*'Alternative 3'!$B$39))))</f>
        <v>#VALUE!</v>
      </c>
      <c r="BJ57" s="105" t="e">
        <f>BH57*'Alternative 3'!$K58/'Alternative 3'!$L58</f>
        <v>#VALUE!</v>
      </c>
      <c r="BK57" s="105" t="e">
        <f>BI57/'Alternative 3'!$M58</f>
        <v>#VALUE!</v>
      </c>
      <c r="BL57" s="105" t="e">
        <f t="shared" si="9"/>
        <v>#VALUE!</v>
      </c>
      <c r="BN57" s="105" t="e">
        <f>'Alternative 3'!$B$39*$B57*$C57*COS($K$83)-($N$82/3)*$E57*SIN($K$83)-($N$82/3)*$F57*SIN($K$83)-($N$82/3)*$G57*SIN($K$83)</f>
        <v>#VALUE!</v>
      </c>
      <c r="BO57" s="106" t="e">
        <f>IF(($A57&lt;'Alternative 3'!$B$27),(($H57*'Alternative 3'!$B$39)+(3*($N$82/3)*COS($K$83))),IF(($A57&lt;'Alternative 3'!$B$28),(($H57*'Alternative 3'!$B$39)+(2*(($N$82/3)*COS($K$83)))),IF(($A57&lt;'Alternative 3'!$B$29),(($H$3*'Alternative 3'!$B$39+(($N$82/3)*COS($K$83)))),($H57*'Alternative 3'!$B$39))))</f>
        <v>#VALUE!</v>
      </c>
      <c r="BP57" s="105" t="e">
        <f>BN57*'Alternative 3'!$K58/'Alternative 3'!$L58</f>
        <v>#VALUE!</v>
      </c>
      <c r="BQ57" s="105" t="e">
        <f>BO57/'Alternative 3'!$M58</f>
        <v>#VALUE!</v>
      </c>
      <c r="BR57" s="105" t="e">
        <f t="shared" si="10"/>
        <v>#VALUE!</v>
      </c>
      <c r="BT57" s="105" t="e">
        <f>'Alternative 3'!$B$39*$B57*$C57*COS($K$93)-($K$92/3)*$E57*SIN($K$93)-($K$92/3)*$F57*SIN($K$93)-($K$92/3)*$G57*SIN($K$93)</f>
        <v>#VALUE!</v>
      </c>
      <c r="BU57" s="106" t="e">
        <f>IF(($A57&lt;'Alternative 3'!$B$27),(($H57*'Alternative 3'!$B$39)+(3*($N$92/3)*COS($K$93))),IF(($A57&lt;'Alternative 3'!$B$28),(($H57*'Alternative 3'!$B$39)+(2*(($N$92/3)*COS($K$93)))),IF(($A57&lt;'Alternative 3'!$B$29),(($H$3*'Alternative 3'!$B$39+(($N$92/3)*COS($K$93)))),($H57*'Alternative 3'!$B$39))))</f>
        <v>#VALUE!</v>
      </c>
      <c r="BV57" s="105" t="e">
        <f>BT57*'Alternative 3'!$K58/'Alternative 3'!$L58</f>
        <v>#VALUE!</v>
      </c>
      <c r="BW57" s="105" t="e">
        <f>BU57/'Alternative 3'!$M58</f>
        <v>#VALUE!</v>
      </c>
      <c r="BX57" s="105" t="e">
        <f t="shared" si="11"/>
        <v>#VALUE!</v>
      </c>
      <c r="BZ57" s="104">
        <v>150</v>
      </c>
      <c r="CA57" s="104">
        <v>-150</v>
      </c>
    </row>
    <row r="58" spans="1:79" ht="15" customHeight="1" x14ac:dyDescent="0.25">
      <c r="A58" s="18" t="str">
        <f>IF('Alternative 3'!F59&gt;0,'Alternative 3'!F59,"x")</f>
        <v>x</v>
      </c>
      <c r="B58" s="18" t="e">
        <f t="shared" si="17"/>
        <v>#VALUE!</v>
      </c>
      <c r="C58" s="18">
        <f t="shared" si="12"/>
        <v>0</v>
      </c>
      <c r="D58" s="18" t="str">
        <f t="shared" si="13"/>
        <v>x</v>
      </c>
      <c r="E58" s="101">
        <f>IF($A58&lt;='Alternative 3'!$B$27, IF($A58='Alternative 3'!$B$27,0,E59+1),0)</f>
        <v>0</v>
      </c>
      <c r="F58" s="101">
        <f>IF($A58&lt;=('Alternative 3'!$B$28), IF($A58=ROUNDDOWN('Alternative 3'!$B$28,0),0,F59+1),0)</f>
        <v>0</v>
      </c>
      <c r="G58" s="101">
        <f>IF($A58&lt;=('Alternative 3'!$B$29), IF($A58=ROUNDDOWN('Alternative 3'!$B$29,0),0,G59+1),0)</f>
        <v>0</v>
      </c>
      <c r="H58" s="18" t="e">
        <f t="shared" si="14"/>
        <v>#VALUE!</v>
      </c>
      <c r="J58" s="104">
        <f t="shared" si="15"/>
        <v>55</v>
      </c>
      <c r="K58" s="104">
        <f t="shared" si="16"/>
        <v>0.95993108859688125</v>
      </c>
      <c r="L58" s="105">
        <f>'Alternative 3'!$B$27*SIN(K58)+'Alternative 3'!$B$28*SIN(K58)+'Alternative 3'!$B$29*SIN(K58)</f>
        <v>54.874995446919556</v>
      </c>
      <c r="M58" s="104">
        <f>(('Alternative 3'!$B$27)*(((('Alternative 3'!$B$28-'Alternative 3'!$B$27)/2)+'Alternative 3'!$B$27)*'Alternative 3'!$B$39)*COS('Alternative 3-Tilt Up (3pt)'!K58))+(('Alternative 3'!$B$28)*((('Alternative 3'!$B$28-'Alternative 3'!$B$27)/2)+(('Alternative 3'!$B$29-'Alternative 3'!$B$28)/2))*('Alternative 3'!$B$39)*COS('Alternative 3-Tilt Up (3pt)'!K58))+(('Alternative 3'!$B$29)*((('Alternative 3'!$B$12-'Alternative 3'!$B$29+(('Alternative 3'!$B$29-'Alternative 3'!$B$28)/2)*('Alternative 3'!$B$39)*COS('Alternative 3-Tilt Up (3pt)'!K58)))))</f>
        <v>1289219.9639452246</v>
      </c>
      <c r="N58" s="104">
        <f t="shared" si="0"/>
        <v>70481.279503282174</v>
      </c>
      <c r="O58" s="104">
        <f>(((('Alternative 3'!$B$28-'Alternative 3'!$B$27)/2)+'Alternative 3'!$B$27)*('Alternative 3'!$B$39)*COS('Alternative 3-Tilt Up (3pt)'!K58))+(((('Alternative 3'!$B$28-'Alternative 3'!$B$27)/2)+(('Alternative 3'!$B$29-'Alternative 3'!$B$28)/2))*('Alternative 3'!$B$39)*COS('Alternative 3-Tilt Up (3pt)'!K58))+(((('Alternative 3'!$B$12-'Alternative 3'!$B$29)+(('Alternative 3'!$B$29-'Alternative 3'!$B$28)/2))*('Alternative 3'!$B$39)*COS('Alternative 3-Tilt Up (3pt)'!K58)))</f>
        <v>83750.739438852106</v>
      </c>
      <c r="P58" s="104">
        <f t="shared" si="1"/>
        <v>40426.401126954624</v>
      </c>
      <c r="R58" s="105" t="e">
        <f>'Alternative 3'!$B$39*$B58*$C58*COS($K$5)-($N$5/3)*$E58*SIN($K$5)-($N$5/3)*$F58*SIN($K$5)-($N$5/3)*$G58*SIN($K$5)</f>
        <v>#VALUE!</v>
      </c>
      <c r="S58" s="106" t="e">
        <f>IF(($A58&lt;'Alternative 3'!$B$27),(($H58*'Alternative 3'!$B$39)+(3*($N$5/3)*COS($K$5))),IF(($A58&lt;'Alternative 3'!$B$28),(($H58*'Alternative 3'!$B$39)+(2*(($N$5/3)*COS($K$5)))),IF(($A58&lt;'Alternative 3'!$B$29),(($H$3*'Alternative 3'!$B$39+(($N$5/3)*COS($K$5)))),($H58*'Alternative 3'!$B$39))))</f>
        <v>#VALUE!</v>
      </c>
      <c r="T58" s="105" t="e">
        <f>R58*'Alternative 3'!$K59/'Alternative 3'!$L59</f>
        <v>#VALUE!</v>
      </c>
      <c r="U58" s="105" t="e">
        <f>S58/'Alternative 3'!$M59</f>
        <v>#VALUE!</v>
      </c>
      <c r="V58" s="105" t="e">
        <f t="shared" si="2"/>
        <v>#VALUE!</v>
      </c>
      <c r="X58" s="105" t="e">
        <f>'Alternative 3'!$B$39*$B58*$C58*COS($K$13)-($N$12/3)*$E58*SIN($K$13)-($N$12/3)*$F58*SIN($K$13)-($N$12/3)*$G58*SIN($K$13)</f>
        <v>#VALUE!</v>
      </c>
      <c r="Y58" s="106" t="e">
        <f>IF(($A58&lt;'Alternative 3'!$B$27),(($H58*'Alternative 3'!$B$39)+(3*($N$12/3)*COS($K$13))),IF(($A58&lt;'Alternative 3'!$B$28),(($H58*'Alternative 3'!$B$39)+(2*(($N$12/3)*COS($K$13)))),IF(($A58&lt;'Alternative 3'!$B$29),(($H$3*'Alternative 3'!$B$39+(($N$12/3)*COS($K$13)))),($H58*'Alternative 3'!$B$39))))</f>
        <v>#VALUE!</v>
      </c>
      <c r="Z58" s="105" t="e">
        <f>X58*'Alternative 3'!$K59/'Alternative 3'!$L59</f>
        <v>#VALUE!</v>
      </c>
      <c r="AA58" s="105" t="e">
        <f>Y58/'Alternative 3'!$M59</f>
        <v>#VALUE!</v>
      </c>
      <c r="AB58" s="105" t="e">
        <f t="shared" si="3"/>
        <v>#VALUE!</v>
      </c>
      <c r="AD58" s="105" t="e">
        <f>'Alternative 3'!$B$39*$B58*$C58*COS($K$23)-($N$22/3)*$E58*SIN($K$23)-($N$22/3)*$F58*SIN($K$23)-($N$22/3)*$G58*SIN($K$23)</f>
        <v>#VALUE!</v>
      </c>
      <c r="AE58" s="106" t="e">
        <f>IF(($A58&lt;'Alternative 3'!$B$27),(($H58*'Alternative 3'!$B$39)+(3*($N$22/3)*COS($K$23))),IF(($A58&lt;'Alternative 3'!$B$28),(($H58*'Alternative 3'!$B$39)+(2*(($N$22/3)*COS($K$23)))),IF(($A58&lt;'Alternative 3'!$B$29),(($H$3*'Alternative 3'!$B$39+(($N$22/3)*COS($K$23)))),($H58*'Alternative 3'!$B$39))))</f>
        <v>#VALUE!</v>
      </c>
      <c r="AF58" s="105" t="e">
        <f>AD58*'Alternative 3'!$K59/'Alternative 3'!$L59</f>
        <v>#VALUE!</v>
      </c>
      <c r="AG58" s="105" t="e">
        <f>AE58/'Alternative 3'!$M59</f>
        <v>#VALUE!</v>
      </c>
      <c r="AH58" s="105" t="e">
        <f t="shared" si="4"/>
        <v>#VALUE!</v>
      </c>
      <c r="AJ58" s="105" t="e">
        <f>'Alternative 3'!$B$39*$B58*$C58*COS($K$33)-($N$32/3)*$E58*SIN($K$33)-($N$32/3)*$F58*SIN($K$33)-($N$32/3)*$G58*SIN($K$33)</f>
        <v>#VALUE!</v>
      </c>
      <c r="AK58" s="106" t="e">
        <f>IF(($A58&lt;'Alternative 3'!$B$27),(($H58*'Alternative 3'!$B$39)+(3*($N$32/3)*COS($K$33))),IF(($A58&lt;'Alternative 3'!$B$28),(($H58*'Alternative 3'!$B$39)+(2*(($N$32/3)*COS($K$33)))),IF(($A58&lt;'Alternative 3'!$B$29),(($H$3*'Alternative 3'!$B$39+(($N$32/3)*COS($K$33)))),($H58*'Alternative 3'!$B$39))))</f>
        <v>#VALUE!</v>
      </c>
      <c r="AL58" s="105" t="e">
        <f>AJ58*'Alternative 3'!$K59/'Alternative 3'!$L59</f>
        <v>#VALUE!</v>
      </c>
      <c r="AM58" s="105" t="e">
        <f>AK58/'Alternative 3'!$M59</f>
        <v>#VALUE!</v>
      </c>
      <c r="AN58" s="105" t="e">
        <f t="shared" si="5"/>
        <v>#VALUE!</v>
      </c>
      <c r="AP58" s="105" t="e">
        <f>'Alternative 3'!$B$39*$B58*$C58*COS($K$43)-($N$42/3)*$E58*SIN($K$43)-($N$42/3)*$F58*SIN($K$43)-($N$42/3)*$G58*SIN($K$43)</f>
        <v>#VALUE!</v>
      </c>
      <c r="AQ58" s="106" t="e">
        <f>IF(($A58&lt;'Alternative 3'!$B$27),(($H58*'Alternative 3'!$B$39)+(3*($N$42/3)*COS($K$43))),IF(($A58&lt;'Alternative 3'!$B$28),(($H58*'Alternative 3'!$B$39)+(2*(($N$42/3)*COS($K$43)))),IF(($A58&lt;'Alternative 3'!$B$29),(($H$3*'Alternative 3'!$B$39+(($N$42/3)*COS($K$43)))),($H58*'Alternative 3'!$B$39))))</f>
        <v>#VALUE!</v>
      </c>
      <c r="AR58" s="105" t="e">
        <f>AP58*'Alternative 3'!$K59/'Alternative 3'!$L59</f>
        <v>#VALUE!</v>
      </c>
      <c r="AS58" s="105" t="e">
        <f>AQ58/'Alternative 3'!$M59</f>
        <v>#VALUE!</v>
      </c>
      <c r="AT58" s="105" t="e">
        <f t="shared" si="6"/>
        <v>#VALUE!</v>
      </c>
      <c r="AV58" s="105" t="e">
        <f>'Alternative 3'!$B$39*$B58*$C58*COS($K$53)-($N$52/3)*$E58*SIN($K$53)-($N$52/3)*$F58*SIN($K$53)-($N$52/3)*$G58*SIN($K$53)</f>
        <v>#VALUE!</v>
      </c>
      <c r="AW58" s="106" t="e">
        <f>IF(($A58&lt;'Alternative 3'!$B$27),(($H58*'Alternative 3'!$B$39)+(3*($N$52/3)*COS($K$53))),IF(($A58&lt;'Alternative 3'!$B$28),(($H58*'Alternative 3'!$B$39)+(2*(($N$52/3)*COS($K$53)))),IF(($A58&lt;'Alternative 3'!$B$29),(($H$3*'Alternative 3'!$B$39+(($N$52/3)*COS($K$53)))),($H58*'Alternative 3'!$B$39))))</f>
        <v>#VALUE!</v>
      </c>
      <c r="AX58" s="105" t="e">
        <f>AV58*'Alternative 3'!$K59/'Alternative 3'!$L59</f>
        <v>#VALUE!</v>
      </c>
      <c r="AY58" s="105" t="e">
        <f>AW58/'Alternative 3'!$M59</f>
        <v>#VALUE!</v>
      </c>
      <c r="AZ58" s="105" t="e">
        <f t="shared" si="7"/>
        <v>#VALUE!</v>
      </c>
      <c r="BB58" s="105" t="e">
        <f>'Alternative 3'!$B$39*$B58*$C58*COS($K$63)-($N$62/3)*$E58*SIN($K$63)-($N$62/3)*$F58*SIN($K$63)-($N$62/3)*$G58*SIN($K$63)</f>
        <v>#VALUE!</v>
      </c>
      <c r="BC58" s="106" t="e">
        <f>IF(($A58&lt;'Alternative 3'!$B$27),(($H58*'Alternative 3'!$B$39)+(3*($N$62/3)*COS($K$63))),IF(($A58&lt;'Alternative 3'!$B$28),(($H58*'Alternative 3'!$B$39)+(2*(($N$62/3)*COS($K$63)))),IF(($A58&lt;'Alternative 3'!$B$29),(($H$3*'Alternative 3'!$B$39+(($N$62/3)*COS($K$63)))),($H58*'Alternative 3'!$B$39))))</f>
        <v>#VALUE!</v>
      </c>
      <c r="BD58" s="105" t="e">
        <f>BB58*'Alternative 3'!$K59/'Alternative 3'!$L59</f>
        <v>#VALUE!</v>
      </c>
      <c r="BE58" s="105" t="e">
        <f>BC58/'Alternative 3'!$M59</f>
        <v>#VALUE!</v>
      </c>
      <c r="BF58" s="105" t="e">
        <f t="shared" si="8"/>
        <v>#VALUE!</v>
      </c>
      <c r="BH58" s="105" t="e">
        <f>'Alternative 3'!$B$39*$B58*$C58*COS($K$73)-($N$72/3)*$E58*SIN($K$73)-($N$72/3)*$F58*SIN($K$73)-($N$72/3)*$G58*SIN($K$73)</f>
        <v>#VALUE!</v>
      </c>
      <c r="BI58" s="106" t="e">
        <f>IF(($A58&lt;'Alternative 3'!$B$27),(($H58*'Alternative 3'!$B$39)+(3*($N$72/3)*COS($K$73))),IF(($A58&lt;'Alternative 3'!$B$28),(($H58*'Alternative 3'!$B$39)+(2*(($N$72/3)*COS($K$73)))),IF(($A58&lt;'Alternative 3'!$B$29),(($H$3*'Alternative 3'!$B$39+(($N$72/3)*COS($K$73)))),($H58*'Alternative 3'!$B$39))))</f>
        <v>#VALUE!</v>
      </c>
      <c r="BJ58" s="105" t="e">
        <f>BH58*'Alternative 3'!$K59/'Alternative 3'!$L59</f>
        <v>#VALUE!</v>
      </c>
      <c r="BK58" s="105" t="e">
        <f>BI58/'Alternative 3'!$M59</f>
        <v>#VALUE!</v>
      </c>
      <c r="BL58" s="105" t="e">
        <f t="shared" si="9"/>
        <v>#VALUE!</v>
      </c>
      <c r="BN58" s="105" t="e">
        <f>'Alternative 3'!$B$39*$B58*$C58*COS($K$83)-($N$82/3)*$E58*SIN($K$83)-($N$82/3)*$F58*SIN($K$83)-($N$82/3)*$G58*SIN($K$83)</f>
        <v>#VALUE!</v>
      </c>
      <c r="BO58" s="106" t="e">
        <f>IF(($A58&lt;'Alternative 3'!$B$27),(($H58*'Alternative 3'!$B$39)+(3*($N$82/3)*COS($K$83))),IF(($A58&lt;'Alternative 3'!$B$28),(($H58*'Alternative 3'!$B$39)+(2*(($N$82/3)*COS($K$83)))),IF(($A58&lt;'Alternative 3'!$B$29),(($H$3*'Alternative 3'!$B$39+(($N$82/3)*COS($K$83)))),($H58*'Alternative 3'!$B$39))))</f>
        <v>#VALUE!</v>
      </c>
      <c r="BP58" s="105" t="e">
        <f>BN58*'Alternative 3'!$K59/'Alternative 3'!$L59</f>
        <v>#VALUE!</v>
      </c>
      <c r="BQ58" s="105" t="e">
        <f>BO58/'Alternative 3'!$M59</f>
        <v>#VALUE!</v>
      </c>
      <c r="BR58" s="105" t="e">
        <f t="shared" si="10"/>
        <v>#VALUE!</v>
      </c>
      <c r="BT58" s="105" t="e">
        <f>'Alternative 3'!$B$39*$B58*$C58*COS($K$93)-($K$92/3)*$E58*SIN($K$93)-($K$92/3)*$F58*SIN($K$93)-($K$92/3)*$G58*SIN($K$93)</f>
        <v>#VALUE!</v>
      </c>
      <c r="BU58" s="106" t="e">
        <f>IF(($A58&lt;'Alternative 3'!$B$27),(($H58*'Alternative 3'!$B$39)+(3*($N$92/3)*COS($K$93))),IF(($A58&lt;'Alternative 3'!$B$28),(($H58*'Alternative 3'!$B$39)+(2*(($N$92/3)*COS($K$93)))),IF(($A58&lt;'Alternative 3'!$B$29),(($H$3*'Alternative 3'!$B$39+(($N$92/3)*COS($K$93)))),($H58*'Alternative 3'!$B$39))))</f>
        <v>#VALUE!</v>
      </c>
      <c r="BV58" s="105" t="e">
        <f>BT58*'Alternative 3'!$K59/'Alternative 3'!$L59</f>
        <v>#VALUE!</v>
      </c>
      <c r="BW58" s="105" t="e">
        <f>BU58/'Alternative 3'!$M59</f>
        <v>#VALUE!</v>
      </c>
      <c r="BX58" s="105" t="e">
        <f t="shared" si="11"/>
        <v>#VALUE!</v>
      </c>
      <c r="BZ58" s="104">
        <v>150</v>
      </c>
      <c r="CA58" s="104">
        <v>-150</v>
      </c>
    </row>
    <row r="59" spans="1:79" ht="15" customHeight="1" x14ac:dyDescent="0.25">
      <c r="A59" s="18" t="str">
        <f>IF('Alternative 3'!F60&gt;0,'Alternative 3'!F60,"x")</f>
        <v>x</v>
      </c>
      <c r="B59" s="18" t="e">
        <f t="shared" si="17"/>
        <v>#VALUE!</v>
      </c>
      <c r="C59" s="18">
        <f t="shared" si="12"/>
        <v>0</v>
      </c>
      <c r="D59" s="18" t="str">
        <f t="shared" si="13"/>
        <v>x</v>
      </c>
      <c r="E59" s="101">
        <f>IF($A59&lt;='Alternative 3'!$B$27, IF($A59='Alternative 3'!$B$27,0,E60+1),0)</f>
        <v>0</v>
      </c>
      <c r="F59" s="101">
        <f>IF($A59&lt;=('Alternative 3'!$B$28), IF($A59=ROUNDDOWN('Alternative 3'!$B$28,0),0,F60+1),0)</f>
        <v>0</v>
      </c>
      <c r="G59" s="101">
        <f>IF($A59&lt;=('Alternative 3'!$B$29), IF($A59=ROUNDDOWN('Alternative 3'!$B$29,0),0,G60+1),0)</f>
        <v>0</v>
      </c>
      <c r="H59" s="18" t="e">
        <f t="shared" si="14"/>
        <v>#VALUE!</v>
      </c>
      <c r="J59" s="104">
        <f t="shared" si="15"/>
        <v>56</v>
      </c>
      <c r="K59" s="104">
        <f t="shared" si="16"/>
        <v>0.97738438111682457</v>
      </c>
      <c r="L59" s="105">
        <f>'Alternative 3'!$B$27*SIN(K59)+'Alternative 3'!$B$28*SIN(K59)+'Alternative 3'!$B$29*SIN(K59)</f>
        <v>55.53722698546224</v>
      </c>
      <c r="M59" s="104">
        <f>(('Alternative 3'!$B$27)*(((('Alternative 3'!$B$28-'Alternative 3'!$B$27)/2)+'Alternative 3'!$B$27)*'Alternative 3'!$B$39)*COS('Alternative 3-Tilt Up (3pt)'!K59))+(('Alternative 3'!$B$28)*((('Alternative 3'!$B$28-'Alternative 3'!$B$27)/2)+(('Alternative 3'!$B$29-'Alternative 3'!$B$28)/2))*('Alternative 3'!$B$39)*COS('Alternative 3-Tilt Up (3pt)'!K59))+(('Alternative 3'!$B$29)*((('Alternative 3'!$B$12-'Alternative 3'!$B$29+(('Alternative 3'!$B$29-'Alternative 3'!$B$28)/2)*('Alternative 3'!$B$39)*COS('Alternative 3-Tilt Up (3pt)'!K59)))))</f>
        <v>1256894.8490780843</v>
      </c>
      <c r="N59" s="104">
        <f t="shared" si="0"/>
        <v>67894.721287061926</v>
      </c>
      <c r="O59" s="104">
        <f>(((('Alternative 3'!$B$28-'Alternative 3'!$B$27)/2)+'Alternative 3'!$B$27)*('Alternative 3'!$B$39)*COS('Alternative 3-Tilt Up (3pt)'!K59))+(((('Alternative 3'!$B$28-'Alternative 3'!$B$27)/2)+(('Alternative 3'!$B$29-'Alternative 3'!$B$28)/2))*('Alternative 3'!$B$39)*COS('Alternative 3-Tilt Up (3pt)'!K59))+(((('Alternative 3'!$B$12-'Alternative 3'!$B$29)+(('Alternative 3'!$B$29-'Alternative 3'!$B$28)/2))*('Alternative 3'!$B$39)*COS('Alternative 3-Tilt Up (3pt)'!K59)))</f>
        <v>81650.528485048475</v>
      </c>
      <c r="P59" s="104">
        <f t="shared" si="1"/>
        <v>37966.246326849279</v>
      </c>
      <c r="R59" s="105" t="e">
        <f>'Alternative 3'!$B$39*$B59*$C59*COS($K$5)-($N$5/3)*$E59*SIN($K$5)-($N$5/3)*$F59*SIN($K$5)-($N$5/3)*$G59*SIN($K$5)</f>
        <v>#VALUE!</v>
      </c>
      <c r="S59" s="106" t="e">
        <f>IF(($A59&lt;'Alternative 3'!$B$27),(($H59*'Alternative 3'!$B$39)+(3*($N$5/3)*COS($K$5))),IF(($A59&lt;'Alternative 3'!$B$28),(($H59*'Alternative 3'!$B$39)+(2*(($N$5/3)*COS($K$5)))),IF(($A59&lt;'Alternative 3'!$B$29),(($H$3*'Alternative 3'!$B$39+(($N$5/3)*COS($K$5)))),($H59*'Alternative 3'!$B$39))))</f>
        <v>#VALUE!</v>
      </c>
      <c r="T59" s="105" t="e">
        <f>R59*'Alternative 3'!$K60/'Alternative 3'!$L60</f>
        <v>#VALUE!</v>
      </c>
      <c r="U59" s="105" t="e">
        <f>S59/'Alternative 3'!$M60</f>
        <v>#VALUE!</v>
      </c>
      <c r="V59" s="105" t="e">
        <f t="shared" si="2"/>
        <v>#VALUE!</v>
      </c>
      <c r="X59" s="105" t="e">
        <f>'Alternative 3'!$B$39*$B59*$C59*COS($K$13)-($N$12/3)*$E59*SIN($K$13)-($N$12/3)*$F59*SIN($K$13)-($N$12/3)*$G59*SIN($K$13)</f>
        <v>#VALUE!</v>
      </c>
      <c r="Y59" s="106" t="e">
        <f>IF(($A59&lt;'Alternative 3'!$B$27),(($H59*'Alternative 3'!$B$39)+(3*($N$12/3)*COS($K$13))),IF(($A59&lt;'Alternative 3'!$B$28),(($H59*'Alternative 3'!$B$39)+(2*(($N$12/3)*COS($K$13)))),IF(($A59&lt;'Alternative 3'!$B$29),(($H$3*'Alternative 3'!$B$39+(($N$12/3)*COS($K$13)))),($H59*'Alternative 3'!$B$39))))</f>
        <v>#VALUE!</v>
      </c>
      <c r="Z59" s="105" t="e">
        <f>X59*'Alternative 3'!$K60/'Alternative 3'!$L60</f>
        <v>#VALUE!</v>
      </c>
      <c r="AA59" s="105" t="e">
        <f>Y59/'Alternative 3'!$M60</f>
        <v>#VALUE!</v>
      </c>
      <c r="AB59" s="105" t="e">
        <f t="shared" si="3"/>
        <v>#VALUE!</v>
      </c>
      <c r="AD59" s="105" t="e">
        <f>'Alternative 3'!$B$39*$B59*$C59*COS($K$23)-($N$22/3)*$E59*SIN($K$23)-($N$22/3)*$F59*SIN($K$23)-($N$22/3)*$G59*SIN($K$23)</f>
        <v>#VALUE!</v>
      </c>
      <c r="AE59" s="106" t="e">
        <f>IF(($A59&lt;'Alternative 3'!$B$27),(($H59*'Alternative 3'!$B$39)+(3*($N$22/3)*COS($K$23))),IF(($A59&lt;'Alternative 3'!$B$28),(($H59*'Alternative 3'!$B$39)+(2*(($N$22/3)*COS($K$23)))),IF(($A59&lt;'Alternative 3'!$B$29),(($H$3*'Alternative 3'!$B$39+(($N$22/3)*COS($K$23)))),($H59*'Alternative 3'!$B$39))))</f>
        <v>#VALUE!</v>
      </c>
      <c r="AF59" s="105" t="e">
        <f>AD59*'Alternative 3'!$K60/'Alternative 3'!$L60</f>
        <v>#VALUE!</v>
      </c>
      <c r="AG59" s="105" t="e">
        <f>AE59/'Alternative 3'!$M60</f>
        <v>#VALUE!</v>
      </c>
      <c r="AH59" s="105" t="e">
        <f t="shared" si="4"/>
        <v>#VALUE!</v>
      </c>
      <c r="AJ59" s="105" t="e">
        <f>'Alternative 3'!$B$39*$B59*$C59*COS($K$33)-($N$32/3)*$E59*SIN($K$33)-($N$32/3)*$F59*SIN($K$33)-($N$32/3)*$G59*SIN($K$33)</f>
        <v>#VALUE!</v>
      </c>
      <c r="AK59" s="106" t="e">
        <f>IF(($A59&lt;'Alternative 3'!$B$27),(($H59*'Alternative 3'!$B$39)+(3*($N$32/3)*COS($K$33))),IF(($A59&lt;'Alternative 3'!$B$28),(($H59*'Alternative 3'!$B$39)+(2*(($N$32/3)*COS($K$33)))),IF(($A59&lt;'Alternative 3'!$B$29),(($H$3*'Alternative 3'!$B$39+(($N$32/3)*COS($K$33)))),($H59*'Alternative 3'!$B$39))))</f>
        <v>#VALUE!</v>
      </c>
      <c r="AL59" s="105" t="e">
        <f>AJ59*'Alternative 3'!$K60/'Alternative 3'!$L60</f>
        <v>#VALUE!</v>
      </c>
      <c r="AM59" s="105" t="e">
        <f>AK59/'Alternative 3'!$M60</f>
        <v>#VALUE!</v>
      </c>
      <c r="AN59" s="105" t="e">
        <f t="shared" si="5"/>
        <v>#VALUE!</v>
      </c>
      <c r="AP59" s="105" t="e">
        <f>'Alternative 3'!$B$39*$B59*$C59*COS($K$43)-($N$42/3)*$E59*SIN($K$43)-($N$42/3)*$F59*SIN($K$43)-($N$42/3)*$G59*SIN($K$43)</f>
        <v>#VALUE!</v>
      </c>
      <c r="AQ59" s="106" t="e">
        <f>IF(($A59&lt;'Alternative 3'!$B$27),(($H59*'Alternative 3'!$B$39)+(3*($N$42/3)*COS($K$43))),IF(($A59&lt;'Alternative 3'!$B$28),(($H59*'Alternative 3'!$B$39)+(2*(($N$42/3)*COS($K$43)))),IF(($A59&lt;'Alternative 3'!$B$29),(($H$3*'Alternative 3'!$B$39+(($N$42/3)*COS($K$43)))),($H59*'Alternative 3'!$B$39))))</f>
        <v>#VALUE!</v>
      </c>
      <c r="AR59" s="105" t="e">
        <f>AP59*'Alternative 3'!$K60/'Alternative 3'!$L60</f>
        <v>#VALUE!</v>
      </c>
      <c r="AS59" s="105" t="e">
        <f>AQ59/'Alternative 3'!$M60</f>
        <v>#VALUE!</v>
      </c>
      <c r="AT59" s="105" t="e">
        <f t="shared" si="6"/>
        <v>#VALUE!</v>
      </c>
      <c r="AV59" s="105" t="e">
        <f>'Alternative 3'!$B$39*$B59*$C59*COS($K$53)-($N$52/3)*$E59*SIN($K$53)-($N$52/3)*$F59*SIN($K$53)-($N$52/3)*$G59*SIN($K$53)</f>
        <v>#VALUE!</v>
      </c>
      <c r="AW59" s="106" t="e">
        <f>IF(($A59&lt;'Alternative 3'!$B$27),(($H59*'Alternative 3'!$B$39)+(3*($N$52/3)*COS($K$53))),IF(($A59&lt;'Alternative 3'!$B$28),(($H59*'Alternative 3'!$B$39)+(2*(($N$52/3)*COS($K$53)))),IF(($A59&lt;'Alternative 3'!$B$29),(($H$3*'Alternative 3'!$B$39+(($N$52/3)*COS($K$53)))),($H59*'Alternative 3'!$B$39))))</f>
        <v>#VALUE!</v>
      </c>
      <c r="AX59" s="105" t="e">
        <f>AV59*'Alternative 3'!$K60/'Alternative 3'!$L60</f>
        <v>#VALUE!</v>
      </c>
      <c r="AY59" s="105" t="e">
        <f>AW59/'Alternative 3'!$M60</f>
        <v>#VALUE!</v>
      </c>
      <c r="AZ59" s="105" t="e">
        <f t="shared" si="7"/>
        <v>#VALUE!</v>
      </c>
      <c r="BB59" s="105" t="e">
        <f>'Alternative 3'!$B$39*$B59*$C59*COS($K$63)-($N$62/3)*$E59*SIN($K$63)-($N$62/3)*$F59*SIN($K$63)-($N$62/3)*$G59*SIN($K$63)</f>
        <v>#VALUE!</v>
      </c>
      <c r="BC59" s="106" t="e">
        <f>IF(($A59&lt;'Alternative 3'!$B$27),(($H59*'Alternative 3'!$B$39)+(3*($N$62/3)*COS($K$63))),IF(($A59&lt;'Alternative 3'!$B$28),(($H59*'Alternative 3'!$B$39)+(2*(($N$62/3)*COS($K$63)))),IF(($A59&lt;'Alternative 3'!$B$29),(($H$3*'Alternative 3'!$B$39+(($N$62/3)*COS($K$63)))),($H59*'Alternative 3'!$B$39))))</f>
        <v>#VALUE!</v>
      </c>
      <c r="BD59" s="105" t="e">
        <f>BB59*'Alternative 3'!$K60/'Alternative 3'!$L60</f>
        <v>#VALUE!</v>
      </c>
      <c r="BE59" s="105" t="e">
        <f>BC59/'Alternative 3'!$M60</f>
        <v>#VALUE!</v>
      </c>
      <c r="BF59" s="105" t="e">
        <f t="shared" si="8"/>
        <v>#VALUE!</v>
      </c>
      <c r="BH59" s="105" t="e">
        <f>'Alternative 3'!$B$39*$B59*$C59*COS($K$73)-($N$72/3)*$E59*SIN($K$73)-($N$72/3)*$F59*SIN($K$73)-($N$72/3)*$G59*SIN($K$73)</f>
        <v>#VALUE!</v>
      </c>
      <c r="BI59" s="106" t="e">
        <f>IF(($A59&lt;'Alternative 3'!$B$27),(($H59*'Alternative 3'!$B$39)+(3*($N$72/3)*COS($K$73))),IF(($A59&lt;'Alternative 3'!$B$28),(($H59*'Alternative 3'!$B$39)+(2*(($N$72/3)*COS($K$73)))),IF(($A59&lt;'Alternative 3'!$B$29),(($H$3*'Alternative 3'!$B$39+(($N$72/3)*COS($K$73)))),($H59*'Alternative 3'!$B$39))))</f>
        <v>#VALUE!</v>
      </c>
      <c r="BJ59" s="105" t="e">
        <f>BH59*'Alternative 3'!$K60/'Alternative 3'!$L60</f>
        <v>#VALUE!</v>
      </c>
      <c r="BK59" s="105" t="e">
        <f>BI59/'Alternative 3'!$M60</f>
        <v>#VALUE!</v>
      </c>
      <c r="BL59" s="105" t="e">
        <f t="shared" si="9"/>
        <v>#VALUE!</v>
      </c>
      <c r="BN59" s="105" t="e">
        <f>'Alternative 3'!$B$39*$B59*$C59*COS($K$83)-($N$82/3)*$E59*SIN($K$83)-($N$82/3)*$F59*SIN($K$83)-($N$82/3)*$G59*SIN($K$83)</f>
        <v>#VALUE!</v>
      </c>
      <c r="BO59" s="106" t="e">
        <f>IF(($A59&lt;'Alternative 3'!$B$27),(($H59*'Alternative 3'!$B$39)+(3*($N$82/3)*COS($K$83))),IF(($A59&lt;'Alternative 3'!$B$28),(($H59*'Alternative 3'!$B$39)+(2*(($N$82/3)*COS($K$83)))),IF(($A59&lt;'Alternative 3'!$B$29),(($H$3*'Alternative 3'!$B$39+(($N$82/3)*COS($K$83)))),($H59*'Alternative 3'!$B$39))))</f>
        <v>#VALUE!</v>
      </c>
      <c r="BP59" s="105" t="e">
        <f>BN59*'Alternative 3'!$K60/'Alternative 3'!$L60</f>
        <v>#VALUE!</v>
      </c>
      <c r="BQ59" s="105" t="e">
        <f>BO59/'Alternative 3'!$M60</f>
        <v>#VALUE!</v>
      </c>
      <c r="BR59" s="105" t="e">
        <f t="shared" si="10"/>
        <v>#VALUE!</v>
      </c>
      <c r="BT59" s="105" t="e">
        <f>'Alternative 3'!$B$39*$B59*$C59*COS($K$93)-($K$92/3)*$E59*SIN($K$93)-($K$92/3)*$F59*SIN($K$93)-($K$92/3)*$G59*SIN($K$93)</f>
        <v>#VALUE!</v>
      </c>
      <c r="BU59" s="106" t="e">
        <f>IF(($A59&lt;'Alternative 3'!$B$27),(($H59*'Alternative 3'!$B$39)+(3*($N$92/3)*COS($K$93))),IF(($A59&lt;'Alternative 3'!$B$28),(($H59*'Alternative 3'!$B$39)+(2*(($N$92/3)*COS($K$93)))),IF(($A59&lt;'Alternative 3'!$B$29),(($H$3*'Alternative 3'!$B$39+(($N$92/3)*COS($K$93)))),($H59*'Alternative 3'!$B$39))))</f>
        <v>#VALUE!</v>
      </c>
      <c r="BV59" s="105" t="e">
        <f>BT59*'Alternative 3'!$K60/'Alternative 3'!$L60</f>
        <v>#VALUE!</v>
      </c>
      <c r="BW59" s="105" t="e">
        <f>BU59/'Alternative 3'!$M60</f>
        <v>#VALUE!</v>
      </c>
      <c r="BX59" s="105" t="e">
        <f t="shared" si="11"/>
        <v>#VALUE!</v>
      </c>
      <c r="BZ59" s="104">
        <v>150</v>
      </c>
      <c r="CA59" s="104">
        <v>-150</v>
      </c>
    </row>
    <row r="60" spans="1:79" ht="15" customHeight="1" x14ac:dyDescent="0.25">
      <c r="A60" s="18" t="str">
        <f>IF('Alternative 3'!F61&gt;0,'Alternative 3'!F61,"x")</f>
        <v>x</v>
      </c>
      <c r="B60" s="18" t="e">
        <f t="shared" si="17"/>
        <v>#VALUE!</v>
      </c>
      <c r="C60" s="18">
        <f t="shared" si="12"/>
        <v>0</v>
      </c>
      <c r="D60" s="18" t="str">
        <f t="shared" si="13"/>
        <v>x</v>
      </c>
      <c r="E60" s="101">
        <f>IF($A60&lt;='Alternative 3'!$B$27, IF($A60='Alternative 3'!$B$27,0,E61+1),0)</f>
        <v>0</v>
      </c>
      <c r="F60" s="101">
        <f>IF($A60&lt;=('Alternative 3'!$B$28), IF($A60=ROUNDDOWN('Alternative 3'!$B$28,0),0,F61+1),0)</f>
        <v>0</v>
      </c>
      <c r="G60" s="101">
        <f>IF($A60&lt;=('Alternative 3'!$B$29), IF($A60=ROUNDDOWN('Alternative 3'!$B$29,0),0,G61+1),0)</f>
        <v>0</v>
      </c>
      <c r="H60" s="18" t="e">
        <f t="shared" si="14"/>
        <v>#VALUE!</v>
      </c>
      <c r="J60" s="104">
        <f t="shared" si="15"/>
        <v>57</v>
      </c>
      <c r="K60" s="104">
        <f t="shared" si="16"/>
        <v>0.99483767363676778</v>
      </c>
      <c r="L60" s="105">
        <f>'Alternative 3'!$B$27*SIN(K60)+'Alternative 3'!$B$28*SIN(K60)+'Alternative 3'!$B$29*SIN(K60)</f>
        <v>56.182541346663953</v>
      </c>
      <c r="M60" s="104">
        <f>(('Alternative 3'!$B$27)*(((('Alternative 3'!$B$28-'Alternative 3'!$B$27)/2)+'Alternative 3'!$B$27)*'Alternative 3'!$B$39)*COS('Alternative 3-Tilt Up (3pt)'!K60))+(('Alternative 3'!$B$28)*((('Alternative 3'!$B$28-'Alternative 3'!$B$27)/2)+(('Alternative 3'!$B$29-'Alternative 3'!$B$28)/2))*('Alternative 3'!$B$39)*COS('Alternative 3-Tilt Up (3pt)'!K60))+(('Alternative 3'!$B$29)*((('Alternative 3'!$B$12-'Alternative 3'!$B$29+(('Alternative 3'!$B$29-'Alternative 3'!$B$28)/2)*('Alternative 3'!$B$39)*COS('Alternative 3-Tilt Up (3pt)'!K60)))))</f>
        <v>1224186.9272130218</v>
      </c>
      <c r="N60" s="104">
        <f t="shared" si="0"/>
        <v>65368.363438353743</v>
      </c>
      <c r="O60" s="104">
        <f>(((('Alternative 3'!$B$28-'Alternative 3'!$B$27)/2)+'Alternative 3'!$B$27)*('Alternative 3'!$B$39)*COS('Alternative 3-Tilt Up (3pt)'!K60))+(((('Alternative 3'!$B$28-'Alternative 3'!$B$27)/2)+(('Alternative 3'!$B$29-'Alternative 3'!$B$28)/2))*('Alternative 3'!$B$39)*COS('Alternative 3-Tilt Up (3pt)'!K60))+(((('Alternative 3'!$B$12-'Alternative 3'!$B$29)+(('Alternative 3'!$B$29-'Alternative 3'!$B$28)/2))*('Alternative 3'!$B$39)*COS('Alternative 3-Tilt Up (3pt)'!K60)))</f>
        <v>79525.445989301908</v>
      </c>
      <c r="P60" s="104">
        <f t="shared" si="1"/>
        <v>35602.162383576564</v>
      </c>
      <c r="R60" s="105" t="e">
        <f>'Alternative 3'!$B$39*$B60*$C60*COS($K$5)-($N$5/3)*$E60*SIN($K$5)-($N$5/3)*$F60*SIN($K$5)-($N$5/3)*$G60*SIN($K$5)</f>
        <v>#VALUE!</v>
      </c>
      <c r="S60" s="106" t="e">
        <f>IF(($A60&lt;'Alternative 3'!$B$27),(($H60*'Alternative 3'!$B$39)+(3*($N$5/3)*COS($K$5))),IF(($A60&lt;'Alternative 3'!$B$28),(($H60*'Alternative 3'!$B$39)+(2*(($N$5/3)*COS($K$5)))),IF(($A60&lt;'Alternative 3'!$B$29),(($H$3*'Alternative 3'!$B$39+(($N$5/3)*COS($K$5)))),($H60*'Alternative 3'!$B$39))))</f>
        <v>#VALUE!</v>
      </c>
      <c r="T60" s="105" t="e">
        <f>R60*'Alternative 3'!$K61/'Alternative 3'!$L61</f>
        <v>#VALUE!</v>
      </c>
      <c r="U60" s="105" t="e">
        <f>S60/'Alternative 3'!$M61</f>
        <v>#VALUE!</v>
      </c>
      <c r="V60" s="105" t="e">
        <f t="shared" si="2"/>
        <v>#VALUE!</v>
      </c>
      <c r="X60" s="105" t="e">
        <f>'Alternative 3'!$B$39*$B60*$C60*COS($K$13)-($N$12/3)*$E60*SIN($K$13)-($N$12/3)*$F60*SIN($K$13)-($N$12/3)*$G60*SIN($K$13)</f>
        <v>#VALUE!</v>
      </c>
      <c r="Y60" s="106" t="e">
        <f>IF(($A60&lt;'Alternative 3'!$B$27),(($H60*'Alternative 3'!$B$39)+(3*($N$12/3)*COS($K$13))),IF(($A60&lt;'Alternative 3'!$B$28),(($H60*'Alternative 3'!$B$39)+(2*(($N$12/3)*COS($K$13)))),IF(($A60&lt;'Alternative 3'!$B$29),(($H$3*'Alternative 3'!$B$39+(($N$12/3)*COS($K$13)))),($H60*'Alternative 3'!$B$39))))</f>
        <v>#VALUE!</v>
      </c>
      <c r="Z60" s="105" t="e">
        <f>X60*'Alternative 3'!$K61/'Alternative 3'!$L61</f>
        <v>#VALUE!</v>
      </c>
      <c r="AA60" s="105" t="e">
        <f>Y60/'Alternative 3'!$M61</f>
        <v>#VALUE!</v>
      </c>
      <c r="AB60" s="105" t="e">
        <f t="shared" si="3"/>
        <v>#VALUE!</v>
      </c>
      <c r="AD60" s="105" t="e">
        <f>'Alternative 3'!$B$39*$B60*$C60*COS($K$23)-($N$22/3)*$E60*SIN($K$23)-($N$22/3)*$F60*SIN($K$23)-($N$22/3)*$G60*SIN($K$23)</f>
        <v>#VALUE!</v>
      </c>
      <c r="AE60" s="106" t="e">
        <f>IF(($A60&lt;'Alternative 3'!$B$27),(($H60*'Alternative 3'!$B$39)+(3*($N$22/3)*COS($K$23))),IF(($A60&lt;'Alternative 3'!$B$28),(($H60*'Alternative 3'!$B$39)+(2*(($N$22/3)*COS($K$23)))),IF(($A60&lt;'Alternative 3'!$B$29),(($H$3*'Alternative 3'!$B$39+(($N$22/3)*COS($K$23)))),($H60*'Alternative 3'!$B$39))))</f>
        <v>#VALUE!</v>
      </c>
      <c r="AF60" s="105" t="e">
        <f>AD60*'Alternative 3'!$K61/'Alternative 3'!$L61</f>
        <v>#VALUE!</v>
      </c>
      <c r="AG60" s="105" t="e">
        <f>AE60/'Alternative 3'!$M61</f>
        <v>#VALUE!</v>
      </c>
      <c r="AH60" s="105" t="e">
        <f t="shared" si="4"/>
        <v>#VALUE!</v>
      </c>
      <c r="AJ60" s="105" t="e">
        <f>'Alternative 3'!$B$39*$B60*$C60*COS($K$33)-($N$32/3)*$E60*SIN($K$33)-($N$32/3)*$F60*SIN($K$33)-($N$32/3)*$G60*SIN($K$33)</f>
        <v>#VALUE!</v>
      </c>
      <c r="AK60" s="106" t="e">
        <f>IF(($A60&lt;'Alternative 3'!$B$27),(($H60*'Alternative 3'!$B$39)+(3*($N$32/3)*COS($K$33))),IF(($A60&lt;'Alternative 3'!$B$28),(($H60*'Alternative 3'!$B$39)+(2*(($N$32/3)*COS($K$33)))),IF(($A60&lt;'Alternative 3'!$B$29),(($H$3*'Alternative 3'!$B$39+(($N$32/3)*COS($K$33)))),($H60*'Alternative 3'!$B$39))))</f>
        <v>#VALUE!</v>
      </c>
      <c r="AL60" s="105" t="e">
        <f>AJ60*'Alternative 3'!$K61/'Alternative 3'!$L61</f>
        <v>#VALUE!</v>
      </c>
      <c r="AM60" s="105" t="e">
        <f>AK60/'Alternative 3'!$M61</f>
        <v>#VALUE!</v>
      </c>
      <c r="AN60" s="105" t="e">
        <f t="shared" si="5"/>
        <v>#VALUE!</v>
      </c>
      <c r="AP60" s="105" t="e">
        <f>'Alternative 3'!$B$39*$B60*$C60*COS($K$43)-($N$42/3)*$E60*SIN($K$43)-($N$42/3)*$F60*SIN($K$43)-($N$42/3)*$G60*SIN($K$43)</f>
        <v>#VALUE!</v>
      </c>
      <c r="AQ60" s="106" t="e">
        <f>IF(($A60&lt;'Alternative 3'!$B$27),(($H60*'Alternative 3'!$B$39)+(3*($N$42/3)*COS($K$43))),IF(($A60&lt;'Alternative 3'!$B$28),(($H60*'Alternative 3'!$B$39)+(2*(($N$42/3)*COS($K$43)))),IF(($A60&lt;'Alternative 3'!$B$29),(($H$3*'Alternative 3'!$B$39+(($N$42/3)*COS($K$43)))),($H60*'Alternative 3'!$B$39))))</f>
        <v>#VALUE!</v>
      </c>
      <c r="AR60" s="105" t="e">
        <f>AP60*'Alternative 3'!$K61/'Alternative 3'!$L61</f>
        <v>#VALUE!</v>
      </c>
      <c r="AS60" s="105" t="e">
        <f>AQ60/'Alternative 3'!$M61</f>
        <v>#VALUE!</v>
      </c>
      <c r="AT60" s="105" t="e">
        <f t="shared" si="6"/>
        <v>#VALUE!</v>
      </c>
      <c r="AV60" s="105" t="e">
        <f>'Alternative 3'!$B$39*$B60*$C60*COS($K$53)-($N$52/3)*$E60*SIN($K$53)-($N$52/3)*$F60*SIN($K$53)-($N$52/3)*$G60*SIN($K$53)</f>
        <v>#VALUE!</v>
      </c>
      <c r="AW60" s="106" t="e">
        <f>IF(($A60&lt;'Alternative 3'!$B$27),(($H60*'Alternative 3'!$B$39)+(3*($N$52/3)*COS($K$53))),IF(($A60&lt;'Alternative 3'!$B$28),(($H60*'Alternative 3'!$B$39)+(2*(($N$52/3)*COS($K$53)))),IF(($A60&lt;'Alternative 3'!$B$29),(($H$3*'Alternative 3'!$B$39+(($N$52/3)*COS($K$53)))),($H60*'Alternative 3'!$B$39))))</f>
        <v>#VALUE!</v>
      </c>
      <c r="AX60" s="105" t="e">
        <f>AV60*'Alternative 3'!$K61/'Alternative 3'!$L61</f>
        <v>#VALUE!</v>
      </c>
      <c r="AY60" s="105" t="e">
        <f>AW60/'Alternative 3'!$M61</f>
        <v>#VALUE!</v>
      </c>
      <c r="AZ60" s="105" t="e">
        <f t="shared" si="7"/>
        <v>#VALUE!</v>
      </c>
      <c r="BB60" s="105" t="e">
        <f>'Alternative 3'!$B$39*$B60*$C60*COS($K$63)-($N$62/3)*$E60*SIN($K$63)-($N$62/3)*$F60*SIN($K$63)-($N$62/3)*$G60*SIN($K$63)</f>
        <v>#VALUE!</v>
      </c>
      <c r="BC60" s="106" t="e">
        <f>IF(($A60&lt;'Alternative 3'!$B$27),(($H60*'Alternative 3'!$B$39)+(3*($N$62/3)*COS($K$63))),IF(($A60&lt;'Alternative 3'!$B$28),(($H60*'Alternative 3'!$B$39)+(2*(($N$62/3)*COS($K$63)))),IF(($A60&lt;'Alternative 3'!$B$29),(($H$3*'Alternative 3'!$B$39+(($N$62/3)*COS($K$63)))),($H60*'Alternative 3'!$B$39))))</f>
        <v>#VALUE!</v>
      </c>
      <c r="BD60" s="105" t="e">
        <f>BB60*'Alternative 3'!$K61/'Alternative 3'!$L61</f>
        <v>#VALUE!</v>
      </c>
      <c r="BE60" s="105" t="e">
        <f>BC60/'Alternative 3'!$M61</f>
        <v>#VALUE!</v>
      </c>
      <c r="BF60" s="105" t="e">
        <f t="shared" si="8"/>
        <v>#VALUE!</v>
      </c>
      <c r="BH60" s="105" t="e">
        <f>'Alternative 3'!$B$39*$B60*$C60*COS($K$73)-($N$72/3)*$E60*SIN($K$73)-($N$72/3)*$F60*SIN($K$73)-($N$72/3)*$G60*SIN($K$73)</f>
        <v>#VALUE!</v>
      </c>
      <c r="BI60" s="106" t="e">
        <f>IF(($A60&lt;'Alternative 3'!$B$27),(($H60*'Alternative 3'!$B$39)+(3*($N$72/3)*COS($K$73))),IF(($A60&lt;'Alternative 3'!$B$28),(($H60*'Alternative 3'!$B$39)+(2*(($N$72/3)*COS($K$73)))),IF(($A60&lt;'Alternative 3'!$B$29),(($H$3*'Alternative 3'!$B$39+(($N$72/3)*COS($K$73)))),($H60*'Alternative 3'!$B$39))))</f>
        <v>#VALUE!</v>
      </c>
      <c r="BJ60" s="105" t="e">
        <f>BH60*'Alternative 3'!$K61/'Alternative 3'!$L61</f>
        <v>#VALUE!</v>
      </c>
      <c r="BK60" s="105" t="e">
        <f>BI60/'Alternative 3'!$M61</f>
        <v>#VALUE!</v>
      </c>
      <c r="BL60" s="105" t="e">
        <f t="shared" si="9"/>
        <v>#VALUE!</v>
      </c>
      <c r="BN60" s="105" t="e">
        <f>'Alternative 3'!$B$39*$B60*$C60*COS($K$83)-($N$82/3)*$E60*SIN($K$83)-($N$82/3)*$F60*SIN($K$83)-($N$82/3)*$G60*SIN($K$83)</f>
        <v>#VALUE!</v>
      </c>
      <c r="BO60" s="106" t="e">
        <f>IF(($A60&lt;'Alternative 3'!$B$27),(($H60*'Alternative 3'!$B$39)+(3*($N$82/3)*COS($K$83))),IF(($A60&lt;'Alternative 3'!$B$28),(($H60*'Alternative 3'!$B$39)+(2*(($N$82/3)*COS($K$83)))),IF(($A60&lt;'Alternative 3'!$B$29),(($H$3*'Alternative 3'!$B$39+(($N$82/3)*COS($K$83)))),($H60*'Alternative 3'!$B$39))))</f>
        <v>#VALUE!</v>
      </c>
      <c r="BP60" s="105" t="e">
        <f>BN60*'Alternative 3'!$K61/'Alternative 3'!$L61</f>
        <v>#VALUE!</v>
      </c>
      <c r="BQ60" s="105" t="e">
        <f>BO60/'Alternative 3'!$M61</f>
        <v>#VALUE!</v>
      </c>
      <c r="BR60" s="105" t="e">
        <f t="shared" si="10"/>
        <v>#VALUE!</v>
      </c>
      <c r="BT60" s="105" t="e">
        <f>'Alternative 3'!$B$39*$B60*$C60*COS($K$93)-($K$92/3)*$E60*SIN($K$93)-($K$92/3)*$F60*SIN($K$93)-($K$92/3)*$G60*SIN($K$93)</f>
        <v>#VALUE!</v>
      </c>
      <c r="BU60" s="106" t="e">
        <f>IF(($A60&lt;'Alternative 3'!$B$27),(($H60*'Alternative 3'!$B$39)+(3*($N$92/3)*COS($K$93))),IF(($A60&lt;'Alternative 3'!$B$28),(($H60*'Alternative 3'!$B$39)+(2*(($N$92/3)*COS($K$93)))),IF(($A60&lt;'Alternative 3'!$B$29),(($H$3*'Alternative 3'!$B$39+(($N$92/3)*COS($K$93)))),($H60*'Alternative 3'!$B$39))))</f>
        <v>#VALUE!</v>
      </c>
      <c r="BV60" s="105" t="e">
        <f>BT60*'Alternative 3'!$K61/'Alternative 3'!$L61</f>
        <v>#VALUE!</v>
      </c>
      <c r="BW60" s="105" t="e">
        <f>BU60/'Alternative 3'!$M61</f>
        <v>#VALUE!</v>
      </c>
      <c r="BX60" s="105" t="e">
        <f t="shared" si="11"/>
        <v>#VALUE!</v>
      </c>
      <c r="BZ60" s="104">
        <v>150</v>
      </c>
      <c r="CA60" s="104">
        <v>-150</v>
      </c>
    </row>
    <row r="61" spans="1:79" ht="15" customHeight="1" x14ac:dyDescent="0.25">
      <c r="A61" s="18" t="str">
        <f>IF('Alternative 3'!F62&gt;0,'Alternative 3'!F62,"x")</f>
        <v>x</v>
      </c>
      <c r="B61" s="18" t="e">
        <f t="shared" si="17"/>
        <v>#VALUE!</v>
      </c>
      <c r="C61" s="18">
        <f t="shared" si="12"/>
        <v>0</v>
      </c>
      <c r="D61" s="18" t="str">
        <f t="shared" si="13"/>
        <v>x</v>
      </c>
      <c r="E61" s="101">
        <f>IF($A61&lt;='Alternative 3'!$B$27, IF($A61='Alternative 3'!$B$27,0,E62+1),0)</f>
        <v>0</v>
      </c>
      <c r="F61" s="101">
        <f>IF($A61&lt;=('Alternative 3'!$B$28), IF($A61=ROUNDDOWN('Alternative 3'!$B$28,0),0,F62+1),0)</f>
        <v>0</v>
      </c>
      <c r="G61" s="101">
        <f>IF($A61&lt;=('Alternative 3'!$B$29), IF($A61=ROUNDDOWN('Alternative 3'!$B$29,0),0,G62+1),0)</f>
        <v>0</v>
      </c>
      <c r="H61" s="18" t="e">
        <f t="shared" si="14"/>
        <v>#VALUE!</v>
      </c>
      <c r="J61" s="104">
        <f t="shared" si="15"/>
        <v>58</v>
      </c>
      <c r="K61" s="104">
        <f t="shared" si="16"/>
        <v>1.0122909661567112</v>
      </c>
      <c r="L61" s="105">
        <f>'Alternative 3'!$B$27*SIN(K61)+'Alternative 3'!$B$28*SIN(K61)+'Alternative 3'!$B$29*SIN(K61)</f>
        <v>56.810741961518971</v>
      </c>
      <c r="M61" s="104">
        <f>(('Alternative 3'!$B$27)*(((('Alternative 3'!$B$28-'Alternative 3'!$B$27)/2)+'Alternative 3'!$B$27)*'Alternative 3'!$B$39)*COS('Alternative 3-Tilt Up (3pt)'!K61))+(('Alternative 3'!$B$28)*((('Alternative 3'!$B$28-'Alternative 3'!$B$27)/2)+(('Alternative 3'!$B$29-'Alternative 3'!$B$28)/2))*('Alternative 3'!$B$39)*COS('Alternative 3-Tilt Up (3pt)'!K61))+(('Alternative 3'!$B$29)*((('Alternative 3'!$B$12-'Alternative 3'!$B$29+(('Alternative 3'!$B$29-'Alternative 3'!$B$28)/2)*('Alternative 3'!$B$39)*COS('Alternative 3-Tilt Up (3pt)'!K61)))))</f>
        <v>1191106.1614998851</v>
      </c>
      <c r="N61" s="104">
        <f t="shared" si="0"/>
        <v>62898.641368212724</v>
      </c>
      <c r="O61" s="104">
        <f>(((('Alternative 3'!$B$28-'Alternative 3'!$B$27)/2)+'Alternative 3'!$B$27)*('Alternative 3'!$B$39)*COS('Alternative 3-Tilt Up (3pt)'!K61))+(((('Alternative 3'!$B$28-'Alternative 3'!$B$27)/2)+(('Alternative 3'!$B$29-'Alternative 3'!$B$28)/2))*('Alternative 3'!$B$39)*COS('Alternative 3-Tilt Up (3pt)'!K61))+(((('Alternative 3'!$B$12-'Alternative 3'!$B$29)+(('Alternative 3'!$B$29-'Alternative 3'!$B$28)/2))*('Alternative 3'!$B$39)*COS('Alternative 3-Tilt Up (3pt)'!K61)))</f>
        <v>77376.139272326676</v>
      </c>
      <c r="P61" s="104">
        <f t="shared" si="1"/>
        <v>33331.201755111513</v>
      </c>
      <c r="R61" s="105" t="e">
        <f>'Alternative 3'!$B$39*$B61*$C61*COS($K$5)-($N$5/3)*$E61*SIN($K$5)-($N$5/3)*$F61*SIN($K$5)-($N$5/3)*$G61*SIN($K$5)</f>
        <v>#VALUE!</v>
      </c>
      <c r="S61" s="106" t="e">
        <f>IF(($A61&lt;'Alternative 3'!$B$27),(($H61*'Alternative 3'!$B$39)+(3*($N$5/3)*COS($K$5))),IF(($A61&lt;'Alternative 3'!$B$28),(($H61*'Alternative 3'!$B$39)+(2*(($N$5/3)*COS($K$5)))),IF(($A61&lt;'Alternative 3'!$B$29),(($H$3*'Alternative 3'!$B$39+(($N$5/3)*COS($K$5)))),($H61*'Alternative 3'!$B$39))))</f>
        <v>#VALUE!</v>
      </c>
      <c r="T61" s="105" t="e">
        <f>R61*'Alternative 3'!$K62/'Alternative 3'!$L62</f>
        <v>#VALUE!</v>
      </c>
      <c r="U61" s="105" t="e">
        <f>S61/'Alternative 3'!$M62</f>
        <v>#VALUE!</v>
      </c>
      <c r="V61" s="105" t="e">
        <f t="shared" si="2"/>
        <v>#VALUE!</v>
      </c>
      <c r="X61" s="105" t="e">
        <f>'Alternative 3'!$B$39*$B61*$C61*COS($K$13)-($N$12/3)*$E61*SIN($K$13)-($N$12/3)*$F61*SIN($K$13)-($N$12/3)*$G61*SIN($K$13)</f>
        <v>#VALUE!</v>
      </c>
      <c r="Y61" s="106" t="e">
        <f>IF(($A61&lt;'Alternative 3'!$B$27),(($H61*'Alternative 3'!$B$39)+(3*($N$12/3)*COS($K$13))),IF(($A61&lt;'Alternative 3'!$B$28),(($H61*'Alternative 3'!$B$39)+(2*(($N$12/3)*COS($K$13)))),IF(($A61&lt;'Alternative 3'!$B$29),(($H$3*'Alternative 3'!$B$39+(($N$12/3)*COS($K$13)))),($H61*'Alternative 3'!$B$39))))</f>
        <v>#VALUE!</v>
      </c>
      <c r="Z61" s="105" t="e">
        <f>X61*'Alternative 3'!$K62/'Alternative 3'!$L62</f>
        <v>#VALUE!</v>
      </c>
      <c r="AA61" s="105" t="e">
        <f>Y61/'Alternative 3'!$M62</f>
        <v>#VALUE!</v>
      </c>
      <c r="AB61" s="105" t="e">
        <f t="shared" si="3"/>
        <v>#VALUE!</v>
      </c>
      <c r="AD61" s="105" t="e">
        <f>'Alternative 3'!$B$39*$B61*$C61*COS($K$23)-($N$22/3)*$E61*SIN($K$23)-($N$22/3)*$F61*SIN($K$23)-($N$22/3)*$G61*SIN($K$23)</f>
        <v>#VALUE!</v>
      </c>
      <c r="AE61" s="106" t="e">
        <f>IF(($A61&lt;'Alternative 3'!$B$27),(($H61*'Alternative 3'!$B$39)+(3*($N$22/3)*COS($K$23))),IF(($A61&lt;'Alternative 3'!$B$28),(($H61*'Alternative 3'!$B$39)+(2*(($N$22/3)*COS($K$23)))),IF(($A61&lt;'Alternative 3'!$B$29),(($H$3*'Alternative 3'!$B$39+(($N$22/3)*COS($K$23)))),($H61*'Alternative 3'!$B$39))))</f>
        <v>#VALUE!</v>
      </c>
      <c r="AF61" s="105" t="e">
        <f>AD61*'Alternative 3'!$K62/'Alternative 3'!$L62</f>
        <v>#VALUE!</v>
      </c>
      <c r="AG61" s="105" t="e">
        <f>AE61/'Alternative 3'!$M62</f>
        <v>#VALUE!</v>
      </c>
      <c r="AH61" s="105" t="e">
        <f t="shared" si="4"/>
        <v>#VALUE!</v>
      </c>
      <c r="AJ61" s="105" t="e">
        <f>'Alternative 3'!$B$39*$B61*$C61*COS($K$33)-($N$32/3)*$E61*SIN($K$33)-($N$32/3)*$F61*SIN($K$33)-($N$32/3)*$G61*SIN($K$33)</f>
        <v>#VALUE!</v>
      </c>
      <c r="AK61" s="106" t="e">
        <f>IF(($A61&lt;'Alternative 3'!$B$27),(($H61*'Alternative 3'!$B$39)+(3*($N$32/3)*COS($K$33))),IF(($A61&lt;'Alternative 3'!$B$28),(($H61*'Alternative 3'!$B$39)+(2*(($N$32/3)*COS($K$33)))),IF(($A61&lt;'Alternative 3'!$B$29),(($H$3*'Alternative 3'!$B$39+(($N$32/3)*COS($K$33)))),($H61*'Alternative 3'!$B$39))))</f>
        <v>#VALUE!</v>
      </c>
      <c r="AL61" s="105" t="e">
        <f>AJ61*'Alternative 3'!$K62/'Alternative 3'!$L62</f>
        <v>#VALUE!</v>
      </c>
      <c r="AM61" s="105" t="e">
        <f>AK61/'Alternative 3'!$M62</f>
        <v>#VALUE!</v>
      </c>
      <c r="AN61" s="105" t="e">
        <f t="shared" si="5"/>
        <v>#VALUE!</v>
      </c>
      <c r="AP61" s="105" t="e">
        <f>'Alternative 3'!$B$39*$B61*$C61*COS($K$43)-($N$42/3)*$E61*SIN($K$43)-($N$42/3)*$F61*SIN($K$43)-($N$42/3)*$G61*SIN($K$43)</f>
        <v>#VALUE!</v>
      </c>
      <c r="AQ61" s="106" t="e">
        <f>IF(($A61&lt;'Alternative 3'!$B$27),(($H61*'Alternative 3'!$B$39)+(3*($N$42/3)*COS($K$43))),IF(($A61&lt;'Alternative 3'!$B$28),(($H61*'Alternative 3'!$B$39)+(2*(($N$42/3)*COS($K$43)))),IF(($A61&lt;'Alternative 3'!$B$29),(($H$3*'Alternative 3'!$B$39+(($N$42/3)*COS($K$43)))),($H61*'Alternative 3'!$B$39))))</f>
        <v>#VALUE!</v>
      </c>
      <c r="AR61" s="105" t="e">
        <f>AP61*'Alternative 3'!$K62/'Alternative 3'!$L62</f>
        <v>#VALUE!</v>
      </c>
      <c r="AS61" s="105" t="e">
        <f>AQ61/'Alternative 3'!$M62</f>
        <v>#VALUE!</v>
      </c>
      <c r="AT61" s="105" t="e">
        <f t="shared" si="6"/>
        <v>#VALUE!</v>
      </c>
      <c r="AV61" s="105" t="e">
        <f>'Alternative 3'!$B$39*$B61*$C61*COS($K$53)-($N$52/3)*$E61*SIN($K$53)-($N$52/3)*$F61*SIN($K$53)-($N$52/3)*$G61*SIN($K$53)</f>
        <v>#VALUE!</v>
      </c>
      <c r="AW61" s="106" t="e">
        <f>IF(($A61&lt;'Alternative 3'!$B$27),(($H61*'Alternative 3'!$B$39)+(3*($N$52/3)*COS($K$53))),IF(($A61&lt;'Alternative 3'!$B$28),(($H61*'Alternative 3'!$B$39)+(2*(($N$52/3)*COS($K$53)))),IF(($A61&lt;'Alternative 3'!$B$29),(($H$3*'Alternative 3'!$B$39+(($N$52/3)*COS($K$53)))),($H61*'Alternative 3'!$B$39))))</f>
        <v>#VALUE!</v>
      </c>
      <c r="AX61" s="105" t="e">
        <f>AV61*'Alternative 3'!$K62/'Alternative 3'!$L62</f>
        <v>#VALUE!</v>
      </c>
      <c r="AY61" s="105" t="e">
        <f>AW61/'Alternative 3'!$M62</f>
        <v>#VALUE!</v>
      </c>
      <c r="AZ61" s="105" t="e">
        <f t="shared" si="7"/>
        <v>#VALUE!</v>
      </c>
      <c r="BB61" s="105" t="e">
        <f>'Alternative 3'!$B$39*$B61*$C61*COS($K$63)-($N$62/3)*$E61*SIN($K$63)-($N$62/3)*$F61*SIN($K$63)-($N$62/3)*$G61*SIN($K$63)</f>
        <v>#VALUE!</v>
      </c>
      <c r="BC61" s="106" t="e">
        <f>IF(($A61&lt;'Alternative 3'!$B$27),(($H61*'Alternative 3'!$B$39)+(3*($N$62/3)*COS($K$63))),IF(($A61&lt;'Alternative 3'!$B$28),(($H61*'Alternative 3'!$B$39)+(2*(($N$62/3)*COS($K$63)))),IF(($A61&lt;'Alternative 3'!$B$29),(($H$3*'Alternative 3'!$B$39+(($N$62/3)*COS($K$63)))),($H61*'Alternative 3'!$B$39))))</f>
        <v>#VALUE!</v>
      </c>
      <c r="BD61" s="105" t="e">
        <f>BB61*'Alternative 3'!$K62/'Alternative 3'!$L62</f>
        <v>#VALUE!</v>
      </c>
      <c r="BE61" s="105" t="e">
        <f>BC61/'Alternative 3'!$M62</f>
        <v>#VALUE!</v>
      </c>
      <c r="BF61" s="105" t="e">
        <f t="shared" si="8"/>
        <v>#VALUE!</v>
      </c>
      <c r="BH61" s="105" t="e">
        <f>'Alternative 3'!$B$39*$B61*$C61*COS($K$73)-($N$72/3)*$E61*SIN($K$73)-($N$72/3)*$F61*SIN($K$73)-($N$72/3)*$G61*SIN($K$73)</f>
        <v>#VALUE!</v>
      </c>
      <c r="BI61" s="106" t="e">
        <f>IF(($A61&lt;'Alternative 3'!$B$27),(($H61*'Alternative 3'!$B$39)+(3*($N$72/3)*COS($K$73))),IF(($A61&lt;'Alternative 3'!$B$28),(($H61*'Alternative 3'!$B$39)+(2*(($N$72/3)*COS($K$73)))),IF(($A61&lt;'Alternative 3'!$B$29),(($H$3*'Alternative 3'!$B$39+(($N$72/3)*COS($K$73)))),($H61*'Alternative 3'!$B$39))))</f>
        <v>#VALUE!</v>
      </c>
      <c r="BJ61" s="105" t="e">
        <f>BH61*'Alternative 3'!$K62/'Alternative 3'!$L62</f>
        <v>#VALUE!</v>
      </c>
      <c r="BK61" s="105" t="e">
        <f>BI61/'Alternative 3'!$M62</f>
        <v>#VALUE!</v>
      </c>
      <c r="BL61" s="105" t="e">
        <f t="shared" si="9"/>
        <v>#VALUE!</v>
      </c>
      <c r="BN61" s="105" t="e">
        <f>'Alternative 3'!$B$39*$B61*$C61*COS($K$83)-($N$82/3)*$E61*SIN($K$83)-($N$82/3)*$F61*SIN($K$83)-($N$82/3)*$G61*SIN($K$83)</f>
        <v>#VALUE!</v>
      </c>
      <c r="BO61" s="106" t="e">
        <f>IF(($A61&lt;'Alternative 3'!$B$27),(($H61*'Alternative 3'!$B$39)+(3*($N$82/3)*COS($K$83))),IF(($A61&lt;'Alternative 3'!$B$28),(($H61*'Alternative 3'!$B$39)+(2*(($N$82/3)*COS($K$83)))),IF(($A61&lt;'Alternative 3'!$B$29),(($H$3*'Alternative 3'!$B$39+(($N$82/3)*COS($K$83)))),($H61*'Alternative 3'!$B$39))))</f>
        <v>#VALUE!</v>
      </c>
      <c r="BP61" s="105" t="e">
        <f>BN61*'Alternative 3'!$K62/'Alternative 3'!$L62</f>
        <v>#VALUE!</v>
      </c>
      <c r="BQ61" s="105" t="e">
        <f>BO61/'Alternative 3'!$M62</f>
        <v>#VALUE!</v>
      </c>
      <c r="BR61" s="105" t="e">
        <f t="shared" si="10"/>
        <v>#VALUE!</v>
      </c>
      <c r="BT61" s="105" t="e">
        <f>'Alternative 3'!$B$39*$B61*$C61*COS($K$93)-($K$92/3)*$E61*SIN($K$93)-($K$92/3)*$F61*SIN($K$93)-($K$92/3)*$G61*SIN($K$93)</f>
        <v>#VALUE!</v>
      </c>
      <c r="BU61" s="106" t="e">
        <f>IF(($A61&lt;'Alternative 3'!$B$27),(($H61*'Alternative 3'!$B$39)+(3*($N$92/3)*COS($K$93))),IF(($A61&lt;'Alternative 3'!$B$28),(($H61*'Alternative 3'!$B$39)+(2*(($N$92/3)*COS($K$93)))),IF(($A61&lt;'Alternative 3'!$B$29),(($H$3*'Alternative 3'!$B$39+(($N$92/3)*COS($K$93)))),($H61*'Alternative 3'!$B$39))))</f>
        <v>#VALUE!</v>
      </c>
      <c r="BV61" s="105" t="e">
        <f>BT61*'Alternative 3'!$K62/'Alternative 3'!$L62</f>
        <v>#VALUE!</v>
      </c>
      <c r="BW61" s="105" t="e">
        <f>BU61/'Alternative 3'!$M62</f>
        <v>#VALUE!</v>
      </c>
      <c r="BX61" s="105" t="e">
        <f t="shared" si="11"/>
        <v>#VALUE!</v>
      </c>
      <c r="BZ61" s="104">
        <v>150</v>
      </c>
      <c r="CA61" s="104">
        <v>-150</v>
      </c>
    </row>
    <row r="62" spans="1:79" ht="15" customHeight="1" x14ac:dyDescent="0.25">
      <c r="A62" s="18" t="str">
        <f>IF('Alternative 3'!F63&gt;0,'Alternative 3'!F63,"x")</f>
        <v>x</v>
      </c>
      <c r="B62" s="18" t="e">
        <f t="shared" si="17"/>
        <v>#VALUE!</v>
      </c>
      <c r="C62" s="18">
        <f t="shared" si="12"/>
        <v>0</v>
      </c>
      <c r="D62" s="18" t="str">
        <f t="shared" si="13"/>
        <v>x</v>
      </c>
      <c r="E62" s="101">
        <f>IF($A62&lt;='Alternative 3'!$B$27, IF($A62='Alternative 3'!$B$27,0,E63+1),0)</f>
        <v>0</v>
      </c>
      <c r="F62" s="101">
        <f>IF($A62&lt;=('Alternative 3'!$B$28), IF($A62=ROUNDDOWN('Alternative 3'!$B$28,0),0,F63+1),0)</f>
        <v>0</v>
      </c>
      <c r="G62" s="101">
        <f>IF($A62&lt;=('Alternative 3'!$B$29), IF($A62=ROUNDDOWN('Alternative 3'!$B$29,0),0,G63+1),0)</f>
        <v>0</v>
      </c>
      <c r="H62" s="18" t="e">
        <f t="shared" si="14"/>
        <v>#VALUE!</v>
      </c>
      <c r="J62" s="104">
        <f t="shared" si="15"/>
        <v>59</v>
      </c>
      <c r="K62" s="104">
        <f t="shared" si="16"/>
        <v>1.0297442586766543</v>
      </c>
      <c r="L62" s="105">
        <f>'Alternative 3'!$B$27*SIN(K62)+'Alternative 3'!$B$28*SIN(K62)+'Alternative 3'!$B$29*SIN(K62)</f>
        <v>57.421637474034497</v>
      </c>
      <c r="M62" s="104">
        <f>(('Alternative 3'!$B$27)*(((('Alternative 3'!$B$28-'Alternative 3'!$B$27)/2)+'Alternative 3'!$B$27)*'Alternative 3'!$B$39)*COS('Alternative 3-Tilt Up (3pt)'!K62))+(('Alternative 3'!$B$28)*((('Alternative 3'!$B$28-'Alternative 3'!$B$27)/2)+(('Alternative 3'!$B$29-'Alternative 3'!$B$28)/2))*('Alternative 3'!$B$39)*COS('Alternative 3-Tilt Up (3pt)'!K62))+(('Alternative 3'!$B$29)*((('Alternative 3'!$B$12-'Alternative 3'!$B$29+(('Alternative 3'!$B$29-'Alternative 3'!$B$28)/2)*('Alternative 3'!$B$39)*COS('Alternative 3-Tilt Up (3pt)'!K62)))))</f>
        <v>1157662.6286603725</v>
      </c>
      <c r="N62" s="109">
        <f t="shared" si="0"/>
        <v>60482.216090608155</v>
      </c>
      <c r="O62" s="104">
        <f>(((('Alternative 3'!$B$28-'Alternative 3'!$B$27)/2)+'Alternative 3'!$B$27)*('Alternative 3'!$B$39)*COS('Alternative 3-Tilt Up (3pt)'!K62))+(((('Alternative 3'!$B$28-'Alternative 3'!$B$27)/2)+(('Alternative 3'!$B$29-'Alternative 3'!$B$28)/2))*('Alternative 3'!$B$39)*COS('Alternative 3-Tilt Up (3pt)'!K62))+(((('Alternative 3'!$B$12-'Alternative 3'!$B$29)+(('Alternative 3'!$B$29-'Alternative 3'!$B$28)/2))*('Alternative 3'!$B$39)*COS('Alternative 3-Tilt Up (3pt)'!K62)))</f>
        <v>75203.263033769646</v>
      </c>
      <c r="P62" s="104">
        <f t="shared" si="1"/>
        <v>31150.64414160074</v>
      </c>
      <c r="R62" s="105" t="e">
        <f>'Alternative 3'!$B$39*$B62*$C62*COS($K$5)-($N$5/3)*$E62*SIN($K$5)-($N$5/3)*$F62*SIN($K$5)-($N$5/3)*$G62*SIN($K$5)</f>
        <v>#VALUE!</v>
      </c>
      <c r="S62" s="106" t="e">
        <f>IF(($A62&lt;'Alternative 3'!$B$27),(($H62*'Alternative 3'!$B$39)+(3*($N$5/3)*COS($K$5))),IF(($A62&lt;'Alternative 3'!$B$28),(($H62*'Alternative 3'!$B$39)+(2*(($N$5/3)*COS($K$5)))),IF(($A62&lt;'Alternative 3'!$B$29),(($H$3*'Alternative 3'!$B$39+(($N$5/3)*COS($K$5)))),($H62*'Alternative 3'!$B$39))))</f>
        <v>#VALUE!</v>
      </c>
      <c r="T62" s="105" t="e">
        <f>R62*'Alternative 3'!$K63/'Alternative 3'!$L63</f>
        <v>#VALUE!</v>
      </c>
      <c r="U62" s="105" t="e">
        <f>S62/'Alternative 3'!$M63</f>
        <v>#VALUE!</v>
      </c>
      <c r="V62" s="105" t="e">
        <f t="shared" si="2"/>
        <v>#VALUE!</v>
      </c>
      <c r="X62" s="105" t="e">
        <f>'Alternative 3'!$B$39*$B62*$C62*COS($K$13)-($N$12/3)*$E62*SIN($K$13)-($N$12/3)*$F62*SIN($K$13)-($N$12/3)*$G62*SIN($K$13)</f>
        <v>#VALUE!</v>
      </c>
      <c r="Y62" s="106" t="e">
        <f>IF(($A62&lt;'Alternative 3'!$B$27),(($H62*'Alternative 3'!$B$39)+(3*($N$12/3)*COS($K$13))),IF(($A62&lt;'Alternative 3'!$B$28),(($H62*'Alternative 3'!$B$39)+(2*(($N$12/3)*COS($K$13)))),IF(($A62&lt;'Alternative 3'!$B$29),(($H$3*'Alternative 3'!$B$39+(($N$12/3)*COS($K$13)))),($H62*'Alternative 3'!$B$39))))</f>
        <v>#VALUE!</v>
      </c>
      <c r="Z62" s="105" t="e">
        <f>X62*'Alternative 3'!$K63/'Alternative 3'!$L63</f>
        <v>#VALUE!</v>
      </c>
      <c r="AA62" s="105" t="e">
        <f>Y62/'Alternative 3'!$M63</f>
        <v>#VALUE!</v>
      </c>
      <c r="AB62" s="105" t="e">
        <f t="shared" si="3"/>
        <v>#VALUE!</v>
      </c>
      <c r="AD62" s="105" t="e">
        <f>'Alternative 3'!$B$39*$B62*$C62*COS($K$23)-($N$22/3)*$E62*SIN($K$23)-($N$22/3)*$F62*SIN($K$23)-($N$22/3)*$G62*SIN($K$23)</f>
        <v>#VALUE!</v>
      </c>
      <c r="AE62" s="106" t="e">
        <f>IF(($A62&lt;'Alternative 3'!$B$27),(($H62*'Alternative 3'!$B$39)+(3*($N$22/3)*COS($K$23))),IF(($A62&lt;'Alternative 3'!$B$28),(($H62*'Alternative 3'!$B$39)+(2*(($N$22/3)*COS($K$23)))),IF(($A62&lt;'Alternative 3'!$B$29),(($H$3*'Alternative 3'!$B$39+(($N$22/3)*COS($K$23)))),($H62*'Alternative 3'!$B$39))))</f>
        <v>#VALUE!</v>
      </c>
      <c r="AF62" s="105" t="e">
        <f>AD62*'Alternative 3'!$K63/'Alternative 3'!$L63</f>
        <v>#VALUE!</v>
      </c>
      <c r="AG62" s="105" t="e">
        <f>AE62/'Alternative 3'!$M63</f>
        <v>#VALUE!</v>
      </c>
      <c r="AH62" s="105" t="e">
        <f t="shared" si="4"/>
        <v>#VALUE!</v>
      </c>
      <c r="AJ62" s="105" t="e">
        <f>'Alternative 3'!$B$39*$B62*$C62*COS($K$33)-($N$32/3)*$E62*SIN($K$33)-($N$32/3)*$F62*SIN($K$33)-($N$32/3)*$G62*SIN($K$33)</f>
        <v>#VALUE!</v>
      </c>
      <c r="AK62" s="106" t="e">
        <f>IF(($A62&lt;'Alternative 3'!$B$27),(($H62*'Alternative 3'!$B$39)+(3*($N$32/3)*COS($K$33))),IF(($A62&lt;'Alternative 3'!$B$28),(($H62*'Alternative 3'!$B$39)+(2*(($N$32/3)*COS($K$33)))),IF(($A62&lt;'Alternative 3'!$B$29),(($H$3*'Alternative 3'!$B$39+(($N$32/3)*COS($K$33)))),($H62*'Alternative 3'!$B$39))))</f>
        <v>#VALUE!</v>
      </c>
      <c r="AL62" s="105" t="e">
        <f>AJ62*'Alternative 3'!$K63/'Alternative 3'!$L63</f>
        <v>#VALUE!</v>
      </c>
      <c r="AM62" s="105" t="e">
        <f>AK62/'Alternative 3'!$M63</f>
        <v>#VALUE!</v>
      </c>
      <c r="AN62" s="105" t="e">
        <f t="shared" si="5"/>
        <v>#VALUE!</v>
      </c>
      <c r="AP62" s="105" t="e">
        <f>'Alternative 3'!$B$39*$B62*$C62*COS($K$43)-($N$42/3)*$E62*SIN($K$43)-($N$42/3)*$F62*SIN($K$43)-($N$42/3)*$G62*SIN($K$43)</f>
        <v>#VALUE!</v>
      </c>
      <c r="AQ62" s="106" t="e">
        <f>IF(($A62&lt;'Alternative 3'!$B$27),(($H62*'Alternative 3'!$B$39)+(3*($N$42/3)*COS($K$43))),IF(($A62&lt;'Alternative 3'!$B$28),(($H62*'Alternative 3'!$B$39)+(2*(($N$42/3)*COS($K$43)))),IF(($A62&lt;'Alternative 3'!$B$29),(($H$3*'Alternative 3'!$B$39+(($N$42/3)*COS($K$43)))),($H62*'Alternative 3'!$B$39))))</f>
        <v>#VALUE!</v>
      </c>
      <c r="AR62" s="105" t="e">
        <f>AP62*'Alternative 3'!$K63/'Alternative 3'!$L63</f>
        <v>#VALUE!</v>
      </c>
      <c r="AS62" s="105" t="e">
        <f>AQ62/'Alternative 3'!$M63</f>
        <v>#VALUE!</v>
      </c>
      <c r="AT62" s="105" t="e">
        <f t="shared" si="6"/>
        <v>#VALUE!</v>
      </c>
      <c r="AV62" s="105" t="e">
        <f>'Alternative 3'!$B$39*$B62*$C62*COS($K$53)-($N$52/3)*$E62*SIN($K$53)-($N$52/3)*$F62*SIN($K$53)-($N$52/3)*$G62*SIN($K$53)</f>
        <v>#VALUE!</v>
      </c>
      <c r="AW62" s="106" t="e">
        <f>IF(($A62&lt;'Alternative 3'!$B$27),(($H62*'Alternative 3'!$B$39)+(3*($N$52/3)*COS($K$53))),IF(($A62&lt;'Alternative 3'!$B$28),(($H62*'Alternative 3'!$B$39)+(2*(($N$52/3)*COS($K$53)))),IF(($A62&lt;'Alternative 3'!$B$29),(($H$3*'Alternative 3'!$B$39+(($N$52/3)*COS($K$53)))),($H62*'Alternative 3'!$B$39))))</f>
        <v>#VALUE!</v>
      </c>
      <c r="AX62" s="105" t="e">
        <f>AV62*'Alternative 3'!$K63/'Alternative 3'!$L63</f>
        <v>#VALUE!</v>
      </c>
      <c r="AY62" s="105" t="e">
        <f>AW62/'Alternative 3'!$M63</f>
        <v>#VALUE!</v>
      </c>
      <c r="AZ62" s="105" t="e">
        <f t="shared" si="7"/>
        <v>#VALUE!</v>
      </c>
      <c r="BB62" s="105" t="e">
        <f>'Alternative 3'!$B$39*$B62*$C62*COS($K$63)-($N$62/3)*$E62*SIN($K$63)-($N$62/3)*$F62*SIN($K$63)-($N$62/3)*$G62*SIN($K$63)</f>
        <v>#VALUE!</v>
      </c>
      <c r="BC62" s="106" t="e">
        <f>IF(($A62&lt;'Alternative 3'!$B$27),(($H62*'Alternative 3'!$B$39)+(3*($N$62/3)*COS($K$63))),IF(($A62&lt;'Alternative 3'!$B$28),(($H62*'Alternative 3'!$B$39)+(2*(($N$62/3)*COS($K$63)))),IF(($A62&lt;'Alternative 3'!$B$29),(($H$3*'Alternative 3'!$B$39+(($N$62/3)*COS($K$63)))),($H62*'Alternative 3'!$B$39))))</f>
        <v>#VALUE!</v>
      </c>
      <c r="BD62" s="105" t="e">
        <f>BB62*'Alternative 3'!$K63/'Alternative 3'!$L63</f>
        <v>#VALUE!</v>
      </c>
      <c r="BE62" s="105" t="e">
        <f>BC62/'Alternative 3'!$M63</f>
        <v>#VALUE!</v>
      </c>
      <c r="BF62" s="105" t="e">
        <f t="shared" si="8"/>
        <v>#VALUE!</v>
      </c>
      <c r="BH62" s="105" t="e">
        <f>'Alternative 3'!$B$39*$B62*$C62*COS($K$73)-($N$72/3)*$E62*SIN($K$73)-($N$72/3)*$F62*SIN($K$73)-($N$72/3)*$G62*SIN($K$73)</f>
        <v>#VALUE!</v>
      </c>
      <c r="BI62" s="106" t="e">
        <f>IF(($A62&lt;'Alternative 3'!$B$27),(($H62*'Alternative 3'!$B$39)+(3*($N$72/3)*COS($K$73))),IF(($A62&lt;'Alternative 3'!$B$28),(($H62*'Alternative 3'!$B$39)+(2*(($N$72/3)*COS($K$73)))),IF(($A62&lt;'Alternative 3'!$B$29),(($H$3*'Alternative 3'!$B$39+(($N$72/3)*COS($K$73)))),($H62*'Alternative 3'!$B$39))))</f>
        <v>#VALUE!</v>
      </c>
      <c r="BJ62" s="105" t="e">
        <f>BH62*'Alternative 3'!$K63/'Alternative 3'!$L63</f>
        <v>#VALUE!</v>
      </c>
      <c r="BK62" s="105" t="e">
        <f>BI62/'Alternative 3'!$M63</f>
        <v>#VALUE!</v>
      </c>
      <c r="BL62" s="105" t="e">
        <f t="shared" si="9"/>
        <v>#VALUE!</v>
      </c>
      <c r="BN62" s="105" t="e">
        <f>'Alternative 3'!$B$39*$B62*$C62*COS($K$83)-($N$82/3)*$E62*SIN($K$83)-($N$82/3)*$F62*SIN($K$83)-($N$82/3)*$G62*SIN($K$83)</f>
        <v>#VALUE!</v>
      </c>
      <c r="BO62" s="106" t="e">
        <f>IF(($A62&lt;'Alternative 3'!$B$27),(($H62*'Alternative 3'!$B$39)+(3*($N$82/3)*COS($K$83))),IF(($A62&lt;'Alternative 3'!$B$28),(($H62*'Alternative 3'!$B$39)+(2*(($N$82/3)*COS($K$83)))),IF(($A62&lt;'Alternative 3'!$B$29),(($H$3*'Alternative 3'!$B$39+(($N$82/3)*COS($K$83)))),($H62*'Alternative 3'!$B$39))))</f>
        <v>#VALUE!</v>
      </c>
      <c r="BP62" s="105" t="e">
        <f>BN62*'Alternative 3'!$K63/'Alternative 3'!$L63</f>
        <v>#VALUE!</v>
      </c>
      <c r="BQ62" s="105" t="e">
        <f>BO62/'Alternative 3'!$M63</f>
        <v>#VALUE!</v>
      </c>
      <c r="BR62" s="105" t="e">
        <f t="shared" si="10"/>
        <v>#VALUE!</v>
      </c>
      <c r="BT62" s="105" t="e">
        <f>'Alternative 3'!$B$39*$B62*$C62*COS($K$93)-($K$92/3)*$E62*SIN($K$93)-($K$92/3)*$F62*SIN($K$93)-($K$92/3)*$G62*SIN($K$93)</f>
        <v>#VALUE!</v>
      </c>
      <c r="BU62" s="106" t="e">
        <f>IF(($A62&lt;'Alternative 3'!$B$27),(($H62*'Alternative 3'!$B$39)+(3*($N$92/3)*COS($K$93))),IF(($A62&lt;'Alternative 3'!$B$28),(($H62*'Alternative 3'!$B$39)+(2*(($N$92/3)*COS($K$93)))),IF(($A62&lt;'Alternative 3'!$B$29),(($H$3*'Alternative 3'!$B$39+(($N$92/3)*COS($K$93)))),($H62*'Alternative 3'!$B$39))))</f>
        <v>#VALUE!</v>
      </c>
      <c r="BV62" s="105" t="e">
        <f>BT62*'Alternative 3'!$K63/'Alternative 3'!$L63</f>
        <v>#VALUE!</v>
      </c>
      <c r="BW62" s="105" t="e">
        <f>BU62/'Alternative 3'!$M63</f>
        <v>#VALUE!</v>
      </c>
      <c r="BX62" s="105" t="e">
        <f t="shared" si="11"/>
        <v>#VALUE!</v>
      </c>
      <c r="BZ62" s="104">
        <v>150</v>
      </c>
      <c r="CA62" s="104">
        <v>-150</v>
      </c>
    </row>
    <row r="63" spans="1:79" ht="15" customHeight="1" x14ac:dyDescent="0.25">
      <c r="A63" s="18" t="str">
        <f>IF('Alternative 3'!F64&gt;0,'Alternative 3'!F64,"x")</f>
        <v>x</v>
      </c>
      <c r="B63" s="18" t="e">
        <f t="shared" si="17"/>
        <v>#VALUE!</v>
      </c>
      <c r="C63" s="18">
        <f t="shared" si="12"/>
        <v>0</v>
      </c>
      <c r="D63" s="18" t="str">
        <f t="shared" si="13"/>
        <v>x</v>
      </c>
      <c r="E63" s="101">
        <f>IF($A63&lt;='Alternative 3'!$B$27, IF($A63='Alternative 3'!$B$27,0,E64+1),0)</f>
        <v>0</v>
      </c>
      <c r="F63" s="101">
        <f>IF($A63&lt;=('Alternative 3'!$B$28), IF($A63=ROUNDDOWN('Alternative 3'!$B$28,0),0,F64+1),0)</f>
        <v>0</v>
      </c>
      <c r="G63" s="101">
        <f>IF($A63&lt;=('Alternative 3'!$B$29), IF($A63=ROUNDDOWN('Alternative 3'!$B$29,0),0,G64+1),0)</f>
        <v>0</v>
      </c>
      <c r="H63" s="18" t="e">
        <f t="shared" si="14"/>
        <v>#VALUE!</v>
      </c>
      <c r="J63" s="104">
        <f t="shared" si="15"/>
        <v>60</v>
      </c>
      <c r="K63" s="109">
        <f t="shared" si="16"/>
        <v>1.0471975511965976</v>
      </c>
      <c r="L63" s="105">
        <f>'Alternative 3'!$B$27*SIN(K63)+'Alternative 3'!$B$28*SIN(K63)+'Alternative 3'!$B$29*SIN(K63)</f>
        <v>58.015041799519537</v>
      </c>
      <c r="M63" s="104">
        <f>(('Alternative 3'!$B$27)*(((('Alternative 3'!$B$28-'Alternative 3'!$B$27)/2)+'Alternative 3'!$B$27)*'Alternative 3'!$B$39)*COS('Alternative 3-Tilt Up (3pt)'!K63))+(('Alternative 3'!$B$28)*((('Alternative 3'!$B$28-'Alternative 3'!$B$27)/2)+(('Alternative 3'!$B$29-'Alternative 3'!$B$28)/2))*('Alternative 3'!$B$39)*COS('Alternative 3-Tilt Up (3pt)'!K63))+(('Alternative 3'!$B$29)*((('Alternative 3'!$B$12-'Alternative 3'!$B$29+(('Alternative 3'!$B$29-'Alternative 3'!$B$28)/2)*('Alternative 3'!$B$39)*COS('Alternative 3-Tilt Up (3pt)'!K63)))))</f>
        <v>1123866.5159185596</v>
      </c>
      <c r="N63" s="104">
        <f t="shared" si="0"/>
        <v>58115.954814042758</v>
      </c>
      <c r="O63" s="104">
        <f>(((('Alternative 3'!$B$28-'Alternative 3'!$B$27)/2)+'Alternative 3'!$B$27)*('Alternative 3'!$B$39)*COS('Alternative 3-Tilt Up (3pt)'!K63))+(((('Alternative 3'!$B$28-'Alternative 3'!$B$27)/2)+(('Alternative 3'!$B$29-'Alternative 3'!$B$28)/2))*('Alternative 3'!$B$39)*COS('Alternative 3-Tilt Up (3pt)'!K63))+(((('Alternative 3'!$B$12-'Alternative 3'!$B$29)+(('Alternative 3'!$B$29-'Alternative 3'!$B$28)/2))*('Alternative 3'!$B$39)*COS('Alternative 3-Tilt Up (3pt)'!K63)))</f>
        <v>73007.479152782122</v>
      </c>
      <c r="P63" s="109">
        <f t="shared" si="1"/>
        <v>29057.977407021386</v>
      </c>
      <c r="R63" s="105" t="e">
        <f>'Alternative 3'!$B$39*$B63*$C63*COS($K$5)-($N$5/3)*$E63*SIN($K$5)-($N$5/3)*$F63*SIN($K$5)-($N$5/3)*$G63*SIN($K$5)</f>
        <v>#VALUE!</v>
      </c>
      <c r="S63" s="106" t="e">
        <f>IF(($A63&lt;'Alternative 3'!$B$27),(($H63*'Alternative 3'!$B$39)+(3*($N$5/3)*COS($K$5))),IF(($A63&lt;'Alternative 3'!$B$28),(($H63*'Alternative 3'!$B$39)+(2*(($N$5/3)*COS($K$5)))),IF(($A63&lt;'Alternative 3'!$B$29),(($H$3*'Alternative 3'!$B$39+(($N$5/3)*COS($K$5)))),($H63*'Alternative 3'!$B$39))))</f>
        <v>#VALUE!</v>
      </c>
      <c r="T63" s="105" t="e">
        <f>R63*'Alternative 3'!$K64/'Alternative 3'!$L64</f>
        <v>#VALUE!</v>
      </c>
      <c r="U63" s="105" t="e">
        <f>S63/'Alternative 3'!$M64</f>
        <v>#VALUE!</v>
      </c>
      <c r="V63" s="105" t="e">
        <f t="shared" si="2"/>
        <v>#VALUE!</v>
      </c>
      <c r="X63" s="105" t="e">
        <f>'Alternative 3'!$B$39*$B63*$C63*COS($K$13)-($N$12/3)*$E63*SIN($K$13)-($N$12/3)*$F63*SIN($K$13)-($N$12/3)*$G63*SIN($K$13)</f>
        <v>#VALUE!</v>
      </c>
      <c r="Y63" s="106" t="e">
        <f>IF(($A63&lt;'Alternative 3'!$B$27),(($H63*'Alternative 3'!$B$39)+(3*($N$12/3)*COS($K$13))),IF(($A63&lt;'Alternative 3'!$B$28),(($H63*'Alternative 3'!$B$39)+(2*(($N$12/3)*COS($K$13)))),IF(($A63&lt;'Alternative 3'!$B$29),(($H$3*'Alternative 3'!$B$39+(($N$12/3)*COS($K$13)))),($H63*'Alternative 3'!$B$39))))</f>
        <v>#VALUE!</v>
      </c>
      <c r="Z63" s="105" t="e">
        <f>X63*'Alternative 3'!$K64/'Alternative 3'!$L64</f>
        <v>#VALUE!</v>
      </c>
      <c r="AA63" s="105" t="e">
        <f>Y63/'Alternative 3'!$M64</f>
        <v>#VALUE!</v>
      </c>
      <c r="AB63" s="105" t="e">
        <f t="shared" si="3"/>
        <v>#VALUE!</v>
      </c>
      <c r="AD63" s="105" t="e">
        <f>'Alternative 3'!$B$39*$B63*$C63*COS($K$23)-($N$22/3)*$E63*SIN($K$23)-($N$22/3)*$F63*SIN($K$23)-($N$22/3)*$G63*SIN($K$23)</f>
        <v>#VALUE!</v>
      </c>
      <c r="AE63" s="106" t="e">
        <f>IF(($A63&lt;'Alternative 3'!$B$27),(($H63*'Alternative 3'!$B$39)+(3*($N$22/3)*COS($K$23))),IF(($A63&lt;'Alternative 3'!$B$28),(($H63*'Alternative 3'!$B$39)+(2*(($N$22/3)*COS($K$23)))),IF(($A63&lt;'Alternative 3'!$B$29),(($H$3*'Alternative 3'!$B$39+(($N$22/3)*COS($K$23)))),($H63*'Alternative 3'!$B$39))))</f>
        <v>#VALUE!</v>
      </c>
      <c r="AF63" s="105" t="e">
        <f>AD63*'Alternative 3'!$K64/'Alternative 3'!$L64</f>
        <v>#VALUE!</v>
      </c>
      <c r="AG63" s="105" t="e">
        <f>AE63/'Alternative 3'!$M64</f>
        <v>#VALUE!</v>
      </c>
      <c r="AH63" s="105" t="e">
        <f t="shared" si="4"/>
        <v>#VALUE!</v>
      </c>
      <c r="AJ63" s="105" t="e">
        <f>'Alternative 3'!$B$39*$B63*$C63*COS($K$33)-($N$32/3)*$E63*SIN($K$33)-($N$32/3)*$F63*SIN($K$33)-($N$32/3)*$G63*SIN($K$33)</f>
        <v>#VALUE!</v>
      </c>
      <c r="AK63" s="106" t="e">
        <f>IF(($A63&lt;'Alternative 3'!$B$27),(($H63*'Alternative 3'!$B$39)+(3*($N$32/3)*COS($K$33))),IF(($A63&lt;'Alternative 3'!$B$28),(($H63*'Alternative 3'!$B$39)+(2*(($N$32/3)*COS($K$33)))),IF(($A63&lt;'Alternative 3'!$B$29),(($H$3*'Alternative 3'!$B$39+(($N$32/3)*COS($K$33)))),($H63*'Alternative 3'!$B$39))))</f>
        <v>#VALUE!</v>
      </c>
      <c r="AL63" s="105" t="e">
        <f>AJ63*'Alternative 3'!$K64/'Alternative 3'!$L64</f>
        <v>#VALUE!</v>
      </c>
      <c r="AM63" s="105" t="e">
        <f>AK63/'Alternative 3'!$M64</f>
        <v>#VALUE!</v>
      </c>
      <c r="AN63" s="105" t="e">
        <f t="shared" si="5"/>
        <v>#VALUE!</v>
      </c>
      <c r="AP63" s="105" t="e">
        <f>'Alternative 3'!$B$39*$B63*$C63*COS($K$43)-($N$42/3)*$E63*SIN($K$43)-($N$42/3)*$F63*SIN($K$43)-($N$42/3)*$G63*SIN($K$43)</f>
        <v>#VALUE!</v>
      </c>
      <c r="AQ63" s="106" t="e">
        <f>IF(($A63&lt;'Alternative 3'!$B$27),(($H63*'Alternative 3'!$B$39)+(3*($N$42/3)*COS($K$43))),IF(($A63&lt;'Alternative 3'!$B$28),(($H63*'Alternative 3'!$B$39)+(2*(($N$42/3)*COS($K$43)))),IF(($A63&lt;'Alternative 3'!$B$29),(($H$3*'Alternative 3'!$B$39+(($N$42/3)*COS($K$43)))),($H63*'Alternative 3'!$B$39))))</f>
        <v>#VALUE!</v>
      </c>
      <c r="AR63" s="105" t="e">
        <f>AP63*'Alternative 3'!$K64/'Alternative 3'!$L64</f>
        <v>#VALUE!</v>
      </c>
      <c r="AS63" s="105" t="e">
        <f>AQ63/'Alternative 3'!$M64</f>
        <v>#VALUE!</v>
      </c>
      <c r="AT63" s="105" t="e">
        <f t="shared" si="6"/>
        <v>#VALUE!</v>
      </c>
      <c r="AV63" s="105" t="e">
        <f>'Alternative 3'!$B$39*$B63*$C63*COS($K$53)-($N$52/3)*$E63*SIN($K$53)-($N$52/3)*$F63*SIN($K$53)-($N$52/3)*$G63*SIN($K$53)</f>
        <v>#VALUE!</v>
      </c>
      <c r="AW63" s="106" t="e">
        <f>IF(($A63&lt;'Alternative 3'!$B$27),(($H63*'Alternative 3'!$B$39)+(3*($N$52/3)*COS($K$53))),IF(($A63&lt;'Alternative 3'!$B$28),(($H63*'Alternative 3'!$B$39)+(2*(($N$52/3)*COS($K$53)))),IF(($A63&lt;'Alternative 3'!$B$29),(($H$3*'Alternative 3'!$B$39+(($N$52/3)*COS($K$53)))),($H63*'Alternative 3'!$B$39))))</f>
        <v>#VALUE!</v>
      </c>
      <c r="AX63" s="105" t="e">
        <f>AV63*'Alternative 3'!$K64/'Alternative 3'!$L64</f>
        <v>#VALUE!</v>
      </c>
      <c r="AY63" s="105" t="e">
        <f>AW63/'Alternative 3'!$M64</f>
        <v>#VALUE!</v>
      </c>
      <c r="AZ63" s="105" t="e">
        <f t="shared" si="7"/>
        <v>#VALUE!</v>
      </c>
      <c r="BB63" s="105" t="e">
        <f>'Alternative 3'!$B$39*$B63*$C63*COS($K$63)-($N$62/3)*$E63*SIN($K$63)-($N$62/3)*$F63*SIN($K$63)-($N$62/3)*$G63*SIN($K$63)</f>
        <v>#VALUE!</v>
      </c>
      <c r="BC63" s="106" t="e">
        <f>IF(($A63&lt;'Alternative 3'!$B$27),(($H63*'Alternative 3'!$B$39)+(3*($N$62/3)*COS($K$63))),IF(($A63&lt;'Alternative 3'!$B$28),(($H63*'Alternative 3'!$B$39)+(2*(($N$62/3)*COS($K$63)))),IF(($A63&lt;'Alternative 3'!$B$29),(($H$3*'Alternative 3'!$B$39+(($N$62/3)*COS($K$63)))),($H63*'Alternative 3'!$B$39))))</f>
        <v>#VALUE!</v>
      </c>
      <c r="BD63" s="105" t="e">
        <f>BB63*'Alternative 3'!$K64/'Alternative 3'!$L64</f>
        <v>#VALUE!</v>
      </c>
      <c r="BE63" s="105" t="e">
        <f>BC63/'Alternative 3'!$M64</f>
        <v>#VALUE!</v>
      </c>
      <c r="BF63" s="105" t="e">
        <f t="shared" si="8"/>
        <v>#VALUE!</v>
      </c>
      <c r="BH63" s="105" t="e">
        <f>'Alternative 3'!$B$39*$B63*$C63*COS($K$73)-($N$72/3)*$E63*SIN($K$73)-($N$72/3)*$F63*SIN($K$73)-($N$72/3)*$G63*SIN($K$73)</f>
        <v>#VALUE!</v>
      </c>
      <c r="BI63" s="106" t="e">
        <f>IF(($A63&lt;'Alternative 3'!$B$27),(($H63*'Alternative 3'!$B$39)+(3*($N$72/3)*COS($K$73))),IF(($A63&lt;'Alternative 3'!$B$28),(($H63*'Alternative 3'!$B$39)+(2*(($N$72/3)*COS($K$73)))),IF(($A63&lt;'Alternative 3'!$B$29),(($H$3*'Alternative 3'!$B$39+(($N$72/3)*COS($K$73)))),($H63*'Alternative 3'!$B$39))))</f>
        <v>#VALUE!</v>
      </c>
      <c r="BJ63" s="105" t="e">
        <f>BH63*'Alternative 3'!$K64/'Alternative 3'!$L64</f>
        <v>#VALUE!</v>
      </c>
      <c r="BK63" s="105" t="e">
        <f>BI63/'Alternative 3'!$M64</f>
        <v>#VALUE!</v>
      </c>
      <c r="BL63" s="105" t="e">
        <f t="shared" si="9"/>
        <v>#VALUE!</v>
      </c>
      <c r="BN63" s="105" t="e">
        <f>'Alternative 3'!$B$39*$B63*$C63*COS($K$83)-($N$82/3)*$E63*SIN($K$83)-($N$82/3)*$F63*SIN($K$83)-($N$82/3)*$G63*SIN($K$83)</f>
        <v>#VALUE!</v>
      </c>
      <c r="BO63" s="106" t="e">
        <f>IF(($A63&lt;'Alternative 3'!$B$27),(($H63*'Alternative 3'!$B$39)+(3*($N$82/3)*COS($K$83))),IF(($A63&lt;'Alternative 3'!$B$28),(($H63*'Alternative 3'!$B$39)+(2*(($N$82/3)*COS($K$83)))),IF(($A63&lt;'Alternative 3'!$B$29),(($H$3*'Alternative 3'!$B$39+(($N$82/3)*COS($K$83)))),($H63*'Alternative 3'!$B$39))))</f>
        <v>#VALUE!</v>
      </c>
      <c r="BP63" s="105" t="e">
        <f>BN63*'Alternative 3'!$K64/'Alternative 3'!$L64</f>
        <v>#VALUE!</v>
      </c>
      <c r="BQ63" s="105" t="e">
        <f>BO63/'Alternative 3'!$M64</f>
        <v>#VALUE!</v>
      </c>
      <c r="BR63" s="105" t="e">
        <f t="shared" si="10"/>
        <v>#VALUE!</v>
      </c>
      <c r="BT63" s="105" t="e">
        <f>'Alternative 3'!$B$39*$B63*$C63*COS($K$93)-($K$92/3)*$E63*SIN($K$93)-($K$92/3)*$F63*SIN($K$93)-($K$92/3)*$G63*SIN($K$93)</f>
        <v>#VALUE!</v>
      </c>
      <c r="BU63" s="106" t="e">
        <f>IF(($A63&lt;'Alternative 3'!$B$27),(($H63*'Alternative 3'!$B$39)+(3*($N$92/3)*COS($K$93))),IF(($A63&lt;'Alternative 3'!$B$28),(($H63*'Alternative 3'!$B$39)+(2*(($N$92/3)*COS($K$93)))),IF(($A63&lt;'Alternative 3'!$B$29),(($H$3*'Alternative 3'!$B$39+(($N$92/3)*COS($K$93)))),($H63*'Alternative 3'!$B$39))))</f>
        <v>#VALUE!</v>
      </c>
      <c r="BV63" s="105" t="e">
        <f>BT63*'Alternative 3'!$K64/'Alternative 3'!$L64</f>
        <v>#VALUE!</v>
      </c>
      <c r="BW63" s="105" t="e">
        <f>BU63/'Alternative 3'!$M64</f>
        <v>#VALUE!</v>
      </c>
      <c r="BX63" s="105" t="e">
        <f t="shared" si="11"/>
        <v>#VALUE!</v>
      </c>
      <c r="BZ63" s="104">
        <v>150</v>
      </c>
      <c r="CA63" s="104">
        <v>-150</v>
      </c>
    </row>
    <row r="64" spans="1:79" ht="15" customHeight="1" x14ac:dyDescent="0.25">
      <c r="A64" s="18" t="str">
        <f>IF('Alternative 3'!F65&gt;0,'Alternative 3'!F65,"x")</f>
        <v>x</v>
      </c>
      <c r="B64" s="18" t="e">
        <f t="shared" si="17"/>
        <v>#VALUE!</v>
      </c>
      <c r="C64" s="18">
        <f t="shared" si="12"/>
        <v>0</v>
      </c>
      <c r="D64" s="18" t="str">
        <f t="shared" si="13"/>
        <v>x</v>
      </c>
      <c r="E64" s="101">
        <f>IF($A64&lt;='Alternative 3'!$B$27, IF($A64='Alternative 3'!$B$27,0,E65+1),0)</f>
        <v>0</v>
      </c>
      <c r="F64" s="101">
        <f>IF($A64&lt;=('Alternative 3'!$B$28), IF($A64=ROUNDDOWN('Alternative 3'!$B$28,0),0,F65+1),0)</f>
        <v>0</v>
      </c>
      <c r="G64" s="101">
        <f>IF($A64&lt;=('Alternative 3'!$B$29), IF($A64=ROUNDDOWN('Alternative 3'!$B$29,0),0,G65+1),0)</f>
        <v>0</v>
      </c>
      <c r="H64" s="18" t="e">
        <f t="shared" si="14"/>
        <v>#VALUE!</v>
      </c>
      <c r="J64" s="104">
        <f t="shared" si="15"/>
        <v>61</v>
      </c>
      <c r="K64" s="104">
        <f t="shared" si="16"/>
        <v>1.064650843716541</v>
      </c>
      <c r="L64" s="105">
        <f>'Alternative 3'!$B$27*SIN(K64)+'Alternative 3'!$B$28*SIN(K64)+'Alternative 3'!$B$29*SIN(K64)</f>
        <v>58.590774181268117</v>
      </c>
      <c r="M64" s="104">
        <f>(('Alternative 3'!$B$27)*(((('Alternative 3'!$B$28-'Alternative 3'!$B$27)/2)+'Alternative 3'!$B$27)*'Alternative 3'!$B$39)*COS('Alternative 3-Tilt Up (3pt)'!K64))+(('Alternative 3'!$B$28)*((('Alternative 3'!$B$28-'Alternative 3'!$B$27)/2)+(('Alternative 3'!$B$29-'Alternative 3'!$B$28)/2))*('Alternative 3'!$B$39)*COS('Alternative 3-Tilt Up (3pt)'!K64))+(('Alternative 3'!$B$29)*((('Alternative 3'!$B$12-'Alternative 3'!$B$29+(('Alternative 3'!$B$29-'Alternative 3'!$B$28)/2)*('Alternative 3'!$B$39)*COS('Alternative 3-Tilt Up (3pt)'!K64)))))</f>
        <v>1089728.1178977794</v>
      </c>
      <c r="N64" s="104">
        <f t="shared" si="0"/>
        <v>55796.913411301524</v>
      </c>
      <c r="O64" s="104">
        <f>(((('Alternative 3'!$B$28-'Alternative 3'!$B$27)/2)+'Alternative 3'!$B$27)*('Alternative 3'!$B$39)*COS('Alternative 3-Tilt Up (3pt)'!K64))+(((('Alternative 3'!$B$28-'Alternative 3'!$B$27)/2)+(('Alternative 3'!$B$29-'Alternative 3'!$B$28)/2))*('Alternative 3'!$B$39)*COS('Alternative 3-Tilt Up (3pt)'!K64))+(((('Alternative 3'!$B$12-'Alternative 3'!$B$29)+(('Alternative 3'!$B$29-'Alternative 3'!$B$28)/2))*('Alternative 3'!$B$39)*COS('Alternative 3-Tilt Up (3pt)'!K64)))</f>
        <v>70789.456486405325</v>
      </c>
      <c r="P64" s="104">
        <f t="shared" si="1"/>
        <v>27050.880401850845</v>
      </c>
      <c r="R64" s="105" t="e">
        <f>'Alternative 3'!$B$39*$B64*$C64*COS($K$5)-($N$5/3)*$E64*SIN($K$5)-($N$5/3)*$F64*SIN($K$5)-($N$5/3)*$G64*SIN($K$5)</f>
        <v>#VALUE!</v>
      </c>
      <c r="S64" s="106" t="e">
        <f>IF(($A64&lt;'Alternative 3'!$B$27),(($H64*'Alternative 3'!$B$39)+(3*($N$5/3)*COS($K$5))),IF(($A64&lt;'Alternative 3'!$B$28),(($H64*'Alternative 3'!$B$39)+(2*(($N$5/3)*COS($K$5)))),IF(($A64&lt;'Alternative 3'!$B$29),(($H$3*'Alternative 3'!$B$39+(($N$5/3)*COS($K$5)))),($H64*'Alternative 3'!$B$39))))</f>
        <v>#VALUE!</v>
      </c>
      <c r="T64" s="105" t="e">
        <f>R64*'Alternative 3'!$K65/'Alternative 3'!$L65</f>
        <v>#VALUE!</v>
      </c>
      <c r="U64" s="105" t="e">
        <f>S64/'Alternative 3'!$M65</f>
        <v>#VALUE!</v>
      </c>
      <c r="V64" s="105" t="e">
        <f t="shared" si="2"/>
        <v>#VALUE!</v>
      </c>
      <c r="X64" s="105" t="e">
        <f>'Alternative 3'!$B$39*$B64*$C64*COS($K$13)-($N$12/3)*$E64*SIN($K$13)-($N$12/3)*$F64*SIN($K$13)-($N$12/3)*$G64*SIN($K$13)</f>
        <v>#VALUE!</v>
      </c>
      <c r="Y64" s="106" t="e">
        <f>IF(($A64&lt;'Alternative 3'!$B$27),(($H64*'Alternative 3'!$B$39)+(3*($N$12/3)*COS($K$13))),IF(($A64&lt;'Alternative 3'!$B$28),(($H64*'Alternative 3'!$B$39)+(2*(($N$12/3)*COS($K$13)))),IF(($A64&lt;'Alternative 3'!$B$29),(($H$3*'Alternative 3'!$B$39+(($N$12/3)*COS($K$13)))),($H64*'Alternative 3'!$B$39))))</f>
        <v>#VALUE!</v>
      </c>
      <c r="Z64" s="105" t="e">
        <f>X64*'Alternative 3'!$K65/'Alternative 3'!$L65</f>
        <v>#VALUE!</v>
      </c>
      <c r="AA64" s="105" t="e">
        <f>Y64/'Alternative 3'!$M65</f>
        <v>#VALUE!</v>
      </c>
      <c r="AB64" s="105" t="e">
        <f t="shared" si="3"/>
        <v>#VALUE!</v>
      </c>
      <c r="AD64" s="105" t="e">
        <f>'Alternative 3'!$B$39*$B64*$C64*COS($K$23)-($N$22/3)*$E64*SIN($K$23)-($N$22/3)*$F64*SIN($K$23)-($N$22/3)*$G64*SIN($K$23)</f>
        <v>#VALUE!</v>
      </c>
      <c r="AE64" s="106" t="e">
        <f>IF(($A64&lt;'Alternative 3'!$B$27),(($H64*'Alternative 3'!$B$39)+(3*($N$22/3)*COS($K$23))),IF(($A64&lt;'Alternative 3'!$B$28),(($H64*'Alternative 3'!$B$39)+(2*(($N$22/3)*COS($K$23)))),IF(($A64&lt;'Alternative 3'!$B$29),(($H$3*'Alternative 3'!$B$39+(($N$22/3)*COS($K$23)))),($H64*'Alternative 3'!$B$39))))</f>
        <v>#VALUE!</v>
      </c>
      <c r="AF64" s="105" t="e">
        <f>AD64*'Alternative 3'!$K65/'Alternative 3'!$L65</f>
        <v>#VALUE!</v>
      </c>
      <c r="AG64" s="105" t="e">
        <f>AE64/'Alternative 3'!$M65</f>
        <v>#VALUE!</v>
      </c>
      <c r="AH64" s="105" t="e">
        <f t="shared" si="4"/>
        <v>#VALUE!</v>
      </c>
      <c r="AJ64" s="105" t="e">
        <f>'Alternative 3'!$B$39*$B64*$C64*COS($K$33)-($N$32/3)*$E64*SIN($K$33)-($N$32/3)*$F64*SIN($K$33)-($N$32/3)*$G64*SIN($K$33)</f>
        <v>#VALUE!</v>
      </c>
      <c r="AK64" s="106" t="e">
        <f>IF(($A64&lt;'Alternative 3'!$B$27),(($H64*'Alternative 3'!$B$39)+(3*($N$32/3)*COS($K$33))),IF(($A64&lt;'Alternative 3'!$B$28),(($H64*'Alternative 3'!$B$39)+(2*(($N$32/3)*COS($K$33)))),IF(($A64&lt;'Alternative 3'!$B$29),(($H$3*'Alternative 3'!$B$39+(($N$32/3)*COS($K$33)))),($H64*'Alternative 3'!$B$39))))</f>
        <v>#VALUE!</v>
      </c>
      <c r="AL64" s="105" t="e">
        <f>AJ64*'Alternative 3'!$K65/'Alternative 3'!$L65</f>
        <v>#VALUE!</v>
      </c>
      <c r="AM64" s="105" t="e">
        <f>AK64/'Alternative 3'!$M65</f>
        <v>#VALUE!</v>
      </c>
      <c r="AN64" s="105" t="e">
        <f t="shared" si="5"/>
        <v>#VALUE!</v>
      </c>
      <c r="AP64" s="105" t="e">
        <f>'Alternative 3'!$B$39*$B64*$C64*COS($K$43)-($N$42/3)*$E64*SIN($K$43)-($N$42/3)*$F64*SIN($K$43)-($N$42/3)*$G64*SIN($K$43)</f>
        <v>#VALUE!</v>
      </c>
      <c r="AQ64" s="106" t="e">
        <f>IF(($A64&lt;'Alternative 3'!$B$27),(($H64*'Alternative 3'!$B$39)+(3*($N$42/3)*COS($K$43))),IF(($A64&lt;'Alternative 3'!$B$28),(($H64*'Alternative 3'!$B$39)+(2*(($N$42/3)*COS($K$43)))),IF(($A64&lt;'Alternative 3'!$B$29),(($H$3*'Alternative 3'!$B$39+(($N$42/3)*COS($K$43)))),($H64*'Alternative 3'!$B$39))))</f>
        <v>#VALUE!</v>
      </c>
      <c r="AR64" s="105" t="e">
        <f>AP64*'Alternative 3'!$K65/'Alternative 3'!$L65</f>
        <v>#VALUE!</v>
      </c>
      <c r="AS64" s="105" t="e">
        <f>AQ64/'Alternative 3'!$M65</f>
        <v>#VALUE!</v>
      </c>
      <c r="AT64" s="105" t="e">
        <f t="shared" si="6"/>
        <v>#VALUE!</v>
      </c>
      <c r="AV64" s="105" t="e">
        <f>'Alternative 3'!$B$39*$B64*$C64*COS($K$53)-($N$52/3)*$E64*SIN($K$53)-($N$52/3)*$F64*SIN($K$53)-($N$52/3)*$G64*SIN($K$53)</f>
        <v>#VALUE!</v>
      </c>
      <c r="AW64" s="106" t="e">
        <f>IF(($A64&lt;'Alternative 3'!$B$27),(($H64*'Alternative 3'!$B$39)+(3*($N$52/3)*COS($K$53))),IF(($A64&lt;'Alternative 3'!$B$28),(($H64*'Alternative 3'!$B$39)+(2*(($N$52/3)*COS($K$53)))),IF(($A64&lt;'Alternative 3'!$B$29),(($H$3*'Alternative 3'!$B$39+(($N$52/3)*COS($K$53)))),($H64*'Alternative 3'!$B$39))))</f>
        <v>#VALUE!</v>
      </c>
      <c r="AX64" s="105" t="e">
        <f>AV64*'Alternative 3'!$K65/'Alternative 3'!$L65</f>
        <v>#VALUE!</v>
      </c>
      <c r="AY64" s="105" t="e">
        <f>AW64/'Alternative 3'!$M65</f>
        <v>#VALUE!</v>
      </c>
      <c r="AZ64" s="105" t="e">
        <f t="shared" si="7"/>
        <v>#VALUE!</v>
      </c>
      <c r="BB64" s="105" t="e">
        <f>'Alternative 3'!$B$39*$B64*$C64*COS($K$63)-($N$62/3)*$E64*SIN($K$63)-($N$62/3)*$F64*SIN($K$63)-($N$62/3)*$G64*SIN($K$63)</f>
        <v>#VALUE!</v>
      </c>
      <c r="BC64" s="106" t="e">
        <f>IF(($A64&lt;'Alternative 3'!$B$27),(($H64*'Alternative 3'!$B$39)+(3*($N$62/3)*COS($K$63))),IF(($A64&lt;'Alternative 3'!$B$28),(($H64*'Alternative 3'!$B$39)+(2*(($N$62/3)*COS($K$63)))),IF(($A64&lt;'Alternative 3'!$B$29),(($H$3*'Alternative 3'!$B$39+(($N$62/3)*COS($K$63)))),($H64*'Alternative 3'!$B$39))))</f>
        <v>#VALUE!</v>
      </c>
      <c r="BD64" s="105" t="e">
        <f>BB64*'Alternative 3'!$K65/'Alternative 3'!$L65</f>
        <v>#VALUE!</v>
      </c>
      <c r="BE64" s="105" t="e">
        <f>BC64/'Alternative 3'!$M65</f>
        <v>#VALUE!</v>
      </c>
      <c r="BF64" s="105" t="e">
        <f t="shared" si="8"/>
        <v>#VALUE!</v>
      </c>
      <c r="BH64" s="105" t="e">
        <f>'Alternative 3'!$B$39*$B64*$C64*COS($K$73)-($N$72/3)*$E64*SIN($K$73)-($N$72/3)*$F64*SIN($K$73)-($N$72/3)*$G64*SIN($K$73)</f>
        <v>#VALUE!</v>
      </c>
      <c r="BI64" s="106" t="e">
        <f>IF(($A64&lt;'Alternative 3'!$B$27),(($H64*'Alternative 3'!$B$39)+(3*($N$72/3)*COS($K$73))),IF(($A64&lt;'Alternative 3'!$B$28),(($H64*'Alternative 3'!$B$39)+(2*(($N$72/3)*COS($K$73)))),IF(($A64&lt;'Alternative 3'!$B$29),(($H$3*'Alternative 3'!$B$39+(($N$72/3)*COS($K$73)))),($H64*'Alternative 3'!$B$39))))</f>
        <v>#VALUE!</v>
      </c>
      <c r="BJ64" s="105" t="e">
        <f>BH64*'Alternative 3'!$K65/'Alternative 3'!$L65</f>
        <v>#VALUE!</v>
      </c>
      <c r="BK64" s="105" t="e">
        <f>BI64/'Alternative 3'!$M65</f>
        <v>#VALUE!</v>
      </c>
      <c r="BL64" s="105" t="e">
        <f t="shared" si="9"/>
        <v>#VALUE!</v>
      </c>
      <c r="BN64" s="105" t="e">
        <f>'Alternative 3'!$B$39*$B64*$C64*COS($K$83)-($N$82/3)*$E64*SIN($K$83)-($N$82/3)*$F64*SIN($K$83)-($N$82/3)*$G64*SIN($K$83)</f>
        <v>#VALUE!</v>
      </c>
      <c r="BO64" s="106" t="e">
        <f>IF(($A64&lt;'Alternative 3'!$B$27),(($H64*'Alternative 3'!$B$39)+(3*($N$82/3)*COS($K$83))),IF(($A64&lt;'Alternative 3'!$B$28),(($H64*'Alternative 3'!$B$39)+(2*(($N$82/3)*COS($K$83)))),IF(($A64&lt;'Alternative 3'!$B$29),(($H$3*'Alternative 3'!$B$39+(($N$82/3)*COS($K$83)))),($H64*'Alternative 3'!$B$39))))</f>
        <v>#VALUE!</v>
      </c>
      <c r="BP64" s="105" t="e">
        <f>BN64*'Alternative 3'!$K65/'Alternative 3'!$L65</f>
        <v>#VALUE!</v>
      </c>
      <c r="BQ64" s="105" t="e">
        <f>BO64/'Alternative 3'!$M65</f>
        <v>#VALUE!</v>
      </c>
      <c r="BR64" s="105" t="e">
        <f t="shared" si="10"/>
        <v>#VALUE!</v>
      </c>
      <c r="BT64" s="105" t="e">
        <f>'Alternative 3'!$B$39*$B64*$C64*COS($K$93)-($K$92/3)*$E64*SIN($K$93)-($K$92/3)*$F64*SIN($K$93)-($K$92/3)*$G64*SIN($K$93)</f>
        <v>#VALUE!</v>
      </c>
      <c r="BU64" s="106" t="e">
        <f>IF(($A64&lt;'Alternative 3'!$B$27),(($H64*'Alternative 3'!$B$39)+(3*($N$92/3)*COS($K$93))),IF(($A64&lt;'Alternative 3'!$B$28),(($H64*'Alternative 3'!$B$39)+(2*(($N$92/3)*COS($K$93)))),IF(($A64&lt;'Alternative 3'!$B$29),(($H$3*'Alternative 3'!$B$39+(($N$92/3)*COS($K$93)))),($H64*'Alternative 3'!$B$39))))</f>
        <v>#VALUE!</v>
      </c>
      <c r="BV64" s="105" t="e">
        <f>BT64*'Alternative 3'!$K65/'Alternative 3'!$L65</f>
        <v>#VALUE!</v>
      </c>
      <c r="BW64" s="105" t="e">
        <f>BU64/'Alternative 3'!$M65</f>
        <v>#VALUE!</v>
      </c>
      <c r="BX64" s="105" t="e">
        <f t="shared" si="11"/>
        <v>#VALUE!</v>
      </c>
      <c r="BZ64" s="104">
        <v>150</v>
      </c>
      <c r="CA64" s="104">
        <v>-150</v>
      </c>
    </row>
    <row r="65" spans="1:79" ht="15" customHeight="1" x14ac:dyDescent="0.25">
      <c r="A65" s="18" t="str">
        <f>IF('Alternative 3'!F66&gt;0,'Alternative 3'!F66,"x")</f>
        <v>x</v>
      </c>
      <c r="B65" s="18" t="e">
        <f t="shared" si="17"/>
        <v>#VALUE!</v>
      </c>
      <c r="C65" s="18">
        <f t="shared" si="12"/>
        <v>0</v>
      </c>
      <c r="D65" s="18" t="str">
        <f t="shared" si="13"/>
        <v>x</v>
      </c>
      <c r="E65" s="101">
        <f>IF($A65&lt;='Alternative 3'!$B$27, IF($A65='Alternative 3'!$B$27,0,E66+1),0)</f>
        <v>0</v>
      </c>
      <c r="F65" s="101">
        <f>IF($A65&lt;=('Alternative 3'!$B$28), IF($A65=ROUNDDOWN('Alternative 3'!$B$28,0),0,F66+1),0)</f>
        <v>0</v>
      </c>
      <c r="G65" s="101">
        <f>IF($A65&lt;=('Alternative 3'!$B$29), IF($A65=ROUNDDOWN('Alternative 3'!$B$29,0),0,G66+1),0)</f>
        <v>0</v>
      </c>
      <c r="H65" s="18" t="e">
        <f t="shared" si="14"/>
        <v>#VALUE!</v>
      </c>
      <c r="J65" s="104">
        <f t="shared" si="15"/>
        <v>62</v>
      </c>
      <c r="K65" s="104">
        <f t="shared" si="16"/>
        <v>1.0821041362364843</v>
      </c>
      <c r="L65" s="105">
        <f>'Alternative 3'!$B$27*SIN(K65)+'Alternative 3'!$B$28*SIN(K65)+'Alternative 3'!$B$29*SIN(K65)</f>
        <v>59.148659245619513</v>
      </c>
      <c r="M65" s="104">
        <f>(('Alternative 3'!$B$27)*(((('Alternative 3'!$B$28-'Alternative 3'!$B$27)/2)+'Alternative 3'!$B$27)*'Alternative 3'!$B$39)*COS('Alternative 3-Tilt Up (3pt)'!K65))+(('Alternative 3'!$B$28)*((('Alternative 3'!$B$28-'Alternative 3'!$B$27)/2)+(('Alternative 3'!$B$29-'Alternative 3'!$B$28)/2))*('Alternative 3'!$B$39)*COS('Alternative 3-Tilt Up (3pt)'!K65))+(('Alternative 3'!$B$29)*((('Alternative 3'!$B$12-'Alternative 3'!$B$29+(('Alternative 3'!$B$29-'Alternative 3'!$B$28)/2)*('Alternative 3'!$B$39)*COS('Alternative 3-Tilt Up (3pt)'!K65)))))</f>
        <v>1055257.8334847747</v>
      </c>
      <c r="N65" s="104">
        <f t="shared" si="0"/>
        <v>53522.320553509053</v>
      </c>
      <c r="O65" s="104">
        <f>(((('Alternative 3'!$B$28-'Alternative 3'!$B$27)/2)+'Alternative 3'!$B$27)*('Alternative 3'!$B$39)*COS('Alternative 3-Tilt Up (3pt)'!K65))+(((('Alternative 3'!$B$28-'Alternative 3'!$B$27)/2)+(('Alternative 3'!$B$29-'Alternative 3'!$B$28)/2))*('Alternative 3'!$B$39)*COS('Alternative 3-Tilt Up (3pt)'!K65))+(((('Alternative 3'!$B$12-'Alternative 3'!$B$29)+(('Alternative 3'!$B$29-'Alternative 3'!$B$28)/2))*('Alternative 3'!$B$39)*COS('Alternative 3-Tilt Up (3pt)'!K65)))</f>
        <v>68549.87066582992</v>
      </c>
      <c r="P65" s="104">
        <f t="shared" si="1"/>
        <v>25127.207474183302</v>
      </c>
      <c r="R65" s="105" t="e">
        <f>'Alternative 3'!$B$39*$B65*$C65*COS($K$5)-($N$5/3)*$E65*SIN($K$5)-($N$5/3)*$F65*SIN($K$5)-($N$5/3)*$G65*SIN($K$5)</f>
        <v>#VALUE!</v>
      </c>
      <c r="S65" s="106" t="e">
        <f>IF(($A65&lt;'Alternative 3'!$B$27),(($H65*'Alternative 3'!$B$39)+(3*($N$5/3)*COS($K$5))),IF(($A65&lt;'Alternative 3'!$B$28),(($H65*'Alternative 3'!$B$39)+(2*(($N$5/3)*COS($K$5)))),IF(($A65&lt;'Alternative 3'!$B$29),(($H$3*'Alternative 3'!$B$39+(($N$5/3)*COS($K$5)))),($H65*'Alternative 3'!$B$39))))</f>
        <v>#VALUE!</v>
      </c>
      <c r="T65" s="105" t="e">
        <f>R65*'Alternative 3'!$K66/'Alternative 3'!$L66</f>
        <v>#VALUE!</v>
      </c>
      <c r="U65" s="105" t="e">
        <f>S65/'Alternative 3'!$M66</f>
        <v>#VALUE!</v>
      </c>
      <c r="V65" s="105" t="e">
        <f t="shared" si="2"/>
        <v>#VALUE!</v>
      </c>
      <c r="X65" s="105" t="e">
        <f>'Alternative 3'!$B$39*$B65*$C65*COS($K$13)-($N$12/3)*$E65*SIN($K$13)-($N$12/3)*$F65*SIN($K$13)-($N$12/3)*$G65*SIN($K$13)</f>
        <v>#VALUE!</v>
      </c>
      <c r="Y65" s="106" t="e">
        <f>IF(($A65&lt;'Alternative 3'!$B$27),(($H65*'Alternative 3'!$B$39)+(3*($N$12/3)*COS($K$13))),IF(($A65&lt;'Alternative 3'!$B$28),(($H65*'Alternative 3'!$B$39)+(2*(($N$12/3)*COS($K$13)))),IF(($A65&lt;'Alternative 3'!$B$29),(($H$3*'Alternative 3'!$B$39+(($N$12/3)*COS($K$13)))),($H65*'Alternative 3'!$B$39))))</f>
        <v>#VALUE!</v>
      </c>
      <c r="Z65" s="105" t="e">
        <f>X65*'Alternative 3'!$K66/'Alternative 3'!$L66</f>
        <v>#VALUE!</v>
      </c>
      <c r="AA65" s="105" t="e">
        <f>Y65/'Alternative 3'!$M66</f>
        <v>#VALUE!</v>
      </c>
      <c r="AB65" s="105" t="e">
        <f t="shared" si="3"/>
        <v>#VALUE!</v>
      </c>
      <c r="AD65" s="105" t="e">
        <f>'Alternative 3'!$B$39*$B65*$C65*COS($K$23)-($N$22/3)*$E65*SIN($K$23)-($N$22/3)*$F65*SIN($K$23)-($N$22/3)*$G65*SIN($K$23)</f>
        <v>#VALUE!</v>
      </c>
      <c r="AE65" s="106" t="e">
        <f>IF(($A65&lt;'Alternative 3'!$B$27),(($H65*'Alternative 3'!$B$39)+(3*($N$22/3)*COS($K$23))),IF(($A65&lt;'Alternative 3'!$B$28),(($H65*'Alternative 3'!$B$39)+(2*(($N$22/3)*COS($K$23)))),IF(($A65&lt;'Alternative 3'!$B$29),(($H$3*'Alternative 3'!$B$39+(($N$22/3)*COS($K$23)))),($H65*'Alternative 3'!$B$39))))</f>
        <v>#VALUE!</v>
      </c>
      <c r="AF65" s="105" t="e">
        <f>AD65*'Alternative 3'!$K66/'Alternative 3'!$L66</f>
        <v>#VALUE!</v>
      </c>
      <c r="AG65" s="105" t="e">
        <f>AE65/'Alternative 3'!$M66</f>
        <v>#VALUE!</v>
      </c>
      <c r="AH65" s="105" t="e">
        <f t="shared" si="4"/>
        <v>#VALUE!</v>
      </c>
      <c r="AJ65" s="105" t="e">
        <f>'Alternative 3'!$B$39*$B65*$C65*COS($K$33)-($N$32/3)*$E65*SIN($K$33)-($N$32/3)*$F65*SIN($K$33)-($N$32/3)*$G65*SIN($K$33)</f>
        <v>#VALUE!</v>
      </c>
      <c r="AK65" s="106" t="e">
        <f>IF(($A65&lt;'Alternative 3'!$B$27),(($H65*'Alternative 3'!$B$39)+(3*($N$32/3)*COS($K$33))),IF(($A65&lt;'Alternative 3'!$B$28),(($H65*'Alternative 3'!$B$39)+(2*(($N$32/3)*COS($K$33)))),IF(($A65&lt;'Alternative 3'!$B$29),(($H$3*'Alternative 3'!$B$39+(($N$32/3)*COS($K$33)))),($H65*'Alternative 3'!$B$39))))</f>
        <v>#VALUE!</v>
      </c>
      <c r="AL65" s="105" t="e">
        <f>AJ65*'Alternative 3'!$K66/'Alternative 3'!$L66</f>
        <v>#VALUE!</v>
      </c>
      <c r="AM65" s="105" t="e">
        <f>AK65/'Alternative 3'!$M66</f>
        <v>#VALUE!</v>
      </c>
      <c r="AN65" s="105" t="e">
        <f t="shared" si="5"/>
        <v>#VALUE!</v>
      </c>
      <c r="AP65" s="105" t="e">
        <f>'Alternative 3'!$B$39*$B65*$C65*COS($K$43)-($N$42/3)*$E65*SIN($K$43)-($N$42/3)*$F65*SIN($K$43)-($N$42/3)*$G65*SIN($K$43)</f>
        <v>#VALUE!</v>
      </c>
      <c r="AQ65" s="106" t="e">
        <f>IF(($A65&lt;'Alternative 3'!$B$27),(($H65*'Alternative 3'!$B$39)+(3*($N$42/3)*COS($K$43))),IF(($A65&lt;'Alternative 3'!$B$28),(($H65*'Alternative 3'!$B$39)+(2*(($N$42/3)*COS($K$43)))),IF(($A65&lt;'Alternative 3'!$B$29),(($H$3*'Alternative 3'!$B$39+(($N$42/3)*COS($K$43)))),($H65*'Alternative 3'!$B$39))))</f>
        <v>#VALUE!</v>
      </c>
      <c r="AR65" s="105" t="e">
        <f>AP65*'Alternative 3'!$K66/'Alternative 3'!$L66</f>
        <v>#VALUE!</v>
      </c>
      <c r="AS65" s="105" t="e">
        <f>AQ65/'Alternative 3'!$M66</f>
        <v>#VALUE!</v>
      </c>
      <c r="AT65" s="105" t="e">
        <f t="shared" si="6"/>
        <v>#VALUE!</v>
      </c>
      <c r="AV65" s="105" t="e">
        <f>'Alternative 3'!$B$39*$B65*$C65*COS($K$53)-($N$52/3)*$E65*SIN($K$53)-($N$52/3)*$F65*SIN($K$53)-($N$52/3)*$G65*SIN($K$53)</f>
        <v>#VALUE!</v>
      </c>
      <c r="AW65" s="106" t="e">
        <f>IF(($A65&lt;'Alternative 3'!$B$27),(($H65*'Alternative 3'!$B$39)+(3*($N$52/3)*COS($K$53))),IF(($A65&lt;'Alternative 3'!$B$28),(($H65*'Alternative 3'!$B$39)+(2*(($N$52/3)*COS($K$53)))),IF(($A65&lt;'Alternative 3'!$B$29),(($H$3*'Alternative 3'!$B$39+(($N$52/3)*COS($K$53)))),($H65*'Alternative 3'!$B$39))))</f>
        <v>#VALUE!</v>
      </c>
      <c r="AX65" s="105" t="e">
        <f>AV65*'Alternative 3'!$K66/'Alternative 3'!$L66</f>
        <v>#VALUE!</v>
      </c>
      <c r="AY65" s="105" t="e">
        <f>AW65/'Alternative 3'!$M66</f>
        <v>#VALUE!</v>
      </c>
      <c r="AZ65" s="105" t="e">
        <f t="shared" si="7"/>
        <v>#VALUE!</v>
      </c>
      <c r="BB65" s="105" t="e">
        <f>'Alternative 3'!$B$39*$B65*$C65*COS($K$63)-($N$62/3)*$E65*SIN($K$63)-($N$62/3)*$F65*SIN($K$63)-($N$62/3)*$G65*SIN($K$63)</f>
        <v>#VALUE!</v>
      </c>
      <c r="BC65" s="106" t="e">
        <f>IF(($A65&lt;'Alternative 3'!$B$27),(($H65*'Alternative 3'!$B$39)+(3*($N$62/3)*COS($K$63))),IF(($A65&lt;'Alternative 3'!$B$28),(($H65*'Alternative 3'!$B$39)+(2*(($N$62/3)*COS($K$63)))),IF(($A65&lt;'Alternative 3'!$B$29),(($H$3*'Alternative 3'!$B$39+(($N$62/3)*COS($K$63)))),($H65*'Alternative 3'!$B$39))))</f>
        <v>#VALUE!</v>
      </c>
      <c r="BD65" s="105" t="e">
        <f>BB65*'Alternative 3'!$K66/'Alternative 3'!$L66</f>
        <v>#VALUE!</v>
      </c>
      <c r="BE65" s="105" t="e">
        <f>BC65/'Alternative 3'!$M66</f>
        <v>#VALUE!</v>
      </c>
      <c r="BF65" s="105" t="e">
        <f t="shared" si="8"/>
        <v>#VALUE!</v>
      </c>
      <c r="BH65" s="105" t="e">
        <f>'Alternative 3'!$B$39*$B65*$C65*COS($K$73)-($N$72/3)*$E65*SIN($K$73)-($N$72/3)*$F65*SIN($K$73)-($N$72/3)*$G65*SIN($K$73)</f>
        <v>#VALUE!</v>
      </c>
      <c r="BI65" s="106" t="e">
        <f>IF(($A65&lt;'Alternative 3'!$B$27),(($H65*'Alternative 3'!$B$39)+(3*($N$72/3)*COS($K$73))),IF(($A65&lt;'Alternative 3'!$B$28),(($H65*'Alternative 3'!$B$39)+(2*(($N$72/3)*COS($K$73)))),IF(($A65&lt;'Alternative 3'!$B$29),(($H$3*'Alternative 3'!$B$39+(($N$72/3)*COS($K$73)))),($H65*'Alternative 3'!$B$39))))</f>
        <v>#VALUE!</v>
      </c>
      <c r="BJ65" s="105" t="e">
        <f>BH65*'Alternative 3'!$K66/'Alternative 3'!$L66</f>
        <v>#VALUE!</v>
      </c>
      <c r="BK65" s="105" t="e">
        <f>BI65/'Alternative 3'!$M66</f>
        <v>#VALUE!</v>
      </c>
      <c r="BL65" s="105" t="e">
        <f t="shared" si="9"/>
        <v>#VALUE!</v>
      </c>
      <c r="BN65" s="105" t="e">
        <f>'Alternative 3'!$B$39*$B65*$C65*COS($K$83)-($N$82/3)*$E65*SIN($K$83)-($N$82/3)*$F65*SIN($K$83)-($N$82/3)*$G65*SIN($K$83)</f>
        <v>#VALUE!</v>
      </c>
      <c r="BO65" s="106" t="e">
        <f>IF(($A65&lt;'Alternative 3'!$B$27),(($H65*'Alternative 3'!$B$39)+(3*($N$82/3)*COS($K$83))),IF(($A65&lt;'Alternative 3'!$B$28),(($H65*'Alternative 3'!$B$39)+(2*(($N$82/3)*COS($K$83)))),IF(($A65&lt;'Alternative 3'!$B$29),(($H$3*'Alternative 3'!$B$39+(($N$82/3)*COS($K$83)))),($H65*'Alternative 3'!$B$39))))</f>
        <v>#VALUE!</v>
      </c>
      <c r="BP65" s="105" t="e">
        <f>BN65*'Alternative 3'!$K66/'Alternative 3'!$L66</f>
        <v>#VALUE!</v>
      </c>
      <c r="BQ65" s="105" t="e">
        <f>BO65/'Alternative 3'!$M66</f>
        <v>#VALUE!</v>
      </c>
      <c r="BR65" s="105" t="e">
        <f t="shared" si="10"/>
        <v>#VALUE!</v>
      </c>
      <c r="BT65" s="105" t="e">
        <f>'Alternative 3'!$B$39*$B65*$C65*COS($K$93)-($K$92/3)*$E65*SIN($K$93)-($K$92/3)*$F65*SIN($K$93)-($K$92/3)*$G65*SIN($K$93)</f>
        <v>#VALUE!</v>
      </c>
      <c r="BU65" s="106" t="e">
        <f>IF(($A65&lt;'Alternative 3'!$B$27),(($H65*'Alternative 3'!$B$39)+(3*($N$92/3)*COS($K$93))),IF(($A65&lt;'Alternative 3'!$B$28),(($H65*'Alternative 3'!$B$39)+(2*(($N$92/3)*COS($K$93)))),IF(($A65&lt;'Alternative 3'!$B$29),(($H$3*'Alternative 3'!$B$39+(($N$92/3)*COS($K$93)))),($H65*'Alternative 3'!$B$39))))</f>
        <v>#VALUE!</v>
      </c>
      <c r="BV65" s="105" t="e">
        <f>BT65*'Alternative 3'!$K66/'Alternative 3'!$L66</f>
        <v>#VALUE!</v>
      </c>
      <c r="BW65" s="105" t="e">
        <f>BU65/'Alternative 3'!$M66</f>
        <v>#VALUE!</v>
      </c>
      <c r="BX65" s="105" t="e">
        <f t="shared" si="11"/>
        <v>#VALUE!</v>
      </c>
      <c r="BZ65" s="104">
        <v>150</v>
      </c>
      <c r="CA65" s="104">
        <v>-150</v>
      </c>
    </row>
    <row r="66" spans="1:79" ht="15" customHeight="1" x14ac:dyDescent="0.25">
      <c r="A66" s="18" t="str">
        <f>IF('Alternative 3'!F67&gt;0,'Alternative 3'!F67,"x")</f>
        <v>x</v>
      </c>
      <c r="B66" s="18" t="e">
        <f t="shared" si="17"/>
        <v>#VALUE!</v>
      </c>
      <c r="C66" s="18">
        <f t="shared" si="12"/>
        <v>0</v>
      </c>
      <c r="D66" s="18" t="str">
        <f t="shared" si="13"/>
        <v>x</v>
      </c>
      <c r="E66" s="101">
        <f>IF($A66&lt;='Alternative 3'!$B$27, IF($A66='Alternative 3'!$B$27,0,E67+1),0)</f>
        <v>0</v>
      </c>
      <c r="F66" s="101">
        <f>IF($A66&lt;=('Alternative 3'!$B$28), IF($A66=ROUNDDOWN('Alternative 3'!$B$28,0),0,F67+1),0)</f>
        <v>0</v>
      </c>
      <c r="G66" s="101">
        <f>IF($A66&lt;=('Alternative 3'!$B$29), IF($A66=ROUNDDOWN('Alternative 3'!$B$29,0),0,G67+1),0)</f>
        <v>0</v>
      </c>
      <c r="H66" s="18" t="e">
        <f t="shared" si="14"/>
        <v>#VALUE!</v>
      </c>
      <c r="J66" s="104">
        <f t="shared" si="15"/>
        <v>63</v>
      </c>
      <c r="K66" s="104">
        <f t="shared" si="16"/>
        <v>1.0995574287564276</v>
      </c>
      <c r="L66" s="105">
        <f>'Alternative 3'!$B$27*SIN(K66)+'Alternative 3'!$B$28*SIN(K66)+'Alternative 3'!$B$29*SIN(K66)</f>
        <v>59.688527055378756</v>
      </c>
      <c r="M66" s="104">
        <f>(('Alternative 3'!$B$27)*(((('Alternative 3'!$B$28-'Alternative 3'!$B$27)/2)+'Alternative 3'!$B$27)*'Alternative 3'!$B$39)*COS('Alternative 3-Tilt Up (3pt)'!K66))+(('Alternative 3'!$B$28)*((('Alternative 3'!$B$28-'Alternative 3'!$B$27)/2)+(('Alternative 3'!$B$29-'Alternative 3'!$B$28)/2))*('Alternative 3'!$B$39)*COS('Alternative 3-Tilt Up (3pt)'!K66))+(('Alternative 3'!$B$29)*((('Alternative 3'!$B$12-'Alternative 3'!$B$29+(('Alternative 3'!$B$29-'Alternative 3'!$B$28)/2)*('Alternative 3'!$B$39)*COS('Alternative 3-Tilt Up (3pt)'!K66)))))</f>
        <v>1020466.1626620985</v>
      </c>
      <c r="N66" s="104">
        <f t="shared" si="0"/>
        <v>51289.563321707421</v>
      </c>
      <c r="O66" s="104">
        <f>(((('Alternative 3'!$B$28-'Alternative 3'!$B$27)/2)+'Alternative 3'!$B$27)*('Alternative 3'!$B$39)*COS('Alternative 3-Tilt Up (3pt)'!K66))+(((('Alternative 3'!$B$28-'Alternative 3'!$B$27)/2)+(('Alternative 3'!$B$29-'Alternative 3'!$B$28)/2))*('Alternative 3'!$B$39)*COS('Alternative 3-Tilt Up (3pt)'!K66))+(((('Alternative 3'!$B$12-'Alternative 3'!$B$29)+(('Alternative 3'!$B$29-'Alternative 3'!$B$28)/2))*('Alternative 3'!$B$39)*COS('Alternative 3-Tilt Up (3pt)'!K66)))</f>
        <v>66289.403890592192</v>
      </c>
      <c r="P66" s="104">
        <f t="shared" si="1"/>
        <v>23284.974483845082</v>
      </c>
      <c r="R66" s="105" t="e">
        <f>'Alternative 3'!$B$39*$B66*$C66*COS($K$5)-($N$5/3)*$E66*SIN($K$5)-($N$5/3)*$F66*SIN($K$5)-($N$5/3)*$G66*SIN($K$5)</f>
        <v>#VALUE!</v>
      </c>
      <c r="S66" s="106" t="e">
        <f>IF(($A66&lt;'Alternative 3'!$B$27),(($H66*'Alternative 3'!$B$39)+(3*($N$5/3)*COS($K$5))),IF(($A66&lt;'Alternative 3'!$B$28),(($H66*'Alternative 3'!$B$39)+(2*(($N$5/3)*COS($K$5)))),IF(($A66&lt;'Alternative 3'!$B$29),(($H$3*'Alternative 3'!$B$39+(($N$5/3)*COS($K$5)))),($H66*'Alternative 3'!$B$39))))</f>
        <v>#VALUE!</v>
      </c>
      <c r="T66" s="105" t="e">
        <f>R66*'Alternative 3'!$K67/'Alternative 3'!$L67</f>
        <v>#VALUE!</v>
      </c>
      <c r="U66" s="105" t="e">
        <f>S66/'Alternative 3'!$M67</f>
        <v>#VALUE!</v>
      </c>
      <c r="V66" s="105" t="e">
        <f t="shared" si="2"/>
        <v>#VALUE!</v>
      </c>
      <c r="X66" s="105" t="e">
        <f>'Alternative 3'!$B$39*$B66*$C66*COS($K$13)-($N$12/3)*$E66*SIN($K$13)-($N$12/3)*$F66*SIN($K$13)-($N$12/3)*$G66*SIN($K$13)</f>
        <v>#VALUE!</v>
      </c>
      <c r="Y66" s="106" t="e">
        <f>IF(($A66&lt;'Alternative 3'!$B$27),(($H66*'Alternative 3'!$B$39)+(3*($N$12/3)*COS($K$13))),IF(($A66&lt;'Alternative 3'!$B$28),(($H66*'Alternative 3'!$B$39)+(2*(($N$12/3)*COS($K$13)))),IF(($A66&lt;'Alternative 3'!$B$29),(($H$3*'Alternative 3'!$B$39+(($N$12/3)*COS($K$13)))),($H66*'Alternative 3'!$B$39))))</f>
        <v>#VALUE!</v>
      </c>
      <c r="Z66" s="105" t="e">
        <f>X66*'Alternative 3'!$K67/'Alternative 3'!$L67</f>
        <v>#VALUE!</v>
      </c>
      <c r="AA66" s="105" t="e">
        <f>Y66/'Alternative 3'!$M67</f>
        <v>#VALUE!</v>
      </c>
      <c r="AB66" s="105" t="e">
        <f t="shared" si="3"/>
        <v>#VALUE!</v>
      </c>
      <c r="AD66" s="105" t="e">
        <f>'Alternative 3'!$B$39*$B66*$C66*COS($K$23)-($N$22/3)*$E66*SIN($K$23)-($N$22/3)*$F66*SIN($K$23)-($N$22/3)*$G66*SIN($K$23)</f>
        <v>#VALUE!</v>
      </c>
      <c r="AE66" s="106" t="e">
        <f>IF(($A66&lt;'Alternative 3'!$B$27),(($H66*'Alternative 3'!$B$39)+(3*($N$22/3)*COS($K$23))),IF(($A66&lt;'Alternative 3'!$B$28),(($H66*'Alternative 3'!$B$39)+(2*(($N$22/3)*COS($K$23)))),IF(($A66&lt;'Alternative 3'!$B$29),(($H$3*'Alternative 3'!$B$39+(($N$22/3)*COS($K$23)))),($H66*'Alternative 3'!$B$39))))</f>
        <v>#VALUE!</v>
      </c>
      <c r="AF66" s="105" t="e">
        <f>AD66*'Alternative 3'!$K67/'Alternative 3'!$L67</f>
        <v>#VALUE!</v>
      </c>
      <c r="AG66" s="105" t="e">
        <f>AE66/'Alternative 3'!$M67</f>
        <v>#VALUE!</v>
      </c>
      <c r="AH66" s="105" t="e">
        <f t="shared" si="4"/>
        <v>#VALUE!</v>
      </c>
      <c r="AJ66" s="105" t="e">
        <f>'Alternative 3'!$B$39*$B66*$C66*COS($K$33)-($N$32/3)*$E66*SIN($K$33)-($N$32/3)*$F66*SIN($K$33)-($N$32/3)*$G66*SIN($K$33)</f>
        <v>#VALUE!</v>
      </c>
      <c r="AK66" s="106" t="e">
        <f>IF(($A66&lt;'Alternative 3'!$B$27),(($H66*'Alternative 3'!$B$39)+(3*($N$32/3)*COS($K$33))),IF(($A66&lt;'Alternative 3'!$B$28),(($H66*'Alternative 3'!$B$39)+(2*(($N$32/3)*COS($K$33)))),IF(($A66&lt;'Alternative 3'!$B$29),(($H$3*'Alternative 3'!$B$39+(($N$32/3)*COS($K$33)))),($H66*'Alternative 3'!$B$39))))</f>
        <v>#VALUE!</v>
      </c>
      <c r="AL66" s="105" t="e">
        <f>AJ66*'Alternative 3'!$K67/'Alternative 3'!$L67</f>
        <v>#VALUE!</v>
      </c>
      <c r="AM66" s="105" t="e">
        <f>AK66/'Alternative 3'!$M67</f>
        <v>#VALUE!</v>
      </c>
      <c r="AN66" s="105" t="e">
        <f t="shared" si="5"/>
        <v>#VALUE!</v>
      </c>
      <c r="AP66" s="105" t="e">
        <f>'Alternative 3'!$B$39*$B66*$C66*COS($K$43)-($N$42/3)*$E66*SIN($K$43)-($N$42/3)*$F66*SIN($K$43)-($N$42/3)*$G66*SIN($K$43)</f>
        <v>#VALUE!</v>
      </c>
      <c r="AQ66" s="106" t="e">
        <f>IF(($A66&lt;'Alternative 3'!$B$27),(($H66*'Alternative 3'!$B$39)+(3*($N$42/3)*COS($K$43))),IF(($A66&lt;'Alternative 3'!$B$28),(($H66*'Alternative 3'!$B$39)+(2*(($N$42/3)*COS($K$43)))),IF(($A66&lt;'Alternative 3'!$B$29),(($H$3*'Alternative 3'!$B$39+(($N$42/3)*COS($K$43)))),($H66*'Alternative 3'!$B$39))))</f>
        <v>#VALUE!</v>
      </c>
      <c r="AR66" s="105" t="e">
        <f>AP66*'Alternative 3'!$K67/'Alternative 3'!$L67</f>
        <v>#VALUE!</v>
      </c>
      <c r="AS66" s="105" t="e">
        <f>AQ66/'Alternative 3'!$M67</f>
        <v>#VALUE!</v>
      </c>
      <c r="AT66" s="105" t="e">
        <f t="shared" si="6"/>
        <v>#VALUE!</v>
      </c>
      <c r="AV66" s="105" t="e">
        <f>'Alternative 3'!$B$39*$B66*$C66*COS($K$53)-($N$52/3)*$E66*SIN($K$53)-($N$52/3)*$F66*SIN($K$53)-($N$52/3)*$G66*SIN($K$53)</f>
        <v>#VALUE!</v>
      </c>
      <c r="AW66" s="106" t="e">
        <f>IF(($A66&lt;'Alternative 3'!$B$27),(($H66*'Alternative 3'!$B$39)+(3*($N$52/3)*COS($K$53))),IF(($A66&lt;'Alternative 3'!$B$28),(($H66*'Alternative 3'!$B$39)+(2*(($N$52/3)*COS($K$53)))),IF(($A66&lt;'Alternative 3'!$B$29),(($H$3*'Alternative 3'!$B$39+(($N$52/3)*COS($K$53)))),($H66*'Alternative 3'!$B$39))))</f>
        <v>#VALUE!</v>
      </c>
      <c r="AX66" s="105" t="e">
        <f>AV66*'Alternative 3'!$K67/'Alternative 3'!$L67</f>
        <v>#VALUE!</v>
      </c>
      <c r="AY66" s="105" t="e">
        <f>AW66/'Alternative 3'!$M67</f>
        <v>#VALUE!</v>
      </c>
      <c r="AZ66" s="105" t="e">
        <f t="shared" si="7"/>
        <v>#VALUE!</v>
      </c>
      <c r="BB66" s="105" t="e">
        <f>'Alternative 3'!$B$39*$B66*$C66*COS($K$63)-($N$62/3)*$E66*SIN($K$63)-($N$62/3)*$F66*SIN($K$63)-($N$62/3)*$G66*SIN($K$63)</f>
        <v>#VALUE!</v>
      </c>
      <c r="BC66" s="106" t="e">
        <f>IF(($A66&lt;'Alternative 3'!$B$27),(($H66*'Alternative 3'!$B$39)+(3*($N$62/3)*COS($K$63))),IF(($A66&lt;'Alternative 3'!$B$28),(($H66*'Alternative 3'!$B$39)+(2*(($N$62/3)*COS($K$63)))),IF(($A66&lt;'Alternative 3'!$B$29),(($H$3*'Alternative 3'!$B$39+(($N$62/3)*COS($K$63)))),($H66*'Alternative 3'!$B$39))))</f>
        <v>#VALUE!</v>
      </c>
      <c r="BD66" s="105" t="e">
        <f>BB66*'Alternative 3'!$K67/'Alternative 3'!$L67</f>
        <v>#VALUE!</v>
      </c>
      <c r="BE66" s="105" t="e">
        <f>BC66/'Alternative 3'!$M67</f>
        <v>#VALUE!</v>
      </c>
      <c r="BF66" s="105" t="e">
        <f t="shared" si="8"/>
        <v>#VALUE!</v>
      </c>
      <c r="BH66" s="105" t="e">
        <f>'Alternative 3'!$B$39*$B66*$C66*COS($K$73)-($N$72/3)*$E66*SIN($K$73)-($N$72/3)*$F66*SIN($K$73)-($N$72/3)*$G66*SIN($K$73)</f>
        <v>#VALUE!</v>
      </c>
      <c r="BI66" s="106" t="e">
        <f>IF(($A66&lt;'Alternative 3'!$B$27),(($H66*'Alternative 3'!$B$39)+(3*($N$72/3)*COS($K$73))),IF(($A66&lt;'Alternative 3'!$B$28),(($H66*'Alternative 3'!$B$39)+(2*(($N$72/3)*COS($K$73)))),IF(($A66&lt;'Alternative 3'!$B$29),(($H$3*'Alternative 3'!$B$39+(($N$72/3)*COS($K$73)))),($H66*'Alternative 3'!$B$39))))</f>
        <v>#VALUE!</v>
      </c>
      <c r="BJ66" s="105" t="e">
        <f>BH66*'Alternative 3'!$K67/'Alternative 3'!$L67</f>
        <v>#VALUE!</v>
      </c>
      <c r="BK66" s="105" t="e">
        <f>BI66/'Alternative 3'!$M67</f>
        <v>#VALUE!</v>
      </c>
      <c r="BL66" s="105" t="e">
        <f t="shared" si="9"/>
        <v>#VALUE!</v>
      </c>
      <c r="BN66" s="105" t="e">
        <f>'Alternative 3'!$B$39*$B66*$C66*COS($K$83)-($N$82/3)*$E66*SIN($K$83)-($N$82/3)*$F66*SIN($K$83)-($N$82/3)*$G66*SIN($K$83)</f>
        <v>#VALUE!</v>
      </c>
      <c r="BO66" s="106" t="e">
        <f>IF(($A66&lt;'Alternative 3'!$B$27),(($H66*'Alternative 3'!$B$39)+(3*($N$82/3)*COS($K$83))),IF(($A66&lt;'Alternative 3'!$B$28),(($H66*'Alternative 3'!$B$39)+(2*(($N$82/3)*COS($K$83)))),IF(($A66&lt;'Alternative 3'!$B$29),(($H$3*'Alternative 3'!$B$39+(($N$82/3)*COS($K$83)))),($H66*'Alternative 3'!$B$39))))</f>
        <v>#VALUE!</v>
      </c>
      <c r="BP66" s="105" t="e">
        <f>BN66*'Alternative 3'!$K67/'Alternative 3'!$L67</f>
        <v>#VALUE!</v>
      </c>
      <c r="BQ66" s="105" t="e">
        <f>BO66/'Alternative 3'!$M67</f>
        <v>#VALUE!</v>
      </c>
      <c r="BR66" s="105" t="e">
        <f t="shared" si="10"/>
        <v>#VALUE!</v>
      </c>
      <c r="BT66" s="105" t="e">
        <f>'Alternative 3'!$B$39*$B66*$C66*COS($K$93)-($K$92/3)*$E66*SIN($K$93)-($K$92/3)*$F66*SIN($K$93)-($K$92/3)*$G66*SIN($K$93)</f>
        <v>#VALUE!</v>
      </c>
      <c r="BU66" s="106" t="e">
        <f>IF(($A66&lt;'Alternative 3'!$B$27),(($H66*'Alternative 3'!$B$39)+(3*($N$92/3)*COS($K$93))),IF(($A66&lt;'Alternative 3'!$B$28),(($H66*'Alternative 3'!$B$39)+(2*(($N$92/3)*COS($K$93)))),IF(($A66&lt;'Alternative 3'!$B$29),(($H$3*'Alternative 3'!$B$39+(($N$92/3)*COS($K$93)))),($H66*'Alternative 3'!$B$39))))</f>
        <v>#VALUE!</v>
      </c>
      <c r="BV66" s="105" t="e">
        <f>BT66*'Alternative 3'!$K67/'Alternative 3'!$L67</f>
        <v>#VALUE!</v>
      </c>
      <c r="BW66" s="105" t="e">
        <f>BU66/'Alternative 3'!$M67</f>
        <v>#VALUE!</v>
      </c>
      <c r="BX66" s="105" t="e">
        <f t="shared" si="11"/>
        <v>#VALUE!</v>
      </c>
      <c r="BZ66" s="104">
        <v>150</v>
      </c>
      <c r="CA66" s="104">
        <v>-150</v>
      </c>
    </row>
    <row r="67" spans="1:79" ht="15" customHeight="1" x14ac:dyDescent="0.25">
      <c r="A67" s="18" t="str">
        <f>IF('Alternative 3'!F68&gt;0,'Alternative 3'!F68,"x")</f>
        <v>x</v>
      </c>
      <c r="B67" s="18" t="e">
        <f t="shared" si="17"/>
        <v>#VALUE!</v>
      </c>
      <c r="C67" s="18">
        <f t="shared" si="12"/>
        <v>0</v>
      </c>
      <c r="D67" s="18" t="str">
        <f t="shared" si="13"/>
        <v>x</v>
      </c>
      <c r="E67" s="101">
        <f>IF($A67&lt;='Alternative 3'!$B$27, IF($A67='Alternative 3'!$B$27,0,E68+1),0)</f>
        <v>0</v>
      </c>
      <c r="F67" s="101">
        <f>IF($A67&lt;=('Alternative 3'!$B$28), IF($A67=ROUNDDOWN('Alternative 3'!$B$28,0),0,F68+1),0)</f>
        <v>0</v>
      </c>
      <c r="G67" s="101">
        <f>IF($A67&lt;=('Alternative 3'!$B$29), IF($A67=ROUNDDOWN('Alternative 3'!$B$29,0),0,G68+1),0)</f>
        <v>0</v>
      </c>
      <c r="H67" s="18" t="e">
        <f t="shared" si="14"/>
        <v>#VALUE!</v>
      </c>
      <c r="J67" s="104">
        <f t="shared" si="15"/>
        <v>64</v>
      </c>
      <c r="K67" s="104">
        <f t="shared" si="16"/>
        <v>1.1170107212763709</v>
      </c>
      <c r="L67" s="105">
        <f>'Alternative 3'!$B$27*SIN(K67)+'Alternative 3'!$B$28*SIN(K67)+'Alternative 3'!$B$29*SIN(K67)</f>
        <v>60.210213161581194</v>
      </c>
      <c r="M67" s="104">
        <f>(('Alternative 3'!$B$27)*(((('Alternative 3'!$B$28-'Alternative 3'!$B$27)/2)+'Alternative 3'!$B$27)*'Alternative 3'!$B$39)*COS('Alternative 3-Tilt Up (3pt)'!K67))+(('Alternative 3'!$B$28)*((('Alternative 3'!$B$28-'Alternative 3'!$B$27)/2)+(('Alternative 3'!$B$29-'Alternative 3'!$B$28)/2))*('Alternative 3'!$B$39)*COS('Alternative 3-Tilt Up (3pt)'!K67))+(('Alternative 3'!$B$29)*((('Alternative 3'!$B$12-'Alternative 3'!$B$29+(('Alternative 3'!$B$29-'Alternative 3'!$B$28)/2)*('Alternative 3'!$B$39)*COS('Alternative 3-Tilt Up (3pt)'!K67)))))</f>
        <v>985363.70330971852</v>
      </c>
      <c r="N67" s="104">
        <f t="shared" ref="N67:N93" si="18">M67*3/L67</f>
        <v>49096.174132387423</v>
      </c>
      <c r="O67" s="104">
        <f>(((('Alternative 3'!$B$28-'Alternative 3'!$B$27)/2)+'Alternative 3'!$B$27)*('Alternative 3'!$B$39)*COS('Alternative 3-Tilt Up (3pt)'!K67))+(((('Alternative 3'!$B$28-'Alternative 3'!$B$27)/2)+(('Alternative 3'!$B$29-'Alternative 3'!$B$28)/2))*('Alternative 3'!$B$39)*COS('Alternative 3-Tilt Up (3pt)'!K67))+(((('Alternative 3'!$B$12-'Alternative 3'!$B$29)+(('Alternative 3'!$B$29-'Alternative 3'!$B$28)/2))*('Alternative 3'!$B$39)*COS('Alternative 3-Tilt Up (3pt)'!K67)))</f>
        <v>64008.744720769508</v>
      </c>
      <c r="P67" s="104">
        <f t="shared" ref="P67:P93" si="19">N67*COS(K67)</f>
        <v>21522.346157370914</v>
      </c>
      <c r="R67" s="105" t="e">
        <f>'Alternative 3'!$B$39*$B67*$C67*COS($K$5)-($N$5/3)*$E67*SIN($K$5)-($N$5/3)*$F67*SIN($K$5)-($N$5/3)*$G67*SIN($K$5)</f>
        <v>#VALUE!</v>
      </c>
      <c r="S67" s="106" t="e">
        <f>IF(($A67&lt;'Alternative 3'!$B$27),(($H67*'Alternative 3'!$B$39)+(3*($N$5/3)*COS($K$5))),IF(($A67&lt;'Alternative 3'!$B$28),(($H67*'Alternative 3'!$B$39)+(2*(($N$5/3)*COS($K$5)))),IF(($A67&lt;'Alternative 3'!$B$29),(($H$3*'Alternative 3'!$B$39+(($N$5/3)*COS($K$5)))),($H67*'Alternative 3'!$B$39))))</f>
        <v>#VALUE!</v>
      </c>
      <c r="T67" s="105" t="e">
        <f>R67*'Alternative 3'!$K68/'Alternative 3'!$L68</f>
        <v>#VALUE!</v>
      </c>
      <c r="U67" s="105" t="e">
        <f>S67/'Alternative 3'!$M68</f>
        <v>#VALUE!</v>
      </c>
      <c r="V67" s="105" t="e">
        <f t="shared" ref="V67:V93" si="20">(T67+U67)/1000000</f>
        <v>#VALUE!</v>
      </c>
      <c r="X67" s="105" t="e">
        <f>'Alternative 3'!$B$39*$B67*$C67*COS($K$13)-($N$12/3)*$E67*SIN($K$13)-($N$12/3)*$F67*SIN($K$13)-($N$12/3)*$G67*SIN($K$13)</f>
        <v>#VALUE!</v>
      </c>
      <c r="Y67" s="106" t="e">
        <f>IF(($A67&lt;'Alternative 3'!$B$27),(($H67*'Alternative 3'!$B$39)+(3*($N$12/3)*COS($K$13))),IF(($A67&lt;'Alternative 3'!$B$28),(($H67*'Alternative 3'!$B$39)+(2*(($N$12/3)*COS($K$13)))),IF(($A67&lt;'Alternative 3'!$B$29),(($H$3*'Alternative 3'!$B$39+(($N$12/3)*COS($K$13)))),($H67*'Alternative 3'!$B$39))))</f>
        <v>#VALUE!</v>
      </c>
      <c r="Z67" s="105" t="e">
        <f>X67*'Alternative 3'!$K68/'Alternative 3'!$L68</f>
        <v>#VALUE!</v>
      </c>
      <c r="AA67" s="105" t="e">
        <f>Y67/'Alternative 3'!$M68</f>
        <v>#VALUE!</v>
      </c>
      <c r="AB67" s="105" t="e">
        <f t="shared" ref="AB67:AB93" si="21">(Z67+AA67)/1000000</f>
        <v>#VALUE!</v>
      </c>
      <c r="AD67" s="105" t="e">
        <f>'Alternative 3'!$B$39*$B67*$C67*COS($K$23)-($N$22/3)*$E67*SIN($K$23)-($N$22/3)*$F67*SIN($K$23)-($N$22/3)*$G67*SIN($K$23)</f>
        <v>#VALUE!</v>
      </c>
      <c r="AE67" s="106" t="e">
        <f>IF(($A67&lt;'Alternative 3'!$B$27),(($H67*'Alternative 3'!$B$39)+(3*($N$22/3)*COS($K$23))),IF(($A67&lt;'Alternative 3'!$B$28),(($H67*'Alternative 3'!$B$39)+(2*(($N$22/3)*COS($K$23)))),IF(($A67&lt;'Alternative 3'!$B$29),(($H$3*'Alternative 3'!$B$39+(($N$22/3)*COS($K$23)))),($H67*'Alternative 3'!$B$39))))</f>
        <v>#VALUE!</v>
      </c>
      <c r="AF67" s="105" t="e">
        <f>AD67*'Alternative 3'!$K68/'Alternative 3'!$L68</f>
        <v>#VALUE!</v>
      </c>
      <c r="AG67" s="105" t="e">
        <f>AE67/'Alternative 3'!$M68</f>
        <v>#VALUE!</v>
      </c>
      <c r="AH67" s="105" t="e">
        <f t="shared" ref="AH67:AH93" si="22">(AF67+AG67)/1000000</f>
        <v>#VALUE!</v>
      </c>
      <c r="AJ67" s="105" t="e">
        <f>'Alternative 3'!$B$39*$B67*$C67*COS($K$33)-($N$32/3)*$E67*SIN($K$33)-($N$32/3)*$F67*SIN($K$33)-($N$32/3)*$G67*SIN($K$33)</f>
        <v>#VALUE!</v>
      </c>
      <c r="AK67" s="106" t="e">
        <f>IF(($A67&lt;'Alternative 3'!$B$27),(($H67*'Alternative 3'!$B$39)+(3*($N$32/3)*COS($K$33))),IF(($A67&lt;'Alternative 3'!$B$28),(($H67*'Alternative 3'!$B$39)+(2*(($N$32/3)*COS($K$33)))),IF(($A67&lt;'Alternative 3'!$B$29),(($H$3*'Alternative 3'!$B$39+(($N$32/3)*COS($K$33)))),($H67*'Alternative 3'!$B$39))))</f>
        <v>#VALUE!</v>
      </c>
      <c r="AL67" s="105" t="e">
        <f>AJ67*'Alternative 3'!$K68/'Alternative 3'!$L68</f>
        <v>#VALUE!</v>
      </c>
      <c r="AM67" s="105" t="e">
        <f>AK67/'Alternative 3'!$M68</f>
        <v>#VALUE!</v>
      </c>
      <c r="AN67" s="105" t="e">
        <f t="shared" ref="AN67:AN93" si="23">(AL67+AM67)/1000000</f>
        <v>#VALUE!</v>
      </c>
      <c r="AP67" s="105" t="e">
        <f>'Alternative 3'!$B$39*$B67*$C67*COS($K$43)-($N$42/3)*$E67*SIN($K$43)-($N$42/3)*$F67*SIN($K$43)-($N$42/3)*$G67*SIN($K$43)</f>
        <v>#VALUE!</v>
      </c>
      <c r="AQ67" s="106" t="e">
        <f>IF(($A67&lt;'Alternative 3'!$B$27),(($H67*'Alternative 3'!$B$39)+(3*($N$42/3)*COS($K$43))),IF(($A67&lt;'Alternative 3'!$B$28),(($H67*'Alternative 3'!$B$39)+(2*(($N$42/3)*COS($K$43)))),IF(($A67&lt;'Alternative 3'!$B$29),(($H$3*'Alternative 3'!$B$39+(($N$42/3)*COS($K$43)))),($H67*'Alternative 3'!$B$39))))</f>
        <v>#VALUE!</v>
      </c>
      <c r="AR67" s="105" t="e">
        <f>AP67*'Alternative 3'!$K68/'Alternative 3'!$L68</f>
        <v>#VALUE!</v>
      </c>
      <c r="AS67" s="105" t="e">
        <f>AQ67/'Alternative 3'!$M68</f>
        <v>#VALUE!</v>
      </c>
      <c r="AT67" s="105" t="e">
        <f t="shared" ref="AT67:AT93" si="24">(AR67+AS67)/1000000</f>
        <v>#VALUE!</v>
      </c>
      <c r="AV67" s="105" t="e">
        <f>'Alternative 3'!$B$39*$B67*$C67*COS($K$53)-($N$52/3)*$E67*SIN($K$53)-($N$52/3)*$F67*SIN($K$53)-($N$52/3)*$G67*SIN($K$53)</f>
        <v>#VALUE!</v>
      </c>
      <c r="AW67" s="106" t="e">
        <f>IF(($A67&lt;'Alternative 3'!$B$27),(($H67*'Alternative 3'!$B$39)+(3*($N$52/3)*COS($K$53))),IF(($A67&lt;'Alternative 3'!$B$28),(($H67*'Alternative 3'!$B$39)+(2*(($N$52/3)*COS($K$53)))),IF(($A67&lt;'Alternative 3'!$B$29),(($H$3*'Alternative 3'!$B$39+(($N$52/3)*COS($K$53)))),($H67*'Alternative 3'!$B$39))))</f>
        <v>#VALUE!</v>
      </c>
      <c r="AX67" s="105" t="e">
        <f>AV67*'Alternative 3'!$K68/'Alternative 3'!$L68</f>
        <v>#VALUE!</v>
      </c>
      <c r="AY67" s="105" t="e">
        <f>AW67/'Alternative 3'!$M68</f>
        <v>#VALUE!</v>
      </c>
      <c r="AZ67" s="105" t="e">
        <f t="shared" ref="AZ67:AZ93" si="25">(AX67+AY67)/1000000</f>
        <v>#VALUE!</v>
      </c>
      <c r="BB67" s="105" t="e">
        <f>'Alternative 3'!$B$39*$B67*$C67*COS($K$63)-($N$62/3)*$E67*SIN($K$63)-($N$62/3)*$F67*SIN($K$63)-($N$62/3)*$G67*SIN($K$63)</f>
        <v>#VALUE!</v>
      </c>
      <c r="BC67" s="106" t="e">
        <f>IF(($A67&lt;'Alternative 3'!$B$27),(($H67*'Alternative 3'!$B$39)+(3*($N$62/3)*COS($K$63))),IF(($A67&lt;'Alternative 3'!$B$28),(($H67*'Alternative 3'!$B$39)+(2*(($N$62/3)*COS($K$63)))),IF(($A67&lt;'Alternative 3'!$B$29),(($H$3*'Alternative 3'!$B$39+(($N$62/3)*COS($K$63)))),($H67*'Alternative 3'!$B$39))))</f>
        <v>#VALUE!</v>
      </c>
      <c r="BD67" s="105" t="e">
        <f>BB67*'Alternative 3'!$K68/'Alternative 3'!$L68</f>
        <v>#VALUE!</v>
      </c>
      <c r="BE67" s="105" t="e">
        <f>BC67/'Alternative 3'!$M68</f>
        <v>#VALUE!</v>
      </c>
      <c r="BF67" s="105" t="e">
        <f t="shared" ref="BF67:BF93" si="26">(BD67+BE67)/1000000</f>
        <v>#VALUE!</v>
      </c>
      <c r="BH67" s="105" t="e">
        <f>'Alternative 3'!$B$39*$B67*$C67*COS($K$73)-($N$72/3)*$E67*SIN($K$73)-($N$72/3)*$F67*SIN($K$73)-($N$72/3)*$G67*SIN($K$73)</f>
        <v>#VALUE!</v>
      </c>
      <c r="BI67" s="106" t="e">
        <f>IF(($A67&lt;'Alternative 3'!$B$27),(($H67*'Alternative 3'!$B$39)+(3*($N$72/3)*COS($K$73))),IF(($A67&lt;'Alternative 3'!$B$28),(($H67*'Alternative 3'!$B$39)+(2*(($N$72/3)*COS($K$73)))),IF(($A67&lt;'Alternative 3'!$B$29),(($H$3*'Alternative 3'!$B$39+(($N$72/3)*COS($K$73)))),($H67*'Alternative 3'!$B$39))))</f>
        <v>#VALUE!</v>
      </c>
      <c r="BJ67" s="105" t="e">
        <f>BH67*'Alternative 3'!$K68/'Alternative 3'!$L68</f>
        <v>#VALUE!</v>
      </c>
      <c r="BK67" s="105" t="e">
        <f>BI67/'Alternative 3'!$M68</f>
        <v>#VALUE!</v>
      </c>
      <c r="BL67" s="105" t="e">
        <f t="shared" ref="BL67:BL93" si="27">(BJ67+BK67)/1000000</f>
        <v>#VALUE!</v>
      </c>
      <c r="BN67" s="105" t="e">
        <f>'Alternative 3'!$B$39*$B67*$C67*COS($K$83)-($N$82/3)*$E67*SIN($K$83)-($N$82/3)*$F67*SIN($K$83)-($N$82/3)*$G67*SIN($K$83)</f>
        <v>#VALUE!</v>
      </c>
      <c r="BO67" s="106" t="e">
        <f>IF(($A67&lt;'Alternative 3'!$B$27),(($H67*'Alternative 3'!$B$39)+(3*($N$82/3)*COS($K$83))),IF(($A67&lt;'Alternative 3'!$B$28),(($H67*'Alternative 3'!$B$39)+(2*(($N$82/3)*COS($K$83)))),IF(($A67&lt;'Alternative 3'!$B$29),(($H$3*'Alternative 3'!$B$39+(($N$82/3)*COS($K$83)))),($H67*'Alternative 3'!$B$39))))</f>
        <v>#VALUE!</v>
      </c>
      <c r="BP67" s="105" t="e">
        <f>BN67*'Alternative 3'!$K68/'Alternative 3'!$L68</f>
        <v>#VALUE!</v>
      </c>
      <c r="BQ67" s="105" t="e">
        <f>BO67/'Alternative 3'!$M68</f>
        <v>#VALUE!</v>
      </c>
      <c r="BR67" s="105" t="e">
        <f t="shared" ref="BR67:BR93" si="28">(BP67+BQ67)/1000000</f>
        <v>#VALUE!</v>
      </c>
      <c r="BT67" s="105" t="e">
        <f>'Alternative 3'!$B$39*$B67*$C67*COS($K$93)-($K$92/3)*$E67*SIN($K$93)-($K$92/3)*$F67*SIN($K$93)-($K$92/3)*$G67*SIN($K$93)</f>
        <v>#VALUE!</v>
      </c>
      <c r="BU67" s="106" t="e">
        <f>IF(($A67&lt;'Alternative 3'!$B$27),(($H67*'Alternative 3'!$B$39)+(3*($N$92/3)*COS($K$93))),IF(($A67&lt;'Alternative 3'!$B$28),(($H67*'Alternative 3'!$B$39)+(2*(($N$92/3)*COS($K$93)))),IF(($A67&lt;'Alternative 3'!$B$29),(($H$3*'Alternative 3'!$B$39+(($N$92/3)*COS($K$93)))),($H67*'Alternative 3'!$B$39))))</f>
        <v>#VALUE!</v>
      </c>
      <c r="BV67" s="105" t="e">
        <f>BT67*'Alternative 3'!$K68/'Alternative 3'!$L68</f>
        <v>#VALUE!</v>
      </c>
      <c r="BW67" s="105" t="e">
        <f>BU67/'Alternative 3'!$M68</f>
        <v>#VALUE!</v>
      </c>
      <c r="BX67" s="105" t="e">
        <f t="shared" ref="BX67:BX93" si="29">(BV67+BW67)/1000000</f>
        <v>#VALUE!</v>
      </c>
      <c r="BZ67" s="104">
        <v>150</v>
      </c>
      <c r="CA67" s="104">
        <v>-150</v>
      </c>
    </row>
    <row r="68" spans="1:79" ht="15" customHeight="1" x14ac:dyDescent="0.25">
      <c r="A68" s="18" t="str">
        <f>IF('Alternative 3'!F69&gt;0,'Alternative 3'!F69,"x")</f>
        <v>x</v>
      </c>
      <c r="B68" s="18" t="e">
        <f t="shared" si="17"/>
        <v>#VALUE!</v>
      </c>
      <c r="C68" s="18">
        <f t="shared" ref="C68:C92" si="30">IF((A68="x"),0,C69+0.5)</f>
        <v>0</v>
      </c>
      <c r="D68" s="18" t="str">
        <f t="shared" ref="D68:D92" si="31">A68</f>
        <v>x</v>
      </c>
      <c r="E68" s="101">
        <f>IF($A68&lt;='Alternative 3'!$B$27, IF($A68='Alternative 3'!$B$27,0,E69+1),0)</f>
        <v>0</v>
      </c>
      <c r="F68" s="101">
        <f>IF($A68&lt;=('Alternative 3'!$B$28), IF($A68=ROUNDDOWN('Alternative 3'!$B$28,0),0,F69+1),0)</f>
        <v>0</v>
      </c>
      <c r="G68" s="101">
        <f>IF($A68&lt;=('Alternative 3'!$B$29), IF($A68=ROUNDDOWN('Alternative 3'!$B$29,0),0,G69+1),0)</f>
        <v>0</v>
      </c>
      <c r="H68" s="18" t="e">
        <f t="shared" ref="H68:H92" si="32">B68</f>
        <v>#VALUE!</v>
      </c>
      <c r="J68" s="104">
        <f t="shared" ref="J68:J93" si="33">J67+1</f>
        <v>65</v>
      </c>
      <c r="K68" s="104">
        <f t="shared" ref="K68:K93" si="34">J68*PI()/180</f>
        <v>1.1344640137963142</v>
      </c>
      <c r="L68" s="105">
        <f>'Alternative 3'!$B$27*SIN(K68)+'Alternative 3'!$B$28*SIN(K68)+'Alternative 3'!$B$29*SIN(K68)</f>
        <v>60.713558653585174</v>
      </c>
      <c r="M68" s="104">
        <f>(('Alternative 3'!$B$27)*(((('Alternative 3'!$B$28-'Alternative 3'!$B$27)/2)+'Alternative 3'!$B$27)*'Alternative 3'!$B$39)*COS('Alternative 3-Tilt Up (3pt)'!K68))+(('Alternative 3'!$B$28)*((('Alternative 3'!$B$28-'Alternative 3'!$B$27)/2)+(('Alternative 3'!$B$29-'Alternative 3'!$B$28)/2))*('Alternative 3'!$B$39)*COS('Alternative 3-Tilt Up (3pt)'!K68))+(('Alternative 3'!$B$29)*((('Alternative 3'!$B$12-'Alternative 3'!$B$29+(('Alternative 3'!$B$29-'Alternative 3'!$B$28)/2)*('Alternative 3'!$B$39)*COS('Alternative 3-Tilt Up (3pt)'!K68)))))</f>
        <v>949961.14797679824</v>
      </c>
      <c r="N68" s="104">
        <f t="shared" si="18"/>
        <v>46939.818833401681</v>
      </c>
      <c r="O68" s="104">
        <f>(((('Alternative 3'!$B$28-'Alternative 3'!$B$27)/2)+'Alternative 3'!$B$27)*('Alternative 3'!$B$39)*COS('Alternative 3-Tilt Up (3pt)'!K68))+(((('Alternative 3'!$B$28-'Alternative 3'!$B$27)/2)+(('Alternative 3'!$B$29-'Alternative 3'!$B$28)/2))*('Alternative 3'!$B$39)*COS('Alternative 3-Tilt Up (3pt)'!K68))+(((('Alternative 3'!$B$12-'Alternative 3'!$B$29)+(('Alternative 3'!$B$29-'Alternative 3'!$B$28)/2))*('Alternative 3'!$B$39)*COS('Alternative 3-Tilt Up (3pt)'!K68)))</f>
        <v>61708.587867238246</v>
      </c>
      <c r="P68" s="104">
        <f t="shared" si="19"/>
        <v>19837.624641795566</v>
      </c>
      <c r="R68" s="105" t="e">
        <f>'Alternative 3'!$B$39*$B68*$C68*COS($K$5)-($N$5/3)*$E68*SIN($K$5)-($N$5/3)*$F68*SIN($K$5)-($N$5/3)*$G68*SIN($K$5)</f>
        <v>#VALUE!</v>
      </c>
      <c r="S68" s="106" t="e">
        <f>IF(($A68&lt;'Alternative 3'!$B$27),(($H68*'Alternative 3'!$B$39)+(3*($N$5/3)*COS($K$5))),IF(($A68&lt;'Alternative 3'!$B$28),(($H68*'Alternative 3'!$B$39)+(2*(($N$5/3)*COS($K$5)))),IF(($A68&lt;'Alternative 3'!$B$29),(($H$3*'Alternative 3'!$B$39+(($N$5/3)*COS($K$5)))),($H68*'Alternative 3'!$B$39))))</f>
        <v>#VALUE!</v>
      </c>
      <c r="T68" s="105" t="e">
        <f>R68*'Alternative 3'!$K69/'Alternative 3'!$L69</f>
        <v>#VALUE!</v>
      </c>
      <c r="U68" s="105" t="e">
        <f>S68/'Alternative 3'!$M69</f>
        <v>#VALUE!</v>
      </c>
      <c r="V68" s="105" t="e">
        <f t="shared" si="20"/>
        <v>#VALUE!</v>
      </c>
      <c r="X68" s="105" t="e">
        <f>'Alternative 3'!$B$39*$B68*$C68*COS($K$13)-($N$12/3)*$E68*SIN($K$13)-($N$12/3)*$F68*SIN($K$13)-($N$12/3)*$G68*SIN($K$13)</f>
        <v>#VALUE!</v>
      </c>
      <c r="Y68" s="106" t="e">
        <f>IF(($A68&lt;'Alternative 3'!$B$27),(($H68*'Alternative 3'!$B$39)+(3*($N$12/3)*COS($K$13))),IF(($A68&lt;'Alternative 3'!$B$28),(($H68*'Alternative 3'!$B$39)+(2*(($N$12/3)*COS($K$13)))),IF(($A68&lt;'Alternative 3'!$B$29),(($H$3*'Alternative 3'!$B$39+(($N$12/3)*COS($K$13)))),($H68*'Alternative 3'!$B$39))))</f>
        <v>#VALUE!</v>
      </c>
      <c r="Z68" s="105" t="e">
        <f>X68*'Alternative 3'!$K69/'Alternative 3'!$L69</f>
        <v>#VALUE!</v>
      </c>
      <c r="AA68" s="105" t="e">
        <f>Y68/'Alternative 3'!$M69</f>
        <v>#VALUE!</v>
      </c>
      <c r="AB68" s="105" t="e">
        <f t="shared" si="21"/>
        <v>#VALUE!</v>
      </c>
      <c r="AD68" s="105" t="e">
        <f>'Alternative 3'!$B$39*$B68*$C68*COS($K$23)-($N$22/3)*$E68*SIN($K$23)-($N$22/3)*$F68*SIN($K$23)-($N$22/3)*$G68*SIN($K$23)</f>
        <v>#VALUE!</v>
      </c>
      <c r="AE68" s="106" t="e">
        <f>IF(($A68&lt;'Alternative 3'!$B$27),(($H68*'Alternative 3'!$B$39)+(3*($N$22/3)*COS($K$23))),IF(($A68&lt;'Alternative 3'!$B$28),(($H68*'Alternative 3'!$B$39)+(2*(($N$22/3)*COS($K$23)))),IF(($A68&lt;'Alternative 3'!$B$29),(($H$3*'Alternative 3'!$B$39+(($N$22/3)*COS($K$23)))),($H68*'Alternative 3'!$B$39))))</f>
        <v>#VALUE!</v>
      </c>
      <c r="AF68" s="105" t="e">
        <f>AD68*'Alternative 3'!$K69/'Alternative 3'!$L69</f>
        <v>#VALUE!</v>
      </c>
      <c r="AG68" s="105" t="e">
        <f>AE68/'Alternative 3'!$M69</f>
        <v>#VALUE!</v>
      </c>
      <c r="AH68" s="105" t="e">
        <f t="shared" si="22"/>
        <v>#VALUE!</v>
      </c>
      <c r="AJ68" s="105" t="e">
        <f>'Alternative 3'!$B$39*$B68*$C68*COS($K$33)-($N$32/3)*$E68*SIN($K$33)-($N$32/3)*$F68*SIN($K$33)-($N$32/3)*$G68*SIN($K$33)</f>
        <v>#VALUE!</v>
      </c>
      <c r="AK68" s="106" t="e">
        <f>IF(($A68&lt;'Alternative 3'!$B$27),(($H68*'Alternative 3'!$B$39)+(3*($N$32/3)*COS($K$33))),IF(($A68&lt;'Alternative 3'!$B$28),(($H68*'Alternative 3'!$B$39)+(2*(($N$32/3)*COS($K$33)))),IF(($A68&lt;'Alternative 3'!$B$29),(($H$3*'Alternative 3'!$B$39+(($N$32/3)*COS($K$33)))),($H68*'Alternative 3'!$B$39))))</f>
        <v>#VALUE!</v>
      </c>
      <c r="AL68" s="105" t="e">
        <f>AJ68*'Alternative 3'!$K69/'Alternative 3'!$L69</f>
        <v>#VALUE!</v>
      </c>
      <c r="AM68" s="105" t="e">
        <f>AK68/'Alternative 3'!$M69</f>
        <v>#VALUE!</v>
      </c>
      <c r="AN68" s="105" t="e">
        <f t="shared" si="23"/>
        <v>#VALUE!</v>
      </c>
      <c r="AP68" s="105" t="e">
        <f>'Alternative 3'!$B$39*$B68*$C68*COS($K$43)-($N$42/3)*$E68*SIN($K$43)-($N$42/3)*$F68*SIN($K$43)-($N$42/3)*$G68*SIN($K$43)</f>
        <v>#VALUE!</v>
      </c>
      <c r="AQ68" s="106" t="e">
        <f>IF(($A68&lt;'Alternative 3'!$B$27),(($H68*'Alternative 3'!$B$39)+(3*($N$42/3)*COS($K$43))),IF(($A68&lt;'Alternative 3'!$B$28),(($H68*'Alternative 3'!$B$39)+(2*(($N$42/3)*COS($K$43)))),IF(($A68&lt;'Alternative 3'!$B$29),(($H$3*'Alternative 3'!$B$39+(($N$42/3)*COS($K$43)))),($H68*'Alternative 3'!$B$39))))</f>
        <v>#VALUE!</v>
      </c>
      <c r="AR68" s="105" t="e">
        <f>AP68*'Alternative 3'!$K69/'Alternative 3'!$L69</f>
        <v>#VALUE!</v>
      </c>
      <c r="AS68" s="105" t="e">
        <f>AQ68/'Alternative 3'!$M69</f>
        <v>#VALUE!</v>
      </c>
      <c r="AT68" s="105" t="e">
        <f t="shared" si="24"/>
        <v>#VALUE!</v>
      </c>
      <c r="AV68" s="105" t="e">
        <f>'Alternative 3'!$B$39*$B68*$C68*COS($K$53)-($N$52/3)*$E68*SIN($K$53)-($N$52/3)*$F68*SIN($K$53)-($N$52/3)*$G68*SIN($K$53)</f>
        <v>#VALUE!</v>
      </c>
      <c r="AW68" s="106" t="e">
        <f>IF(($A68&lt;'Alternative 3'!$B$27),(($H68*'Alternative 3'!$B$39)+(3*($N$52/3)*COS($K$53))),IF(($A68&lt;'Alternative 3'!$B$28),(($H68*'Alternative 3'!$B$39)+(2*(($N$52/3)*COS($K$53)))),IF(($A68&lt;'Alternative 3'!$B$29),(($H$3*'Alternative 3'!$B$39+(($N$52/3)*COS($K$53)))),($H68*'Alternative 3'!$B$39))))</f>
        <v>#VALUE!</v>
      </c>
      <c r="AX68" s="105" t="e">
        <f>AV68*'Alternative 3'!$K69/'Alternative 3'!$L69</f>
        <v>#VALUE!</v>
      </c>
      <c r="AY68" s="105" t="e">
        <f>AW68/'Alternative 3'!$M69</f>
        <v>#VALUE!</v>
      </c>
      <c r="AZ68" s="105" t="e">
        <f t="shared" si="25"/>
        <v>#VALUE!</v>
      </c>
      <c r="BB68" s="105" t="e">
        <f>'Alternative 3'!$B$39*$B68*$C68*COS($K$63)-($N$62/3)*$E68*SIN($K$63)-($N$62/3)*$F68*SIN($K$63)-($N$62/3)*$G68*SIN($K$63)</f>
        <v>#VALUE!</v>
      </c>
      <c r="BC68" s="106" t="e">
        <f>IF(($A68&lt;'Alternative 3'!$B$27),(($H68*'Alternative 3'!$B$39)+(3*($N$62/3)*COS($K$63))),IF(($A68&lt;'Alternative 3'!$B$28),(($H68*'Alternative 3'!$B$39)+(2*(($N$62/3)*COS($K$63)))),IF(($A68&lt;'Alternative 3'!$B$29),(($H$3*'Alternative 3'!$B$39+(($N$62/3)*COS($K$63)))),($H68*'Alternative 3'!$B$39))))</f>
        <v>#VALUE!</v>
      </c>
      <c r="BD68" s="105" t="e">
        <f>BB68*'Alternative 3'!$K69/'Alternative 3'!$L69</f>
        <v>#VALUE!</v>
      </c>
      <c r="BE68" s="105" t="e">
        <f>BC68/'Alternative 3'!$M69</f>
        <v>#VALUE!</v>
      </c>
      <c r="BF68" s="105" t="e">
        <f t="shared" si="26"/>
        <v>#VALUE!</v>
      </c>
      <c r="BH68" s="105" t="e">
        <f>'Alternative 3'!$B$39*$B68*$C68*COS($K$73)-($N$72/3)*$E68*SIN($K$73)-($N$72/3)*$F68*SIN($K$73)-($N$72/3)*$G68*SIN($K$73)</f>
        <v>#VALUE!</v>
      </c>
      <c r="BI68" s="106" t="e">
        <f>IF(($A68&lt;'Alternative 3'!$B$27),(($H68*'Alternative 3'!$B$39)+(3*($N$72/3)*COS($K$73))),IF(($A68&lt;'Alternative 3'!$B$28),(($H68*'Alternative 3'!$B$39)+(2*(($N$72/3)*COS($K$73)))),IF(($A68&lt;'Alternative 3'!$B$29),(($H$3*'Alternative 3'!$B$39+(($N$72/3)*COS($K$73)))),($H68*'Alternative 3'!$B$39))))</f>
        <v>#VALUE!</v>
      </c>
      <c r="BJ68" s="105" t="e">
        <f>BH68*'Alternative 3'!$K69/'Alternative 3'!$L69</f>
        <v>#VALUE!</v>
      </c>
      <c r="BK68" s="105" t="e">
        <f>BI68/'Alternative 3'!$M69</f>
        <v>#VALUE!</v>
      </c>
      <c r="BL68" s="105" t="e">
        <f t="shared" si="27"/>
        <v>#VALUE!</v>
      </c>
      <c r="BN68" s="105" t="e">
        <f>'Alternative 3'!$B$39*$B68*$C68*COS($K$83)-($N$82/3)*$E68*SIN($K$83)-($N$82/3)*$F68*SIN($K$83)-($N$82/3)*$G68*SIN($K$83)</f>
        <v>#VALUE!</v>
      </c>
      <c r="BO68" s="106" t="e">
        <f>IF(($A68&lt;'Alternative 3'!$B$27),(($H68*'Alternative 3'!$B$39)+(3*($N$82/3)*COS($K$83))),IF(($A68&lt;'Alternative 3'!$B$28),(($H68*'Alternative 3'!$B$39)+(2*(($N$82/3)*COS($K$83)))),IF(($A68&lt;'Alternative 3'!$B$29),(($H$3*'Alternative 3'!$B$39+(($N$82/3)*COS($K$83)))),($H68*'Alternative 3'!$B$39))))</f>
        <v>#VALUE!</v>
      </c>
      <c r="BP68" s="105" t="e">
        <f>BN68*'Alternative 3'!$K69/'Alternative 3'!$L69</f>
        <v>#VALUE!</v>
      </c>
      <c r="BQ68" s="105" t="e">
        <f>BO68/'Alternative 3'!$M69</f>
        <v>#VALUE!</v>
      </c>
      <c r="BR68" s="105" t="e">
        <f t="shared" si="28"/>
        <v>#VALUE!</v>
      </c>
      <c r="BT68" s="105" t="e">
        <f>'Alternative 3'!$B$39*$B68*$C68*COS($K$93)-($K$92/3)*$E68*SIN($K$93)-($K$92/3)*$F68*SIN($K$93)-($K$92/3)*$G68*SIN($K$93)</f>
        <v>#VALUE!</v>
      </c>
      <c r="BU68" s="106" t="e">
        <f>IF(($A68&lt;'Alternative 3'!$B$27),(($H68*'Alternative 3'!$B$39)+(3*($N$92/3)*COS($K$93))),IF(($A68&lt;'Alternative 3'!$B$28),(($H68*'Alternative 3'!$B$39)+(2*(($N$92/3)*COS($K$93)))),IF(($A68&lt;'Alternative 3'!$B$29),(($H$3*'Alternative 3'!$B$39+(($N$92/3)*COS($K$93)))),($H68*'Alternative 3'!$B$39))))</f>
        <v>#VALUE!</v>
      </c>
      <c r="BV68" s="105" t="e">
        <f>BT68*'Alternative 3'!$K69/'Alternative 3'!$L69</f>
        <v>#VALUE!</v>
      </c>
      <c r="BW68" s="105" t="e">
        <f>BU68/'Alternative 3'!$M69</f>
        <v>#VALUE!</v>
      </c>
      <c r="BX68" s="105" t="e">
        <f t="shared" si="29"/>
        <v>#VALUE!</v>
      </c>
      <c r="BZ68" s="104">
        <v>150</v>
      </c>
      <c r="CA68" s="104">
        <v>-150</v>
      </c>
    </row>
    <row r="69" spans="1:79" ht="15" customHeight="1" x14ac:dyDescent="0.25">
      <c r="A69" s="18" t="str">
        <f>IF('Alternative 3'!F70&gt;0,'Alternative 3'!F70,"x")</f>
        <v>x</v>
      </c>
      <c r="B69" s="18" t="e">
        <f t="shared" ref="B69:B92" si="35">IF(B68-1&gt;0,B68-1,"x")</f>
        <v>#VALUE!</v>
      </c>
      <c r="C69" s="18">
        <f t="shared" si="30"/>
        <v>0</v>
      </c>
      <c r="D69" s="18" t="str">
        <f t="shared" si="31"/>
        <v>x</v>
      </c>
      <c r="E69" s="101">
        <f>IF($A69&lt;='Alternative 3'!$B$27, IF($A69='Alternative 3'!$B$27,0,E70+1),0)</f>
        <v>0</v>
      </c>
      <c r="F69" s="101">
        <f>IF($A69&lt;=('Alternative 3'!$B$28), IF($A69=ROUNDDOWN('Alternative 3'!$B$28,0),0,F70+1),0)</f>
        <v>0</v>
      </c>
      <c r="G69" s="101">
        <f>IF($A69&lt;=('Alternative 3'!$B$29), IF($A69=ROUNDDOWN('Alternative 3'!$B$29,0),0,G70+1),0)</f>
        <v>0</v>
      </c>
      <c r="H69" s="18" t="e">
        <f t="shared" si="32"/>
        <v>#VALUE!</v>
      </c>
      <c r="J69" s="104">
        <f t="shared" si="33"/>
        <v>66</v>
      </c>
      <c r="K69" s="104">
        <f t="shared" si="34"/>
        <v>1.1519173063162575</v>
      </c>
      <c r="L69" s="105">
        <f>'Alternative 3'!$B$27*SIN(K69)+'Alternative 3'!$B$28*SIN(K69)+'Alternative 3'!$B$29*SIN(K69)</f>
        <v>61.198410207477835</v>
      </c>
      <c r="M69" s="104">
        <f>(('Alternative 3'!$B$27)*(((('Alternative 3'!$B$28-'Alternative 3'!$B$27)/2)+'Alternative 3'!$B$27)*'Alternative 3'!$B$39)*COS('Alternative 3-Tilt Up (3pt)'!K69))+(('Alternative 3'!$B$28)*((('Alternative 3'!$B$28-'Alternative 3'!$B$27)/2)+(('Alternative 3'!$B$29-'Alternative 3'!$B$28)/2))*('Alternative 3'!$B$39)*COS('Alternative 3-Tilt Up (3pt)'!K69))+(('Alternative 3'!$B$29)*((('Alternative 3'!$B$12-'Alternative 3'!$B$29+(('Alternative 3'!$B$29-'Alternative 3'!$B$28)/2)*('Alternative 3'!$B$39)*COS('Alternative 3-Tilt Up (3pt)'!K69)))))</f>
        <v>914269.28062464425</v>
      </c>
      <c r="N69" s="104">
        <f t="shared" si="18"/>
        <v>44818.285843948099</v>
      </c>
      <c r="O69" s="104">
        <f>(((('Alternative 3'!$B$28-'Alternative 3'!$B$27)/2)+'Alternative 3'!$B$27)*('Alternative 3'!$B$39)*COS('Alternative 3-Tilt Up (3pt)'!K69))+(((('Alternative 3'!$B$28-'Alternative 3'!$B$27)/2)+(('Alternative 3'!$B$29-'Alternative 3'!$B$28)/2))*('Alternative 3'!$B$39)*COS('Alternative 3-Tilt Up (3pt)'!K69))+(((('Alternative 3'!$B$12-'Alternative 3'!$B$29)+(('Alternative 3'!$B$29-'Alternative 3'!$B$28)/2))*('Alternative 3'!$B$39)*COS('Alternative 3-Tilt Up (3pt)'!K69)))</f>
        <v>59389.633980058112</v>
      </c>
      <c r="P69" s="104">
        <f t="shared" si="19"/>
        <v>18229.239132579107</v>
      </c>
      <c r="R69" s="105" t="e">
        <f>'Alternative 3'!$B$39*$B69*$C69*COS($K$5)-($N$5/3)*$E69*SIN($K$5)-($N$5/3)*$F69*SIN($K$5)-($N$5/3)*$G69*SIN($K$5)</f>
        <v>#VALUE!</v>
      </c>
      <c r="S69" s="106" t="e">
        <f>IF(($A69&lt;'Alternative 3'!$B$27),(($H69*'Alternative 3'!$B$39)+(3*($N$5/3)*COS($K$5))),IF(($A69&lt;'Alternative 3'!$B$28),(($H69*'Alternative 3'!$B$39)+(2*(($N$5/3)*COS($K$5)))),IF(($A69&lt;'Alternative 3'!$B$29),(($H$3*'Alternative 3'!$B$39+(($N$5/3)*COS($K$5)))),($H69*'Alternative 3'!$B$39))))</f>
        <v>#VALUE!</v>
      </c>
      <c r="T69" s="105" t="e">
        <f>R69*'Alternative 3'!$K70/'Alternative 3'!$L70</f>
        <v>#VALUE!</v>
      </c>
      <c r="U69" s="105" t="e">
        <f>S69/'Alternative 3'!$M70</f>
        <v>#VALUE!</v>
      </c>
      <c r="V69" s="105" t="e">
        <f t="shared" si="20"/>
        <v>#VALUE!</v>
      </c>
      <c r="X69" s="105" t="e">
        <f>'Alternative 3'!$B$39*$B69*$C69*COS($K$13)-($N$12/3)*$E69*SIN($K$13)-($N$12/3)*$F69*SIN($K$13)-($N$12/3)*$G69*SIN($K$13)</f>
        <v>#VALUE!</v>
      </c>
      <c r="Y69" s="106" t="e">
        <f>IF(($A69&lt;'Alternative 3'!$B$27),(($H69*'Alternative 3'!$B$39)+(3*($N$12/3)*COS($K$13))),IF(($A69&lt;'Alternative 3'!$B$28),(($H69*'Alternative 3'!$B$39)+(2*(($N$12/3)*COS($K$13)))),IF(($A69&lt;'Alternative 3'!$B$29),(($H$3*'Alternative 3'!$B$39+(($N$12/3)*COS($K$13)))),($H69*'Alternative 3'!$B$39))))</f>
        <v>#VALUE!</v>
      </c>
      <c r="Z69" s="105" t="e">
        <f>X69*'Alternative 3'!$K70/'Alternative 3'!$L70</f>
        <v>#VALUE!</v>
      </c>
      <c r="AA69" s="105" t="e">
        <f>Y69/'Alternative 3'!$M70</f>
        <v>#VALUE!</v>
      </c>
      <c r="AB69" s="105" t="e">
        <f t="shared" si="21"/>
        <v>#VALUE!</v>
      </c>
      <c r="AD69" s="105" t="e">
        <f>'Alternative 3'!$B$39*$B69*$C69*COS($K$23)-($N$22/3)*$E69*SIN($K$23)-($N$22/3)*$F69*SIN($K$23)-($N$22/3)*$G69*SIN($K$23)</f>
        <v>#VALUE!</v>
      </c>
      <c r="AE69" s="106" t="e">
        <f>IF(($A69&lt;'Alternative 3'!$B$27),(($H69*'Alternative 3'!$B$39)+(3*($N$22/3)*COS($K$23))),IF(($A69&lt;'Alternative 3'!$B$28),(($H69*'Alternative 3'!$B$39)+(2*(($N$22/3)*COS($K$23)))),IF(($A69&lt;'Alternative 3'!$B$29),(($H$3*'Alternative 3'!$B$39+(($N$22/3)*COS($K$23)))),($H69*'Alternative 3'!$B$39))))</f>
        <v>#VALUE!</v>
      </c>
      <c r="AF69" s="105" t="e">
        <f>AD69*'Alternative 3'!$K70/'Alternative 3'!$L70</f>
        <v>#VALUE!</v>
      </c>
      <c r="AG69" s="105" t="e">
        <f>AE69/'Alternative 3'!$M70</f>
        <v>#VALUE!</v>
      </c>
      <c r="AH69" s="105" t="e">
        <f t="shared" si="22"/>
        <v>#VALUE!</v>
      </c>
      <c r="AJ69" s="105" t="e">
        <f>'Alternative 3'!$B$39*$B69*$C69*COS($K$33)-($N$32/3)*$E69*SIN($K$33)-($N$32/3)*$F69*SIN($K$33)-($N$32/3)*$G69*SIN($K$33)</f>
        <v>#VALUE!</v>
      </c>
      <c r="AK69" s="106" t="e">
        <f>IF(($A69&lt;'Alternative 3'!$B$27),(($H69*'Alternative 3'!$B$39)+(3*($N$32/3)*COS($K$33))),IF(($A69&lt;'Alternative 3'!$B$28),(($H69*'Alternative 3'!$B$39)+(2*(($N$32/3)*COS($K$33)))),IF(($A69&lt;'Alternative 3'!$B$29),(($H$3*'Alternative 3'!$B$39+(($N$32/3)*COS($K$33)))),($H69*'Alternative 3'!$B$39))))</f>
        <v>#VALUE!</v>
      </c>
      <c r="AL69" s="105" t="e">
        <f>AJ69*'Alternative 3'!$K70/'Alternative 3'!$L70</f>
        <v>#VALUE!</v>
      </c>
      <c r="AM69" s="105" t="e">
        <f>AK69/'Alternative 3'!$M70</f>
        <v>#VALUE!</v>
      </c>
      <c r="AN69" s="105" t="e">
        <f t="shared" si="23"/>
        <v>#VALUE!</v>
      </c>
      <c r="AP69" s="105" t="e">
        <f>'Alternative 3'!$B$39*$B69*$C69*COS($K$43)-($N$42/3)*$E69*SIN($K$43)-($N$42/3)*$F69*SIN($K$43)-($N$42/3)*$G69*SIN($K$43)</f>
        <v>#VALUE!</v>
      </c>
      <c r="AQ69" s="106" t="e">
        <f>IF(($A69&lt;'Alternative 3'!$B$27),(($H69*'Alternative 3'!$B$39)+(3*($N$42/3)*COS($K$43))),IF(($A69&lt;'Alternative 3'!$B$28),(($H69*'Alternative 3'!$B$39)+(2*(($N$42/3)*COS($K$43)))),IF(($A69&lt;'Alternative 3'!$B$29),(($H$3*'Alternative 3'!$B$39+(($N$42/3)*COS($K$43)))),($H69*'Alternative 3'!$B$39))))</f>
        <v>#VALUE!</v>
      </c>
      <c r="AR69" s="105" t="e">
        <f>AP69*'Alternative 3'!$K70/'Alternative 3'!$L70</f>
        <v>#VALUE!</v>
      </c>
      <c r="AS69" s="105" t="e">
        <f>AQ69/'Alternative 3'!$M70</f>
        <v>#VALUE!</v>
      </c>
      <c r="AT69" s="105" t="e">
        <f t="shared" si="24"/>
        <v>#VALUE!</v>
      </c>
      <c r="AV69" s="105" t="e">
        <f>'Alternative 3'!$B$39*$B69*$C69*COS($K$53)-($N$52/3)*$E69*SIN($K$53)-($N$52/3)*$F69*SIN($K$53)-($N$52/3)*$G69*SIN($K$53)</f>
        <v>#VALUE!</v>
      </c>
      <c r="AW69" s="106" t="e">
        <f>IF(($A69&lt;'Alternative 3'!$B$27),(($H69*'Alternative 3'!$B$39)+(3*($N$52/3)*COS($K$53))),IF(($A69&lt;'Alternative 3'!$B$28),(($H69*'Alternative 3'!$B$39)+(2*(($N$52/3)*COS($K$53)))),IF(($A69&lt;'Alternative 3'!$B$29),(($H$3*'Alternative 3'!$B$39+(($N$52/3)*COS($K$53)))),($H69*'Alternative 3'!$B$39))))</f>
        <v>#VALUE!</v>
      </c>
      <c r="AX69" s="105" t="e">
        <f>AV69*'Alternative 3'!$K70/'Alternative 3'!$L70</f>
        <v>#VALUE!</v>
      </c>
      <c r="AY69" s="105" t="e">
        <f>AW69/'Alternative 3'!$M70</f>
        <v>#VALUE!</v>
      </c>
      <c r="AZ69" s="105" t="e">
        <f t="shared" si="25"/>
        <v>#VALUE!</v>
      </c>
      <c r="BB69" s="105" t="e">
        <f>'Alternative 3'!$B$39*$B69*$C69*COS($K$63)-($N$62/3)*$E69*SIN($K$63)-($N$62/3)*$F69*SIN($K$63)-($N$62/3)*$G69*SIN($K$63)</f>
        <v>#VALUE!</v>
      </c>
      <c r="BC69" s="106" t="e">
        <f>IF(($A69&lt;'Alternative 3'!$B$27),(($H69*'Alternative 3'!$B$39)+(3*($N$62/3)*COS($K$63))),IF(($A69&lt;'Alternative 3'!$B$28),(($H69*'Alternative 3'!$B$39)+(2*(($N$62/3)*COS($K$63)))),IF(($A69&lt;'Alternative 3'!$B$29),(($H$3*'Alternative 3'!$B$39+(($N$62/3)*COS($K$63)))),($H69*'Alternative 3'!$B$39))))</f>
        <v>#VALUE!</v>
      </c>
      <c r="BD69" s="105" t="e">
        <f>BB69*'Alternative 3'!$K70/'Alternative 3'!$L70</f>
        <v>#VALUE!</v>
      </c>
      <c r="BE69" s="105" t="e">
        <f>BC69/'Alternative 3'!$M70</f>
        <v>#VALUE!</v>
      </c>
      <c r="BF69" s="105" t="e">
        <f t="shared" si="26"/>
        <v>#VALUE!</v>
      </c>
      <c r="BH69" s="105" t="e">
        <f>'Alternative 3'!$B$39*$B69*$C69*COS($K$73)-($N$72/3)*$E69*SIN($K$73)-($N$72/3)*$F69*SIN($K$73)-($N$72/3)*$G69*SIN($K$73)</f>
        <v>#VALUE!</v>
      </c>
      <c r="BI69" s="106" t="e">
        <f>IF(($A69&lt;'Alternative 3'!$B$27),(($H69*'Alternative 3'!$B$39)+(3*($N$72/3)*COS($K$73))),IF(($A69&lt;'Alternative 3'!$B$28),(($H69*'Alternative 3'!$B$39)+(2*(($N$72/3)*COS($K$73)))),IF(($A69&lt;'Alternative 3'!$B$29),(($H$3*'Alternative 3'!$B$39+(($N$72/3)*COS($K$73)))),($H69*'Alternative 3'!$B$39))))</f>
        <v>#VALUE!</v>
      </c>
      <c r="BJ69" s="105" t="e">
        <f>BH69*'Alternative 3'!$K70/'Alternative 3'!$L70</f>
        <v>#VALUE!</v>
      </c>
      <c r="BK69" s="105" t="e">
        <f>BI69/'Alternative 3'!$M70</f>
        <v>#VALUE!</v>
      </c>
      <c r="BL69" s="105" t="e">
        <f t="shared" si="27"/>
        <v>#VALUE!</v>
      </c>
      <c r="BN69" s="105" t="e">
        <f>'Alternative 3'!$B$39*$B69*$C69*COS($K$83)-($N$82/3)*$E69*SIN($K$83)-($N$82/3)*$F69*SIN($K$83)-($N$82/3)*$G69*SIN($K$83)</f>
        <v>#VALUE!</v>
      </c>
      <c r="BO69" s="106" t="e">
        <f>IF(($A69&lt;'Alternative 3'!$B$27),(($H69*'Alternative 3'!$B$39)+(3*($N$82/3)*COS($K$83))),IF(($A69&lt;'Alternative 3'!$B$28),(($H69*'Alternative 3'!$B$39)+(2*(($N$82/3)*COS($K$83)))),IF(($A69&lt;'Alternative 3'!$B$29),(($H$3*'Alternative 3'!$B$39+(($N$82/3)*COS($K$83)))),($H69*'Alternative 3'!$B$39))))</f>
        <v>#VALUE!</v>
      </c>
      <c r="BP69" s="105" t="e">
        <f>BN69*'Alternative 3'!$K70/'Alternative 3'!$L70</f>
        <v>#VALUE!</v>
      </c>
      <c r="BQ69" s="105" t="e">
        <f>BO69/'Alternative 3'!$M70</f>
        <v>#VALUE!</v>
      </c>
      <c r="BR69" s="105" t="e">
        <f t="shared" si="28"/>
        <v>#VALUE!</v>
      </c>
      <c r="BT69" s="105" t="e">
        <f>'Alternative 3'!$B$39*$B69*$C69*COS($K$93)-($K$92/3)*$E69*SIN($K$93)-($K$92/3)*$F69*SIN($K$93)-($K$92/3)*$G69*SIN($K$93)</f>
        <v>#VALUE!</v>
      </c>
      <c r="BU69" s="106" t="e">
        <f>IF(($A69&lt;'Alternative 3'!$B$27),(($H69*'Alternative 3'!$B$39)+(3*($N$92/3)*COS($K$93))),IF(($A69&lt;'Alternative 3'!$B$28),(($H69*'Alternative 3'!$B$39)+(2*(($N$92/3)*COS($K$93)))),IF(($A69&lt;'Alternative 3'!$B$29),(($H$3*'Alternative 3'!$B$39+(($N$92/3)*COS($K$93)))),($H69*'Alternative 3'!$B$39))))</f>
        <v>#VALUE!</v>
      </c>
      <c r="BV69" s="105" t="e">
        <f>BT69*'Alternative 3'!$K70/'Alternative 3'!$L70</f>
        <v>#VALUE!</v>
      </c>
      <c r="BW69" s="105" t="e">
        <f>BU69/'Alternative 3'!$M70</f>
        <v>#VALUE!</v>
      </c>
      <c r="BX69" s="105" t="e">
        <f t="shared" si="29"/>
        <v>#VALUE!</v>
      </c>
      <c r="BZ69" s="104">
        <v>150</v>
      </c>
      <c r="CA69" s="104">
        <v>-150</v>
      </c>
    </row>
    <row r="70" spans="1:79" ht="15" customHeight="1" x14ac:dyDescent="0.25">
      <c r="A70" s="18" t="str">
        <f>IF('Alternative 3'!F71&gt;0,'Alternative 3'!F71,"x")</f>
        <v>x</v>
      </c>
      <c r="B70" s="18" t="e">
        <f t="shared" si="35"/>
        <v>#VALUE!</v>
      </c>
      <c r="C70" s="18">
        <f t="shared" si="30"/>
        <v>0</v>
      </c>
      <c r="D70" s="18" t="str">
        <f t="shared" si="31"/>
        <v>x</v>
      </c>
      <c r="E70" s="101">
        <f>IF($A70&lt;='Alternative 3'!$B$27, IF($A70='Alternative 3'!$B$27,0,E71+1),0)</f>
        <v>0</v>
      </c>
      <c r="F70" s="101">
        <f>IF($A70&lt;=('Alternative 3'!$B$28), IF($A70=ROUNDDOWN('Alternative 3'!$B$28,0),0,F71+1),0)</f>
        <v>0</v>
      </c>
      <c r="G70" s="101">
        <f>IF($A70&lt;=('Alternative 3'!$B$29), IF($A70=ROUNDDOWN('Alternative 3'!$B$29,0),0,G71+1),0)</f>
        <v>0</v>
      </c>
      <c r="H70" s="18" t="e">
        <f t="shared" si="32"/>
        <v>#VALUE!</v>
      </c>
      <c r="J70" s="104">
        <f t="shared" si="33"/>
        <v>67</v>
      </c>
      <c r="K70" s="104">
        <f t="shared" si="34"/>
        <v>1.1693705988362006</v>
      </c>
      <c r="L70" s="105">
        <f>'Alternative 3'!$B$27*SIN(K70)+'Alternative 3'!$B$28*SIN(K70)+'Alternative 3'!$B$29*SIN(K70)</f>
        <v>61.664620132778964</v>
      </c>
      <c r="M70" s="104">
        <f>(('Alternative 3'!$B$27)*(((('Alternative 3'!$B$28-'Alternative 3'!$B$27)/2)+'Alternative 3'!$B$27)*'Alternative 3'!$B$39)*COS('Alternative 3-Tilt Up (3pt)'!K70))+(('Alternative 3'!$B$28)*((('Alternative 3'!$B$28-'Alternative 3'!$B$27)/2)+(('Alternative 3'!$B$29-'Alternative 3'!$B$28)/2))*('Alternative 3'!$B$39)*COS('Alternative 3-Tilt Up (3pt)'!K70))+(('Alternative 3'!$B$29)*((('Alternative 3'!$B$12-'Alternative 3'!$B$29+(('Alternative 3'!$B$29-'Alternative 3'!$B$28)/2)*('Alternative 3'!$B$39)*COS('Alternative 3-Tilt Up (3pt)'!K70)))))</f>
        <v>878298.97334180761</v>
      </c>
      <c r="N70" s="104">
        <f t="shared" si="18"/>
        <v>42729.476227240957</v>
      </c>
      <c r="O70" s="104">
        <f>(((('Alternative 3'!$B$28-'Alternative 3'!$B$27)/2)+'Alternative 3'!$B$27)*('Alternative 3'!$B$39)*COS('Alternative 3-Tilt Up (3pt)'!K70))+(((('Alternative 3'!$B$28-'Alternative 3'!$B$27)/2)+(('Alternative 3'!$B$29-'Alternative 3'!$B$28)/2))*('Alternative 3'!$B$39)*COS('Alternative 3-Tilt Up (3pt)'!K70))+(((('Alternative 3'!$B$12-'Alternative 3'!$B$29)+(('Alternative 3'!$B$29-'Alternative 3'!$B$28)/2))*('Alternative 3'!$B$39)*COS('Alternative 3-Tilt Up (3pt)'!K70)))</f>
        <v>57052.589435047383</v>
      </c>
      <c r="P70" s="104">
        <f t="shared" si="19"/>
        <v>16695.736466025464</v>
      </c>
      <c r="R70" s="105" t="e">
        <f>'Alternative 3'!$B$39*$B70*$C70*COS($K$5)-($N$5/3)*$E70*SIN($K$5)-($N$5/3)*$F70*SIN($K$5)-($N$5/3)*$G70*SIN($K$5)</f>
        <v>#VALUE!</v>
      </c>
      <c r="S70" s="106" t="e">
        <f>IF(($A70&lt;'Alternative 3'!$B$27),(($H70*'Alternative 3'!$B$39)+(3*($N$5/3)*COS($K$5))),IF(($A70&lt;'Alternative 3'!$B$28),(($H70*'Alternative 3'!$B$39)+(2*(($N$5/3)*COS($K$5)))),IF(($A70&lt;'Alternative 3'!$B$29),(($H$3*'Alternative 3'!$B$39+(($N$5/3)*COS($K$5)))),($H70*'Alternative 3'!$B$39))))</f>
        <v>#VALUE!</v>
      </c>
      <c r="T70" s="105" t="e">
        <f>R70*'Alternative 3'!$K71/'Alternative 3'!$L71</f>
        <v>#VALUE!</v>
      </c>
      <c r="U70" s="105" t="e">
        <f>S70/'Alternative 3'!$M71</f>
        <v>#VALUE!</v>
      </c>
      <c r="V70" s="105" t="e">
        <f t="shared" si="20"/>
        <v>#VALUE!</v>
      </c>
      <c r="X70" s="105" t="e">
        <f>'Alternative 3'!$B$39*$B70*$C70*COS($K$13)-($N$12/3)*$E70*SIN($K$13)-($N$12/3)*$F70*SIN($K$13)-($N$12/3)*$G70*SIN($K$13)</f>
        <v>#VALUE!</v>
      </c>
      <c r="Y70" s="106" t="e">
        <f>IF(($A70&lt;'Alternative 3'!$B$27),(($H70*'Alternative 3'!$B$39)+(3*($N$12/3)*COS($K$13))),IF(($A70&lt;'Alternative 3'!$B$28),(($H70*'Alternative 3'!$B$39)+(2*(($N$12/3)*COS($K$13)))),IF(($A70&lt;'Alternative 3'!$B$29),(($H$3*'Alternative 3'!$B$39+(($N$12/3)*COS($K$13)))),($H70*'Alternative 3'!$B$39))))</f>
        <v>#VALUE!</v>
      </c>
      <c r="Z70" s="105" t="e">
        <f>X70*'Alternative 3'!$K71/'Alternative 3'!$L71</f>
        <v>#VALUE!</v>
      </c>
      <c r="AA70" s="105" t="e">
        <f>Y70/'Alternative 3'!$M71</f>
        <v>#VALUE!</v>
      </c>
      <c r="AB70" s="105" t="e">
        <f t="shared" si="21"/>
        <v>#VALUE!</v>
      </c>
      <c r="AD70" s="105" t="e">
        <f>'Alternative 3'!$B$39*$B70*$C70*COS($K$23)-($N$22/3)*$E70*SIN($K$23)-($N$22/3)*$F70*SIN($K$23)-($N$22/3)*$G70*SIN($K$23)</f>
        <v>#VALUE!</v>
      </c>
      <c r="AE70" s="106" t="e">
        <f>IF(($A70&lt;'Alternative 3'!$B$27),(($H70*'Alternative 3'!$B$39)+(3*($N$22/3)*COS($K$23))),IF(($A70&lt;'Alternative 3'!$B$28),(($H70*'Alternative 3'!$B$39)+(2*(($N$22/3)*COS($K$23)))),IF(($A70&lt;'Alternative 3'!$B$29),(($H$3*'Alternative 3'!$B$39+(($N$22/3)*COS($K$23)))),($H70*'Alternative 3'!$B$39))))</f>
        <v>#VALUE!</v>
      </c>
      <c r="AF70" s="105" t="e">
        <f>AD70*'Alternative 3'!$K71/'Alternative 3'!$L71</f>
        <v>#VALUE!</v>
      </c>
      <c r="AG70" s="105" t="e">
        <f>AE70/'Alternative 3'!$M71</f>
        <v>#VALUE!</v>
      </c>
      <c r="AH70" s="105" t="e">
        <f t="shared" si="22"/>
        <v>#VALUE!</v>
      </c>
      <c r="AJ70" s="105" t="e">
        <f>'Alternative 3'!$B$39*$B70*$C70*COS($K$33)-($N$32/3)*$E70*SIN($K$33)-($N$32/3)*$F70*SIN($K$33)-($N$32/3)*$G70*SIN($K$33)</f>
        <v>#VALUE!</v>
      </c>
      <c r="AK70" s="106" t="e">
        <f>IF(($A70&lt;'Alternative 3'!$B$27),(($H70*'Alternative 3'!$B$39)+(3*($N$32/3)*COS($K$33))),IF(($A70&lt;'Alternative 3'!$B$28),(($H70*'Alternative 3'!$B$39)+(2*(($N$32/3)*COS($K$33)))),IF(($A70&lt;'Alternative 3'!$B$29),(($H$3*'Alternative 3'!$B$39+(($N$32/3)*COS($K$33)))),($H70*'Alternative 3'!$B$39))))</f>
        <v>#VALUE!</v>
      </c>
      <c r="AL70" s="105" t="e">
        <f>AJ70*'Alternative 3'!$K71/'Alternative 3'!$L71</f>
        <v>#VALUE!</v>
      </c>
      <c r="AM70" s="105" t="e">
        <f>AK70/'Alternative 3'!$M71</f>
        <v>#VALUE!</v>
      </c>
      <c r="AN70" s="105" t="e">
        <f t="shared" si="23"/>
        <v>#VALUE!</v>
      </c>
      <c r="AP70" s="105" t="e">
        <f>'Alternative 3'!$B$39*$B70*$C70*COS($K$43)-($N$42/3)*$E70*SIN($K$43)-($N$42/3)*$F70*SIN($K$43)-($N$42/3)*$G70*SIN($K$43)</f>
        <v>#VALUE!</v>
      </c>
      <c r="AQ70" s="106" t="e">
        <f>IF(($A70&lt;'Alternative 3'!$B$27),(($H70*'Alternative 3'!$B$39)+(3*($N$42/3)*COS($K$43))),IF(($A70&lt;'Alternative 3'!$B$28),(($H70*'Alternative 3'!$B$39)+(2*(($N$42/3)*COS($K$43)))),IF(($A70&lt;'Alternative 3'!$B$29),(($H$3*'Alternative 3'!$B$39+(($N$42/3)*COS($K$43)))),($H70*'Alternative 3'!$B$39))))</f>
        <v>#VALUE!</v>
      </c>
      <c r="AR70" s="105" t="e">
        <f>AP70*'Alternative 3'!$K71/'Alternative 3'!$L71</f>
        <v>#VALUE!</v>
      </c>
      <c r="AS70" s="105" t="e">
        <f>AQ70/'Alternative 3'!$M71</f>
        <v>#VALUE!</v>
      </c>
      <c r="AT70" s="105" t="e">
        <f t="shared" si="24"/>
        <v>#VALUE!</v>
      </c>
      <c r="AV70" s="105" t="e">
        <f>'Alternative 3'!$B$39*$B70*$C70*COS($K$53)-($N$52/3)*$E70*SIN($K$53)-($N$52/3)*$F70*SIN($K$53)-($N$52/3)*$G70*SIN($K$53)</f>
        <v>#VALUE!</v>
      </c>
      <c r="AW70" s="106" t="e">
        <f>IF(($A70&lt;'Alternative 3'!$B$27),(($H70*'Alternative 3'!$B$39)+(3*($N$52/3)*COS($K$53))),IF(($A70&lt;'Alternative 3'!$B$28),(($H70*'Alternative 3'!$B$39)+(2*(($N$52/3)*COS($K$53)))),IF(($A70&lt;'Alternative 3'!$B$29),(($H$3*'Alternative 3'!$B$39+(($N$52/3)*COS($K$53)))),($H70*'Alternative 3'!$B$39))))</f>
        <v>#VALUE!</v>
      </c>
      <c r="AX70" s="105" t="e">
        <f>AV70*'Alternative 3'!$K71/'Alternative 3'!$L71</f>
        <v>#VALUE!</v>
      </c>
      <c r="AY70" s="105" t="e">
        <f>AW70/'Alternative 3'!$M71</f>
        <v>#VALUE!</v>
      </c>
      <c r="AZ70" s="105" t="e">
        <f t="shared" si="25"/>
        <v>#VALUE!</v>
      </c>
      <c r="BB70" s="105" t="e">
        <f>'Alternative 3'!$B$39*$B70*$C70*COS($K$63)-($N$62/3)*$E70*SIN($K$63)-($N$62/3)*$F70*SIN($K$63)-($N$62/3)*$G70*SIN($K$63)</f>
        <v>#VALUE!</v>
      </c>
      <c r="BC70" s="106" t="e">
        <f>IF(($A70&lt;'Alternative 3'!$B$27),(($H70*'Alternative 3'!$B$39)+(3*($N$62/3)*COS($K$63))),IF(($A70&lt;'Alternative 3'!$B$28),(($H70*'Alternative 3'!$B$39)+(2*(($N$62/3)*COS($K$63)))),IF(($A70&lt;'Alternative 3'!$B$29),(($H$3*'Alternative 3'!$B$39+(($N$62/3)*COS($K$63)))),($H70*'Alternative 3'!$B$39))))</f>
        <v>#VALUE!</v>
      </c>
      <c r="BD70" s="105" t="e">
        <f>BB70*'Alternative 3'!$K71/'Alternative 3'!$L71</f>
        <v>#VALUE!</v>
      </c>
      <c r="BE70" s="105" t="e">
        <f>BC70/'Alternative 3'!$M71</f>
        <v>#VALUE!</v>
      </c>
      <c r="BF70" s="105" t="e">
        <f t="shared" si="26"/>
        <v>#VALUE!</v>
      </c>
      <c r="BH70" s="105" t="e">
        <f>'Alternative 3'!$B$39*$B70*$C70*COS($K$73)-($N$72/3)*$E70*SIN($K$73)-($N$72/3)*$F70*SIN($K$73)-($N$72/3)*$G70*SIN($K$73)</f>
        <v>#VALUE!</v>
      </c>
      <c r="BI70" s="106" t="e">
        <f>IF(($A70&lt;'Alternative 3'!$B$27),(($H70*'Alternative 3'!$B$39)+(3*($N$72/3)*COS($K$73))),IF(($A70&lt;'Alternative 3'!$B$28),(($H70*'Alternative 3'!$B$39)+(2*(($N$72/3)*COS($K$73)))),IF(($A70&lt;'Alternative 3'!$B$29),(($H$3*'Alternative 3'!$B$39+(($N$72/3)*COS($K$73)))),($H70*'Alternative 3'!$B$39))))</f>
        <v>#VALUE!</v>
      </c>
      <c r="BJ70" s="105" t="e">
        <f>BH70*'Alternative 3'!$K71/'Alternative 3'!$L71</f>
        <v>#VALUE!</v>
      </c>
      <c r="BK70" s="105" t="e">
        <f>BI70/'Alternative 3'!$M71</f>
        <v>#VALUE!</v>
      </c>
      <c r="BL70" s="105" t="e">
        <f t="shared" si="27"/>
        <v>#VALUE!</v>
      </c>
      <c r="BN70" s="105" t="e">
        <f>'Alternative 3'!$B$39*$B70*$C70*COS($K$83)-($N$82/3)*$E70*SIN($K$83)-($N$82/3)*$F70*SIN($K$83)-($N$82/3)*$G70*SIN($K$83)</f>
        <v>#VALUE!</v>
      </c>
      <c r="BO70" s="106" t="e">
        <f>IF(($A70&lt;'Alternative 3'!$B$27),(($H70*'Alternative 3'!$B$39)+(3*($N$82/3)*COS($K$83))),IF(($A70&lt;'Alternative 3'!$B$28),(($H70*'Alternative 3'!$B$39)+(2*(($N$82/3)*COS($K$83)))),IF(($A70&lt;'Alternative 3'!$B$29),(($H$3*'Alternative 3'!$B$39+(($N$82/3)*COS($K$83)))),($H70*'Alternative 3'!$B$39))))</f>
        <v>#VALUE!</v>
      </c>
      <c r="BP70" s="105" t="e">
        <f>BN70*'Alternative 3'!$K71/'Alternative 3'!$L71</f>
        <v>#VALUE!</v>
      </c>
      <c r="BQ70" s="105" t="e">
        <f>BO70/'Alternative 3'!$M71</f>
        <v>#VALUE!</v>
      </c>
      <c r="BR70" s="105" t="e">
        <f t="shared" si="28"/>
        <v>#VALUE!</v>
      </c>
      <c r="BT70" s="105" t="e">
        <f>'Alternative 3'!$B$39*$B70*$C70*COS($K$93)-($K$92/3)*$E70*SIN($K$93)-($K$92/3)*$F70*SIN($K$93)-($K$92/3)*$G70*SIN($K$93)</f>
        <v>#VALUE!</v>
      </c>
      <c r="BU70" s="106" t="e">
        <f>IF(($A70&lt;'Alternative 3'!$B$27),(($H70*'Alternative 3'!$B$39)+(3*($N$92/3)*COS($K$93))),IF(($A70&lt;'Alternative 3'!$B$28),(($H70*'Alternative 3'!$B$39)+(2*(($N$92/3)*COS($K$93)))),IF(($A70&lt;'Alternative 3'!$B$29),(($H$3*'Alternative 3'!$B$39+(($N$92/3)*COS($K$93)))),($H70*'Alternative 3'!$B$39))))</f>
        <v>#VALUE!</v>
      </c>
      <c r="BV70" s="105" t="e">
        <f>BT70*'Alternative 3'!$K71/'Alternative 3'!$L71</f>
        <v>#VALUE!</v>
      </c>
      <c r="BW70" s="105" t="e">
        <f>BU70/'Alternative 3'!$M71</f>
        <v>#VALUE!</v>
      </c>
      <c r="BX70" s="105" t="e">
        <f t="shared" si="29"/>
        <v>#VALUE!</v>
      </c>
    </row>
    <row r="71" spans="1:79" ht="15" customHeight="1" x14ac:dyDescent="0.25">
      <c r="A71" s="18" t="str">
        <f>IF('Alternative 3'!F72&gt;0,'Alternative 3'!F72,"x")</f>
        <v>x</v>
      </c>
      <c r="B71" s="18" t="e">
        <f t="shared" si="35"/>
        <v>#VALUE!</v>
      </c>
      <c r="C71" s="18">
        <f t="shared" si="30"/>
        <v>0</v>
      </c>
      <c r="D71" s="18" t="str">
        <f t="shared" si="31"/>
        <v>x</v>
      </c>
      <c r="E71" s="101">
        <f>IF($A71&lt;='Alternative 3'!$B$27, IF($A71='Alternative 3'!$B$27,0,E72+1),0)</f>
        <v>0</v>
      </c>
      <c r="F71" s="101">
        <f>IF($A71&lt;=('Alternative 3'!$B$28), IF($A71=ROUNDDOWN('Alternative 3'!$B$28,0),0,F72+1),0)</f>
        <v>0</v>
      </c>
      <c r="G71" s="101">
        <f>IF($A71&lt;=('Alternative 3'!$B$29), IF($A71=ROUNDDOWN('Alternative 3'!$B$29,0),0,G72+1),0)</f>
        <v>0</v>
      </c>
      <c r="H71" s="18" t="e">
        <f t="shared" si="32"/>
        <v>#VALUE!</v>
      </c>
      <c r="J71" s="104">
        <f t="shared" si="33"/>
        <v>68</v>
      </c>
      <c r="K71" s="104">
        <f t="shared" si="34"/>
        <v>1.1868238913561442</v>
      </c>
      <c r="L71" s="105">
        <f>'Alternative 3'!$B$27*SIN(K71)+'Alternative 3'!$B$28*SIN(K71)+'Alternative 3'!$B$29*SIN(K71)</f>
        <v>62.112046417429084</v>
      </c>
      <c r="M71" s="104">
        <f>(('Alternative 3'!$B$27)*(((('Alternative 3'!$B$28-'Alternative 3'!$B$27)/2)+'Alternative 3'!$B$27)*'Alternative 3'!$B$39)*COS('Alternative 3-Tilt Up (3pt)'!K71))+(('Alternative 3'!$B$28)*((('Alternative 3'!$B$28-'Alternative 3'!$B$27)/2)+(('Alternative 3'!$B$29-'Alternative 3'!$B$28)/2))*('Alternative 3'!$B$39)*COS('Alternative 3-Tilt Up (3pt)'!K71))+(('Alternative 3'!$B$29)*((('Alternative 3'!$B$12-'Alternative 3'!$B$29+(('Alternative 3'!$B$29-'Alternative 3'!$B$28)/2)*('Alternative 3'!$B$39)*COS('Alternative 3-Tilt Up (3pt)'!K71)))))</f>
        <v>842061.18303233734</v>
      </c>
      <c r="N71" s="104">
        <f t="shared" si="18"/>
        <v>40671.394597427832</v>
      </c>
      <c r="O71" s="104">
        <f>(((('Alternative 3'!$B$28-'Alternative 3'!$B$27)/2)+'Alternative 3'!$B$27)*('Alternative 3'!$B$39)*COS('Alternative 3-Tilt Up (3pt)'!K71))+(((('Alternative 3'!$B$28-'Alternative 3'!$B$27)/2)+(('Alternative 3'!$B$29-'Alternative 3'!$B$28)/2))*('Alternative 3'!$B$39)*COS('Alternative 3-Tilt Up (3pt)'!K71))+(((('Alternative 3'!$B$12-'Alternative 3'!$B$29)+(('Alternative 3'!$B$29-'Alternative 3'!$B$28)/2))*('Alternative 3'!$B$39)*COS('Alternative 3-Tilt Up (3pt)'!K71)))</f>
        <v>54698.166118613823</v>
      </c>
      <c r="P71" s="104">
        <f t="shared" si="19"/>
        <v>15235.772579616767</v>
      </c>
      <c r="R71" s="105" t="e">
        <f>'Alternative 3'!$B$39*$B71*$C71*COS($K$5)-($N$5/3)*$E71*SIN($K$5)-($N$5/3)*$F71*SIN($K$5)-($N$5/3)*$G71*SIN($K$5)</f>
        <v>#VALUE!</v>
      </c>
      <c r="S71" s="106" t="e">
        <f>IF(($A71&lt;'Alternative 3'!$B$27),(($H71*'Alternative 3'!$B$39)+(3*($N$5/3)*COS($K$5))),IF(($A71&lt;'Alternative 3'!$B$28),(($H71*'Alternative 3'!$B$39)+(2*(($N$5/3)*COS($K$5)))),IF(($A71&lt;'Alternative 3'!$B$29),(($H$3*'Alternative 3'!$B$39+(($N$5/3)*COS($K$5)))),($H71*'Alternative 3'!$B$39))))</f>
        <v>#VALUE!</v>
      </c>
      <c r="T71" s="105" t="e">
        <f>R71*'Alternative 3'!$K72/'Alternative 3'!$L72</f>
        <v>#VALUE!</v>
      </c>
      <c r="U71" s="105" t="e">
        <f>S71/'Alternative 3'!$M72</f>
        <v>#VALUE!</v>
      </c>
      <c r="V71" s="105" t="e">
        <f t="shared" si="20"/>
        <v>#VALUE!</v>
      </c>
      <c r="X71" s="105" t="e">
        <f>'Alternative 3'!$B$39*$B71*$C71*COS($K$13)-($N$12/3)*$E71*SIN($K$13)-($N$12/3)*$F71*SIN($K$13)-($N$12/3)*$G71*SIN($K$13)</f>
        <v>#VALUE!</v>
      </c>
      <c r="Y71" s="106" t="e">
        <f>IF(($A71&lt;'Alternative 3'!$B$27),(($H71*'Alternative 3'!$B$39)+(3*($N$12/3)*COS($K$13))),IF(($A71&lt;'Alternative 3'!$B$28),(($H71*'Alternative 3'!$B$39)+(2*(($N$12/3)*COS($K$13)))),IF(($A71&lt;'Alternative 3'!$B$29),(($H$3*'Alternative 3'!$B$39+(($N$12/3)*COS($K$13)))),($H71*'Alternative 3'!$B$39))))</f>
        <v>#VALUE!</v>
      </c>
      <c r="Z71" s="105" t="e">
        <f>X71*'Alternative 3'!$K72/'Alternative 3'!$L72</f>
        <v>#VALUE!</v>
      </c>
      <c r="AA71" s="105" t="e">
        <f>Y71/'Alternative 3'!$M72</f>
        <v>#VALUE!</v>
      </c>
      <c r="AB71" s="105" t="e">
        <f t="shared" si="21"/>
        <v>#VALUE!</v>
      </c>
      <c r="AD71" s="105" t="e">
        <f>'Alternative 3'!$B$39*$B71*$C71*COS($K$23)-($N$22/3)*$E71*SIN($K$23)-($N$22/3)*$F71*SIN($K$23)-($N$22/3)*$G71*SIN($K$23)</f>
        <v>#VALUE!</v>
      </c>
      <c r="AE71" s="106" t="e">
        <f>IF(($A71&lt;'Alternative 3'!$B$27),(($H71*'Alternative 3'!$B$39)+(3*($N$22/3)*COS($K$23))),IF(($A71&lt;'Alternative 3'!$B$28),(($H71*'Alternative 3'!$B$39)+(2*(($N$22/3)*COS($K$23)))),IF(($A71&lt;'Alternative 3'!$B$29),(($H$3*'Alternative 3'!$B$39+(($N$22/3)*COS($K$23)))),($H71*'Alternative 3'!$B$39))))</f>
        <v>#VALUE!</v>
      </c>
      <c r="AF71" s="105" t="e">
        <f>AD71*'Alternative 3'!$K72/'Alternative 3'!$L72</f>
        <v>#VALUE!</v>
      </c>
      <c r="AG71" s="105" t="e">
        <f>AE71/'Alternative 3'!$M72</f>
        <v>#VALUE!</v>
      </c>
      <c r="AH71" s="105" t="e">
        <f t="shared" si="22"/>
        <v>#VALUE!</v>
      </c>
      <c r="AJ71" s="105" t="e">
        <f>'Alternative 3'!$B$39*$B71*$C71*COS($K$33)-($N$32/3)*$E71*SIN($K$33)-($N$32/3)*$F71*SIN($K$33)-($N$32/3)*$G71*SIN($K$33)</f>
        <v>#VALUE!</v>
      </c>
      <c r="AK71" s="106" t="e">
        <f>IF(($A71&lt;'Alternative 3'!$B$27),(($H71*'Alternative 3'!$B$39)+(3*($N$32/3)*COS($K$33))),IF(($A71&lt;'Alternative 3'!$B$28),(($H71*'Alternative 3'!$B$39)+(2*(($N$32/3)*COS($K$33)))),IF(($A71&lt;'Alternative 3'!$B$29),(($H$3*'Alternative 3'!$B$39+(($N$32/3)*COS($K$33)))),($H71*'Alternative 3'!$B$39))))</f>
        <v>#VALUE!</v>
      </c>
      <c r="AL71" s="105" t="e">
        <f>AJ71*'Alternative 3'!$K72/'Alternative 3'!$L72</f>
        <v>#VALUE!</v>
      </c>
      <c r="AM71" s="105" t="e">
        <f>AK71/'Alternative 3'!$M72</f>
        <v>#VALUE!</v>
      </c>
      <c r="AN71" s="105" t="e">
        <f t="shared" si="23"/>
        <v>#VALUE!</v>
      </c>
      <c r="AP71" s="105" t="e">
        <f>'Alternative 3'!$B$39*$B71*$C71*COS($K$43)-($N$42/3)*$E71*SIN($K$43)-($N$42/3)*$F71*SIN($K$43)-($N$42/3)*$G71*SIN($K$43)</f>
        <v>#VALUE!</v>
      </c>
      <c r="AQ71" s="106" t="e">
        <f>IF(($A71&lt;'Alternative 3'!$B$27),(($H71*'Alternative 3'!$B$39)+(3*($N$42/3)*COS($K$43))),IF(($A71&lt;'Alternative 3'!$B$28),(($H71*'Alternative 3'!$B$39)+(2*(($N$42/3)*COS($K$43)))),IF(($A71&lt;'Alternative 3'!$B$29),(($H$3*'Alternative 3'!$B$39+(($N$42/3)*COS($K$43)))),($H71*'Alternative 3'!$B$39))))</f>
        <v>#VALUE!</v>
      </c>
      <c r="AR71" s="105" t="e">
        <f>AP71*'Alternative 3'!$K72/'Alternative 3'!$L72</f>
        <v>#VALUE!</v>
      </c>
      <c r="AS71" s="105" t="e">
        <f>AQ71/'Alternative 3'!$M72</f>
        <v>#VALUE!</v>
      </c>
      <c r="AT71" s="105" t="e">
        <f t="shared" si="24"/>
        <v>#VALUE!</v>
      </c>
      <c r="AV71" s="105" t="e">
        <f>'Alternative 3'!$B$39*$B71*$C71*COS($K$53)-($N$52/3)*$E71*SIN($K$53)-($N$52/3)*$F71*SIN($K$53)-($N$52/3)*$G71*SIN($K$53)</f>
        <v>#VALUE!</v>
      </c>
      <c r="AW71" s="106" t="e">
        <f>IF(($A71&lt;'Alternative 3'!$B$27),(($H71*'Alternative 3'!$B$39)+(3*($N$52/3)*COS($K$53))),IF(($A71&lt;'Alternative 3'!$B$28),(($H71*'Alternative 3'!$B$39)+(2*(($N$52/3)*COS($K$53)))),IF(($A71&lt;'Alternative 3'!$B$29),(($H$3*'Alternative 3'!$B$39+(($N$52/3)*COS($K$53)))),($H71*'Alternative 3'!$B$39))))</f>
        <v>#VALUE!</v>
      </c>
      <c r="AX71" s="105" t="e">
        <f>AV71*'Alternative 3'!$K72/'Alternative 3'!$L72</f>
        <v>#VALUE!</v>
      </c>
      <c r="AY71" s="105" t="e">
        <f>AW71/'Alternative 3'!$M72</f>
        <v>#VALUE!</v>
      </c>
      <c r="AZ71" s="105" t="e">
        <f t="shared" si="25"/>
        <v>#VALUE!</v>
      </c>
      <c r="BB71" s="105" t="e">
        <f>'Alternative 3'!$B$39*$B71*$C71*COS($K$63)-($N$62/3)*$E71*SIN($K$63)-($N$62/3)*$F71*SIN($K$63)-($N$62/3)*$G71*SIN($K$63)</f>
        <v>#VALUE!</v>
      </c>
      <c r="BC71" s="106" t="e">
        <f>IF(($A71&lt;'Alternative 3'!$B$27),(($H71*'Alternative 3'!$B$39)+(3*($N$62/3)*COS($K$63))),IF(($A71&lt;'Alternative 3'!$B$28),(($H71*'Alternative 3'!$B$39)+(2*(($N$62/3)*COS($K$63)))),IF(($A71&lt;'Alternative 3'!$B$29),(($H$3*'Alternative 3'!$B$39+(($N$62/3)*COS($K$63)))),($H71*'Alternative 3'!$B$39))))</f>
        <v>#VALUE!</v>
      </c>
      <c r="BD71" s="105" t="e">
        <f>BB71*'Alternative 3'!$K72/'Alternative 3'!$L72</f>
        <v>#VALUE!</v>
      </c>
      <c r="BE71" s="105" t="e">
        <f>BC71/'Alternative 3'!$M72</f>
        <v>#VALUE!</v>
      </c>
      <c r="BF71" s="105" t="e">
        <f t="shared" si="26"/>
        <v>#VALUE!</v>
      </c>
      <c r="BH71" s="105" t="e">
        <f>'Alternative 3'!$B$39*$B71*$C71*COS($K$73)-($N$72/3)*$E71*SIN($K$73)-($N$72/3)*$F71*SIN($K$73)-($N$72/3)*$G71*SIN($K$73)</f>
        <v>#VALUE!</v>
      </c>
      <c r="BI71" s="106" t="e">
        <f>IF(($A71&lt;'Alternative 3'!$B$27),(($H71*'Alternative 3'!$B$39)+(3*($N$72/3)*COS($K$73))),IF(($A71&lt;'Alternative 3'!$B$28),(($H71*'Alternative 3'!$B$39)+(2*(($N$72/3)*COS($K$73)))),IF(($A71&lt;'Alternative 3'!$B$29),(($H$3*'Alternative 3'!$B$39+(($N$72/3)*COS($K$73)))),($H71*'Alternative 3'!$B$39))))</f>
        <v>#VALUE!</v>
      </c>
      <c r="BJ71" s="105" t="e">
        <f>BH71*'Alternative 3'!$K72/'Alternative 3'!$L72</f>
        <v>#VALUE!</v>
      </c>
      <c r="BK71" s="105" t="e">
        <f>BI71/'Alternative 3'!$M72</f>
        <v>#VALUE!</v>
      </c>
      <c r="BL71" s="105" t="e">
        <f t="shared" si="27"/>
        <v>#VALUE!</v>
      </c>
      <c r="BN71" s="105" t="e">
        <f>'Alternative 3'!$B$39*$B71*$C71*COS($K$83)-($N$82/3)*$E71*SIN($K$83)-($N$82/3)*$F71*SIN($K$83)-($N$82/3)*$G71*SIN($K$83)</f>
        <v>#VALUE!</v>
      </c>
      <c r="BO71" s="106" t="e">
        <f>IF(($A71&lt;'Alternative 3'!$B$27),(($H71*'Alternative 3'!$B$39)+(3*($N$82/3)*COS($K$83))),IF(($A71&lt;'Alternative 3'!$B$28),(($H71*'Alternative 3'!$B$39)+(2*(($N$82/3)*COS($K$83)))),IF(($A71&lt;'Alternative 3'!$B$29),(($H$3*'Alternative 3'!$B$39+(($N$82/3)*COS($K$83)))),($H71*'Alternative 3'!$B$39))))</f>
        <v>#VALUE!</v>
      </c>
      <c r="BP71" s="105" t="e">
        <f>BN71*'Alternative 3'!$K72/'Alternative 3'!$L72</f>
        <v>#VALUE!</v>
      </c>
      <c r="BQ71" s="105" t="e">
        <f>BO71/'Alternative 3'!$M72</f>
        <v>#VALUE!</v>
      </c>
      <c r="BR71" s="105" t="e">
        <f t="shared" si="28"/>
        <v>#VALUE!</v>
      </c>
      <c r="BT71" s="105" t="e">
        <f>'Alternative 3'!$B$39*$B71*$C71*COS($K$93)-($K$92/3)*$E71*SIN($K$93)-($K$92/3)*$F71*SIN($K$93)-($K$92/3)*$G71*SIN($K$93)</f>
        <v>#VALUE!</v>
      </c>
      <c r="BU71" s="106" t="e">
        <f>IF(($A71&lt;'Alternative 3'!$B$27),(($H71*'Alternative 3'!$B$39)+(3*($N$92/3)*COS($K$93))),IF(($A71&lt;'Alternative 3'!$B$28),(($H71*'Alternative 3'!$B$39)+(2*(($N$92/3)*COS($K$93)))),IF(($A71&lt;'Alternative 3'!$B$29),(($H$3*'Alternative 3'!$B$39+(($N$92/3)*COS($K$93)))),($H71*'Alternative 3'!$B$39))))</f>
        <v>#VALUE!</v>
      </c>
      <c r="BV71" s="105" t="e">
        <f>BT71*'Alternative 3'!$K72/'Alternative 3'!$L72</f>
        <v>#VALUE!</v>
      </c>
      <c r="BW71" s="105" t="e">
        <f>BU71/'Alternative 3'!$M72</f>
        <v>#VALUE!</v>
      </c>
      <c r="BX71" s="105" t="e">
        <f t="shared" si="29"/>
        <v>#VALUE!</v>
      </c>
    </row>
    <row r="72" spans="1:79" ht="15" customHeight="1" x14ac:dyDescent="0.25">
      <c r="A72" s="18" t="str">
        <f>IF('Alternative 3'!F73&gt;0,'Alternative 3'!F73,"x")</f>
        <v>x</v>
      </c>
      <c r="B72" s="18" t="e">
        <f t="shared" si="35"/>
        <v>#VALUE!</v>
      </c>
      <c r="C72" s="18">
        <f t="shared" si="30"/>
        <v>0</v>
      </c>
      <c r="D72" s="18" t="str">
        <f t="shared" si="31"/>
        <v>x</v>
      </c>
      <c r="E72" s="101">
        <f>IF($A72&lt;='Alternative 3'!$B$27, IF($A72='Alternative 3'!$B$27,0,E73+1),0)</f>
        <v>0</v>
      </c>
      <c r="F72" s="101">
        <f>IF($A72&lt;=('Alternative 3'!$B$28), IF($A72=ROUNDDOWN('Alternative 3'!$B$28,0),0,F73+1),0)</f>
        <v>0</v>
      </c>
      <c r="G72" s="101">
        <f>IF($A72&lt;=('Alternative 3'!$B$29), IF($A72=ROUNDDOWN('Alternative 3'!$B$29,0),0,G73+1),0)</f>
        <v>0</v>
      </c>
      <c r="H72" s="18" t="e">
        <f t="shared" si="32"/>
        <v>#VALUE!</v>
      </c>
      <c r="J72" s="104">
        <f t="shared" si="33"/>
        <v>69</v>
      </c>
      <c r="K72" s="104">
        <f t="shared" si="34"/>
        <v>1.2042771838760873</v>
      </c>
      <c r="L72" s="105">
        <f>'Alternative 3'!$B$27*SIN(K72)+'Alternative 3'!$B$28*SIN(K72)+'Alternative 3'!$B$29*SIN(K72)</f>
        <v>62.540552771047544</v>
      </c>
      <c r="M72" s="104">
        <f>(('Alternative 3'!$B$27)*(((('Alternative 3'!$B$28-'Alternative 3'!$B$27)/2)+'Alternative 3'!$B$27)*'Alternative 3'!$B$39)*COS('Alternative 3-Tilt Up (3pt)'!K72))+(('Alternative 3'!$B$28)*((('Alternative 3'!$B$28-'Alternative 3'!$B$27)/2)+(('Alternative 3'!$B$29-'Alternative 3'!$B$28)/2))*('Alternative 3'!$B$39)*COS('Alternative 3-Tilt Up (3pt)'!K72))+(('Alternative 3'!$B$29)*((('Alternative 3'!$B$12-'Alternative 3'!$B$29+(('Alternative 3'!$B$29-'Alternative 3'!$B$28)/2)*('Alternative 3'!$B$39)*COS('Alternative 3-Tilt Up (3pt)'!K72)))))</f>
        <v>805566.94807820697</v>
      </c>
      <c r="N72" s="109">
        <f t="shared" si="18"/>
        <v>38642.14077355271</v>
      </c>
      <c r="O72" s="104">
        <f>(((('Alternative 3'!$B$28-'Alternative 3'!$B$27)/2)+'Alternative 3'!$B$27)*('Alternative 3'!$B$39)*COS('Alternative 3-Tilt Up (3pt)'!K72))+(((('Alternative 3'!$B$28-'Alternative 3'!$B$27)/2)+(('Alternative 3'!$B$29-'Alternative 3'!$B$28)/2))*('Alternative 3'!$B$39)*COS('Alternative 3-Tilt Up (3pt)'!K72))+(((('Alternative 3'!$B$12-'Alternative 3'!$B$29)+(('Alternative 3'!$B$29-'Alternative 3'!$B$28)/2))*('Alternative 3'!$B$39)*COS('Alternative 3-Tilt Up (3pt)'!K72)))</f>
        <v>52327.08121090757</v>
      </c>
      <c r="P72" s="104">
        <f t="shared" si="19"/>
        <v>13848.104755058932</v>
      </c>
      <c r="R72" s="105" t="e">
        <f>'Alternative 3'!$B$39*$B72*$C72*COS($K$5)-($N$5/3)*$E72*SIN($K$5)-($N$5/3)*$F72*SIN($K$5)-($N$5/3)*$G72*SIN($K$5)</f>
        <v>#VALUE!</v>
      </c>
      <c r="S72" s="106" t="e">
        <f>IF(($A72&lt;'Alternative 3'!$B$27),(($H72*'Alternative 3'!$B$39)+(3*($N$5/3)*COS($K$5))),IF(($A72&lt;'Alternative 3'!$B$28),(($H72*'Alternative 3'!$B$39)+(2*(($N$5/3)*COS($K$5)))),IF(($A72&lt;'Alternative 3'!$B$29),(($H$3*'Alternative 3'!$B$39+(($N$5/3)*COS($K$5)))),($H72*'Alternative 3'!$B$39))))</f>
        <v>#VALUE!</v>
      </c>
      <c r="T72" s="105" t="e">
        <f>R72*'Alternative 3'!$K73/'Alternative 3'!$L73</f>
        <v>#VALUE!</v>
      </c>
      <c r="U72" s="105" t="e">
        <f>S72/'Alternative 3'!$M73</f>
        <v>#VALUE!</v>
      </c>
      <c r="V72" s="105" t="e">
        <f t="shared" si="20"/>
        <v>#VALUE!</v>
      </c>
      <c r="X72" s="105" t="e">
        <f>'Alternative 3'!$B$39*$B72*$C72*COS($K$13)-($N$12/3)*$E72*SIN($K$13)-($N$12/3)*$F72*SIN($K$13)-($N$12/3)*$G72*SIN($K$13)</f>
        <v>#VALUE!</v>
      </c>
      <c r="Y72" s="106" t="e">
        <f>IF(($A72&lt;'Alternative 3'!$B$27),(($H72*'Alternative 3'!$B$39)+(3*($N$12/3)*COS($K$13))),IF(($A72&lt;'Alternative 3'!$B$28),(($H72*'Alternative 3'!$B$39)+(2*(($N$12/3)*COS($K$13)))),IF(($A72&lt;'Alternative 3'!$B$29),(($H$3*'Alternative 3'!$B$39+(($N$12/3)*COS($K$13)))),($H72*'Alternative 3'!$B$39))))</f>
        <v>#VALUE!</v>
      </c>
      <c r="Z72" s="105" t="e">
        <f>X72*'Alternative 3'!$K73/'Alternative 3'!$L73</f>
        <v>#VALUE!</v>
      </c>
      <c r="AA72" s="105" t="e">
        <f>Y72/'Alternative 3'!$M73</f>
        <v>#VALUE!</v>
      </c>
      <c r="AB72" s="105" t="e">
        <f t="shared" si="21"/>
        <v>#VALUE!</v>
      </c>
      <c r="AD72" s="105" t="e">
        <f>'Alternative 3'!$B$39*$B72*$C72*COS($K$23)-($N$22/3)*$E72*SIN($K$23)-($N$22/3)*$F72*SIN($K$23)-($N$22/3)*$G72*SIN($K$23)</f>
        <v>#VALUE!</v>
      </c>
      <c r="AE72" s="106" t="e">
        <f>IF(($A72&lt;'Alternative 3'!$B$27),(($H72*'Alternative 3'!$B$39)+(3*($N$22/3)*COS($K$23))),IF(($A72&lt;'Alternative 3'!$B$28),(($H72*'Alternative 3'!$B$39)+(2*(($N$22/3)*COS($K$23)))),IF(($A72&lt;'Alternative 3'!$B$29),(($H$3*'Alternative 3'!$B$39+(($N$22/3)*COS($K$23)))),($H72*'Alternative 3'!$B$39))))</f>
        <v>#VALUE!</v>
      </c>
      <c r="AF72" s="105" t="e">
        <f>AD72*'Alternative 3'!$K73/'Alternative 3'!$L73</f>
        <v>#VALUE!</v>
      </c>
      <c r="AG72" s="105" t="e">
        <f>AE72/'Alternative 3'!$M73</f>
        <v>#VALUE!</v>
      </c>
      <c r="AH72" s="105" t="e">
        <f t="shared" si="22"/>
        <v>#VALUE!</v>
      </c>
      <c r="AJ72" s="105" t="e">
        <f>'Alternative 3'!$B$39*$B72*$C72*COS($K$33)-($N$32/3)*$E72*SIN($K$33)-($N$32/3)*$F72*SIN($K$33)-($N$32/3)*$G72*SIN($K$33)</f>
        <v>#VALUE!</v>
      </c>
      <c r="AK72" s="106" t="e">
        <f>IF(($A72&lt;'Alternative 3'!$B$27),(($H72*'Alternative 3'!$B$39)+(3*($N$32/3)*COS($K$33))),IF(($A72&lt;'Alternative 3'!$B$28),(($H72*'Alternative 3'!$B$39)+(2*(($N$32/3)*COS($K$33)))),IF(($A72&lt;'Alternative 3'!$B$29),(($H$3*'Alternative 3'!$B$39+(($N$32/3)*COS($K$33)))),($H72*'Alternative 3'!$B$39))))</f>
        <v>#VALUE!</v>
      </c>
      <c r="AL72" s="105" t="e">
        <f>AJ72*'Alternative 3'!$K73/'Alternative 3'!$L73</f>
        <v>#VALUE!</v>
      </c>
      <c r="AM72" s="105" t="e">
        <f>AK72/'Alternative 3'!$M73</f>
        <v>#VALUE!</v>
      </c>
      <c r="AN72" s="105" t="e">
        <f t="shared" si="23"/>
        <v>#VALUE!</v>
      </c>
      <c r="AP72" s="105" t="e">
        <f>'Alternative 3'!$B$39*$B72*$C72*COS($K$43)-($N$42/3)*$E72*SIN($K$43)-($N$42/3)*$F72*SIN($K$43)-($N$42/3)*$G72*SIN($K$43)</f>
        <v>#VALUE!</v>
      </c>
      <c r="AQ72" s="106" t="e">
        <f>IF(($A72&lt;'Alternative 3'!$B$27),(($H72*'Alternative 3'!$B$39)+(3*($N$42/3)*COS($K$43))),IF(($A72&lt;'Alternative 3'!$B$28),(($H72*'Alternative 3'!$B$39)+(2*(($N$42/3)*COS($K$43)))),IF(($A72&lt;'Alternative 3'!$B$29),(($H$3*'Alternative 3'!$B$39+(($N$42/3)*COS($K$43)))),($H72*'Alternative 3'!$B$39))))</f>
        <v>#VALUE!</v>
      </c>
      <c r="AR72" s="105" t="e">
        <f>AP72*'Alternative 3'!$K73/'Alternative 3'!$L73</f>
        <v>#VALUE!</v>
      </c>
      <c r="AS72" s="105" t="e">
        <f>AQ72/'Alternative 3'!$M73</f>
        <v>#VALUE!</v>
      </c>
      <c r="AT72" s="105" t="e">
        <f t="shared" si="24"/>
        <v>#VALUE!</v>
      </c>
      <c r="AV72" s="105" t="e">
        <f>'Alternative 3'!$B$39*$B72*$C72*COS($K$53)-($N$52/3)*$E72*SIN($K$53)-($N$52/3)*$F72*SIN($K$53)-($N$52/3)*$G72*SIN($K$53)</f>
        <v>#VALUE!</v>
      </c>
      <c r="AW72" s="106" t="e">
        <f>IF(($A72&lt;'Alternative 3'!$B$27),(($H72*'Alternative 3'!$B$39)+(3*($N$52/3)*COS($K$53))),IF(($A72&lt;'Alternative 3'!$B$28),(($H72*'Alternative 3'!$B$39)+(2*(($N$52/3)*COS($K$53)))),IF(($A72&lt;'Alternative 3'!$B$29),(($H$3*'Alternative 3'!$B$39+(($N$52/3)*COS($K$53)))),($H72*'Alternative 3'!$B$39))))</f>
        <v>#VALUE!</v>
      </c>
      <c r="AX72" s="105" t="e">
        <f>AV72*'Alternative 3'!$K73/'Alternative 3'!$L73</f>
        <v>#VALUE!</v>
      </c>
      <c r="AY72" s="105" t="e">
        <f>AW72/'Alternative 3'!$M73</f>
        <v>#VALUE!</v>
      </c>
      <c r="AZ72" s="105" t="e">
        <f t="shared" si="25"/>
        <v>#VALUE!</v>
      </c>
      <c r="BB72" s="105" t="e">
        <f>'Alternative 3'!$B$39*$B72*$C72*COS($K$63)-($N$62/3)*$E72*SIN($K$63)-($N$62/3)*$F72*SIN($K$63)-($N$62/3)*$G72*SIN($K$63)</f>
        <v>#VALUE!</v>
      </c>
      <c r="BC72" s="106" t="e">
        <f>IF(($A72&lt;'Alternative 3'!$B$27),(($H72*'Alternative 3'!$B$39)+(3*($N$62/3)*COS($K$63))),IF(($A72&lt;'Alternative 3'!$B$28),(($H72*'Alternative 3'!$B$39)+(2*(($N$62/3)*COS($K$63)))),IF(($A72&lt;'Alternative 3'!$B$29),(($H$3*'Alternative 3'!$B$39+(($N$62/3)*COS($K$63)))),($H72*'Alternative 3'!$B$39))))</f>
        <v>#VALUE!</v>
      </c>
      <c r="BD72" s="105" t="e">
        <f>BB72*'Alternative 3'!$K73/'Alternative 3'!$L73</f>
        <v>#VALUE!</v>
      </c>
      <c r="BE72" s="105" t="e">
        <f>BC72/'Alternative 3'!$M73</f>
        <v>#VALUE!</v>
      </c>
      <c r="BF72" s="105" t="e">
        <f t="shared" si="26"/>
        <v>#VALUE!</v>
      </c>
      <c r="BH72" s="105" t="e">
        <f>'Alternative 3'!$B$39*$B72*$C72*COS($K$73)-($N$72/3)*$E72*SIN($K$73)-($N$72/3)*$F72*SIN($K$73)-($N$72/3)*$G72*SIN($K$73)</f>
        <v>#VALUE!</v>
      </c>
      <c r="BI72" s="106" t="e">
        <f>IF(($A72&lt;'Alternative 3'!$B$27),(($H72*'Alternative 3'!$B$39)+(3*($N$72/3)*COS($K$73))),IF(($A72&lt;'Alternative 3'!$B$28),(($H72*'Alternative 3'!$B$39)+(2*(($N$72/3)*COS($K$73)))),IF(($A72&lt;'Alternative 3'!$B$29),(($H$3*'Alternative 3'!$B$39+(($N$72/3)*COS($K$73)))),($H72*'Alternative 3'!$B$39))))</f>
        <v>#VALUE!</v>
      </c>
      <c r="BJ72" s="105" t="e">
        <f>BH72*'Alternative 3'!$K73/'Alternative 3'!$L73</f>
        <v>#VALUE!</v>
      </c>
      <c r="BK72" s="105" t="e">
        <f>BI72/'Alternative 3'!$M73</f>
        <v>#VALUE!</v>
      </c>
      <c r="BL72" s="105" t="e">
        <f t="shared" si="27"/>
        <v>#VALUE!</v>
      </c>
      <c r="BN72" s="105" t="e">
        <f>'Alternative 3'!$B$39*$B72*$C72*COS($K$83)-($N$82/3)*$E72*SIN($K$83)-($N$82/3)*$F72*SIN($K$83)-($N$82/3)*$G72*SIN($K$83)</f>
        <v>#VALUE!</v>
      </c>
      <c r="BO72" s="106" t="e">
        <f>IF(($A72&lt;'Alternative 3'!$B$27),(($H72*'Alternative 3'!$B$39)+(3*($N$82/3)*COS($K$83))),IF(($A72&lt;'Alternative 3'!$B$28),(($H72*'Alternative 3'!$B$39)+(2*(($N$82/3)*COS($K$83)))),IF(($A72&lt;'Alternative 3'!$B$29),(($H$3*'Alternative 3'!$B$39+(($N$82/3)*COS($K$83)))),($H72*'Alternative 3'!$B$39))))</f>
        <v>#VALUE!</v>
      </c>
      <c r="BP72" s="105" t="e">
        <f>BN72*'Alternative 3'!$K73/'Alternative 3'!$L73</f>
        <v>#VALUE!</v>
      </c>
      <c r="BQ72" s="105" t="e">
        <f>BO72/'Alternative 3'!$M73</f>
        <v>#VALUE!</v>
      </c>
      <c r="BR72" s="105" t="e">
        <f t="shared" si="28"/>
        <v>#VALUE!</v>
      </c>
      <c r="BT72" s="105" t="e">
        <f>'Alternative 3'!$B$39*$B72*$C72*COS($K$93)-($K$92/3)*$E72*SIN($K$93)-($K$92/3)*$F72*SIN($K$93)-($K$92/3)*$G72*SIN($K$93)</f>
        <v>#VALUE!</v>
      </c>
      <c r="BU72" s="106" t="e">
        <f>IF(($A72&lt;'Alternative 3'!$B$27),(($H72*'Alternative 3'!$B$39)+(3*($N$92/3)*COS($K$93))),IF(($A72&lt;'Alternative 3'!$B$28),(($H72*'Alternative 3'!$B$39)+(2*(($N$92/3)*COS($K$93)))),IF(($A72&lt;'Alternative 3'!$B$29),(($H$3*'Alternative 3'!$B$39+(($N$92/3)*COS($K$93)))),($H72*'Alternative 3'!$B$39))))</f>
        <v>#VALUE!</v>
      </c>
      <c r="BV72" s="105" t="e">
        <f>BT72*'Alternative 3'!$K73/'Alternative 3'!$L73</f>
        <v>#VALUE!</v>
      </c>
      <c r="BW72" s="105" t="e">
        <f>BU72/'Alternative 3'!$M73</f>
        <v>#VALUE!</v>
      </c>
      <c r="BX72" s="105" t="e">
        <f t="shared" si="29"/>
        <v>#VALUE!</v>
      </c>
    </row>
    <row r="73" spans="1:79" ht="15" customHeight="1" x14ac:dyDescent="0.25">
      <c r="A73" s="18" t="str">
        <f>IF('Alternative 3'!F74&gt;0,'Alternative 3'!F74,"x")</f>
        <v>x</v>
      </c>
      <c r="B73" s="18" t="e">
        <f t="shared" si="35"/>
        <v>#VALUE!</v>
      </c>
      <c r="C73" s="18">
        <f t="shared" si="30"/>
        <v>0</v>
      </c>
      <c r="D73" s="18" t="str">
        <f t="shared" si="31"/>
        <v>x</v>
      </c>
      <c r="E73" s="101">
        <f>IF($A73&lt;='Alternative 3'!$B$27, IF($A73='Alternative 3'!$B$27,0,E74+1),0)</f>
        <v>0</v>
      </c>
      <c r="F73" s="101">
        <f>IF($A73&lt;=('Alternative 3'!$B$28), IF($A73=ROUNDDOWN('Alternative 3'!$B$28,0),0,F74+1),0)</f>
        <v>0</v>
      </c>
      <c r="G73" s="101">
        <f>IF($A73&lt;=('Alternative 3'!$B$29), IF($A73=ROUNDDOWN('Alternative 3'!$B$29,0),0,G74+1),0)</f>
        <v>0</v>
      </c>
      <c r="H73" s="18" t="e">
        <f t="shared" si="32"/>
        <v>#VALUE!</v>
      </c>
      <c r="J73" s="104">
        <f t="shared" si="33"/>
        <v>70</v>
      </c>
      <c r="K73" s="109">
        <f t="shared" si="34"/>
        <v>1.2217304763960306</v>
      </c>
      <c r="L73" s="105">
        <f>'Alternative 3'!$B$27*SIN(K73)+'Alternative 3'!$B$28*SIN(K73)+'Alternative 3'!$B$29*SIN(K73)</f>
        <v>62.950008666447992</v>
      </c>
      <c r="M73" s="104">
        <f>(('Alternative 3'!$B$27)*(((('Alternative 3'!$B$28-'Alternative 3'!$B$27)/2)+'Alternative 3'!$B$27)*'Alternative 3'!$B$39)*COS('Alternative 3-Tilt Up (3pt)'!K73))+(('Alternative 3'!$B$28)*((('Alternative 3'!$B$28-'Alternative 3'!$B$27)/2)+(('Alternative 3'!$B$29-'Alternative 3'!$B$28)/2))*('Alternative 3'!$B$39)*COS('Alternative 3-Tilt Up (3pt)'!K73))+(('Alternative 3'!$B$29)*((('Alternative 3'!$B$12-'Alternative 3'!$B$29+(('Alternative 3'!$B$29-'Alternative 3'!$B$28)/2)*('Alternative 3'!$B$39)*COS('Alternative 3-Tilt Up (3pt)'!K73)))))</f>
        <v>768827.38497690973</v>
      </c>
      <c r="N73" s="104">
        <f t="shared" si="18"/>
        <v>36639.902103144137</v>
      </c>
      <c r="O73" s="104">
        <f>(((('Alternative 3'!$B$28-'Alternative 3'!$B$27)/2)+'Alternative 3'!$B$27)*('Alternative 3'!$B$39)*COS('Alternative 3-Tilt Up (3pt)'!K73))+(((('Alternative 3'!$B$28-'Alternative 3'!$B$27)/2)+(('Alternative 3'!$B$29-'Alternative 3'!$B$28)/2))*('Alternative 3'!$B$39)*COS('Alternative 3-Tilt Up (3pt)'!K73))+(((('Alternative 3'!$B$12-'Alternative 3'!$B$29)+(('Alternative 3'!$B$29-'Alternative 3'!$B$28)/2))*('Alternative 3'!$B$39)*COS('Alternative 3-Tilt Up (3pt)'!K73)))</f>
        <v>49940.056967360622</v>
      </c>
      <c r="P73" s="109">
        <f t="shared" si="19"/>
        <v>12531.584568755832</v>
      </c>
      <c r="R73" s="105" t="e">
        <f>'Alternative 3'!$B$39*$B73*$C73*COS($K$5)-($N$5/3)*$E73*SIN($K$5)-($N$5/3)*$F73*SIN($K$5)-($N$5/3)*$G73*SIN($K$5)</f>
        <v>#VALUE!</v>
      </c>
      <c r="S73" s="106" t="e">
        <f>IF(($A73&lt;'Alternative 3'!$B$27),(($H73*'Alternative 3'!$B$39)+(3*($N$5/3)*COS($K$5))),IF(($A73&lt;'Alternative 3'!$B$28),(($H73*'Alternative 3'!$B$39)+(2*(($N$5/3)*COS($K$5)))),IF(($A73&lt;'Alternative 3'!$B$29),(($H$3*'Alternative 3'!$B$39+(($N$5/3)*COS($K$5)))),($H73*'Alternative 3'!$B$39))))</f>
        <v>#VALUE!</v>
      </c>
      <c r="T73" s="105" t="e">
        <f>R73*'Alternative 3'!$K74/'Alternative 3'!$L74</f>
        <v>#VALUE!</v>
      </c>
      <c r="U73" s="105" t="e">
        <f>S73/'Alternative 3'!$M74</f>
        <v>#VALUE!</v>
      </c>
      <c r="V73" s="105" t="e">
        <f t="shared" si="20"/>
        <v>#VALUE!</v>
      </c>
      <c r="X73" s="105" t="e">
        <f>'Alternative 3'!$B$39*$B73*$C73*COS($K$13)-($N$12/3)*$E73*SIN($K$13)-($N$12/3)*$F73*SIN($K$13)-($N$12/3)*$G73*SIN($K$13)</f>
        <v>#VALUE!</v>
      </c>
      <c r="Y73" s="106" t="e">
        <f>IF(($A73&lt;'Alternative 3'!$B$27),(($H73*'Alternative 3'!$B$39)+(3*($N$12/3)*COS($K$13))),IF(($A73&lt;'Alternative 3'!$B$28),(($H73*'Alternative 3'!$B$39)+(2*(($N$12/3)*COS($K$13)))),IF(($A73&lt;'Alternative 3'!$B$29),(($H$3*'Alternative 3'!$B$39+(($N$12/3)*COS($K$13)))),($H73*'Alternative 3'!$B$39))))</f>
        <v>#VALUE!</v>
      </c>
      <c r="Z73" s="105" t="e">
        <f>X73*'Alternative 3'!$K74/'Alternative 3'!$L74</f>
        <v>#VALUE!</v>
      </c>
      <c r="AA73" s="105" t="e">
        <f>Y73/'Alternative 3'!$M74</f>
        <v>#VALUE!</v>
      </c>
      <c r="AB73" s="105" t="e">
        <f t="shared" si="21"/>
        <v>#VALUE!</v>
      </c>
      <c r="AD73" s="105" t="e">
        <f>'Alternative 3'!$B$39*$B73*$C73*COS($K$23)-($N$22/3)*$E73*SIN($K$23)-($N$22/3)*$F73*SIN($K$23)-($N$22/3)*$G73*SIN($K$23)</f>
        <v>#VALUE!</v>
      </c>
      <c r="AE73" s="106" t="e">
        <f>IF(($A73&lt;'Alternative 3'!$B$27),(($H73*'Alternative 3'!$B$39)+(3*($N$22/3)*COS($K$23))),IF(($A73&lt;'Alternative 3'!$B$28),(($H73*'Alternative 3'!$B$39)+(2*(($N$22/3)*COS($K$23)))),IF(($A73&lt;'Alternative 3'!$B$29),(($H$3*'Alternative 3'!$B$39+(($N$22/3)*COS($K$23)))),($H73*'Alternative 3'!$B$39))))</f>
        <v>#VALUE!</v>
      </c>
      <c r="AF73" s="105" t="e">
        <f>AD73*'Alternative 3'!$K74/'Alternative 3'!$L74</f>
        <v>#VALUE!</v>
      </c>
      <c r="AG73" s="105" t="e">
        <f>AE73/'Alternative 3'!$M74</f>
        <v>#VALUE!</v>
      </c>
      <c r="AH73" s="105" t="e">
        <f t="shared" si="22"/>
        <v>#VALUE!</v>
      </c>
      <c r="AJ73" s="105" t="e">
        <f>'Alternative 3'!$B$39*$B73*$C73*COS($K$33)-($N$32/3)*$E73*SIN($K$33)-($N$32/3)*$F73*SIN($K$33)-($N$32/3)*$G73*SIN($K$33)</f>
        <v>#VALUE!</v>
      </c>
      <c r="AK73" s="106" t="e">
        <f>IF(($A73&lt;'Alternative 3'!$B$27),(($H73*'Alternative 3'!$B$39)+(3*($N$32/3)*COS($K$33))),IF(($A73&lt;'Alternative 3'!$B$28),(($H73*'Alternative 3'!$B$39)+(2*(($N$32/3)*COS($K$33)))),IF(($A73&lt;'Alternative 3'!$B$29),(($H$3*'Alternative 3'!$B$39+(($N$32/3)*COS($K$33)))),($H73*'Alternative 3'!$B$39))))</f>
        <v>#VALUE!</v>
      </c>
      <c r="AL73" s="105" t="e">
        <f>AJ73*'Alternative 3'!$K74/'Alternative 3'!$L74</f>
        <v>#VALUE!</v>
      </c>
      <c r="AM73" s="105" t="e">
        <f>AK73/'Alternative 3'!$M74</f>
        <v>#VALUE!</v>
      </c>
      <c r="AN73" s="105" t="e">
        <f t="shared" si="23"/>
        <v>#VALUE!</v>
      </c>
      <c r="AP73" s="105" t="e">
        <f>'Alternative 3'!$B$39*$B73*$C73*COS($K$43)-($N$42/3)*$E73*SIN($K$43)-($N$42/3)*$F73*SIN($K$43)-($N$42/3)*$G73*SIN($K$43)</f>
        <v>#VALUE!</v>
      </c>
      <c r="AQ73" s="106" t="e">
        <f>IF(($A73&lt;'Alternative 3'!$B$27),(($H73*'Alternative 3'!$B$39)+(3*($N$42/3)*COS($K$43))),IF(($A73&lt;'Alternative 3'!$B$28),(($H73*'Alternative 3'!$B$39)+(2*(($N$42/3)*COS($K$43)))),IF(($A73&lt;'Alternative 3'!$B$29),(($H$3*'Alternative 3'!$B$39+(($N$42/3)*COS($K$43)))),($H73*'Alternative 3'!$B$39))))</f>
        <v>#VALUE!</v>
      </c>
      <c r="AR73" s="105" t="e">
        <f>AP73*'Alternative 3'!$K74/'Alternative 3'!$L74</f>
        <v>#VALUE!</v>
      </c>
      <c r="AS73" s="105" t="e">
        <f>AQ73/'Alternative 3'!$M74</f>
        <v>#VALUE!</v>
      </c>
      <c r="AT73" s="105" t="e">
        <f t="shared" si="24"/>
        <v>#VALUE!</v>
      </c>
      <c r="AV73" s="105" t="e">
        <f>'Alternative 3'!$B$39*$B73*$C73*COS($K$53)-($N$52/3)*$E73*SIN($K$53)-($N$52/3)*$F73*SIN($K$53)-($N$52/3)*$G73*SIN($K$53)</f>
        <v>#VALUE!</v>
      </c>
      <c r="AW73" s="106" t="e">
        <f>IF(($A73&lt;'Alternative 3'!$B$27),(($H73*'Alternative 3'!$B$39)+(3*($N$52/3)*COS($K$53))),IF(($A73&lt;'Alternative 3'!$B$28),(($H73*'Alternative 3'!$B$39)+(2*(($N$52/3)*COS($K$53)))),IF(($A73&lt;'Alternative 3'!$B$29),(($H$3*'Alternative 3'!$B$39+(($N$52/3)*COS($K$53)))),($H73*'Alternative 3'!$B$39))))</f>
        <v>#VALUE!</v>
      </c>
      <c r="AX73" s="105" t="e">
        <f>AV73*'Alternative 3'!$K74/'Alternative 3'!$L74</f>
        <v>#VALUE!</v>
      </c>
      <c r="AY73" s="105" t="e">
        <f>AW73/'Alternative 3'!$M74</f>
        <v>#VALUE!</v>
      </c>
      <c r="AZ73" s="105" t="e">
        <f t="shared" si="25"/>
        <v>#VALUE!</v>
      </c>
      <c r="BB73" s="105" t="e">
        <f>'Alternative 3'!$B$39*$B73*$C73*COS($K$63)-($N$62/3)*$E73*SIN($K$63)-($N$62/3)*$F73*SIN($K$63)-($N$62/3)*$G73*SIN($K$63)</f>
        <v>#VALUE!</v>
      </c>
      <c r="BC73" s="106" t="e">
        <f>IF(($A73&lt;'Alternative 3'!$B$27),(($H73*'Alternative 3'!$B$39)+(3*($N$62/3)*COS($K$63))),IF(($A73&lt;'Alternative 3'!$B$28),(($H73*'Alternative 3'!$B$39)+(2*(($N$62/3)*COS($K$63)))),IF(($A73&lt;'Alternative 3'!$B$29),(($H$3*'Alternative 3'!$B$39+(($N$62/3)*COS($K$63)))),($H73*'Alternative 3'!$B$39))))</f>
        <v>#VALUE!</v>
      </c>
      <c r="BD73" s="105" t="e">
        <f>BB73*'Alternative 3'!$K74/'Alternative 3'!$L74</f>
        <v>#VALUE!</v>
      </c>
      <c r="BE73" s="105" t="e">
        <f>BC73/'Alternative 3'!$M74</f>
        <v>#VALUE!</v>
      </c>
      <c r="BF73" s="105" t="e">
        <f t="shared" si="26"/>
        <v>#VALUE!</v>
      </c>
      <c r="BH73" s="105" t="e">
        <f>'Alternative 3'!$B$39*$B73*$C73*COS($K$73)-($N$72/3)*$E73*SIN($K$73)-($N$72/3)*$F73*SIN($K$73)-($N$72/3)*$G73*SIN($K$73)</f>
        <v>#VALUE!</v>
      </c>
      <c r="BI73" s="106" t="e">
        <f>IF(($A73&lt;'Alternative 3'!$B$27),(($H73*'Alternative 3'!$B$39)+(3*($N$72/3)*COS($K$73))),IF(($A73&lt;'Alternative 3'!$B$28),(($H73*'Alternative 3'!$B$39)+(2*(($N$72/3)*COS($K$73)))),IF(($A73&lt;'Alternative 3'!$B$29),(($H$3*'Alternative 3'!$B$39+(($N$72/3)*COS($K$73)))),($H73*'Alternative 3'!$B$39))))</f>
        <v>#VALUE!</v>
      </c>
      <c r="BJ73" s="105" t="e">
        <f>BH73*'Alternative 3'!$K74/'Alternative 3'!$L74</f>
        <v>#VALUE!</v>
      </c>
      <c r="BK73" s="105" t="e">
        <f>BI73/'Alternative 3'!$M74</f>
        <v>#VALUE!</v>
      </c>
      <c r="BL73" s="105" t="e">
        <f t="shared" si="27"/>
        <v>#VALUE!</v>
      </c>
      <c r="BN73" s="105" t="e">
        <f>'Alternative 3'!$B$39*$B73*$C73*COS($K$83)-($N$82/3)*$E73*SIN($K$83)-($N$82/3)*$F73*SIN($K$83)-($N$82/3)*$G73*SIN($K$83)</f>
        <v>#VALUE!</v>
      </c>
      <c r="BO73" s="106" t="e">
        <f>IF(($A73&lt;'Alternative 3'!$B$27),(($H73*'Alternative 3'!$B$39)+(3*($N$82/3)*COS($K$83))),IF(($A73&lt;'Alternative 3'!$B$28),(($H73*'Alternative 3'!$B$39)+(2*(($N$82/3)*COS($K$83)))),IF(($A73&lt;'Alternative 3'!$B$29),(($H$3*'Alternative 3'!$B$39+(($N$82/3)*COS($K$83)))),($H73*'Alternative 3'!$B$39))))</f>
        <v>#VALUE!</v>
      </c>
      <c r="BP73" s="105" t="e">
        <f>BN73*'Alternative 3'!$K74/'Alternative 3'!$L74</f>
        <v>#VALUE!</v>
      </c>
      <c r="BQ73" s="105" t="e">
        <f>BO73/'Alternative 3'!$M74</f>
        <v>#VALUE!</v>
      </c>
      <c r="BR73" s="105" t="e">
        <f t="shared" si="28"/>
        <v>#VALUE!</v>
      </c>
      <c r="BT73" s="105" t="e">
        <f>'Alternative 3'!$B$39*$B73*$C73*COS($K$93)-($K$92/3)*$E73*SIN($K$93)-($K$92/3)*$F73*SIN($K$93)-($K$92/3)*$G73*SIN($K$93)</f>
        <v>#VALUE!</v>
      </c>
      <c r="BU73" s="106" t="e">
        <f>IF(($A73&lt;'Alternative 3'!$B$27),(($H73*'Alternative 3'!$B$39)+(3*($N$92/3)*COS($K$93))),IF(($A73&lt;'Alternative 3'!$B$28),(($H73*'Alternative 3'!$B$39)+(2*(($N$92/3)*COS($K$93)))),IF(($A73&lt;'Alternative 3'!$B$29),(($H$3*'Alternative 3'!$B$39+(($N$92/3)*COS($K$93)))),($H73*'Alternative 3'!$B$39))))</f>
        <v>#VALUE!</v>
      </c>
      <c r="BV73" s="105" t="e">
        <f>BT73*'Alternative 3'!$K74/'Alternative 3'!$L74</f>
        <v>#VALUE!</v>
      </c>
      <c r="BW73" s="105" t="e">
        <f>BU73/'Alternative 3'!$M74</f>
        <v>#VALUE!</v>
      </c>
      <c r="BX73" s="105" t="e">
        <f t="shared" si="29"/>
        <v>#VALUE!</v>
      </c>
    </row>
    <row r="74" spans="1:79" ht="15" customHeight="1" x14ac:dyDescent="0.25">
      <c r="A74" s="18" t="str">
        <f>IF('Alternative 3'!F75&gt;0,'Alternative 3'!F75,"x")</f>
        <v>x</v>
      </c>
      <c r="B74" s="18" t="e">
        <f t="shared" si="35"/>
        <v>#VALUE!</v>
      </c>
      <c r="C74" s="18">
        <f t="shared" si="30"/>
        <v>0</v>
      </c>
      <c r="D74" s="18" t="str">
        <f t="shared" si="31"/>
        <v>x</v>
      </c>
      <c r="E74" s="101">
        <f>IF($A74&lt;='Alternative 3'!$B$27, IF($A74='Alternative 3'!$B$27,0,E75+1),0)</f>
        <v>0</v>
      </c>
      <c r="F74" s="101">
        <f>IF($A74&lt;=('Alternative 3'!$B$28), IF($A74=ROUNDDOWN('Alternative 3'!$B$28,0),0,F75+1),0)</f>
        <v>0</v>
      </c>
      <c r="G74" s="101">
        <f>IF($A74&lt;=('Alternative 3'!$B$29), IF($A74=ROUNDDOWN('Alternative 3'!$B$29,0),0,G75+1),0)</f>
        <v>0</v>
      </c>
      <c r="H74" s="18" t="e">
        <f t="shared" si="32"/>
        <v>#VALUE!</v>
      </c>
      <c r="J74" s="104">
        <f t="shared" si="33"/>
        <v>71</v>
      </c>
      <c r="K74" s="104">
        <f t="shared" si="34"/>
        <v>1.2391837689159739</v>
      </c>
      <c r="L74" s="105">
        <f>'Alternative 3'!$B$27*SIN(K74)+'Alternative 3'!$B$28*SIN(K74)+'Alternative 3'!$B$29*SIN(K74)</f>
        <v>63.340289379398229</v>
      </c>
      <c r="M74" s="104">
        <f>(('Alternative 3'!$B$27)*(((('Alternative 3'!$B$28-'Alternative 3'!$B$27)/2)+'Alternative 3'!$B$27)*'Alternative 3'!$B$39)*COS('Alternative 3-Tilt Up (3pt)'!K74))+(('Alternative 3'!$B$28)*((('Alternative 3'!$B$28-'Alternative 3'!$B$27)/2)+(('Alternative 3'!$B$29-'Alternative 3'!$B$28)/2))*('Alternative 3'!$B$39)*COS('Alternative 3-Tilt Up (3pt)'!K74))+(('Alternative 3'!$B$29)*((('Alternative 3'!$B$12-'Alternative 3'!$B$29+(('Alternative 3'!$B$29-'Alternative 3'!$B$28)/2)*('Alternative 3'!$B$39)*COS('Alternative 3-Tilt Up (3pt)'!K74)))))</f>
        <v>731853.68495527096</v>
      </c>
      <c r="N74" s="104">
        <f t="shared" si="18"/>
        <v>34662.946386536889</v>
      </c>
      <c r="O74" s="104">
        <f>(((('Alternative 3'!$B$28-'Alternative 3'!$B$27)/2)+'Alternative 3'!$B$27)*('Alternative 3'!$B$39)*COS('Alternative 3-Tilt Up (3pt)'!K74))+(((('Alternative 3'!$B$28-'Alternative 3'!$B$27)/2)+(('Alternative 3'!$B$29-'Alternative 3'!$B$28)/2))*('Alternative 3'!$B$39)*COS('Alternative 3-Tilt Up (3pt)'!K74))+(((('Alternative 3'!$B$12-'Alternative 3'!$B$29)+(('Alternative 3'!$B$29-'Alternative 3'!$B$28)/2))*('Alternative 3'!$B$39)*COS('Alternative 3-Tilt Up (3pt)'!K74)))</f>
        <v>47537.82049868122</v>
      </c>
      <c r="P74" s="104">
        <f t="shared" si="19"/>
        <v>11285.151483112186</v>
      </c>
      <c r="R74" s="105" t="e">
        <f>'Alternative 3'!$B$39*$B74*$C74*COS($K$5)-($N$5/3)*$E74*SIN($K$5)-($N$5/3)*$F74*SIN($K$5)-($N$5/3)*$G74*SIN($K$5)</f>
        <v>#VALUE!</v>
      </c>
      <c r="S74" s="106" t="e">
        <f>IF(($A74&lt;'Alternative 3'!$B$27),(($H74*'Alternative 3'!$B$39)+(3*($N$5/3)*COS($K$5))),IF(($A74&lt;'Alternative 3'!$B$28),(($H74*'Alternative 3'!$B$39)+(2*(($N$5/3)*COS($K$5)))),IF(($A74&lt;'Alternative 3'!$B$29),(($H$3*'Alternative 3'!$B$39+(($N$5/3)*COS($K$5)))),($H74*'Alternative 3'!$B$39))))</f>
        <v>#VALUE!</v>
      </c>
      <c r="T74" s="105" t="e">
        <f>R74*'Alternative 3'!$K75/'Alternative 3'!$L75</f>
        <v>#VALUE!</v>
      </c>
      <c r="U74" s="105" t="e">
        <f>S74/'Alternative 3'!$M75</f>
        <v>#VALUE!</v>
      </c>
      <c r="V74" s="105" t="e">
        <f t="shared" si="20"/>
        <v>#VALUE!</v>
      </c>
      <c r="X74" s="105" t="e">
        <f>'Alternative 3'!$B$39*$B74*$C74*COS($K$13)-($N$12/3)*$E74*SIN($K$13)-($N$12/3)*$F74*SIN($K$13)-($N$12/3)*$G74*SIN($K$13)</f>
        <v>#VALUE!</v>
      </c>
      <c r="Y74" s="106" t="e">
        <f>IF(($A74&lt;'Alternative 3'!$B$27),(($H74*'Alternative 3'!$B$39)+(3*($N$12/3)*COS($K$13))),IF(($A74&lt;'Alternative 3'!$B$28),(($H74*'Alternative 3'!$B$39)+(2*(($N$12/3)*COS($K$13)))),IF(($A74&lt;'Alternative 3'!$B$29),(($H$3*'Alternative 3'!$B$39+(($N$12/3)*COS($K$13)))),($H74*'Alternative 3'!$B$39))))</f>
        <v>#VALUE!</v>
      </c>
      <c r="Z74" s="105" t="e">
        <f>X74*'Alternative 3'!$K75/'Alternative 3'!$L75</f>
        <v>#VALUE!</v>
      </c>
      <c r="AA74" s="105" t="e">
        <f>Y74/'Alternative 3'!$M75</f>
        <v>#VALUE!</v>
      </c>
      <c r="AB74" s="105" t="e">
        <f t="shared" si="21"/>
        <v>#VALUE!</v>
      </c>
      <c r="AD74" s="105" t="e">
        <f>'Alternative 3'!$B$39*$B74*$C74*COS($K$23)-($N$22/3)*$E74*SIN($K$23)-($N$22/3)*$F74*SIN($K$23)-($N$22/3)*$G74*SIN($K$23)</f>
        <v>#VALUE!</v>
      </c>
      <c r="AE74" s="106" t="e">
        <f>IF(($A74&lt;'Alternative 3'!$B$27),(($H74*'Alternative 3'!$B$39)+(3*($N$22/3)*COS($K$23))),IF(($A74&lt;'Alternative 3'!$B$28),(($H74*'Alternative 3'!$B$39)+(2*(($N$22/3)*COS($K$23)))),IF(($A74&lt;'Alternative 3'!$B$29),(($H$3*'Alternative 3'!$B$39+(($N$22/3)*COS($K$23)))),($H74*'Alternative 3'!$B$39))))</f>
        <v>#VALUE!</v>
      </c>
      <c r="AF74" s="105" t="e">
        <f>AD74*'Alternative 3'!$K75/'Alternative 3'!$L75</f>
        <v>#VALUE!</v>
      </c>
      <c r="AG74" s="105" t="e">
        <f>AE74/'Alternative 3'!$M75</f>
        <v>#VALUE!</v>
      </c>
      <c r="AH74" s="105" t="e">
        <f t="shared" si="22"/>
        <v>#VALUE!</v>
      </c>
      <c r="AJ74" s="105" t="e">
        <f>'Alternative 3'!$B$39*$B74*$C74*COS($K$33)-($N$32/3)*$E74*SIN($K$33)-($N$32/3)*$F74*SIN($K$33)-($N$32/3)*$G74*SIN($K$33)</f>
        <v>#VALUE!</v>
      </c>
      <c r="AK74" s="106" t="e">
        <f>IF(($A74&lt;'Alternative 3'!$B$27),(($H74*'Alternative 3'!$B$39)+(3*($N$32/3)*COS($K$33))),IF(($A74&lt;'Alternative 3'!$B$28),(($H74*'Alternative 3'!$B$39)+(2*(($N$32/3)*COS($K$33)))),IF(($A74&lt;'Alternative 3'!$B$29),(($H$3*'Alternative 3'!$B$39+(($N$32/3)*COS($K$33)))),($H74*'Alternative 3'!$B$39))))</f>
        <v>#VALUE!</v>
      </c>
      <c r="AL74" s="105" t="e">
        <f>AJ74*'Alternative 3'!$K75/'Alternative 3'!$L75</f>
        <v>#VALUE!</v>
      </c>
      <c r="AM74" s="105" t="e">
        <f>AK74/'Alternative 3'!$M75</f>
        <v>#VALUE!</v>
      </c>
      <c r="AN74" s="105" t="e">
        <f t="shared" si="23"/>
        <v>#VALUE!</v>
      </c>
      <c r="AP74" s="105" t="e">
        <f>'Alternative 3'!$B$39*$B74*$C74*COS($K$43)-($N$42/3)*$E74*SIN($K$43)-($N$42/3)*$F74*SIN($K$43)-($N$42/3)*$G74*SIN($K$43)</f>
        <v>#VALUE!</v>
      </c>
      <c r="AQ74" s="106" t="e">
        <f>IF(($A74&lt;'Alternative 3'!$B$27),(($H74*'Alternative 3'!$B$39)+(3*($N$42/3)*COS($K$43))),IF(($A74&lt;'Alternative 3'!$B$28),(($H74*'Alternative 3'!$B$39)+(2*(($N$42/3)*COS($K$43)))),IF(($A74&lt;'Alternative 3'!$B$29),(($H$3*'Alternative 3'!$B$39+(($N$42/3)*COS($K$43)))),($H74*'Alternative 3'!$B$39))))</f>
        <v>#VALUE!</v>
      </c>
      <c r="AR74" s="105" t="e">
        <f>AP74*'Alternative 3'!$K75/'Alternative 3'!$L75</f>
        <v>#VALUE!</v>
      </c>
      <c r="AS74" s="105" t="e">
        <f>AQ74/'Alternative 3'!$M75</f>
        <v>#VALUE!</v>
      </c>
      <c r="AT74" s="105" t="e">
        <f t="shared" si="24"/>
        <v>#VALUE!</v>
      </c>
      <c r="AV74" s="105" t="e">
        <f>'Alternative 3'!$B$39*$B74*$C74*COS($K$53)-($N$52/3)*$E74*SIN($K$53)-($N$52/3)*$F74*SIN($K$53)-($N$52/3)*$G74*SIN($K$53)</f>
        <v>#VALUE!</v>
      </c>
      <c r="AW74" s="106" t="e">
        <f>IF(($A74&lt;'Alternative 3'!$B$27),(($H74*'Alternative 3'!$B$39)+(3*($N$52/3)*COS($K$53))),IF(($A74&lt;'Alternative 3'!$B$28),(($H74*'Alternative 3'!$B$39)+(2*(($N$52/3)*COS($K$53)))),IF(($A74&lt;'Alternative 3'!$B$29),(($H$3*'Alternative 3'!$B$39+(($N$52/3)*COS($K$53)))),($H74*'Alternative 3'!$B$39))))</f>
        <v>#VALUE!</v>
      </c>
      <c r="AX74" s="105" t="e">
        <f>AV74*'Alternative 3'!$K75/'Alternative 3'!$L75</f>
        <v>#VALUE!</v>
      </c>
      <c r="AY74" s="105" t="e">
        <f>AW74/'Alternative 3'!$M75</f>
        <v>#VALUE!</v>
      </c>
      <c r="AZ74" s="105" t="e">
        <f t="shared" si="25"/>
        <v>#VALUE!</v>
      </c>
      <c r="BB74" s="105" t="e">
        <f>'Alternative 3'!$B$39*$B74*$C74*COS($K$63)-($N$62/3)*$E74*SIN($K$63)-($N$62/3)*$F74*SIN($K$63)-($N$62/3)*$G74*SIN($K$63)</f>
        <v>#VALUE!</v>
      </c>
      <c r="BC74" s="106" t="e">
        <f>IF(($A74&lt;'Alternative 3'!$B$27),(($H74*'Alternative 3'!$B$39)+(3*($N$62/3)*COS($K$63))),IF(($A74&lt;'Alternative 3'!$B$28),(($H74*'Alternative 3'!$B$39)+(2*(($N$62/3)*COS($K$63)))),IF(($A74&lt;'Alternative 3'!$B$29),(($H$3*'Alternative 3'!$B$39+(($N$62/3)*COS($K$63)))),($H74*'Alternative 3'!$B$39))))</f>
        <v>#VALUE!</v>
      </c>
      <c r="BD74" s="105" t="e">
        <f>BB74*'Alternative 3'!$K75/'Alternative 3'!$L75</f>
        <v>#VALUE!</v>
      </c>
      <c r="BE74" s="105" t="e">
        <f>BC74/'Alternative 3'!$M75</f>
        <v>#VALUE!</v>
      </c>
      <c r="BF74" s="105" t="e">
        <f t="shared" si="26"/>
        <v>#VALUE!</v>
      </c>
      <c r="BH74" s="105" t="e">
        <f>'Alternative 3'!$B$39*$B74*$C74*COS($K$73)-($N$72/3)*$E74*SIN($K$73)-($N$72/3)*$F74*SIN($K$73)-($N$72/3)*$G74*SIN($K$73)</f>
        <v>#VALUE!</v>
      </c>
      <c r="BI74" s="106" t="e">
        <f>IF(($A74&lt;'Alternative 3'!$B$27),(($H74*'Alternative 3'!$B$39)+(3*($N$72/3)*COS($K$73))),IF(($A74&lt;'Alternative 3'!$B$28),(($H74*'Alternative 3'!$B$39)+(2*(($N$72/3)*COS($K$73)))),IF(($A74&lt;'Alternative 3'!$B$29),(($H$3*'Alternative 3'!$B$39+(($N$72/3)*COS($K$73)))),($H74*'Alternative 3'!$B$39))))</f>
        <v>#VALUE!</v>
      </c>
      <c r="BJ74" s="105" t="e">
        <f>BH74*'Alternative 3'!$K75/'Alternative 3'!$L75</f>
        <v>#VALUE!</v>
      </c>
      <c r="BK74" s="105" t="e">
        <f>BI74/'Alternative 3'!$M75</f>
        <v>#VALUE!</v>
      </c>
      <c r="BL74" s="105" t="e">
        <f t="shared" si="27"/>
        <v>#VALUE!</v>
      </c>
      <c r="BN74" s="105" t="e">
        <f>'Alternative 3'!$B$39*$B74*$C74*COS($K$83)-($N$82/3)*$E74*SIN($K$83)-($N$82/3)*$F74*SIN($K$83)-($N$82/3)*$G74*SIN($K$83)</f>
        <v>#VALUE!</v>
      </c>
      <c r="BO74" s="106" t="e">
        <f>IF(($A74&lt;'Alternative 3'!$B$27),(($H74*'Alternative 3'!$B$39)+(3*($N$82/3)*COS($K$83))),IF(($A74&lt;'Alternative 3'!$B$28),(($H74*'Alternative 3'!$B$39)+(2*(($N$82/3)*COS($K$83)))),IF(($A74&lt;'Alternative 3'!$B$29),(($H$3*'Alternative 3'!$B$39+(($N$82/3)*COS($K$83)))),($H74*'Alternative 3'!$B$39))))</f>
        <v>#VALUE!</v>
      </c>
      <c r="BP74" s="105" t="e">
        <f>BN74*'Alternative 3'!$K75/'Alternative 3'!$L75</f>
        <v>#VALUE!</v>
      </c>
      <c r="BQ74" s="105" t="e">
        <f>BO74/'Alternative 3'!$M75</f>
        <v>#VALUE!</v>
      </c>
      <c r="BR74" s="105" t="e">
        <f t="shared" si="28"/>
        <v>#VALUE!</v>
      </c>
      <c r="BT74" s="105" t="e">
        <f>'Alternative 3'!$B$39*$B74*$C74*COS($K$93)-($K$92/3)*$E74*SIN($K$93)-($K$92/3)*$F74*SIN($K$93)-($K$92/3)*$G74*SIN($K$93)</f>
        <v>#VALUE!</v>
      </c>
      <c r="BU74" s="106" t="e">
        <f>IF(($A74&lt;'Alternative 3'!$B$27),(($H74*'Alternative 3'!$B$39)+(3*($N$92/3)*COS($K$93))),IF(($A74&lt;'Alternative 3'!$B$28),(($H74*'Alternative 3'!$B$39)+(2*(($N$92/3)*COS($K$93)))),IF(($A74&lt;'Alternative 3'!$B$29),(($H$3*'Alternative 3'!$B$39+(($N$92/3)*COS($K$93)))),($H74*'Alternative 3'!$B$39))))</f>
        <v>#VALUE!</v>
      </c>
      <c r="BV74" s="105" t="e">
        <f>BT74*'Alternative 3'!$K75/'Alternative 3'!$L75</f>
        <v>#VALUE!</v>
      </c>
      <c r="BW74" s="105" t="e">
        <f>BU74/'Alternative 3'!$M75</f>
        <v>#VALUE!</v>
      </c>
      <c r="BX74" s="105" t="e">
        <f t="shared" si="29"/>
        <v>#VALUE!</v>
      </c>
    </row>
    <row r="75" spans="1:79" ht="15" customHeight="1" x14ac:dyDescent="0.25">
      <c r="A75" s="18" t="str">
        <f>IF('Alternative 3'!F76&gt;0,'Alternative 3'!F76,"x")</f>
        <v>x</v>
      </c>
      <c r="B75" s="18" t="e">
        <f t="shared" si="35"/>
        <v>#VALUE!</v>
      </c>
      <c r="C75" s="18">
        <f t="shared" si="30"/>
        <v>0</v>
      </c>
      <c r="D75" s="18" t="str">
        <f t="shared" si="31"/>
        <v>x</v>
      </c>
      <c r="E75" s="101">
        <f>IF($A75&lt;='Alternative 3'!$B$27, IF($A75='Alternative 3'!$B$27,0,E76+1),0)</f>
        <v>0</v>
      </c>
      <c r="F75" s="101">
        <f>IF($A75&lt;=('Alternative 3'!$B$28), IF($A75=ROUNDDOWN('Alternative 3'!$B$28,0),0,F76+1),0)</f>
        <v>0</v>
      </c>
      <c r="G75" s="101">
        <f>IF($A75&lt;=('Alternative 3'!$B$29), IF($A75=ROUNDDOWN('Alternative 3'!$B$29,0),0,G76+1),0)</f>
        <v>0</v>
      </c>
      <c r="H75" s="18" t="e">
        <f t="shared" si="32"/>
        <v>#VALUE!</v>
      </c>
      <c r="J75" s="104">
        <f t="shared" si="33"/>
        <v>72</v>
      </c>
      <c r="K75" s="104">
        <f t="shared" si="34"/>
        <v>1.2566370614359172</v>
      </c>
      <c r="L75" s="105">
        <f>'Alternative 3'!$B$27*SIN(K75)+'Alternative 3'!$B$28*SIN(K75)+'Alternative 3'!$B$29*SIN(K75)</f>
        <v>63.711276026612339</v>
      </c>
      <c r="M75" s="104">
        <f>(('Alternative 3'!$B$27)*(((('Alternative 3'!$B$28-'Alternative 3'!$B$27)/2)+'Alternative 3'!$B$27)*'Alternative 3'!$B$39)*COS('Alternative 3-Tilt Up (3pt)'!K75))+(('Alternative 3'!$B$28)*((('Alternative 3'!$B$28-'Alternative 3'!$B$27)/2)+(('Alternative 3'!$B$29-'Alternative 3'!$B$28)/2))*('Alternative 3'!$B$39)*COS('Alternative 3-Tilt Up (3pt)'!K75))+(('Alternative 3'!$B$29)*((('Alternative 3'!$B$12-'Alternative 3'!$B$29+(('Alternative 3'!$B$29-'Alternative 3'!$B$28)/2)*('Alternative 3'!$B$39)*COS('Alternative 3-Tilt Up (3pt)'!K75)))))</f>
        <v>694657.11056048924</v>
      </c>
      <c r="N75" s="104">
        <f t="shared" si="18"/>
        <v>32709.61534047738</v>
      </c>
      <c r="O75" s="104">
        <f>(((('Alternative 3'!$B$28-'Alternative 3'!$B$27)/2)+'Alternative 3'!$B$27)*('Alternative 3'!$B$39)*COS('Alternative 3-Tilt Up (3pt)'!K75))+(((('Alternative 3'!$B$28-'Alternative 3'!$B$27)/2)+(('Alternative 3'!$B$29-'Alternative 3'!$B$28)/2))*('Alternative 3'!$B$39)*COS('Alternative 3-Tilt Up (3pt)'!K75))+(((('Alternative 3'!$B$12-'Alternative 3'!$B$29)+(('Alternative 3'!$B$29-'Alternative 3'!$B$28)/2))*('Alternative 3'!$B$39)*COS('Alternative 3-Tilt Up (3pt)'!K75)))</f>
        <v>45121.103549368716</v>
      </c>
      <c r="P75" s="104">
        <f t="shared" si="19"/>
        <v>10107.827019674993</v>
      </c>
      <c r="R75" s="105" t="e">
        <f>'Alternative 3'!$B$39*$B75*$C75*COS($K$5)-($N$5/3)*$E75*SIN($K$5)-($N$5/3)*$F75*SIN($K$5)-($N$5/3)*$G75*SIN($K$5)</f>
        <v>#VALUE!</v>
      </c>
      <c r="S75" s="106" t="e">
        <f>IF(($A75&lt;'Alternative 3'!$B$27),(($H75*'Alternative 3'!$B$39)+(3*($N$5/3)*COS($K$5))),IF(($A75&lt;'Alternative 3'!$B$28),(($H75*'Alternative 3'!$B$39)+(2*(($N$5/3)*COS($K$5)))),IF(($A75&lt;'Alternative 3'!$B$29),(($H$3*'Alternative 3'!$B$39+(($N$5/3)*COS($K$5)))),($H75*'Alternative 3'!$B$39))))</f>
        <v>#VALUE!</v>
      </c>
      <c r="T75" s="105" t="e">
        <f>R75*'Alternative 3'!$K76/'Alternative 3'!$L76</f>
        <v>#VALUE!</v>
      </c>
      <c r="U75" s="105" t="e">
        <f>S75/'Alternative 3'!$M76</f>
        <v>#VALUE!</v>
      </c>
      <c r="V75" s="105" t="e">
        <f t="shared" si="20"/>
        <v>#VALUE!</v>
      </c>
      <c r="X75" s="105" t="e">
        <f>'Alternative 3'!$B$39*$B75*$C75*COS($K$13)-($N$12/3)*$E75*SIN($K$13)-($N$12/3)*$F75*SIN($K$13)-($N$12/3)*$G75*SIN($K$13)</f>
        <v>#VALUE!</v>
      </c>
      <c r="Y75" s="106" t="e">
        <f>IF(($A75&lt;'Alternative 3'!$B$27),(($H75*'Alternative 3'!$B$39)+(3*($N$12/3)*COS($K$13))),IF(($A75&lt;'Alternative 3'!$B$28),(($H75*'Alternative 3'!$B$39)+(2*(($N$12/3)*COS($K$13)))),IF(($A75&lt;'Alternative 3'!$B$29),(($H$3*'Alternative 3'!$B$39+(($N$12/3)*COS($K$13)))),($H75*'Alternative 3'!$B$39))))</f>
        <v>#VALUE!</v>
      </c>
      <c r="Z75" s="105" t="e">
        <f>X75*'Alternative 3'!$K76/'Alternative 3'!$L76</f>
        <v>#VALUE!</v>
      </c>
      <c r="AA75" s="105" t="e">
        <f>Y75/'Alternative 3'!$M76</f>
        <v>#VALUE!</v>
      </c>
      <c r="AB75" s="105" t="e">
        <f t="shared" si="21"/>
        <v>#VALUE!</v>
      </c>
      <c r="AD75" s="105" t="e">
        <f>'Alternative 3'!$B$39*$B75*$C75*COS($K$23)-($N$22/3)*$E75*SIN($K$23)-($N$22/3)*$F75*SIN($K$23)-($N$22/3)*$G75*SIN($K$23)</f>
        <v>#VALUE!</v>
      </c>
      <c r="AE75" s="106" t="e">
        <f>IF(($A75&lt;'Alternative 3'!$B$27),(($H75*'Alternative 3'!$B$39)+(3*($N$22/3)*COS($K$23))),IF(($A75&lt;'Alternative 3'!$B$28),(($H75*'Alternative 3'!$B$39)+(2*(($N$22/3)*COS($K$23)))),IF(($A75&lt;'Alternative 3'!$B$29),(($H$3*'Alternative 3'!$B$39+(($N$22/3)*COS($K$23)))),($H75*'Alternative 3'!$B$39))))</f>
        <v>#VALUE!</v>
      </c>
      <c r="AF75" s="105" t="e">
        <f>AD75*'Alternative 3'!$K76/'Alternative 3'!$L76</f>
        <v>#VALUE!</v>
      </c>
      <c r="AG75" s="105" t="e">
        <f>AE75/'Alternative 3'!$M76</f>
        <v>#VALUE!</v>
      </c>
      <c r="AH75" s="105" t="e">
        <f t="shared" si="22"/>
        <v>#VALUE!</v>
      </c>
      <c r="AJ75" s="105" t="e">
        <f>'Alternative 3'!$B$39*$B75*$C75*COS($K$33)-($N$32/3)*$E75*SIN($K$33)-($N$32/3)*$F75*SIN($K$33)-($N$32/3)*$G75*SIN($K$33)</f>
        <v>#VALUE!</v>
      </c>
      <c r="AK75" s="106" t="e">
        <f>IF(($A75&lt;'Alternative 3'!$B$27),(($H75*'Alternative 3'!$B$39)+(3*($N$32/3)*COS($K$33))),IF(($A75&lt;'Alternative 3'!$B$28),(($H75*'Alternative 3'!$B$39)+(2*(($N$32/3)*COS($K$33)))),IF(($A75&lt;'Alternative 3'!$B$29),(($H$3*'Alternative 3'!$B$39+(($N$32/3)*COS($K$33)))),($H75*'Alternative 3'!$B$39))))</f>
        <v>#VALUE!</v>
      </c>
      <c r="AL75" s="105" t="e">
        <f>AJ75*'Alternative 3'!$K76/'Alternative 3'!$L76</f>
        <v>#VALUE!</v>
      </c>
      <c r="AM75" s="105" t="e">
        <f>AK75/'Alternative 3'!$M76</f>
        <v>#VALUE!</v>
      </c>
      <c r="AN75" s="105" t="e">
        <f t="shared" si="23"/>
        <v>#VALUE!</v>
      </c>
      <c r="AP75" s="105" t="e">
        <f>'Alternative 3'!$B$39*$B75*$C75*COS($K$43)-($N$42/3)*$E75*SIN($K$43)-($N$42/3)*$F75*SIN($K$43)-($N$42/3)*$G75*SIN($K$43)</f>
        <v>#VALUE!</v>
      </c>
      <c r="AQ75" s="106" t="e">
        <f>IF(($A75&lt;'Alternative 3'!$B$27),(($H75*'Alternative 3'!$B$39)+(3*($N$42/3)*COS($K$43))),IF(($A75&lt;'Alternative 3'!$B$28),(($H75*'Alternative 3'!$B$39)+(2*(($N$42/3)*COS($K$43)))),IF(($A75&lt;'Alternative 3'!$B$29),(($H$3*'Alternative 3'!$B$39+(($N$42/3)*COS($K$43)))),($H75*'Alternative 3'!$B$39))))</f>
        <v>#VALUE!</v>
      </c>
      <c r="AR75" s="105" t="e">
        <f>AP75*'Alternative 3'!$K76/'Alternative 3'!$L76</f>
        <v>#VALUE!</v>
      </c>
      <c r="AS75" s="105" t="e">
        <f>AQ75/'Alternative 3'!$M76</f>
        <v>#VALUE!</v>
      </c>
      <c r="AT75" s="105" t="e">
        <f t="shared" si="24"/>
        <v>#VALUE!</v>
      </c>
      <c r="AV75" s="105" t="e">
        <f>'Alternative 3'!$B$39*$B75*$C75*COS($K$53)-($N$52/3)*$E75*SIN($K$53)-($N$52/3)*$F75*SIN($K$53)-($N$52/3)*$G75*SIN($K$53)</f>
        <v>#VALUE!</v>
      </c>
      <c r="AW75" s="106" t="e">
        <f>IF(($A75&lt;'Alternative 3'!$B$27),(($H75*'Alternative 3'!$B$39)+(3*($N$52/3)*COS($K$53))),IF(($A75&lt;'Alternative 3'!$B$28),(($H75*'Alternative 3'!$B$39)+(2*(($N$52/3)*COS($K$53)))),IF(($A75&lt;'Alternative 3'!$B$29),(($H$3*'Alternative 3'!$B$39+(($N$52/3)*COS($K$53)))),($H75*'Alternative 3'!$B$39))))</f>
        <v>#VALUE!</v>
      </c>
      <c r="AX75" s="105" t="e">
        <f>AV75*'Alternative 3'!$K76/'Alternative 3'!$L76</f>
        <v>#VALUE!</v>
      </c>
      <c r="AY75" s="105" t="e">
        <f>AW75/'Alternative 3'!$M76</f>
        <v>#VALUE!</v>
      </c>
      <c r="AZ75" s="105" t="e">
        <f t="shared" si="25"/>
        <v>#VALUE!</v>
      </c>
      <c r="BB75" s="105" t="e">
        <f>'Alternative 3'!$B$39*$B75*$C75*COS($K$63)-($N$62/3)*$E75*SIN($K$63)-($N$62/3)*$F75*SIN($K$63)-($N$62/3)*$G75*SIN($K$63)</f>
        <v>#VALUE!</v>
      </c>
      <c r="BC75" s="106" t="e">
        <f>IF(($A75&lt;'Alternative 3'!$B$27),(($H75*'Alternative 3'!$B$39)+(3*($N$62/3)*COS($K$63))),IF(($A75&lt;'Alternative 3'!$B$28),(($H75*'Alternative 3'!$B$39)+(2*(($N$62/3)*COS($K$63)))),IF(($A75&lt;'Alternative 3'!$B$29),(($H$3*'Alternative 3'!$B$39+(($N$62/3)*COS($K$63)))),($H75*'Alternative 3'!$B$39))))</f>
        <v>#VALUE!</v>
      </c>
      <c r="BD75" s="105" t="e">
        <f>BB75*'Alternative 3'!$K76/'Alternative 3'!$L76</f>
        <v>#VALUE!</v>
      </c>
      <c r="BE75" s="105" t="e">
        <f>BC75/'Alternative 3'!$M76</f>
        <v>#VALUE!</v>
      </c>
      <c r="BF75" s="105" t="e">
        <f t="shared" si="26"/>
        <v>#VALUE!</v>
      </c>
      <c r="BH75" s="105" t="e">
        <f>'Alternative 3'!$B$39*$B75*$C75*COS($K$73)-($N$72/3)*$E75*SIN($K$73)-($N$72/3)*$F75*SIN($K$73)-($N$72/3)*$G75*SIN($K$73)</f>
        <v>#VALUE!</v>
      </c>
      <c r="BI75" s="106" t="e">
        <f>IF(($A75&lt;'Alternative 3'!$B$27),(($H75*'Alternative 3'!$B$39)+(3*($N$72/3)*COS($K$73))),IF(($A75&lt;'Alternative 3'!$B$28),(($H75*'Alternative 3'!$B$39)+(2*(($N$72/3)*COS($K$73)))),IF(($A75&lt;'Alternative 3'!$B$29),(($H$3*'Alternative 3'!$B$39+(($N$72/3)*COS($K$73)))),($H75*'Alternative 3'!$B$39))))</f>
        <v>#VALUE!</v>
      </c>
      <c r="BJ75" s="105" t="e">
        <f>BH75*'Alternative 3'!$K76/'Alternative 3'!$L76</f>
        <v>#VALUE!</v>
      </c>
      <c r="BK75" s="105" t="e">
        <f>BI75/'Alternative 3'!$M76</f>
        <v>#VALUE!</v>
      </c>
      <c r="BL75" s="105" t="e">
        <f t="shared" si="27"/>
        <v>#VALUE!</v>
      </c>
      <c r="BN75" s="105" t="e">
        <f>'Alternative 3'!$B$39*$B75*$C75*COS($K$83)-($N$82/3)*$E75*SIN($K$83)-($N$82/3)*$F75*SIN($K$83)-($N$82/3)*$G75*SIN($K$83)</f>
        <v>#VALUE!</v>
      </c>
      <c r="BO75" s="106" t="e">
        <f>IF(($A75&lt;'Alternative 3'!$B$27),(($H75*'Alternative 3'!$B$39)+(3*($N$82/3)*COS($K$83))),IF(($A75&lt;'Alternative 3'!$B$28),(($H75*'Alternative 3'!$B$39)+(2*(($N$82/3)*COS($K$83)))),IF(($A75&lt;'Alternative 3'!$B$29),(($H$3*'Alternative 3'!$B$39+(($N$82/3)*COS($K$83)))),($H75*'Alternative 3'!$B$39))))</f>
        <v>#VALUE!</v>
      </c>
      <c r="BP75" s="105" t="e">
        <f>BN75*'Alternative 3'!$K76/'Alternative 3'!$L76</f>
        <v>#VALUE!</v>
      </c>
      <c r="BQ75" s="105" t="e">
        <f>BO75/'Alternative 3'!$M76</f>
        <v>#VALUE!</v>
      </c>
      <c r="BR75" s="105" t="e">
        <f t="shared" si="28"/>
        <v>#VALUE!</v>
      </c>
      <c r="BT75" s="105" t="e">
        <f>'Alternative 3'!$B$39*$B75*$C75*COS($K$93)-($K$92/3)*$E75*SIN($K$93)-($K$92/3)*$F75*SIN($K$93)-($K$92/3)*$G75*SIN($K$93)</f>
        <v>#VALUE!</v>
      </c>
      <c r="BU75" s="106" t="e">
        <f>IF(($A75&lt;'Alternative 3'!$B$27),(($H75*'Alternative 3'!$B$39)+(3*($N$92/3)*COS($K$93))),IF(($A75&lt;'Alternative 3'!$B$28),(($H75*'Alternative 3'!$B$39)+(2*(($N$92/3)*COS($K$93)))),IF(($A75&lt;'Alternative 3'!$B$29),(($H$3*'Alternative 3'!$B$39+(($N$92/3)*COS($K$93)))),($H75*'Alternative 3'!$B$39))))</f>
        <v>#VALUE!</v>
      </c>
      <c r="BV75" s="105" t="e">
        <f>BT75*'Alternative 3'!$K76/'Alternative 3'!$L76</f>
        <v>#VALUE!</v>
      </c>
      <c r="BW75" s="105" t="e">
        <f>BU75/'Alternative 3'!$M76</f>
        <v>#VALUE!</v>
      </c>
      <c r="BX75" s="105" t="e">
        <f t="shared" si="29"/>
        <v>#VALUE!</v>
      </c>
    </row>
    <row r="76" spans="1:79" ht="15" customHeight="1" x14ac:dyDescent="0.25">
      <c r="A76" s="18" t="str">
        <f>IF('Alternative 3'!F77&gt;0,'Alternative 3'!F77,"x")</f>
        <v>x</v>
      </c>
      <c r="B76" s="18" t="e">
        <f t="shared" si="35"/>
        <v>#VALUE!</v>
      </c>
      <c r="C76" s="18">
        <f t="shared" si="30"/>
        <v>0</v>
      </c>
      <c r="D76" s="18" t="str">
        <f t="shared" si="31"/>
        <v>x</v>
      </c>
      <c r="E76" s="101">
        <f>IF($A76&lt;='Alternative 3'!$B$27, IF($A76='Alternative 3'!$B$27,0,E77+1),0)</f>
        <v>0</v>
      </c>
      <c r="F76" s="101">
        <f>IF($A76&lt;=('Alternative 3'!$B$28), IF($A76=ROUNDDOWN('Alternative 3'!$B$28,0),0,F77+1),0)</f>
        <v>0</v>
      </c>
      <c r="G76" s="101">
        <f>IF($A76&lt;=('Alternative 3'!$B$29), IF($A76=ROUNDDOWN('Alternative 3'!$B$29,0),0,G77+1),0)</f>
        <v>0</v>
      </c>
      <c r="H76" s="18" t="e">
        <f t="shared" si="32"/>
        <v>#VALUE!</v>
      </c>
      <c r="J76" s="104">
        <f t="shared" si="33"/>
        <v>73</v>
      </c>
      <c r="K76" s="104">
        <f t="shared" si="34"/>
        <v>1.2740903539558606</v>
      </c>
      <c r="L76" s="105">
        <f>'Alternative 3'!$B$27*SIN(K76)+'Alternative 3'!$B$28*SIN(K76)+'Alternative 3'!$B$29*SIN(K76)</f>
        <v>64.062855601963747</v>
      </c>
      <c r="M76" s="104">
        <f>(('Alternative 3'!$B$27)*(((('Alternative 3'!$B$28-'Alternative 3'!$B$27)/2)+'Alternative 3'!$B$27)*'Alternative 3'!$B$39)*COS('Alternative 3-Tilt Up (3pt)'!K76))+(('Alternative 3'!$B$28)*((('Alternative 3'!$B$28-'Alternative 3'!$B$27)/2)+(('Alternative 3'!$B$29-'Alternative 3'!$B$28)/2))*('Alternative 3'!$B$39)*COS('Alternative 3-Tilt Up (3pt)'!K76))+(('Alternative 3'!$B$29)*((('Alternative 3'!$B$12-'Alternative 3'!$B$29+(('Alternative 3'!$B$29-'Alternative 3'!$B$28)/2)*('Alternative 3'!$B$39)*COS('Alternative 3-Tilt Up (3pt)'!K76)))))</f>
        <v>657248.99222945678</v>
      </c>
      <c r="N76" s="104">
        <f t="shared" si="18"/>
        <v>30778.318546073828</v>
      </c>
      <c r="O76" s="104">
        <f>(((('Alternative 3'!$B$28-'Alternative 3'!$B$27)/2)+'Alternative 3'!$B$27)*('Alternative 3'!$B$39)*COS('Alternative 3-Tilt Up (3pt)'!K76))+(((('Alternative 3'!$B$28-'Alternative 3'!$B$27)/2)+(('Alternative 3'!$B$29-'Alternative 3'!$B$28)/2))*('Alternative 3'!$B$39)*COS('Alternative 3-Tilt Up (3pt)'!K76))+(((('Alternative 3'!$B$12-'Alternative 3'!$B$29)+(('Alternative 3'!$B$29-'Alternative 3'!$B$28)/2))*('Alternative 3'!$B$39)*COS('Alternative 3-Tilt Up (3pt)'!K76)))</f>
        <v>42690.642274817132</v>
      </c>
      <c r="P76" s="104">
        <f t="shared" si="19"/>
        <v>8998.7094618150295</v>
      </c>
      <c r="R76" s="105" t="e">
        <f>'Alternative 3'!$B$39*$B76*$C76*COS($K$5)-($N$5/3)*$E76*SIN($K$5)-($N$5/3)*$F76*SIN($K$5)-($N$5/3)*$G76*SIN($K$5)</f>
        <v>#VALUE!</v>
      </c>
      <c r="S76" s="106" t="e">
        <f>IF(($A76&lt;'Alternative 3'!$B$27),(($H76*'Alternative 3'!$B$39)+(3*($N$5/3)*COS($K$5))),IF(($A76&lt;'Alternative 3'!$B$28),(($H76*'Alternative 3'!$B$39)+(2*(($N$5/3)*COS($K$5)))),IF(($A76&lt;'Alternative 3'!$B$29),(($H$3*'Alternative 3'!$B$39+(($N$5/3)*COS($K$5)))),($H76*'Alternative 3'!$B$39))))</f>
        <v>#VALUE!</v>
      </c>
      <c r="T76" s="105" t="e">
        <f>R76*'Alternative 3'!$K77/'Alternative 3'!$L77</f>
        <v>#VALUE!</v>
      </c>
      <c r="U76" s="105" t="e">
        <f>S76/'Alternative 3'!$M77</f>
        <v>#VALUE!</v>
      </c>
      <c r="V76" s="105" t="e">
        <f t="shared" si="20"/>
        <v>#VALUE!</v>
      </c>
      <c r="X76" s="105" t="e">
        <f>'Alternative 3'!$B$39*$B76*$C76*COS($K$13)-($N$12/3)*$E76*SIN($K$13)-($N$12/3)*$F76*SIN($K$13)-($N$12/3)*$G76*SIN($K$13)</f>
        <v>#VALUE!</v>
      </c>
      <c r="Y76" s="106" t="e">
        <f>IF(($A76&lt;'Alternative 3'!$B$27),(($H76*'Alternative 3'!$B$39)+(3*($N$12/3)*COS($K$13))),IF(($A76&lt;'Alternative 3'!$B$28),(($H76*'Alternative 3'!$B$39)+(2*(($N$12/3)*COS($K$13)))),IF(($A76&lt;'Alternative 3'!$B$29),(($H$3*'Alternative 3'!$B$39+(($N$12/3)*COS($K$13)))),($H76*'Alternative 3'!$B$39))))</f>
        <v>#VALUE!</v>
      </c>
      <c r="Z76" s="105" t="e">
        <f>X76*'Alternative 3'!$K77/'Alternative 3'!$L77</f>
        <v>#VALUE!</v>
      </c>
      <c r="AA76" s="105" t="e">
        <f>Y76/'Alternative 3'!$M77</f>
        <v>#VALUE!</v>
      </c>
      <c r="AB76" s="105" t="e">
        <f t="shared" si="21"/>
        <v>#VALUE!</v>
      </c>
      <c r="AD76" s="105" t="e">
        <f>'Alternative 3'!$B$39*$B76*$C76*COS($K$23)-($N$22/3)*$E76*SIN($K$23)-($N$22/3)*$F76*SIN($K$23)-($N$22/3)*$G76*SIN($K$23)</f>
        <v>#VALUE!</v>
      </c>
      <c r="AE76" s="106" t="e">
        <f>IF(($A76&lt;'Alternative 3'!$B$27),(($H76*'Alternative 3'!$B$39)+(3*($N$22/3)*COS($K$23))),IF(($A76&lt;'Alternative 3'!$B$28),(($H76*'Alternative 3'!$B$39)+(2*(($N$22/3)*COS($K$23)))),IF(($A76&lt;'Alternative 3'!$B$29),(($H$3*'Alternative 3'!$B$39+(($N$22/3)*COS($K$23)))),($H76*'Alternative 3'!$B$39))))</f>
        <v>#VALUE!</v>
      </c>
      <c r="AF76" s="105" t="e">
        <f>AD76*'Alternative 3'!$K77/'Alternative 3'!$L77</f>
        <v>#VALUE!</v>
      </c>
      <c r="AG76" s="105" t="e">
        <f>AE76/'Alternative 3'!$M77</f>
        <v>#VALUE!</v>
      </c>
      <c r="AH76" s="105" t="e">
        <f t="shared" si="22"/>
        <v>#VALUE!</v>
      </c>
      <c r="AJ76" s="105" t="e">
        <f>'Alternative 3'!$B$39*$B76*$C76*COS($K$33)-($N$32/3)*$E76*SIN($K$33)-($N$32/3)*$F76*SIN($K$33)-($N$32/3)*$G76*SIN($K$33)</f>
        <v>#VALUE!</v>
      </c>
      <c r="AK76" s="106" t="e">
        <f>IF(($A76&lt;'Alternative 3'!$B$27),(($H76*'Alternative 3'!$B$39)+(3*($N$32/3)*COS($K$33))),IF(($A76&lt;'Alternative 3'!$B$28),(($H76*'Alternative 3'!$B$39)+(2*(($N$32/3)*COS($K$33)))),IF(($A76&lt;'Alternative 3'!$B$29),(($H$3*'Alternative 3'!$B$39+(($N$32/3)*COS($K$33)))),($H76*'Alternative 3'!$B$39))))</f>
        <v>#VALUE!</v>
      </c>
      <c r="AL76" s="105" t="e">
        <f>AJ76*'Alternative 3'!$K77/'Alternative 3'!$L77</f>
        <v>#VALUE!</v>
      </c>
      <c r="AM76" s="105" t="e">
        <f>AK76/'Alternative 3'!$M77</f>
        <v>#VALUE!</v>
      </c>
      <c r="AN76" s="105" t="e">
        <f t="shared" si="23"/>
        <v>#VALUE!</v>
      </c>
      <c r="AP76" s="105" t="e">
        <f>'Alternative 3'!$B$39*$B76*$C76*COS($K$43)-($N$42/3)*$E76*SIN($K$43)-($N$42/3)*$F76*SIN($K$43)-($N$42/3)*$G76*SIN($K$43)</f>
        <v>#VALUE!</v>
      </c>
      <c r="AQ76" s="106" t="e">
        <f>IF(($A76&lt;'Alternative 3'!$B$27),(($H76*'Alternative 3'!$B$39)+(3*($N$42/3)*COS($K$43))),IF(($A76&lt;'Alternative 3'!$B$28),(($H76*'Alternative 3'!$B$39)+(2*(($N$42/3)*COS($K$43)))),IF(($A76&lt;'Alternative 3'!$B$29),(($H$3*'Alternative 3'!$B$39+(($N$42/3)*COS($K$43)))),($H76*'Alternative 3'!$B$39))))</f>
        <v>#VALUE!</v>
      </c>
      <c r="AR76" s="105" t="e">
        <f>AP76*'Alternative 3'!$K77/'Alternative 3'!$L77</f>
        <v>#VALUE!</v>
      </c>
      <c r="AS76" s="105" t="e">
        <f>AQ76/'Alternative 3'!$M77</f>
        <v>#VALUE!</v>
      </c>
      <c r="AT76" s="105" t="e">
        <f t="shared" si="24"/>
        <v>#VALUE!</v>
      </c>
      <c r="AV76" s="105" t="e">
        <f>'Alternative 3'!$B$39*$B76*$C76*COS($K$53)-($N$52/3)*$E76*SIN($K$53)-($N$52/3)*$F76*SIN($K$53)-($N$52/3)*$G76*SIN($K$53)</f>
        <v>#VALUE!</v>
      </c>
      <c r="AW76" s="106" t="e">
        <f>IF(($A76&lt;'Alternative 3'!$B$27),(($H76*'Alternative 3'!$B$39)+(3*($N$52/3)*COS($K$53))),IF(($A76&lt;'Alternative 3'!$B$28),(($H76*'Alternative 3'!$B$39)+(2*(($N$52/3)*COS($K$53)))),IF(($A76&lt;'Alternative 3'!$B$29),(($H$3*'Alternative 3'!$B$39+(($N$52/3)*COS($K$53)))),($H76*'Alternative 3'!$B$39))))</f>
        <v>#VALUE!</v>
      </c>
      <c r="AX76" s="105" t="e">
        <f>AV76*'Alternative 3'!$K77/'Alternative 3'!$L77</f>
        <v>#VALUE!</v>
      </c>
      <c r="AY76" s="105" t="e">
        <f>AW76/'Alternative 3'!$M77</f>
        <v>#VALUE!</v>
      </c>
      <c r="AZ76" s="105" t="e">
        <f t="shared" si="25"/>
        <v>#VALUE!</v>
      </c>
      <c r="BB76" s="105" t="e">
        <f>'Alternative 3'!$B$39*$B76*$C76*COS($K$63)-($N$62/3)*$E76*SIN($K$63)-($N$62/3)*$F76*SIN($K$63)-($N$62/3)*$G76*SIN($K$63)</f>
        <v>#VALUE!</v>
      </c>
      <c r="BC76" s="106" t="e">
        <f>IF(($A76&lt;'Alternative 3'!$B$27),(($H76*'Alternative 3'!$B$39)+(3*($N$62/3)*COS($K$63))),IF(($A76&lt;'Alternative 3'!$B$28),(($H76*'Alternative 3'!$B$39)+(2*(($N$62/3)*COS($K$63)))),IF(($A76&lt;'Alternative 3'!$B$29),(($H$3*'Alternative 3'!$B$39+(($N$62/3)*COS($K$63)))),($H76*'Alternative 3'!$B$39))))</f>
        <v>#VALUE!</v>
      </c>
      <c r="BD76" s="105" t="e">
        <f>BB76*'Alternative 3'!$K77/'Alternative 3'!$L77</f>
        <v>#VALUE!</v>
      </c>
      <c r="BE76" s="105" t="e">
        <f>BC76/'Alternative 3'!$M77</f>
        <v>#VALUE!</v>
      </c>
      <c r="BF76" s="105" t="e">
        <f t="shared" si="26"/>
        <v>#VALUE!</v>
      </c>
      <c r="BH76" s="105" t="e">
        <f>'Alternative 3'!$B$39*$B76*$C76*COS($K$73)-($N$72/3)*$E76*SIN($K$73)-($N$72/3)*$F76*SIN($K$73)-($N$72/3)*$G76*SIN($K$73)</f>
        <v>#VALUE!</v>
      </c>
      <c r="BI76" s="106" t="e">
        <f>IF(($A76&lt;'Alternative 3'!$B$27),(($H76*'Alternative 3'!$B$39)+(3*($N$72/3)*COS($K$73))),IF(($A76&lt;'Alternative 3'!$B$28),(($H76*'Alternative 3'!$B$39)+(2*(($N$72/3)*COS($K$73)))),IF(($A76&lt;'Alternative 3'!$B$29),(($H$3*'Alternative 3'!$B$39+(($N$72/3)*COS($K$73)))),($H76*'Alternative 3'!$B$39))))</f>
        <v>#VALUE!</v>
      </c>
      <c r="BJ76" s="105" t="e">
        <f>BH76*'Alternative 3'!$K77/'Alternative 3'!$L77</f>
        <v>#VALUE!</v>
      </c>
      <c r="BK76" s="105" t="e">
        <f>BI76/'Alternative 3'!$M77</f>
        <v>#VALUE!</v>
      </c>
      <c r="BL76" s="105" t="e">
        <f t="shared" si="27"/>
        <v>#VALUE!</v>
      </c>
      <c r="BN76" s="105" t="e">
        <f>'Alternative 3'!$B$39*$B76*$C76*COS($K$83)-($N$82/3)*$E76*SIN($K$83)-($N$82/3)*$F76*SIN($K$83)-($N$82/3)*$G76*SIN($K$83)</f>
        <v>#VALUE!</v>
      </c>
      <c r="BO76" s="106" t="e">
        <f>IF(($A76&lt;'Alternative 3'!$B$27),(($H76*'Alternative 3'!$B$39)+(3*($N$82/3)*COS($K$83))),IF(($A76&lt;'Alternative 3'!$B$28),(($H76*'Alternative 3'!$B$39)+(2*(($N$82/3)*COS($K$83)))),IF(($A76&lt;'Alternative 3'!$B$29),(($H$3*'Alternative 3'!$B$39+(($N$82/3)*COS($K$83)))),($H76*'Alternative 3'!$B$39))))</f>
        <v>#VALUE!</v>
      </c>
      <c r="BP76" s="105" t="e">
        <f>BN76*'Alternative 3'!$K77/'Alternative 3'!$L77</f>
        <v>#VALUE!</v>
      </c>
      <c r="BQ76" s="105" t="e">
        <f>BO76/'Alternative 3'!$M77</f>
        <v>#VALUE!</v>
      </c>
      <c r="BR76" s="105" t="e">
        <f t="shared" si="28"/>
        <v>#VALUE!</v>
      </c>
      <c r="BT76" s="105" t="e">
        <f>'Alternative 3'!$B$39*$B76*$C76*COS($K$93)-($K$92/3)*$E76*SIN($K$93)-($K$92/3)*$F76*SIN($K$93)-($K$92/3)*$G76*SIN($K$93)</f>
        <v>#VALUE!</v>
      </c>
      <c r="BU76" s="106" t="e">
        <f>IF(($A76&lt;'Alternative 3'!$B$27),(($H76*'Alternative 3'!$B$39)+(3*($N$92/3)*COS($K$93))),IF(($A76&lt;'Alternative 3'!$B$28),(($H76*'Alternative 3'!$B$39)+(2*(($N$92/3)*COS($K$93)))),IF(($A76&lt;'Alternative 3'!$B$29),(($H$3*'Alternative 3'!$B$39+(($N$92/3)*COS($K$93)))),($H76*'Alternative 3'!$B$39))))</f>
        <v>#VALUE!</v>
      </c>
      <c r="BV76" s="105" t="e">
        <f>BT76*'Alternative 3'!$K77/'Alternative 3'!$L77</f>
        <v>#VALUE!</v>
      </c>
      <c r="BW76" s="105" t="e">
        <f>BU76/'Alternative 3'!$M77</f>
        <v>#VALUE!</v>
      </c>
      <c r="BX76" s="105" t="e">
        <f t="shared" si="29"/>
        <v>#VALUE!</v>
      </c>
    </row>
    <row r="77" spans="1:79" ht="15" customHeight="1" x14ac:dyDescent="0.25">
      <c r="A77" s="18" t="str">
        <f>IF('Alternative 3'!F78&gt;0,'Alternative 3'!F78,"x")</f>
        <v>x</v>
      </c>
      <c r="B77" s="18" t="e">
        <f t="shared" si="35"/>
        <v>#VALUE!</v>
      </c>
      <c r="C77" s="18">
        <f t="shared" si="30"/>
        <v>0</v>
      </c>
      <c r="D77" s="18" t="str">
        <f t="shared" si="31"/>
        <v>x</v>
      </c>
      <c r="E77" s="101">
        <f>IF($A77&lt;='Alternative 3'!$B$27, IF($A77='Alternative 3'!$B$27,0,E78+1),0)</f>
        <v>0</v>
      </c>
      <c r="F77" s="101">
        <f>IF($A77&lt;=('Alternative 3'!$B$28), IF($A77=ROUNDDOWN('Alternative 3'!$B$28,0),0,F78+1),0)</f>
        <v>0</v>
      </c>
      <c r="G77" s="101">
        <f>IF($A77&lt;=('Alternative 3'!$B$29), IF($A77=ROUNDDOWN('Alternative 3'!$B$29,0),0,G78+1),0)</f>
        <v>0</v>
      </c>
      <c r="H77" s="18" t="e">
        <f t="shared" si="32"/>
        <v>#VALUE!</v>
      </c>
      <c r="J77" s="104">
        <f t="shared" si="33"/>
        <v>74</v>
      </c>
      <c r="K77" s="104">
        <f t="shared" si="34"/>
        <v>1.2915436464758039</v>
      </c>
      <c r="L77" s="105">
        <f>'Alternative 3'!$B$27*SIN(K77)+'Alternative 3'!$B$28*SIN(K77)+'Alternative 3'!$B$29*SIN(K77)</f>
        <v>64.394921010907979</v>
      </c>
      <c r="M77" s="104">
        <f>(('Alternative 3'!$B$27)*(((('Alternative 3'!$B$28-'Alternative 3'!$B$27)/2)+'Alternative 3'!$B$27)*'Alternative 3'!$B$39)*COS('Alternative 3-Tilt Up (3pt)'!K77))+(('Alternative 3'!$B$28)*((('Alternative 3'!$B$28-'Alternative 3'!$B$27)/2)+(('Alternative 3'!$B$29-'Alternative 3'!$B$28)/2))*('Alternative 3'!$B$39)*COS('Alternative 3-Tilt Up (3pt)'!K77))+(('Alternative 3'!$B$29)*((('Alternative 3'!$B$12-'Alternative 3'!$B$29+(('Alternative 3'!$B$29-'Alternative 3'!$B$28)/2)*('Alternative 3'!$B$39)*COS('Alternative 3-Tilt Up (3pt)'!K77)))))</f>
        <v>619640.72483739769</v>
      </c>
      <c r="N77" s="104">
        <f t="shared" si="18"/>
        <v>28867.527831850384</v>
      </c>
      <c r="O77" s="104">
        <f>(((('Alternative 3'!$B$28-'Alternative 3'!$B$27)/2)+'Alternative 3'!$B$27)*('Alternative 3'!$B$39)*COS('Alternative 3-Tilt Up (3pt)'!K77))+(((('Alternative 3'!$B$28-'Alternative 3'!$B$27)/2)+(('Alternative 3'!$B$29-'Alternative 3'!$B$28)/2))*('Alternative 3'!$B$39)*COS('Alternative 3-Tilt Up (3pt)'!K77))+(((('Alternative 3'!$B$12-'Alternative 3'!$B$29)+(('Alternative 3'!$B$29-'Alternative 3'!$B$28)/2))*('Alternative 3'!$B$39)*COS('Alternative 3-Tilt Up (3pt)'!K77)))</f>
        <v>40247.177017075097</v>
      </c>
      <c r="P77" s="104">
        <f t="shared" si="19"/>
        <v>7956.9690405448709</v>
      </c>
      <c r="R77" s="105" t="e">
        <f>'Alternative 3'!$B$39*$B77*$C77*COS($K$5)-($N$5/3)*$E77*SIN($K$5)-($N$5/3)*$F77*SIN($K$5)-($N$5/3)*$G77*SIN($K$5)</f>
        <v>#VALUE!</v>
      </c>
      <c r="S77" s="106" t="e">
        <f>IF(($A77&lt;'Alternative 3'!$B$27),(($H77*'Alternative 3'!$B$39)+(3*($N$5/3)*COS($K$5))),IF(($A77&lt;'Alternative 3'!$B$28),(($H77*'Alternative 3'!$B$39)+(2*(($N$5/3)*COS($K$5)))),IF(($A77&lt;'Alternative 3'!$B$29),(($H$3*'Alternative 3'!$B$39+(($N$5/3)*COS($K$5)))),($H77*'Alternative 3'!$B$39))))</f>
        <v>#VALUE!</v>
      </c>
      <c r="T77" s="105" t="e">
        <f>R77*'Alternative 3'!$K78/'Alternative 3'!$L78</f>
        <v>#VALUE!</v>
      </c>
      <c r="U77" s="105" t="e">
        <f>S77/'Alternative 3'!$M78</f>
        <v>#VALUE!</v>
      </c>
      <c r="V77" s="105" t="e">
        <f t="shared" si="20"/>
        <v>#VALUE!</v>
      </c>
      <c r="X77" s="105" t="e">
        <f>'Alternative 3'!$B$39*$B77*$C77*COS($K$13)-($N$12/3)*$E77*SIN($K$13)-($N$12/3)*$F77*SIN($K$13)-($N$12/3)*$G77*SIN($K$13)</f>
        <v>#VALUE!</v>
      </c>
      <c r="Y77" s="106" t="e">
        <f>IF(($A77&lt;'Alternative 3'!$B$27),(($H77*'Alternative 3'!$B$39)+(3*($N$12/3)*COS($K$13))),IF(($A77&lt;'Alternative 3'!$B$28),(($H77*'Alternative 3'!$B$39)+(2*(($N$12/3)*COS($K$13)))),IF(($A77&lt;'Alternative 3'!$B$29),(($H$3*'Alternative 3'!$B$39+(($N$12/3)*COS($K$13)))),($H77*'Alternative 3'!$B$39))))</f>
        <v>#VALUE!</v>
      </c>
      <c r="Z77" s="105" t="e">
        <f>X77*'Alternative 3'!$K78/'Alternative 3'!$L78</f>
        <v>#VALUE!</v>
      </c>
      <c r="AA77" s="105" t="e">
        <f>Y77/'Alternative 3'!$M78</f>
        <v>#VALUE!</v>
      </c>
      <c r="AB77" s="105" t="e">
        <f t="shared" si="21"/>
        <v>#VALUE!</v>
      </c>
      <c r="AD77" s="105" t="e">
        <f>'Alternative 3'!$B$39*$B77*$C77*COS($K$23)-($N$22/3)*$E77*SIN($K$23)-($N$22/3)*$F77*SIN($K$23)-($N$22/3)*$G77*SIN($K$23)</f>
        <v>#VALUE!</v>
      </c>
      <c r="AE77" s="106" t="e">
        <f>IF(($A77&lt;'Alternative 3'!$B$27),(($H77*'Alternative 3'!$B$39)+(3*($N$22/3)*COS($K$23))),IF(($A77&lt;'Alternative 3'!$B$28),(($H77*'Alternative 3'!$B$39)+(2*(($N$22/3)*COS($K$23)))),IF(($A77&lt;'Alternative 3'!$B$29),(($H$3*'Alternative 3'!$B$39+(($N$22/3)*COS($K$23)))),($H77*'Alternative 3'!$B$39))))</f>
        <v>#VALUE!</v>
      </c>
      <c r="AF77" s="105" t="e">
        <f>AD77*'Alternative 3'!$K78/'Alternative 3'!$L78</f>
        <v>#VALUE!</v>
      </c>
      <c r="AG77" s="105" t="e">
        <f>AE77/'Alternative 3'!$M78</f>
        <v>#VALUE!</v>
      </c>
      <c r="AH77" s="105" t="e">
        <f t="shared" si="22"/>
        <v>#VALUE!</v>
      </c>
      <c r="AJ77" s="105" t="e">
        <f>'Alternative 3'!$B$39*$B77*$C77*COS($K$33)-($N$32/3)*$E77*SIN($K$33)-($N$32/3)*$F77*SIN($K$33)-($N$32/3)*$G77*SIN($K$33)</f>
        <v>#VALUE!</v>
      </c>
      <c r="AK77" s="106" t="e">
        <f>IF(($A77&lt;'Alternative 3'!$B$27),(($H77*'Alternative 3'!$B$39)+(3*($N$32/3)*COS($K$33))),IF(($A77&lt;'Alternative 3'!$B$28),(($H77*'Alternative 3'!$B$39)+(2*(($N$32/3)*COS($K$33)))),IF(($A77&lt;'Alternative 3'!$B$29),(($H$3*'Alternative 3'!$B$39+(($N$32/3)*COS($K$33)))),($H77*'Alternative 3'!$B$39))))</f>
        <v>#VALUE!</v>
      </c>
      <c r="AL77" s="105" t="e">
        <f>AJ77*'Alternative 3'!$K78/'Alternative 3'!$L78</f>
        <v>#VALUE!</v>
      </c>
      <c r="AM77" s="105" t="e">
        <f>AK77/'Alternative 3'!$M78</f>
        <v>#VALUE!</v>
      </c>
      <c r="AN77" s="105" t="e">
        <f t="shared" si="23"/>
        <v>#VALUE!</v>
      </c>
      <c r="AP77" s="105" t="e">
        <f>'Alternative 3'!$B$39*$B77*$C77*COS($K$43)-($N$42/3)*$E77*SIN($K$43)-($N$42/3)*$F77*SIN($K$43)-($N$42/3)*$G77*SIN($K$43)</f>
        <v>#VALUE!</v>
      </c>
      <c r="AQ77" s="106" t="e">
        <f>IF(($A77&lt;'Alternative 3'!$B$27),(($H77*'Alternative 3'!$B$39)+(3*($N$42/3)*COS($K$43))),IF(($A77&lt;'Alternative 3'!$B$28),(($H77*'Alternative 3'!$B$39)+(2*(($N$42/3)*COS($K$43)))),IF(($A77&lt;'Alternative 3'!$B$29),(($H$3*'Alternative 3'!$B$39+(($N$42/3)*COS($K$43)))),($H77*'Alternative 3'!$B$39))))</f>
        <v>#VALUE!</v>
      </c>
      <c r="AR77" s="105" t="e">
        <f>AP77*'Alternative 3'!$K78/'Alternative 3'!$L78</f>
        <v>#VALUE!</v>
      </c>
      <c r="AS77" s="105" t="e">
        <f>AQ77/'Alternative 3'!$M78</f>
        <v>#VALUE!</v>
      </c>
      <c r="AT77" s="105" t="e">
        <f t="shared" si="24"/>
        <v>#VALUE!</v>
      </c>
      <c r="AV77" s="105" t="e">
        <f>'Alternative 3'!$B$39*$B77*$C77*COS($K$53)-($N$52/3)*$E77*SIN($K$53)-($N$52/3)*$F77*SIN($K$53)-($N$52/3)*$G77*SIN($K$53)</f>
        <v>#VALUE!</v>
      </c>
      <c r="AW77" s="106" t="e">
        <f>IF(($A77&lt;'Alternative 3'!$B$27),(($H77*'Alternative 3'!$B$39)+(3*($N$52/3)*COS($K$53))),IF(($A77&lt;'Alternative 3'!$B$28),(($H77*'Alternative 3'!$B$39)+(2*(($N$52/3)*COS($K$53)))),IF(($A77&lt;'Alternative 3'!$B$29),(($H$3*'Alternative 3'!$B$39+(($N$52/3)*COS($K$53)))),($H77*'Alternative 3'!$B$39))))</f>
        <v>#VALUE!</v>
      </c>
      <c r="AX77" s="105" t="e">
        <f>AV77*'Alternative 3'!$K78/'Alternative 3'!$L78</f>
        <v>#VALUE!</v>
      </c>
      <c r="AY77" s="105" t="e">
        <f>AW77/'Alternative 3'!$M78</f>
        <v>#VALUE!</v>
      </c>
      <c r="AZ77" s="105" t="e">
        <f t="shared" si="25"/>
        <v>#VALUE!</v>
      </c>
      <c r="BB77" s="105" t="e">
        <f>'Alternative 3'!$B$39*$B77*$C77*COS($K$63)-($N$62/3)*$E77*SIN($K$63)-($N$62/3)*$F77*SIN($K$63)-($N$62/3)*$G77*SIN($K$63)</f>
        <v>#VALUE!</v>
      </c>
      <c r="BC77" s="106" t="e">
        <f>IF(($A77&lt;'Alternative 3'!$B$27),(($H77*'Alternative 3'!$B$39)+(3*($N$62/3)*COS($K$63))),IF(($A77&lt;'Alternative 3'!$B$28),(($H77*'Alternative 3'!$B$39)+(2*(($N$62/3)*COS($K$63)))),IF(($A77&lt;'Alternative 3'!$B$29),(($H$3*'Alternative 3'!$B$39+(($N$62/3)*COS($K$63)))),($H77*'Alternative 3'!$B$39))))</f>
        <v>#VALUE!</v>
      </c>
      <c r="BD77" s="105" t="e">
        <f>BB77*'Alternative 3'!$K78/'Alternative 3'!$L78</f>
        <v>#VALUE!</v>
      </c>
      <c r="BE77" s="105" t="e">
        <f>BC77/'Alternative 3'!$M78</f>
        <v>#VALUE!</v>
      </c>
      <c r="BF77" s="105" t="e">
        <f t="shared" si="26"/>
        <v>#VALUE!</v>
      </c>
      <c r="BH77" s="105" t="e">
        <f>'Alternative 3'!$B$39*$B77*$C77*COS($K$73)-($N$72/3)*$E77*SIN($K$73)-($N$72/3)*$F77*SIN($K$73)-($N$72/3)*$G77*SIN($K$73)</f>
        <v>#VALUE!</v>
      </c>
      <c r="BI77" s="106" t="e">
        <f>IF(($A77&lt;'Alternative 3'!$B$27),(($H77*'Alternative 3'!$B$39)+(3*($N$72/3)*COS($K$73))),IF(($A77&lt;'Alternative 3'!$B$28),(($H77*'Alternative 3'!$B$39)+(2*(($N$72/3)*COS($K$73)))),IF(($A77&lt;'Alternative 3'!$B$29),(($H$3*'Alternative 3'!$B$39+(($N$72/3)*COS($K$73)))),($H77*'Alternative 3'!$B$39))))</f>
        <v>#VALUE!</v>
      </c>
      <c r="BJ77" s="105" t="e">
        <f>BH77*'Alternative 3'!$K78/'Alternative 3'!$L78</f>
        <v>#VALUE!</v>
      </c>
      <c r="BK77" s="105" t="e">
        <f>BI77/'Alternative 3'!$M78</f>
        <v>#VALUE!</v>
      </c>
      <c r="BL77" s="105" t="e">
        <f t="shared" si="27"/>
        <v>#VALUE!</v>
      </c>
      <c r="BN77" s="105" t="e">
        <f>'Alternative 3'!$B$39*$B77*$C77*COS($K$83)-($N$82/3)*$E77*SIN($K$83)-($N$82/3)*$F77*SIN($K$83)-($N$82/3)*$G77*SIN($K$83)</f>
        <v>#VALUE!</v>
      </c>
      <c r="BO77" s="106" t="e">
        <f>IF(($A77&lt;'Alternative 3'!$B$27),(($H77*'Alternative 3'!$B$39)+(3*($N$82/3)*COS($K$83))),IF(($A77&lt;'Alternative 3'!$B$28),(($H77*'Alternative 3'!$B$39)+(2*(($N$82/3)*COS($K$83)))),IF(($A77&lt;'Alternative 3'!$B$29),(($H$3*'Alternative 3'!$B$39+(($N$82/3)*COS($K$83)))),($H77*'Alternative 3'!$B$39))))</f>
        <v>#VALUE!</v>
      </c>
      <c r="BP77" s="105" t="e">
        <f>BN77*'Alternative 3'!$K78/'Alternative 3'!$L78</f>
        <v>#VALUE!</v>
      </c>
      <c r="BQ77" s="105" t="e">
        <f>BO77/'Alternative 3'!$M78</f>
        <v>#VALUE!</v>
      </c>
      <c r="BR77" s="105" t="e">
        <f t="shared" si="28"/>
        <v>#VALUE!</v>
      </c>
      <c r="BT77" s="105" t="e">
        <f>'Alternative 3'!$B$39*$B77*$C77*COS($K$93)-($K$92/3)*$E77*SIN($K$93)-($K$92/3)*$F77*SIN($K$93)-($K$92/3)*$G77*SIN($K$93)</f>
        <v>#VALUE!</v>
      </c>
      <c r="BU77" s="106" t="e">
        <f>IF(($A77&lt;'Alternative 3'!$B$27),(($H77*'Alternative 3'!$B$39)+(3*($N$92/3)*COS($K$93))),IF(($A77&lt;'Alternative 3'!$B$28),(($H77*'Alternative 3'!$B$39)+(2*(($N$92/3)*COS($K$93)))),IF(($A77&lt;'Alternative 3'!$B$29),(($H$3*'Alternative 3'!$B$39+(($N$92/3)*COS($K$93)))),($H77*'Alternative 3'!$B$39))))</f>
        <v>#VALUE!</v>
      </c>
      <c r="BV77" s="105" t="e">
        <f>BT77*'Alternative 3'!$K78/'Alternative 3'!$L78</f>
        <v>#VALUE!</v>
      </c>
      <c r="BW77" s="105" t="e">
        <f>BU77/'Alternative 3'!$M78</f>
        <v>#VALUE!</v>
      </c>
      <c r="BX77" s="105" t="e">
        <f t="shared" si="29"/>
        <v>#VALUE!</v>
      </c>
    </row>
    <row r="78" spans="1:79" ht="15" customHeight="1" x14ac:dyDescent="0.25">
      <c r="A78" s="18" t="str">
        <f>IF('Alternative 3'!F79&gt;0,'Alternative 3'!F79,"x")</f>
        <v>x</v>
      </c>
      <c r="B78" s="18" t="e">
        <f t="shared" si="35"/>
        <v>#VALUE!</v>
      </c>
      <c r="C78" s="18">
        <f t="shared" si="30"/>
        <v>0</v>
      </c>
      <c r="D78" s="18" t="str">
        <f t="shared" si="31"/>
        <v>x</v>
      </c>
      <c r="E78" s="101">
        <f>IF($A78&lt;='Alternative 3'!$B$27, IF($A78='Alternative 3'!$B$27,0,E79+1),0)</f>
        <v>0</v>
      </c>
      <c r="F78" s="101">
        <f>IF($A78&lt;=('Alternative 3'!$B$28), IF($A78=ROUNDDOWN('Alternative 3'!$B$28,0),0,F79+1),0)</f>
        <v>0</v>
      </c>
      <c r="G78" s="101">
        <f>IF($A78&lt;=('Alternative 3'!$B$29), IF($A78=ROUNDDOWN('Alternative 3'!$B$29,0),0,G79+1),0)</f>
        <v>0</v>
      </c>
      <c r="H78" s="18" t="e">
        <f t="shared" si="32"/>
        <v>#VALUE!</v>
      </c>
      <c r="J78" s="104">
        <f t="shared" si="33"/>
        <v>75</v>
      </c>
      <c r="K78" s="104">
        <f t="shared" si="34"/>
        <v>1.3089969389957472</v>
      </c>
      <c r="L78" s="105">
        <f>'Alternative 3'!$B$27*SIN(K78)+'Alternative 3'!$B$28*SIN(K78)+'Alternative 3'!$B$29*SIN(K78)</f>
        <v>64.707371103104691</v>
      </c>
      <c r="M78" s="104">
        <f>(('Alternative 3'!$B$27)*(((('Alternative 3'!$B$28-'Alternative 3'!$B$27)/2)+'Alternative 3'!$B$27)*'Alternative 3'!$B$39)*COS('Alternative 3-Tilt Up (3pt)'!K78))+(('Alternative 3'!$B$28)*((('Alternative 3'!$B$28-'Alternative 3'!$B$27)/2)+(('Alternative 3'!$B$29-'Alternative 3'!$B$28)/2))*('Alternative 3'!$B$39)*COS('Alternative 3-Tilt Up (3pt)'!K78))+(('Alternative 3'!$B$29)*((('Alternative 3'!$B$12-'Alternative 3'!$B$29+(('Alternative 3'!$B$29-'Alternative 3'!$B$28)/2)*('Alternative 3'!$B$39)*COS('Alternative 3-Tilt Up (3pt)'!K78)))))</f>
        <v>581843.76422687911</v>
      </c>
      <c r="N78" s="104">
        <f t="shared" si="18"/>
        <v>26975.772047659128</v>
      </c>
      <c r="O78" s="104">
        <f>(((('Alternative 3'!$B$28-'Alternative 3'!$B$27)/2)+'Alternative 3'!$B$27)*('Alternative 3'!$B$39)*COS('Alternative 3-Tilt Up (3pt)'!K78))+(((('Alternative 3'!$B$28-'Alternative 3'!$B$27)/2)+(('Alternative 3'!$B$29-'Alternative 3'!$B$28)/2))*('Alternative 3'!$B$39)*COS('Alternative 3-Tilt Up (3pt)'!K78))+(((('Alternative 3'!$B$12-'Alternative 3'!$B$29)+(('Alternative 3'!$B$29-'Alternative 3'!$B$28)/2))*('Alternative 3'!$B$39)*COS('Alternative 3-Tilt Up (3pt)'!K78)))</f>
        <v>37791.452079330506</v>
      </c>
      <c r="P78" s="104">
        <f t="shared" si="19"/>
        <v>6981.8435622784064</v>
      </c>
      <c r="R78" s="105" t="e">
        <f>'Alternative 3'!$B$39*$B78*$C78*COS($K$5)-($N$5/3)*$E78*SIN($K$5)-($N$5/3)*$F78*SIN($K$5)-($N$5/3)*$G78*SIN($K$5)</f>
        <v>#VALUE!</v>
      </c>
      <c r="S78" s="106" t="e">
        <f>IF(($A78&lt;'Alternative 3'!$B$27),(($H78*'Alternative 3'!$B$39)+(3*($N$5/3)*COS($K$5))),IF(($A78&lt;'Alternative 3'!$B$28),(($H78*'Alternative 3'!$B$39)+(2*(($N$5/3)*COS($K$5)))),IF(($A78&lt;'Alternative 3'!$B$29),(($H$3*'Alternative 3'!$B$39+(($N$5/3)*COS($K$5)))),($H78*'Alternative 3'!$B$39))))</f>
        <v>#VALUE!</v>
      </c>
      <c r="T78" s="105" t="e">
        <f>R78*'Alternative 3'!$K79/'Alternative 3'!$L79</f>
        <v>#VALUE!</v>
      </c>
      <c r="U78" s="105" t="e">
        <f>S78/'Alternative 3'!$M79</f>
        <v>#VALUE!</v>
      </c>
      <c r="V78" s="105" t="e">
        <f t="shared" si="20"/>
        <v>#VALUE!</v>
      </c>
      <c r="X78" s="105" t="e">
        <f>'Alternative 3'!$B$39*$B78*$C78*COS($K$13)-($N$12/3)*$E78*SIN($K$13)-($N$12/3)*$F78*SIN($K$13)-($N$12/3)*$G78*SIN($K$13)</f>
        <v>#VALUE!</v>
      </c>
      <c r="Y78" s="106" t="e">
        <f>IF(($A78&lt;'Alternative 3'!$B$27),(($H78*'Alternative 3'!$B$39)+(3*($N$12/3)*COS($K$13))),IF(($A78&lt;'Alternative 3'!$B$28),(($H78*'Alternative 3'!$B$39)+(2*(($N$12/3)*COS($K$13)))),IF(($A78&lt;'Alternative 3'!$B$29),(($H$3*'Alternative 3'!$B$39+(($N$12/3)*COS($K$13)))),($H78*'Alternative 3'!$B$39))))</f>
        <v>#VALUE!</v>
      </c>
      <c r="Z78" s="105" t="e">
        <f>X78*'Alternative 3'!$K79/'Alternative 3'!$L79</f>
        <v>#VALUE!</v>
      </c>
      <c r="AA78" s="105" t="e">
        <f>Y78/'Alternative 3'!$M79</f>
        <v>#VALUE!</v>
      </c>
      <c r="AB78" s="105" t="e">
        <f t="shared" si="21"/>
        <v>#VALUE!</v>
      </c>
      <c r="AD78" s="105" t="e">
        <f>'Alternative 3'!$B$39*$B78*$C78*COS($K$23)-($N$22/3)*$E78*SIN($K$23)-($N$22/3)*$F78*SIN($K$23)-($N$22/3)*$G78*SIN($K$23)</f>
        <v>#VALUE!</v>
      </c>
      <c r="AE78" s="106" t="e">
        <f>IF(($A78&lt;'Alternative 3'!$B$27),(($H78*'Alternative 3'!$B$39)+(3*($N$22/3)*COS($K$23))),IF(($A78&lt;'Alternative 3'!$B$28),(($H78*'Alternative 3'!$B$39)+(2*(($N$22/3)*COS($K$23)))),IF(($A78&lt;'Alternative 3'!$B$29),(($H$3*'Alternative 3'!$B$39+(($N$22/3)*COS($K$23)))),($H78*'Alternative 3'!$B$39))))</f>
        <v>#VALUE!</v>
      </c>
      <c r="AF78" s="105" t="e">
        <f>AD78*'Alternative 3'!$K79/'Alternative 3'!$L79</f>
        <v>#VALUE!</v>
      </c>
      <c r="AG78" s="105" t="e">
        <f>AE78/'Alternative 3'!$M79</f>
        <v>#VALUE!</v>
      </c>
      <c r="AH78" s="105" t="e">
        <f t="shared" si="22"/>
        <v>#VALUE!</v>
      </c>
      <c r="AJ78" s="105" t="e">
        <f>'Alternative 3'!$B$39*$B78*$C78*COS($K$33)-($N$32/3)*$E78*SIN($K$33)-($N$32/3)*$F78*SIN($K$33)-($N$32/3)*$G78*SIN($K$33)</f>
        <v>#VALUE!</v>
      </c>
      <c r="AK78" s="106" t="e">
        <f>IF(($A78&lt;'Alternative 3'!$B$27),(($H78*'Alternative 3'!$B$39)+(3*($N$32/3)*COS($K$33))),IF(($A78&lt;'Alternative 3'!$B$28),(($H78*'Alternative 3'!$B$39)+(2*(($N$32/3)*COS($K$33)))),IF(($A78&lt;'Alternative 3'!$B$29),(($H$3*'Alternative 3'!$B$39+(($N$32/3)*COS($K$33)))),($H78*'Alternative 3'!$B$39))))</f>
        <v>#VALUE!</v>
      </c>
      <c r="AL78" s="105" t="e">
        <f>AJ78*'Alternative 3'!$K79/'Alternative 3'!$L79</f>
        <v>#VALUE!</v>
      </c>
      <c r="AM78" s="105" t="e">
        <f>AK78/'Alternative 3'!$M79</f>
        <v>#VALUE!</v>
      </c>
      <c r="AN78" s="105" t="e">
        <f t="shared" si="23"/>
        <v>#VALUE!</v>
      </c>
      <c r="AP78" s="105" t="e">
        <f>'Alternative 3'!$B$39*$B78*$C78*COS($K$43)-($N$42/3)*$E78*SIN($K$43)-($N$42/3)*$F78*SIN($K$43)-($N$42/3)*$G78*SIN($K$43)</f>
        <v>#VALUE!</v>
      </c>
      <c r="AQ78" s="106" t="e">
        <f>IF(($A78&lt;'Alternative 3'!$B$27),(($H78*'Alternative 3'!$B$39)+(3*($N$42/3)*COS($K$43))),IF(($A78&lt;'Alternative 3'!$B$28),(($H78*'Alternative 3'!$B$39)+(2*(($N$42/3)*COS($K$43)))),IF(($A78&lt;'Alternative 3'!$B$29),(($H$3*'Alternative 3'!$B$39+(($N$42/3)*COS($K$43)))),($H78*'Alternative 3'!$B$39))))</f>
        <v>#VALUE!</v>
      </c>
      <c r="AR78" s="105" t="e">
        <f>AP78*'Alternative 3'!$K79/'Alternative 3'!$L79</f>
        <v>#VALUE!</v>
      </c>
      <c r="AS78" s="105" t="e">
        <f>AQ78/'Alternative 3'!$M79</f>
        <v>#VALUE!</v>
      </c>
      <c r="AT78" s="105" t="e">
        <f t="shared" si="24"/>
        <v>#VALUE!</v>
      </c>
      <c r="AV78" s="105" t="e">
        <f>'Alternative 3'!$B$39*$B78*$C78*COS($K$53)-($N$52/3)*$E78*SIN($K$53)-($N$52/3)*$F78*SIN($K$53)-($N$52/3)*$G78*SIN($K$53)</f>
        <v>#VALUE!</v>
      </c>
      <c r="AW78" s="106" t="e">
        <f>IF(($A78&lt;'Alternative 3'!$B$27),(($H78*'Alternative 3'!$B$39)+(3*($N$52/3)*COS($K$53))),IF(($A78&lt;'Alternative 3'!$B$28),(($H78*'Alternative 3'!$B$39)+(2*(($N$52/3)*COS($K$53)))),IF(($A78&lt;'Alternative 3'!$B$29),(($H$3*'Alternative 3'!$B$39+(($N$52/3)*COS($K$53)))),($H78*'Alternative 3'!$B$39))))</f>
        <v>#VALUE!</v>
      </c>
      <c r="AX78" s="105" t="e">
        <f>AV78*'Alternative 3'!$K79/'Alternative 3'!$L79</f>
        <v>#VALUE!</v>
      </c>
      <c r="AY78" s="105" t="e">
        <f>AW78/'Alternative 3'!$M79</f>
        <v>#VALUE!</v>
      </c>
      <c r="AZ78" s="105" t="e">
        <f t="shared" si="25"/>
        <v>#VALUE!</v>
      </c>
      <c r="BB78" s="105" t="e">
        <f>'Alternative 3'!$B$39*$B78*$C78*COS($K$63)-($N$62/3)*$E78*SIN($K$63)-($N$62/3)*$F78*SIN($K$63)-($N$62/3)*$G78*SIN($K$63)</f>
        <v>#VALUE!</v>
      </c>
      <c r="BC78" s="106" t="e">
        <f>IF(($A78&lt;'Alternative 3'!$B$27),(($H78*'Alternative 3'!$B$39)+(3*($N$62/3)*COS($K$63))),IF(($A78&lt;'Alternative 3'!$B$28),(($H78*'Alternative 3'!$B$39)+(2*(($N$62/3)*COS($K$63)))),IF(($A78&lt;'Alternative 3'!$B$29),(($H$3*'Alternative 3'!$B$39+(($N$62/3)*COS($K$63)))),($H78*'Alternative 3'!$B$39))))</f>
        <v>#VALUE!</v>
      </c>
      <c r="BD78" s="105" t="e">
        <f>BB78*'Alternative 3'!$K79/'Alternative 3'!$L79</f>
        <v>#VALUE!</v>
      </c>
      <c r="BE78" s="105" t="e">
        <f>BC78/'Alternative 3'!$M79</f>
        <v>#VALUE!</v>
      </c>
      <c r="BF78" s="105" t="e">
        <f t="shared" si="26"/>
        <v>#VALUE!</v>
      </c>
      <c r="BH78" s="105" t="e">
        <f>'Alternative 3'!$B$39*$B78*$C78*COS($K$73)-($N$72/3)*$E78*SIN($K$73)-($N$72/3)*$F78*SIN($K$73)-($N$72/3)*$G78*SIN($K$73)</f>
        <v>#VALUE!</v>
      </c>
      <c r="BI78" s="106" t="e">
        <f>IF(($A78&lt;'Alternative 3'!$B$27),(($H78*'Alternative 3'!$B$39)+(3*($N$72/3)*COS($K$73))),IF(($A78&lt;'Alternative 3'!$B$28),(($H78*'Alternative 3'!$B$39)+(2*(($N$72/3)*COS($K$73)))),IF(($A78&lt;'Alternative 3'!$B$29),(($H$3*'Alternative 3'!$B$39+(($N$72/3)*COS($K$73)))),($H78*'Alternative 3'!$B$39))))</f>
        <v>#VALUE!</v>
      </c>
      <c r="BJ78" s="105" t="e">
        <f>BH78*'Alternative 3'!$K79/'Alternative 3'!$L79</f>
        <v>#VALUE!</v>
      </c>
      <c r="BK78" s="105" t="e">
        <f>BI78/'Alternative 3'!$M79</f>
        <v>#VALUE!</v>
      </c>
      <c r="BL78" s="105" t="e">
        <f t="shared" si="27"/>
        <v>#VALUE!</v>
      </c>
      <c r="BN78" s="105" t="e">
        <f>'Alternative 3'!$B$39*$B78*$C78*COS($K$83)-($N$82/3)*$E78*SIN($K$83)-($N$82/3)*$F78*SIN($K$83)-($N$82/3)*$G78*SIN($K$83)</f>
        <v>#VALUE!</v>
      </c>
      <c r="BO78" s="106" t="e">
        <f>IF(($A78&lt;'Alternative 3'!$B$27),(($H78*'Alternative 3'!$B$39)+(3*($N$82/3)*COS($K$83))),IF(($A78&lt;'Alternative 3'!$B$28),(($H78*'Alternative 3'!$B$39)+(2*(($N$82/3)*COS($K$83)))),IF(($A78&lt;'Alternative 3'!$B$29),(($H$3*'Alternative 3'!$B$39+(($N$82/3)*COS($K$83)))),($H78*'Alternative 3'!$B$39))))</f>
        <v>#VALUE!</v>
      </c>
      <c r="BP78" s="105" t="e">
        <f>BN78*'Alternative 3'!$K79/'Alternative 3'!$L79</f>
        <v>#VALUE!</v>
      </c>
      <c r="BQ78" s="105" t="e">
        <f>BO78/'Alternative 3'!$M79</f>
        <v>#VALUE!</v>
      </c>
      <c r="BR78" s="105" t="e">
        <f t="shared" si="28"/>
        <v>#VALUE!</v>
      </c>
      <c r="BT78" s="105" t="e">
        <f>'Alternative 3'!$B$39*$B78*$C78*COS($K$93)-($K$92/3)*$E78*SIN($K$93)-($K$92/3)*$F78*SIN($K$93)-($K$92/3)*$G78*SIN($K$93)</f>
        <v>#VALUE!</v>
      </c>
      <c r="BU78" s="106" t="e">
        <f>IF(($A78&lt;'Alternative 3'!$B$27),(($H78*'Alternative 3'!$B$39)+(3*($N$92/3)*COS($K$93))),IF(($A78&lt;'Alternative 3'!$B$28),(($H78*'Alternative 3'!$B$39)+(2*(($N$92/3)*COS($K$93)))),IF(($A78&lt;'Alternative 3'!$B$29),(($H$3*'Alternative 3'!$B$39+(($N$92/3)*COS($K$93)))),($H78*'Alternative 3'!$B$39))))</f>
        <v>#VALUE!</v>
      </c>
      <c r="BV78" s="105" t="e">
        <f>BT78*'Alternative 3'!$K79/'Alternative 3'!$L79</f>
        <v>#VALUE!</v>
      </c>
      <c r="BW78" s="105" t="e">
        <f>BU78/'Alternative 3'!$M79</f>
        <v>#VALUE!</v>
      </c>
      <c r="BX78" s="105" t="e">
        <f t="shared" si="29"/>
        <v>#VALUE!</v>
      </c>
    </row>
    <row r="79" spans="1:79" ht="15" customHeight="1" x14ac:dyDescent="0.25">
      <c r="A79" s="18" t="str">
        <f>IF('Alternative 3'!F80&gt;0,'Alternative 3'!F80,"x")</f>
        <v>x</v>
      </c>
      <c r="B79" s="18" t="e">
        <f t="shared" si="35"/>
        <v>#VALUE!</v>
      </c>
      <c r="C79" s="18">
        <f t="shared" si="30"/>
        <v>0</v>
      </c>
      <c r="D79" s="18" t="str">
        <f t="shared" si="31"/>
        <v>x</v>
      </c>
      <c r="E79" s="101">
        <f>IF($A79&lt;='Alternative 3'!$B$27, IF($A79='Alternative 3'!$B$27,0,E80+1),0)</f>
        <v>0</v>
      </c>
      <c r="F79" s="101">
        <f>IF($A79&lt;=('Alternative 3'!$B$28), IF($A79=ROUNDDOWN('Alternative 3'!$B$28,0),0,F80+1),0)</f>
        <v>0</v>
      </c>
      <c r="G79" s="101">
        <f>IF($A79&lt;=('Alternative 3'!$B$29), IF($A79=ROUNDDOWN('Alternative 3'!$B$29,0),0,G80+1),0)</f>
        <v>0</v>
      </c>
      <c r="H79" s="18" t="e">
        <f t="shared" si="32"/>
        <v>#VALUE!</v>
      </c>
      <c r="J79" s="104">
        <f t="shared" si="33"/>
        <v>76</v>
      </c>
      <c r="K79" s="104">
        <f t="shared" si="34"/>
        <v>1.3264502315156903</v>
      </c>
      <c r="L79" s="105">
        <f>'Alternative 3'!$B$27*SIN(K79)+'Alternative 3'!$B$28*SIN(K79)+'Alternative 3'!$B$29*SIN(K79)</f>
        <v>65.000110703228998</v>
      </c>
      <c r="M79" s="104">
        <f>(('Alternative 3'!$B$27)*(((('Alternative 3'!$B$28-'Alternative 3'!$B$27)/2)+'Alternative 3'!$B$27)*'Alternative 3'!$B$39)*COS('Alternative 3-Tilt Up (3pt)'!K79))+(('Alternative 3'!$B$28)*((('Alternative 3'!$B$28-'Alternative 3'!$B$27)/2)+(('Alternative 3'!$B$29-'Alternative 3'!$B$28)/2))*('Alternative 3'!$B$39)*COS('Alternative 3-Tilt Up (3pt)'!K79))+(('Alternative 3'!$B$29)*((('Alternative 3'!$B$12-'Alternative 3'!$B$29+(('Alternative 3'!$B$29-'Alternative 3'!$B$28)/2)*('Alternative 3'!$B$39)*COS('Alternative 3-Tilt Up (3pt)'!K79)))))</f>
        <v>543869.62371825089</v>
      </c>
      <c r="N79" s="104">
        <f t="shared" si="18"/>
        <v>25101.632189584863</v>
      </c>
      <c r="O79" s="104">
        <f>(((('Alternative 3'!$B$28-'Alternative 3'!$B$27)/2)+'Alternative 3'!$B$27)*('Alternative 3'!$B$39)*COS('Alternative 3-Tilt Up (3pt)'!K79))+(((('Alternative 3'!$B$28-'Alternative 3'!$B$27)/2)+(('Alternative 3'!$B$29-'Alternative 3'!$B$28)/2))*('Alternative 3'!$B$39)*COS('Alternative 3-Tilt Up (3pt)'!K79))+(((('Alternative 3'!$B$12-'Alternative 3'!$B$29)+(('Alternative 3'!$B$29-'Alternative 3'!$B$28)/2))*('Alternative 3'!$B$39)*COS('Alternative 3-Tilt Up (3pt)'!K79)))</f>
        <v>35324.215499188562</v>
      </c>
      <c r="P79" s="104">
        <f t="shared" si="19"/>
        <v>6072.6344419500119</v>
      </c>
      <c r="R79" s="105" t="e">
        <f>'Alternative 3'!$B$39*$B79*$C79*COS($K$5)-($N$5/3)*$E79*SIN($K$5)-($N$5/3)*$F79*SIN($K$5)-($N$5/3)*$G79*SIN($K$5)</f>
        <v>#VALUE!</v>
      </c>
      <c r="S79" s="106" t="e">
        <f>IF(($A79&lt;'Alternative 3'!$B$27),(($H79*'Alternative 3'!$B$39)+(3*($N$5/3)*COS($K$5))),IF(($A79&lt;'Alternative 3'!$B$28),(($H79*'Alternative 3'!$B$39)+(2*(($N$5/3)*COS($K$5)))),IF(($A79&lt;'Alternative 3'!$B$29),(($H$3*'Alternative 3'!$B$39+(($N$5/3)*COS($K$5)))),($H79*'Alternative 3'!$B$39))))</f>
        <v>#VALUE!</v>
      </c>
      <c r="T79" s="105" t="e">
        <f>R79*'Alternative 3'!$K80/'Alternative 3'!$L80</f>
        <v>#VALUE!</v>
      </c>
      <c r="U79" s="105" t="e">
        <f>S79/'Alternative 3'!$M80</f>
        <v>#VALUE!</v>
      </c>
      <c r="V79" s="105" t="e">
        <f t="shared" si="20"/>
        <v>#VALUE!</v>
      </c>
      <c r="X79" s="105" t="e">
        <f>'Alternative 3'!$B$39*$B79*$C79*COS($K$13)-($N$12/3)*$E79*SIN($K$13)-($N$12/3)*$F79*SIN($K$13)-($N$12/3)*$G79*SIN($K$13)</f>
        <v>#VALUE!</v>
      </c>
      <c r="Y79" s="106" t="e">
        <f>IF(($A79&lt;'Alternative 3'!$B$27),(($H79*'Alternative 3'!$B$39)+(3*($N$12/3)*COS($K$13))),IF(($A79&lt;'Alternative 3'!$B$28),(($H79*'Alternative 3'!$B$39)+(2*(($N$12/3)*COS($K$13)))),IF(($A79&lt;'Alternative 3'!$B$29),(($H$3*'Alternative 3'!$B$39+(($N$12/3)*COS($K$13)))),($H79*'Alternative 3'!$B$39))))</f>
        <v>#VALUE!</v>
      </c>
      <c r="Z79" s="105" t="e">
        <f>X79*'Alternative 3'!$K80/'Alternative 3'!$L80</f>
        <v>#VALUE!</v>
      </c>
      <c r="AA79" s="105" t="e">
        <f>Y79/'Alternative 3'!$M80</f>
        <v>#VALUE!</v>
      </c>
      <c r="AB79" s="105" t="e">
        <f t="shared" si="21"/>
        <v>#VALUE!</v>
      </c>
      <c r="AD79" s="105" t="e">
        <f>'Alternative 3'!$B$39*$B79*$C79*COS($K$23)-($N$22/3)*$E79*SIN($K$23)-($N$22/3)*$F79*SIN($K$23)-($N$22/3)*$G79*SIN($K$23)</f>
        <v>#VALUE!</v>
      </c>
      <c r="AE79" s="106" t="e">
        <f>IF(($A79&lt;'Alternative 3'!$B$27),(($H79*'Alternative 3'!$B$39)+(3*($N$22/3)*COS($K$23))),IF(($A79&lt;'Alternative 3'!$B$28),(($H79*'Alternative 3'!$B$39)+(2*(($N$22/3)*COS($K$23)))),IF(($A79&lt;'Alternative 3'!$B$29),(($H$3*'Alternative 3'!$B$39+(($N$22/3)*COS($K$23)))),($H79*'Alternative 3'!$B$39))))</f>
        <v>#VALUE!</v>
      </c>
      <c r="AF79" s="105" t="e">
        <f>AD79*'Alternative 3'!$K80/'Alternative 3'!$L80</f>
        <v>#VALUE!</v>
      </c>
      <c r="AG79" s="105" t="e">
        <f>AE79/'Alternative 3'!$M80</f>
        <v>#VALUE!</v>
      </c>
      <c r="AH79" s="105" t="e">
        <f t="shared" si="22"/>
        <v>#VALUE!</v>
      </c>
      <c r="AJ79" s="105" t="e">
        <f>'Alternative 3'!$B$39*$B79*$C79*COS($K$33)-($N$32/3)*$E79*SIN($K$33)-($N$32/3)*$F79*SIN($K$33)-($N$32/3)*$G79*SIN($K$33)</f>
        <v>#VALUE!</v>
      </c>
      <c r="AK79" s="106" t="e">
        <f>IF(($A79&lt;'Alternative 3'!$B$27),(($H79*'Alternative 3'!$B$39)+(3*($N$32/3)*COS($K$33))),IF(($A79&lt;'Alternative 3'!$B$28),(($H79*'Alternative 3'!$B$39)+(2*(($N$32/3)*COS($K$33)))),IF(($A79&lt;'Alternative 3'!$B$29),(($H$3*'Alternative 3'!$B$39+(($N$32/3)*COS($K$33)))),($H79*'Alternative 3'!$B$39))))</f>
        <v>#VALUE!</v>
      </c>
      <c r="AL79" s="105" t="e">
        <f>AJ79*'Alternative 3'!$K80/'Alternative 3'!$L80</f>
        <v>#VALUE!</v>
      </c>
      <c r="AM79" s="105" t="e">
        <f>AK79/'Alternative 3'!$M80</f>
        <v>#VALUE!</v>
      </c>
      <c r="AN79" s="105" t="e">
        <f t="shared" si="23"/>
        <v>#VALUE!</v>
      </c>
      <c r="AP79" s="105" t="e">
        <f>'Alternative 3'!$B$39*$B79*$C79*COS($K$43)-($N$42/3)*$E79*SIN($K$43)-($N$42/3)*$F79*SIN($K$43)-($N$42/3)*$G79*SIN($K$43)</f>
        <v>#VALUE!</v>
      </c>
      <c r="AQ79" s="106" t="e">
        <f>IF(($A79&lt;'Alternative 3'!$B$27),(($H79*'Alternative 3'!$B$39)+(3*($N$42/3)*COS($K$43))),IF(($A79&lt;'Alternative 3'!$B$28),(($H79*'Alternative 3'!$B$39)+(2*(($N$42/3)*COS($K$43)))),IF(($A79&lt;'Alternative 3'!$B$29),(($H$3*'Alternative 3'!$B$39+(($N$42/3)*COS($K$43)))),($H79*'Alternative 3'!$B$39))))</f>
        <v>#VALUE!</v>
      </c>
      <c r="AR79" s="105" t="e">
        <f>AP79*'Alternative 3'!$K80/'Alternative 3'!$L80</f>
        <v>#VALUE!</v>
      </c>
      <c r="AS79" s="105" t="e">
        <f>AQ79/'Alternative 3'!$M80</f>
        <v>#VALUE!</v>
      </c>
      <c r="AT79" s="105" t="e">
        <f t="shared" si="24"/>
        <v>#VALUE!</v>
      </c>
      <c r="AV79" s="105" t="e">
        <f>'Alternative 3'!$B$39*$B79*$C79*COS($K$53)-($N$52/3)*$E79*SIN($K$53)-($N$52/3)*$F79*SIN($K$53)-($N$52/3)*$G79*SIN($K$53)</f>
        <v>#VALUE!</v>
      </c>
      <c r="AW79" s="106" t="e">
        <f>IF(($A79&lt;'Alternative 3'!$B$27),(($H79*'Alternative 3'!$B$39)+(3*($N$52/3)*COS($K$53))),IF(($A79&lt;'Alternative 3'!$B$28),(($H79*'Alternative 3'!$B$39)+(2*(($N$52/3)*COS($K$53)))),IF(($A79&lt;'Alternative 3'!$B$29),(($H$3*'Alternative 3'!$B$39+(($N$52/3)*COS($K$53)))),($H79*'Alternative 3'!$B$39))))</f>
        <v>#VALUE!</v>
      </c>
      <c r="AX79" s="105" t="e">
        <f>AV79*'Alternative 3'!$K80/'Alternative 3'!$L80</f>
        <v>#VALUE!</v>
      </c>
      <c r="AY79" s="105" t="e">
        <f>AW79/'Alternative 3'!$M80</f>
        <v>#VALUE!</v>
      </c>
      <c r="AZ79" s="105" t="e">
        <f t="shared" si="25"/>
        <v>#VALUE!</v>
      </c>
      <c r="BB79" s="105" t="e">
        <f>'Alternative 3'!$B$39*$B79*$C79*COS($K$63)-($N$62/3)*$E79*SIN($K$63)-($N$62/3)*$F79*SIN($K$63)-($N$62/3)*$G79*SIN($K$63)</f>
        <v>#VALUE!</v>
      </c>
      <c r="BC79" s="106" t="e">
        <f>IF(($A79&lt;'Alternative 3'!$B$27),(($H79*'Alternative 3'!$B$39)+(3*($N$62/3)*COS($K$63))),IF(($A79&lt;'Alternative 3'!$B$28),(($H79*'Alternative 3'!$B$39)+(2*(($N$62/3)*COS($K$63)))),IF(($A79&lt;'Alternative 3'!$B$29),(($H$3*'Alternative 3'!$B$39+(($N$62/3)*COS($K$63)))),($H79*'Alternative 3'!$B$39))))</f>
        <v>#VALUE!</v>
      </c>
      <c r="BD79" s="105" t="e">
        <f>BB79*'Alternative 3'!$K80/'Alternative 3'!$L80</f>
        <v>#VALUE!</v>
      </c>
      <c r="BE79" s="105" t="e">
        <f>BC79/'Alternative 3'!$M80</f>
        <v>#VALUE!</v>
      </c>
      <c r="BF79" s="105" t="e">
        <f t="shared" si="26"/>
        <v>#VALUE!</v>
      </c>
      <c r="BH79" s="105" t="e">
        <f>'Alternative 3'!$B$39*$B79*$C79*COS($K$73)-($N$72/3)*$E79*SIN($K$73)-($N$72/3)*$F79*SIN($K$73)-($N$72/3)*$G79*SIN($K$73)</f>
        <v>#VALUE!</v>
      </c>
      <c r="BI79" s="106" t="e">
        <f>IF(($A79&lt;'Alternative 3'!$B$27),(($H79*'Alternative 3'!$B$39)+(3*($N$72/3)*COS($K$73))),IF(($A79&lt;'Alternative 3'!$B$28),(($H79*'Alternative 3'!$B$39)+(2*(($N$72/3)*COS($K$73)))),IF(($A79&lt;'Alternative 3'!$B$29),(($H$3*'Alternative 3'!$B$39+(($N$72/3)*COS($K$73)))),($H79*'Alternative 3'!$B$39))))</f>
        <v>#VALUE!</v>
      </c>
      <c r="BJ79" s="105" t="e">
        <f>BH79*'Alternative 3'!$K80/'Alternative 3'!$L80</f>
        <v>#VALUE!</v>
      </c>
      <c r="BK79" s="105" t="e">
        <f>BI79/'Alternative 3'!$M80</f>
        <v>#VALUE!</v>
      </c>
      <c r="BL79" s="105" t="e">
        <f t="shared" si="27"/>
        <v>#VALUE!</v>
      </c>
      <c r="BN79" s="105" t="e">
        <f>'Alternative 3'!$B$39*$B79*$C79*COS($K$83)-($N$82/3)*$E79*SIN($K$83)-($N$82/3)*$F79*SIN($K$83)-($N$82/3)*$G79*SIN($K$83)</f>
        <v>#VALUE!</v>
      </c>
      <c r="BO79" s="106" t="e">
        <f>IF(($A79&lt;'Alternative 3'!$B$27),(($H79*'Alternative 3'!$B$39)+(3*($N$82/3)*COS($K$83))),IF(($A79&lt;'Alternative 3'!$B$28),(($H79*'Alternative 3'!$B$39)+(2*(($N$82/3)*COS($K$83)))),IF(($A79&lt;'Alternative 3'!$B$29),(($H$3*'Alternative 3'!$B$39+(($N$82/3)*COS($K$83)))),($H79*'Alternative 3'!$B$39))))</f>
        <v>#VALUE!</v>
      </c>
      <c r="BP79" s="105" t="e">
        <f>BN79*'Alternative 3'!$K80/'Alternative 3'!$L80</f>
        <v>#VALUE!</v>
      </c>
      <c r="BQ79" s="105" t="e">
        <f>BO79/'Alternative 3'!$M80</f>
        <v>#VALUE!</v>
      </c>
      <c r="BR79" s="105" t="e">
        <f t="shared" si="28"/>
        <v>#VALUE!</v>
      </c>
      <c r="BT79" s="105" t="e">
        <f>'Alternative 3'!$B$39*$B79*$C79*COS($K$93)-($K$92/3)*$E79*SIN($K$93)-($K$92/3)*$F79*SIN($K$93)-($K$92/3)*$G79*SIN($K$93)</f>
        <v>#VALUE!</v>
      </c>
      <c r="BU79" s="106" t="e">
        <f>IF(($A79&lt;'Alternative 3'!$B$27),(($H79*'Alternative 3'!$B$39)+(3*($N$92/3)*COS($K$93))),IF(($A79&lt;'Alternative 3'!$B$28),(($H79*'Alternative 3'!$B$39)+(2*(($N$92/3)*COS($K$93)))),IF(($A79&lt;'Alternative 3'!$B$29),(($H$3*'Alternative 3'!$B$39+(($N$92/3)*COS($K$93)))),($H79*'Alternative 3'!$B$39))))</f>
        <v>#VALUE!</v>
      </c>
      <c r="BV79" s="105" t="e">
        <f>BT79*'Alternative 3'!$K80/'Alternative 3'!$L80</f>
        <v>#VALUE!</v>
      </c>
      <c r="BW79" s="105" t="e">
        <f>BU79/'Alternative 3'!$M80</f>
        <v>#VALUE!</v>
      </c>
      <c r="BX79" s="105" t="e">
        <f t="shared" si="29"/>
        <v>#VALUE!</v>
      </c>
    </row>
    <row r="80" spans="1:79" ht="15" customHeight="1" x14ac:dyDescent="0.25">
      <c r="A80" s="18" t="str">
        <f>IF('Alternative 3'!F81&gt;0,'Alternative 3'!F81,"x")</f>
        <v>x</v>
      </c>
      <c r="B80" s="18" t="e">
        <f t="shared" si="35"/>
        <v>#VALUE!</v>
      </c>
      <c r="C80" s="18">
        <f t="shared" si="30"/>
        <v>0</v>
      </c>
      <c r="D80" s="18" t="str">
        <f t="shared" si="31"/>
        <v>x</v>
      </c>
      <c r="E80" s="101">
        <f>IF($A80&lt;='Alternative 3'!$B$27, IF($A80='Alternative 3'!$B$27,0,E81+1),0)</f>
        <v>0</v>
      </c>
      <c r="F80" s="101">
        <f>IF($A80&lt;=('Alternative 3'!$B$28), IF($A80=ROUNDDOWN('Alternative 3'!$B$28,0),0,F81+1),0)</f>
        <v>0</v>
      </c>
      <c r="G80" s="101">
        <f>IF($A80&lt;=('Alternative 3'!$B$29), IF($A80=ROUNDDOWN('Alternative 3'!$B$29,0),0,G81+1),0)</f>
        <v>0</v>
      </c>
      <c r="H80" s="18" t="e">
        <f t="shared" si="32"/>
        <v>#VALUE!</v>
      </c>
      <c r="J80" s="104">
        <f t="shared" si="33"/>
        <v>77</v>
      </c>
      <c r="K80" s="104">
        <f t="shared" si="34"/>
        <v>1.3439035240356338</v>
      </c>
      <c r="L80" s="105">
        <f>'Alternative 3'!$B$27*SIN(K80)+'Alternative 3'!$B$28*SIN(K80)+'Alternative 3'!$B$29*SIN(K80)</f>
        <v>65.273050639962904</v>
      </c>
      <c r="M80" s="104">
        <f>(('Alternative 3'!$B$27)*(((('Alternative 3'!$B$28-'Alternative 3'!$B$27)/2)+'Alternative 3'!$B$27)*'Alternative 3'!$B$39)*COS('Alternative 3-Tilt Up (3pt)'!K80))+(('Alternative 3'!$B$28)*((('Alternative 3'!$B$28-'Alternative 3'!$B$27)/2)+(('Alternative 3'!$B$29-'Alternative 3'!$B$28)/2))*('Alternative 3'!$B$39)*COS('Alternative 3-Tilt Up (3pt)'!K80))+(('Alternative 3'!$B$29)*((('Alternative 3'!$B$12-'Alternative 3'!$B$29+(('Alternative 3'!$B$29-'Alternative 3'!$B$28)/2)*('Alternative 3'!$B$39)*COS('Alternative 3-Tilt Up (3pt)'!K80)))))</f>
        <v>505729.87060257408</v>
      </c>
      <c r="N80" s="104">
        <f t="shared" si="18"/>
        <v>23243.736839822755</v>
      </c>
      <c r="O80" s="104">
        <f>(((('Alternative 3'!$B$28-'Alternative 3'!$B$27)/2)+'Alternative 3'!$B$27)*('Alternative 3'!$B$39)*COS('Alternative 3-Tilt Up (3pt)'!K80))+(((('Alternative 3'!$B$28-'Alternative 3'!$B$27)/2)+(('Alternative 3'!$B$29-'Alternative 3'!$B$28)/2))*('Alternative 3'!$B$39)*COS('Alternative 3-Tilt Up (3pt)'!K80))+(((('Alternative 3'!$B$12-'Alternative 3'!$B$29)+(('Alternative 3'!$B$29-'Alternative 3'!$B$28)/2))*('Alternative 3'!$B$39)*COS('Alternative 3-Tilt Up (3pt)'!K80)))</f>
        <v>32846.218820812137</v>
      </c>
      <c r="P80" s="104">
        <f t="shared" si="19"/>
        <v>5228.7031090094633</v>
      </c>
      <c r="R80" s="105" t="e">
        <f>'Alternative 3'!$B$39*$B80*$C80*COS($K$5)-($N$5/3)*$E80*SIN($K$5)-($N$5/3)*$F80*SIN($K$5)-($N$5/3)*$G80*SIN($K$5)</f>
        <v>#VALUE!</v>
      </c>
      <c r="S80" s="106" t="e">
        <f>IF(($A80&lt;'Alternative 3'!$B$27),(($H80*'Alternative 3'!$B$39)+(3*($N$5/3)*COS($K$5))),IF(($A80&lt;'Alternative 3'!$B$28),(($H80*'Alternative 3'!$B$39)+(2*(($N$5/3)*COS($K$5)))),IF(($A80&lt;'Alternative 3'!$B$29),(($H$3*'Alternative 3'!$B$39+(($N$5/3)*COS($K$5)))),($H80*'Alternative 3'!$B$39))))</f>
        <v>#VALUE!</v>
      </c>
      <c r="T80" s="105" t="e">
        <f>R80*'Alternative 3'!$K81/'Alternative 3'!$L81</f>
        <v>#VALUE!</v>
      </c>
      <c r="U80" s="105" t="e">
        <f>S80/'Alternative 3'!$M81</f>
        <v>#VALUE!</v>
      </c>
      <c r="V80" s="105" t="e">
        <f t="shared" si="20"/>
        <v>#VALUE!</v>
      </c>
      <c r="X80" s="105" t="e">
        <f>'Alternative 3'!$B$39*$B80*$C80*COS($K$13)-($N$12/3)*$E80*SIN($K$13)-($N$12/3)*$F80*SIN($K$13)-($N$12/3)*$G80*SIN($K$13)</f>
        <v>#VALUE!</v>
      </c>
      <c r="Y80" s="106" t="e">
        <f>IF(($A80&lt;'Alternative 3'!$B$27),(($H80*'Alternative 3'!$B$39)+(3*($N$12/3)*COS($K$13))),IF(($A80&lt;'Alternative 3'!$B$28),(($H80*'Alternative 3'!$B$39)+(2*(($N$12/3)*COS($K$13)))),IF(($A80&lt;'Alternative 3'!$B$29),(($H$3*'Alternative 3'!$B$39+(($N$12/3)*COS($K$13)))),($H80*'Alternative 3'!$B$39))))</f>
        <v>#VALUE!</v>
      </c>
      <c r="Z80" s="105" t="e">
        <f>X80*'Alternative 3'!$K81/'Alternative 3'!$L81</f>
        <v>#VALUE!</v>
      </c>
      <c r="AA80" s="105" t="e">
        <f>Y80/'Alternative 3'!$M81</f>
        <v>#VALUE!</v>
      </c>
      <c r="AB80" s="105" t="e">
        <f t="shared" si="21"/>
        <v>#VALUE!</v>
      </c>
      <c r="AD80" s="105" t="e">
        <f>'Alternative 3'!$B$39*$B80*$C80*COS($K$23)-($N$22/3)*$E80*SIN($K$23)-($N$22/3)*$F80*SIN($K$23)-($N$22/3)*$G80*SIN($K$23)</f>
        <v>#VALUE!</v>
      </c>
      <c r="AE80" s="106" t="e">
        <f>IF(($A80&lt;'Alternative 3'!$B$27),(($H80*'Alternative 3'!$B$39)+(3*($N$22/3)*COS($K$23))),IF(($A80&lt;'Alternative 3'!$B$28),(($H80*'Alternative 3'!$B$39)+(2*(($N$22/3)*COS($K$23)))),IF(($A80&lt;'Alternative 3'!$B$29),(($H$3*'Alternative 3'!$B$39+(($N$22/3)*COS($K$23)))),($H80*'Alternative 3'!$B$39))))</f>
        <v>#VALUE!</v>
      </c>
      <c r="AF80" s="105" t="e">
        <f>AD80*'Alternative 3'!$K81/'Alternative 3'!$L81</f>
        <v>#VALUE!</v>
      </c>
      <c r="AG80" s="105" t="e">
        <f>AE80/'Alternative 3'!$M81</f>
        <v>#VALUE!</v>
      </c>
      <c r="AH80" s="105" t="e">
        <f t="shared" si="22"/>
        <v>#VALUE!</v>
      </c>
      <c r="AJ80" s="105" t="e">
        <f>'Alternative 3'!$B$39*$B80*$C80*COS($K$33)-($N$32/3)*$E80*SIN($K$33)-($N$32/3)*$F80*SIN($K$33)-($N$32/3)*$G80*SIN($K$33)</f>
        <v>#VALUE!</v>
      </c>
      <c r="AK80" s="106" t="e">
        <f>IF(($A80&lt;'Alternative 3'!$B$27),(($H80*'Alternative 3'!$B$39)+(3*($N$32/3)*COS($K$33))),IF(($A80&lt;'Alternative 3'!$B$28),(($H80*'Alternative 3'!$B$39)+(2*(($N$32/3)*COS($K$33)))),IF(($A80&lt;'Alternative 3'!$B$29),(($H$3*'Alternative 3'!$B$39+(($N$32/3)*COS($K$33)))),($H80*'Alternative 3'!$B$39))))</f>
        <v>#VALUE!</v>
      </c>
      <c r="AL80" s="105" t="e">
        <f>AJ80*'Alternative 3'!$K81/'Alternative 3'!$L81</f>
        <v>#VALUE!</v>
      </c>
      <c r="AM80" s="105" t="e">
        <f>AK80/'Alternative 3'!$M81</f>
        <v>#VALUE!</v>
      </c>
      <c r="AN80" s="105" t="e">
        <f t="shared" si="23"/>
        <v>#VALUE!</v>
      </c>
      <c r="AP80" s="105" t="e">
        <f>'Alternative 3'!$B$39*$B80*$C80*COS($K$43)-($N$42/3)*$E80*SIN($K$43)-($N$42/3)*$F80*SIN($K$43)-($N$42/3)*$G80*SIN($K$43)</f>
        <v>#VALUE!</v>
      </c>
      <c r="AQ80" s="106" t="e">
        <f>IF(($A80&lt;'Alternative 3'!$B$27),(($H80*'Alternative 3'!$B$39)+(3*($N$42/3)*COS($K$43))),IF(($A80&lt;'Alternative 3'!$B$28),(($H80*'Alternative 3'!$B$39)+(2*(($N$42/3)*COS($K$43)))),IF(($A80&lt;'Alternative 3'!$B$29),(($H$3*'Alternative 3'!$B$39+(($N$42/3)*COS($K$43)))),($H80*'Alternative 3'!$B$39))))</f>
        <v>#VALUE!</v>
      </c>
      <c r="AR80" s="105" t="e">
        <f>AP80*'Alternative 3'!$K81/'Alternative 3'!$L81</f>
        <v>#VALUE!</v>
      </c>
      <c r="AS80" s="105" t="e">
        <f>AQ80/'Alternative 3'!$M81</f>
        <v>#VALUE!</v>
      </c>
      <c r="AT80" s="105" t="e">
        <f t="shared" si="24"/>
        <v>#VALUE!</v>
      </c>
      <c r="AV80" s="105" t="e">
        <f>'Alternative 3'!$B$39*$B80*$C80*COS($K$53)-($N$52/3)*$E80*SIN($K$53)-($N$52/3)*$F80*SIN($K$53)-($N$52/3)*$G80*SIN($K$53)</f>
        <v>#VALUE!</v>
      </c>
      <c r="AW80" s="106" t="e">
        <f>IF(($A80&lt;'Alternative 3'!$B$27),(($H80*'Alternative 3'!$B$39)+(3*($N$52/3)*COS($K$53))),IF(($A80&lt;'Alternative 3'!$B$28),(($H80*'Alternative 3'!$B$39)+(2*(($N$52/3)*COS($K$53)))),IF(($A80&lt;'Alternative 3'!$B$29),(($H$3*'Alternative 3'!$B$39+(($N$52/3)*COS($K$53)))),($H80*'Alternative 3'!$B$39))))</f>
        <v>#VALUE!</v>
      </c>
      <c r="AX80" s="105" t="e">
        <f>AV80*'Alternative 3'!$K81/'Alternative 3'!$L81</f>
        <v>#VALUE!</v>
      </c>
      <c r="AY80" s="105" t="e">
        <f>AW80/'Alternative 3'!$M81</f>
        <v>#VALUE!</v>
      </c>
      <c r="AZ80" s="105" t="e">
        <f t="shared" si="25"/>
        <v>#VALUE!</v>
      </c>
      <c r="BB80" s="105" t="e">
        <f>'Alternative 3'!$B$39*$B80*$C80*COS($K$63)-($N$62/3)*$E80*SIN($K$63)-($N$62/3)*$F80*SIN($K$63)-($N$62/3)*$G80*SIN($K$63)</f>
        <v>#VALUE!</v>
      </c>
      <c r="BC80" s="106" t="e">
        <f>IF(($A80&lt;'Alternative 3'!$B$27),(($H80*'Alternative 3'!$B$39)+(3*($N$62/3)*COS($K$63))),IF(($A80&lt;'Alternative 3'!$B$28),(($H80*'Alternative 3'!$B$39)+(2*(($N$62/3)*COS($K$63)))),IF(($A80&lt;'Alternative 3'!$B$29),(($H$3*'Alternative 3'!$B$39+(($N$62/3)*COS($K$63)))),($H80*'Alternative 3'!$B$39))))</f>
        <v>#VALUE!</v>
      </c>
      <c r="BD80" s="105" t="e">
        <f>BB80*'Alternative 3'!$K81/'Alternative 3'!$L81</f>
        <v>#VALUE!</v>
      </c>
      <c r="BE80" s="105" t="e">
        <f>BC80/'Alternative 3'!$M81</f>
        <v>#VALUE!</v>
      </c>
      <c r="BF80" s="105" t="e">
        <f t="shared" si="26"/>
        <v>#VALUE!</v>
      </c>
      <c r="BH80" s="105" t="e">
        <f>'Alternative 3'!$B$39*$B80*$C80*COS($K$73)-($N$72/3)*$E80*SIN($K$73)-($N$72/3)*$F80*SIN($K$73)-($N$72/3)*$G80*SIN($K$73)</f>
        <v>#VALUE!</v>
      </c>
      <c r="BI80" s="106" t="e">
        <f>IF(($A80&lt;'Alternative 3'!$B$27),(($H80*'Alternative 3'!$B$39)+(3*($N$72/3)*COS($K$73))),IF(($A80&lt;'Alternative 3'!$B$28),(($H80*'Alternative 3'!$B$39)+(2*(($N$72/3)*COS($K$73)))),IF(($A80&lt;'Alternative 3'!$B$29),(($H$3*'Alternative 3'!$B$39+(($N$72/3)*COS($K$73)))),($H80*'Alternative 3'!$B$39))))</f>
        <v>#VALUE!</v>
      </c>
      <c r="BJ80" s="105" t="e">
        <f>BH80*'Alternative 3'!$K81/'Alternative 3'!$L81</f>
        <v>#VALUE!</v>
      </c>
      <c r="BK80" s="105" t="e">
        <f>BI80/'Alternative 3'!$M81</f>
        <v>#VALUE!</v>
      </c>
      <c r="BL80" s="105" t="e">
        <f t="shared" si="27"/>
        <v>#VALUE!</v>
      </c>
      <c r="BN80" s="105" t="e">
        <f>'Alternative 3'!$B$39*$B80*$C80*COS($K$83)-($N$82/3)*$E80*SIN($K$83)-($N$82/3)*$F80*SIN($K$83)-($N$82/3)*$G80*SIN($K$83)</f>
        <v>#VALUE!</v>
      </c>
      <c r="BO80" s="106" t="e">
        <f>IF(($A80&lt;'Alternative 3'!$B$27),(($H80*'Alternative 3'!$B$39)+(3*($N$82/3)*COS($K$83))),IF(($A80&lt;'Alternative 3'!$B$28),(($H80*'Alternative 3'!$B$39)+(2*(($N$82/3)*COS($K$83)))),IF(($A80&lt;'Alternative 3'!$B$29),(($H$3*'Alternative 3'!$B$39+(($N$82/3)*COS($K$83)))),($H80*'Alternative 3'!$B$39))))</f>
        <v>#VALUE!</v>
      </c>
      <c r="BP80" s="105" t="e">
        <f>BN80*'Alternative 3'!$K81/'Alternative 3'!$L81</f>
        <v>#VALUE!</v>
      </c>
      <c r="BQ80" s="105" t="e">
        <f>BO80/'Alternative 3'!$M81</f>
        <v>#VALUE!</v>
      </c>
      <c r="BR80" s="105" t="e">
        <f t="shared" si="28"/>
        <v>#VALUE!</v>
      </c>
      <c r="BT80" s="105" t="e">
        <f>'Alternative 3'!$B$39*$B80*$C80*COS($K$93)-($K$92/3)*$E80*SIN($K$93)-($K$92/3)*$F80*SIN($K$93)-($K$92/3)*$G80*SIN($K$93)</f>
        <v>#VALUE!</v>
      </c>
      <c r="BU80" s="106" t="e">
        <f>IF(($A80&lt;'Alternative 3'!$B$27),(($H80*'Alternative 3'!$B$39)+(3*($N$92/3)*COS($K$93))),IF(($A80&lt;'Alternative 3'!$B$28),(($H80*'Alternative 3'!$B$39)+(2*(($N$92/3)*COS($K$93)))),IF(($A80&lt;'Alternative 3'!$B$29),(($H$3*'Alternative 3'!$B$39+(($N$92/3)*COS($K$93)))),($H80*'Alternative 3'!$B$39))))</f>
        <v>#VALUE!</v>
      </c>
      <c r="BV80" s="105" t="e">
        <f>BT80*'Alternative 3'!$K81/'Alternative 3'!$L81</f>
        <v>#VALUE!</v>
      </c>
      <c r="BW80" s="105" t="e">
        <f>BU80/'Alternative 3'!$M81</f>
        <v>#VALUE!</v>
      </c>
      <c r="BX80" s="105" t="e">
        <f t="shared" si="29"/>
        <v>#VALUE!</v>
      </c>
    </row>
    <row r="81" spans="1:76" ht="15" customHeight="1" x14ac:dyDescent="0.25">
      <c r="A81" s="18" t="str">
        <f>IF('Alternative 3'!F82&gt;0,'Alternative 3'!F82,"x")</f>
        <v>x</v>
      </c>
      <c r="B81" s="18" t="e">
        <f t="shared" si="35"/>
        <v>#VALUE!</v>
      </c>
      <c r="C81" s="18">
        <f t="shared" si="30"/>
        <v>0</v>
      </c>
      <c r="D81" s="18" t="str">
        <f t="shared" si="31"/>
        <v>x</v>
      </c>
      <c r="E81" s="101">
        <f>IF($A81&lt;='Alternative 3'!$B$27, IF($A81='Alternative 3'!$B$27,0,E82+1),0)</f>
        <v>0</v>
      </c>
      <c r="F81" s="101">
        <f>IF($A81&lt;=('Alternative 3'!$B$28), IF($A81=ROUNDDOWN('Alternative 3'!$B$28,0),0,F82+1),0)</f>
        <v>0</v>
      </c>
      <c r="G81" s="101">
        <f>IF($A81&lt;=('Alternative 3'!$B$29), IF($A81=ROUNDDOWN('Alternative 3'!$B$29,0),0,G82+1),0)</f>
        <v>0</v>
      </c>
      <c r="H81" s="18" t="e">
        <f t="shared" si="32"/>
        <v>#VALUE!</v>
      </c>
      <c r="J81" s="104">
        <f t="shared" si="33"/>
        <v>78</v>
      </c>
      <c r="K81" s="104">
        <f t="shared" si="34"/>
        <v>1.3613568165555769</v>
      </c>
      <c r="L81" s="105">
        <f>'Alternative 3'!$B$27*SIN(K81)+'Alternative 3'!$B$28*SIN(K81)+'Alternative 3'!$B$29*SIN(K81)</f>
        <v>65.526107773157634</v>
      </c>
      <c r="M81" s="104">
        <f>(('Alternative 3'!$B$27)*(((('Alternative 3'!$B$28-'Alternative 3'!$B$27)/2)+'Alternative 3'!$B$27)*'Alternative 3'!$B$39)*COS('Alternative 3-Tilt Up (3pt)'!K81))+(('Alternative 3'!$B$28)*((('Alternative 3'!$B$28-'Alternative 3'!$B$27)/2)+(('Alternative 3'!$B$29-'Alternative 3'!$B$28)/2))*('Alternative 3'!$B$39)*COS('Alternative 3-Tilt Up (3pt)'!K81))+(('Alternative 3'!$B$29)*((('Alternative 3'!$B$12-'Alternative 3'!$B$29+(('Alternative 3'!$B$29-'Alternative 3'!$B$28)/2)*('Alternative 3'!$B$39)*COS('Alternative 3-Tilt Up (3pt)'!K81)))))</f>
        <v>467436.12261811807</v>
      </c>
      <c r="N81" s="104">
        <f t="shared" si="18"/>
        <v>21400.757888885339</v>
      </c>
      <c r="O81" s="104">
        <f>(((('Alternative 3'!$B$28-'Alternative 3'!$B$27)/2)+'Alternative 3'!$B$27)*('Alternative 3'!$B$39)*COS('Alternative 3-Tilt Up (3pt)'!K81))+(((('Alternative 3'!$B$28-'Alternative 3'!$B$27)/2)+(('Alternative 3'!$B$29-'Alternative 3'!$B$28)/2))*('Alternative 3'!$B$39)*COS('Alternative 3-Tilt Up (3pt)'!K81))+(((('Alternative 3'!$B$12-'Alternative 3'!$B$29)+(('Alternative 3'!$B$29-'Alternative 3'!$B$28)/2))*('Alternative 3'!$B$39)*COS('Alternative 3-Tilt Up (3pt)'!K81)))</f>
        <v>30358.216865994502</v>
      </c>
      <c r="P81" s="104">
        <f t="shared" si="19"/>
        <v>4449.4677574596553</v>
      </c>
      <c r="R81" s="105" t="e">
        <f>'Alternative 3'!$B$39*$B81*$C81*COS($K$5)-($N$5/3)*$E81*SIN($K$5)-($N$5/3)*$F81*SIN($K$5)-($N$5/3)*$G81*SIN($K$5)</f>
        <v>#VALUE!</v>
      </c>
      <c r="S81" s="106" t="e">
        <f>IF(($A81&lt;'Alternative 3'!$B$27),(($H81*'Alternative 3'!$B$39)+(3*($N$5/3)*COS($K$5))),IF(($A81&lt;'Alternative 3'!$B$28),(($H81*'Alternative 3'!$B$39)+(2*(($N$5/3)*COS($K$5)))),IF(($A81&lt;'Alternative 3'!$B$29),(($H$3*'Alternative 3'!$B$39+(($N$5/3)*COS($K$5)))),($H81*'Alternative 3'!$B$39))))</f>
        <v>#VALUE!</v>
      </c>
      <c r="T81" s="105" t="e">
        <f>R81*'Alternative 3'!$K82/'Alternative 3'!$L82</f>
        <v>#VALUE!</v>
      </c>
      <c r="U81" s="105" t="e">
        <f>S81/'Alternative 3'!$M82</f>
        <v>#VALUE!</v>
      </c>
      <c r="V81" s="105" t="e">
        <f t="shared" si="20"/>
        <v>#VALUE!</v>
      </c>
      <c r="X81" s="105" t="e">
        <f>'Alternative 3'!$B$39*$B81*$C81*COS($K$13)-($N$12/3)*$E81*SIN($K$13)-($N$12/3)*$F81*SIN($K$13)-($N$12/3)*$G81*SIN($K$13)</f>
        <v>#VALUE!</v>
      </c>
      <c r="Y81" s="106" t="e">
        <f>IF(($A81&lt;'Alternative 3'!$B$27),(($H81*'Alternative 3'!$B$39)+(3*($N$12/3)*COS($K$13))),IF(($A81&lt;'Alternative 3'!$B$28),(($H81*'Alternative 3'!$B$39)+(2*(($N$12/3)*COS($K$13)))),IF(($A81&lt;'Alternative 3'!$B$29),(($H$3*'Alternative 3'!$B$39+(($N$12/3)*COS($K$13)))),($H81*'Alternative 3'!$B$39))))</f>
        <v>#VALUE!</v>
      </c>
      <c r="Z81" s="105" t="e">
        <f>X81*'Alternative 3'!$K82/'Alternative 3'!$L82</f>
        <v>#VALUE!</v>
      </c>
      <c r="AA81" s="105" t="e">
        <f>Y81/'Alternative 3'!$M82</f>
        <v>#VALUE!</v>
      </c>
      <c r="AB81" s="105" t="e">
        <f t="shared" si="21"/>
        <v>#VALUE!</v>
      </c>
      <c r="AD81" s="105" t="e">
        <f>'Alternative 3'!$B$39*$B81*$C81*COS($K$23)-($N$22/3)*$E81*SIN($K$23)-($N$22/3)*$F81*SIN($K$23)-($N$22/3)*$G81*SIN($K$23)</f>
        <v>#VALUE!</v>
      </c>
      <c r="AE81" s="106" t="e">
        <f>IF(($A81&lt;'Alternative 3'!$B$27),(($H81*'Alternative 3'!$B$39)+(3*($N$22/3)*COS($K$23))),IF(($A81&lt;'Alternative 3'!$B$28),(($H81*'Alternative 3'!$B$39)+(2*(($N$22/3)*COS($K$23)))),IF(($A81&lt;'Alternative 3'!$B$29),(($H$3*'Alternative 3'!$B$39+(($N$22/3)*COS($K$23)))),($H81*'Alternative 3'!$B$39))))</f>
        <v>#VALUE!</v>
      </c>
      <c r="AF81" s="105" t="e">
        <f>AD81*'Alternative 3'!$K82/'Alternative 3'!$L82</f>
        <v>#VALUE!</v>
      </c>
      <c r="AG81" s="105" t="e">
        <f>AE81/'Alternative 3'!$M82</f>
        <v>#VALUE!</v>
      </c>
      <c r="AH81" s="105" t="e">
        <f t="shared" si="22"/>
        <v>#VALUE!</v>
      </c>
      <c r="AJ81" s="105" t="e">
        <f>'Alternative 3'!$B$39*$B81*$C81*COS($K$33)-($N$32/3)*$E81*SIN($K$33)-($N$32/3)*$F81*SIN($K$33)-($N$32/3)*$G81*SIN($K$33)</f>
        <v>#VALUE!</v>
      </c>
      <c r="AK81" s="106" t="e">
        <f>IF(($A81&lt;'Alternative 3'!$B$27),(($H81*'Alternative 3'!$B$39)+(3*($N$32/3)*COS($K$33))),IF(($A81&lt;'Alternative 3'!$B$28),(($H81*'Alternative 3'!$B$39)+(2*(($N$32/3)*COS($K$33)))),IF(($A81&lt;'Alternative 3'!$B$29),(($H$3*'Alternative 3'!$B$39+(($N$32/3)*COS($K$33)))),($H81*'Alternative 3'!$B$39))))</f>
        <v>#VALUE!</v>
      </c>
      <c r="AL81" s="105" t="e">
        <f>AJ81*'Alternative 3'!$K82/'Alternative 3'!$L82</f>
        <v>#VALUE!</v>
      </c>
      <c r="AM81" s="105" t="e">
        <f>AK81/'Alternative 3'!$M82</f>
        <v>#VALUE!</v>
      </c>
      <c r="AN81" s="105" t="e">
        <f t="shared" si="23"/>
        <v>#VALUE!</v>
      </c>
      <c r="AP81" s="105" t="e">
        <f>'Alternative 3'!$B$39*$B81*$C81*COS($K$43)-($N$42/3)*$E81*SIN($K$43)-($N$42/3)*$F81*SIN($K$43)-($N$42/3)*$G81*SIN($K$43)</f>
        <v>#VALUE!</v>
      </c>
      <c r="AQ81" s="106" t="e">
        <f>IF(($A81&lt;'Alternative 3'!$B$27),(($H81*'Alternative 3'!$B$39)+(3*($N$42/3)*COS($K$43))),IF(($A81&lt;'Alternative 3'!$B$28),(($H81*'Alternative 3'!$B$39)+(2*(($N$42/3)*COS($K$43)))),IF(($A81&lt;'Alternative 3'!$B$29),(($H$3*'Alternative 3'!$B$39+(($N$42/3)*COS($K$43)))),($H81*'Alternative 3'!$B$39))))</f>
        <v>#VALUE!</v>
      </c>
      <c r="AR81" s="105" t="e">
        <f>AP81*'Alternative 3'!$K82/'Alternative 3'!$L82</f>
        <v>#VALUE!</v>
      </c>
      <c r="AS81" s="105" t="e">
        <f>AQ81/'Alternative 3'!$M82</f>
        <v>#VALUE!</v>
      </c>
      <c r="AT81" s="105" t="e">
        <f t="shared" si="24"/>
        <v>#VALUE!</v>
      </c>
      <c r="AV81" s="105" t="e">
        <f>'Alternative 3'!$B$39*$B81*$C81*COS($K$53)-($N$52/3)*$E81*SIN($K$53)-($N$52/3)*$F81*SIN($K$53)-($N$52/3)*$G81*SIN($K$53)</f>
        <v>#VALUE!</v>
      </c>
      <c r="AW81" s="106" t="e">
        <f>IF(($A81&lt;'Alternative 3'!$B$27),(($H81*'Alternative 3'!$B$39)+(3*($N$52/3)*COS($K$53))),IF(($A81&lt;'Alternative 3'!$B$28),(($H81*'Alternative 3'!$B$39)+(2*(($N$52/3)*COS($K$53)))),IF(($A81&lt;'Alternative 3'!$B$29),(($H$3*'Alternative 3'!$B$39+(($N$52/3)*COS($K$53)))),($H81*'Alternative 3'!$B$39))))</f>
        <v>#VALUE!</v>
      </c>
      <c r="AX81" s="105" t="e">
        <f>AV81*'Alternative 3'!$K82/'Alternative 3'!$L82</f>
        <v>#VALUE!</v>
      </c>
      <c r="AY81" s="105" t="e">
        <f>AW81/'Alternative 3'!$M82</f>
        <v>#VALUE!</v>
      </c>
      <c r="AZ81" s="105" t="e">
        <f t="shared" si="25"/>
        <v>#VALUE!</v>
      </c>
      <c r="BB81" s="105" t="e">
        <f>'Alternative 3'!$B$39*$B81*$C81*COS($K$63)-($N$62/3)*$E81*SIN($K$63)-($N$62/3)*$F81*SIN($K$63)-($N$62/3)*$G81*SIN($K$63)</f>
        <v>#VALUE!</v>
      </c>
      <c r="BC81" s="106" t="e">
        <f>IF(($A81&lt;'Alternative 3'!$B$27),(($H81*'Alternative 3'!$B$39)+(3*($N$62/3)*COS($K$63))),IF(($A81&lt;'Alternative 3'!$B$28),(($H81*'Alternative 3'!$B$39)+(2*(($N$62/3)*COS($K$63)))),IF(($A81&lt;'Alternative 3'!$B$29),(($H$3*'Alternative 3'!$B$39+(($N$62/3)*COS($K$63)))),($H81*'Alternative 3'!$B$39))))</f>
        <v>#VALUE!</v>
      </c>
      <c r="BD81" s="105" t="e">
        <f>BB81*'Alternative 3'!$K82/'Alternative 3'!$L82</f>
        <v>#VALUE!</v>
      </c>
      <c r="BE81" s="105" t="e">
        <f>BC81/'Alternative 3'!$M82</f>
        <v>#VALUE!</v>
      </c>
      <c r="BF81" s="105" t="e">
        <f t="shared" si="26"/>
        <v>#VALUE!</v>
      </c>
      <c r="BH81" s="105" t="e">
        <f>'Alternative 3'!$B$39*$B81*$C81*COS($K$73)-($N$72/3)*$E81*SIN($K$73)-($N$72/3)*$F81*SIN($K$73)-($N$72/3)*$G81*SIN($K$73)</f>
        <v>#VALUE!</v>
      </c>
      <c r="BI81" s="106" t="e">
        <f>IF(($A81&lt;'Alternative 3'!$B$27),(($H81*'Alternative 3'!$B$39)+(3*($N$72/3)*COS($K$73))),IF(($A81&lt;'Alternative 3'!$B$28),(($H81*'Alternative 3'!$B$39)+(2*(($N$72/3)*COS($K$73)))),IF(($A81&lt;'Alternative 3'!$B$29),(($H$3*'Alternative 3'!$B$39+(($N$72/3)*COS($K$73)))),($H81*'Alternative 3'!$B$39))))</f>
        <v>#VALUE!</v>
      </c>
      <c r="BJ81" s="105" t="e">
        <f>BH81*'Alternative 3'!$K82/'Alternative 3'!$L82</f>
        <v>#VALUE!</v>
      </c>
      <c r="BK81" s="105" t="e">
        <f>BI81/'Alternative 3'!$M82</f>
        <v>#VALUE!</v>
      </c>
      <c r="BL81" s="105" t="e">
        <f t="shared" si="27"/>
        <v>#VALUE!</v>
      </c>
      <c r="BN81" s="105" t="e">
        <f>'Alternative 3'!$B$39*$B81*$C81*COS($K$83)-($N$82/3)*$E81*SIN($K$83)-($N$82/3)*$F81*SIN($K$83)-($N$82/3)*$G81*SIN($K$83)</f>
        <v>#VALUE!</v>
      </c>
      <c r="BO81" s="106" t="e">
        <f>IF(($A81&lt;'Alternative 3'!$B$27),(($H81*'Alternative 3'!$B$39)+(3*($N$82/3)*COS($K$83))),IF(($A81&lt;'Alternative 3'!$B$28),(($H81*'Alternative 3'!$B$39)+(2*(($N$82/3)*COS($K$83)))),IF(($A81&lt;'Alternative 3'!$B$29),(($H$3*'Alternative 3'!$B$39+(($N$82/3)*COS($K$83)))),($H81*'Alternative 3'!$B$39))))</f>
        <v>#VALUE!</v>
      </c>
      <c r="BP81" s="105" t="e">
        <f>BN81*'Alternative 3'!$K82/'Alternative 3'!$L82</f>
        <v>#VALUE!</v>
      </c>
      <c r="BQ81" s="105" t="e">
        <f>BO81/'Alternative 3'!$M82</f>
        <v>#VALUE!</v>
      </c>
      <c r="BR81" s="105" t="e">
        <f t="shared" si="28"/>
        <v>#VALUE!</v>
      </c>
      <c r="BT81" s="105" t="e">
        <f>'Alternative 3'!$B$39*$B81*$C81*COS($K$93)-($K$92/3)*$E81*SIN($K$93)-($K$92/3)*$F81*SIN($K$93)-($K$92/3)*$G81*SIN($K$93)</f>
        <v>#VALUE!</v>
      </c>
      <c r="BU81" s="106" t="e">
        <f>IF(($A81&lt;'Alternative 3'!$B$27),(($H81*'Alternative 3'!$B$39)+(3*($N$92/3)*COS($K$93))),IF(($A81&lt;'Alternative 3'!$B$28),(($H81*'Alternative 3'!$B$39)+(2*(($N$92/3)*COS($K$93)))),IF(($A81&lt;'Alternative 3'!$B$29),(($H$3*'Alternative 3'!$B$39+(($N$92/3)*COS($K$93)))),($H81*'Alternative 3'!$B$39))))</f>
        <v>#VALUE!</v>
      </c>
      <c r="BV81" s="105" t="e">
        <f>BT81*'Alternative 3'!$K82/'Alternative 3'!$L82</f>
        <v>#VALUE!</v>
      </c>
      <c r="BW81" s="105" t="e">
        <f>BU81/'Alternative 3'!$M82</f>
        <v>#VALUE!</v>
      </c>
      <c r="BX81" s="105" t="e">
        <f t="shared" si="29"/>
        <v>#VALUE!</v>
      </c>
    </row>
    <row r="82" spans="1:76" ht="15" customHeight="1" x14ac:dyDescent="0.25">
      <c r="A82" s="18" t="str">
        <f>IF('Alternative 3'!F83&gt;0,'Alternative 3'!F83,"x")</f>
        <v>x</v>
      </c>
      <c r="B82" s="18" t="e">
        <f t="shared" si="35"/>
        <v>#VALUE!</v>
      </c>
      <c r="C82" s="18">
        <f t="shared" si="30"/>
        <v>0</v>
      </c>
      <c r="D82" s="18" t="str">
        <f t="shared" si="31"/>
        <v>x</v>
      </c>
      <c r="E82" s="101">
        <f>IF($A82&lt;='Alternative 3'!$B$27, IF($A82='Alternative 3'!$B$27,0,E83+1),0)</f>
        <v>0</v>
      </c>
      <c r="F82" s="101">
        <f>IF($A82&lt;=('Alternative 3'!$B$28), IF($A82=ROUNDDOWN('Alternative 3'!$B$28,0),0,F83+1),0)</f>
        <v>0</v>
      </c>
      <c r="G82" s="101">
        <f>IF($A82&lt;=('Alternative 3'!$B$29), IF($A82=ROUNDDOWN('Alternative 3'!$B$29,0),0,G83+1),0)</f>
        <v>0</v>
      </c>
      <c r="H82" s="18" t="e">
        <f t="shared" si="32"/>
        <v>#VALUE!</v>
      </c>
      <c r="J82" s="104">
        <f t="shared" si="33"/>
        <v>79</v>
      </c>
      <c r="K82" s="104">
        <f t="shared" si="34"/>
        <v>1.3788101090755203</v>
      </c>
      <c r="L82" s="105">
        <f>'Alternative 3'!$B$27*SIN(K82)+'Alternative 3'!$B$28*SIN(K82)+'Alternative 3'!$B$29*SIN(K82)</f>
        <v>65.759205019159012</v>
      </c>
      <c r="M82" s="104">
        <f>(('Alternative 3'!$B$27)*(((('Alternative 3'!$B$28-'Alternative 3'!$B$27)/2)+'Alternative 3'!$B$27)*'Alternative 3'!$B$39)*COS('Alternative 3-Tilt Up (3pt)'!K82))+(('Alternative 3'!$B$28)*((('Alternative 3'!$B$28-'Alternative 3'!$B$27)/2)+(('Alternative 3'!$B$29-'Alternative 3'!$B$28)/2))*('Alternative 3'!$B$39)*COS('Alternative 3-Tilt Up (3pt)'!K82))+(('Alternative 3'!$B$29)*((('Alternative 3'!$B$12-'Alternative 3'!$B$29+(('Alternative 3'!$B$29-'Alternative 3'!$B$28)/2)*('Alternative 3'!$B$39)*COS('Alternative 3-Tilt Up (3pt)'!K82)))))</f>
        <v>429000.04441147711</v>
      </c>
      <c r="N82" s="109">
        <f t="shared" si="18"/>
        <v>19571.406510456785</v>
      </c>
      <c r="O82" s="104">
        <f>(((('Alternative 3'!$B$28-'Alternative 3'!$B$27)/2)+'Alternative 3'!$B$27)*('Alternative 3'!$B$39)*COS('Alternative 3-Tilt Up (3pt)'!K82))+(((('Alternative 3'!$B$28-'Alternative 3'!$B$27)/2)+(('Alternative 3'!$B$29-'Alternative 3'!$B$28)/2))*('Alternative 3'!$B$39)*COS('Alternative 3-Tilt Up (3pt)'!K82))+(((('Alternative 3'!$B$12-'Alternative 3'!$B$29)+(('Alternative 3'!$B$29-'Alternative 3'!$B$28)/2))*('Alternative 3'!$B$39)*COS('Alternative 3-Tilt Up (3pt)'!K82)))</f>
        <v>27860.967504232798</v>
      </c>
      <c r="P82" s="107">
        <f t="shared" si="19"/>
        <v>3734.4004143662296</v>
      </c>
      <c r="R82" s="105" t="e">
        <f>'Alternative 3'!$B$39*$B82*$C82*COS($K$5)-($N$5/3)*$E82*SIN($K$5)-($N$5/3)*$F82*SIN($K$5)-($N$5/3)*$G82*SIN($K$5)</f>
        <v>#VALUE!</v>
      </c>
      <c r="S82" s="106" t="e">
        <f>IF(($A82&lt;'Alternative 3'!$B$27),(($H82*'Alternative 3'!$B$39)+(3*($N$5/3)*COS($K$5))),IF(($A82&lt;'Alternative 3'!$B$28),(($H82*'Alternative 3'!$B$39)+(2*(($N$5/3)*COS($K$5)))),IF(($A82&lt;'Alternative 3'!$B$29),(($H$3*'Alternative 3'!$B$39+(($N$5/3)*COS($K$5)))),($H82*'Alternative 3'!$B$39))))</f>
        <v>#VALUE!</v>
      </c>
      <c r="T82" s="105" t="e">
        <f>R82*'Alternative 3'!$K83/'Alternative 3'!$L83</f>
        <v>#VALUE!</v>
      </c>
      <c r="U82" s="105" t="e">
        <f>S82/'Alternative 3'!$M83</f>
        <v>#VALUE!</v>
      </c>
      <c r="V82" s="105" t="e">
        <f t="shared" si="20"/>
        <v>#VALUE!</v>
      </c>
      <c r="X82" s="105" t="e">
        <f>'Alternative 3'!$B$39*$B82*$C82*COS($K$13)-($N$12/3)*$E82*SIN($K$13)-($N$12/3)*$F82*SIN($K$13)-($N$12/3)*$G82*SIN($K$13)</f>
        <v>#VALUE!</v>
      </c>
      <c r="Y82" s="106" t="e">
        <f>IF(($A82&lt;'Alternative 3'!$B$27),(($H82*'Alternative 3'!$B$39)+(3*($N$12/3)*COS($K$13))),IF(($A82&lt;'Alternative 3'!$B$28),(($H82*'Alternative 3'!$B$39)+(2*(($N$12/3)*COS($K$13)))),IF(($A82&lt;'Alternative 3'!$B$29),(($H$3*'Alternative 3'!$B$39+(($N$12/3)*COS($K$13)))),($H82*'Alternative 3'!$B$39))))</f>
        <v>#VALUE!</v>
      </c>
      <c r="Z82" s="105" t="e">
        <f>X82*'Alternative 3'!$K83/'Alternative 3'!$L83</f>
        <v>#VALUE!</v>
      </c>
      <c r="AA82" s="105" t="e">
        <f>Y82/'Alternative 3'!$M83</f>
        <v>#VALUE!</v>
      </c>
      <c r="AB82" s="105" t="e">
        <f t="shared" si="21"/>
        <v>#VALUE!</v>
      </c>
      <c r="AD82" s="105" t="e">
        <f>'Alternative 3'!$B$39*$B82*$C82*COS($K$23)-($N$22/3)*$E82*SIN($K$23)-($N$22/3)*$F82*SIN($K$23)-($N$22/3)*$G82*SIN($K$23)</f>
        <v>#VALUE!</v>
      </c>
      <c r="AE82" s="106" t="e">
        <f>IF(($A82&lt;'Alternative 3'!$B$27),(($H82*'Alternative 3'!$B$39)+(3*($N$22/3)*COS($K$23))),IF(($A82&lt;'Alternative 3'!$B$28),(($H82*'Alternative 3'!$B$39)+(2*(($N$22/3)*COS($K$23)))),IF(($A82&lt;'Alternative 3'!$B$29),(($H$3*'Alternative 3'!$B$39+(($N$22/3)*COS($K$23)))),($H82*'Alternative 3'!$B$39))))</f>
        <v>#VALUE!</v>
      </c>
      <c r="AF82" s="105" t="e">
        <f>AD82*'Alternative 3'!$K83/'Alternative 3'!$L83</f>
        <v>#VALUE!</v>
      </c>
      <c r="AG82" s="105" t="e">
        <f>AE82/'Alternative 3'!$M83</f>
        <v>#VALUE!</v>
      </c>
      <c r="AH82" s="105" t="e">
        <f t="shared" si="22"/>
        <v>#VALUE!</v>
      </c>
      <c r="AJ82" s="105" t="e">
        <f>'Alternative 3'!$B$39*$B82*$C82*COS($K$33)-($N$32/3)*$E82*SIN($K$33)-($N$32/3)*$F82*SIN($K$33)-($N$32/3)*$G82*SIN($K$33)</f>
        <v>#VALUE!</v>
      </c>
      <c r="AK82" s="106" t="e">
        <f>IF(($A82&lt;'Alternative 3'!$B$27),(($H82*'Alternative 3'!$B$39)+(3*($N$32/3)*COS($K$33))),IF(($A82&lt;'Alternative 3'!$B$28),(($H82*'Alternative 3'!$B$39)+(2*(($N$32/3)*COS($K$33)))),IF(($A82&lt;'Alternative 3'!$B$29),(($H$3*'Alternative 3'!$B$39+(($N$32/3)*COS($K$33)))),($H82*'Alternative 3'!$B$39))))</f>
        <v>#VALUE!</v>
      </c>
      <c r="AL82" s="105" t="e">
        <f>AJ82*'Alternative 3'!$K83/'Alternative 3'!$L83</f>
        <v>#VALUE!</v>
      </c>
      <c r="AM82" s="105" t="e">
        <f>AK82/'Alternative 3'!$M83</f>
        <v>#VALUE!</v>
      </c>
      <c r="AN82" s="105" t="e">
        <f t="shared" si="23"/>
        <v>#VALUE!</v>
      </c>
      <c r="AP82" s="105" t="e">
        <f>'Alternative 3'!$B$39*$B82*$C82*COS($K$43)-($N$42/3)*$E82*SIN($K$43)-($N$42/3)*$F82*SIN($K$43)-($N$42/3)*$G82*SIN($K$43)</f>
        <v>#VALUE!</v>
      </c>
      <c r="AQ82" s="106" t="e">
        <f>IF(($A82&lt;'Alternative 3'!$B$27),(($H82*'Alternative 3'!$B$39)+(3*($N$42/3)*COS($K$43))),IF(($A82&lt;'Alternative 3'!$B$28),(($H82*'Alternative 3'!$B$39)+(2*(($N$42/3)*COS($K$43)))),IF(($A82&lt;'Alternative 3'!$B$29),(($H$3*'Alternative 3'!$B$39+(($N$42/3)*COS($K$43)))),($H82*'Alternative 3'!$B$39))))</f>
        <v>#VALUE!</v>
      </c>
      <c r="AR82" s="105" t="e">
        <f>AP82*'Alternative 3'!$K83/'Alternative 3'!$L83</f>
        <v>#VALUE!</v>
      </c>
      <c r="AS82" s="105" t="e">
        <f>AQ82/'Alternative 3'!$M83</f>
        <v>#VALUE!</v>
      </c>
      <c r="AT82" s="105" t="e">
        <f t="shared" si="24"/>
        <v>#VALUE!</v>
      </c>
      <c r="AV82" s="105" t="e">
        <f>'Alternative 3'!$B$39*$B82*$C82*COS($K$53)-($N$52/3)*$E82*SIN($K$53)-($N$52/3)*$F82*SIN($K$53)-($N$52/3)*$G82*SIN($K$53)</f>
        <v>#VALUE!</v>
      </c>
      <c r="AW82" s="106" t="e">
        <f>IF(($A82&lt;'Alternative 3'!$B$27),(($H82*'Alternative 3'!$B$39)+(3*($N$52/3)*COS($K$53))),IF(($A82&lt;'Alternative 3'!$B$28),(($H82*'Alternative 3'!$B$39)+(2*(($N$52/3)*COS($K$53)))),IF(($A82&lt;'Alternative 3'!$B$29),(($H$3*'Alternative 3'!$B$39+(($N$52/3)*COS($K$53)))),($H82*'Alternative 3'!$B$39))))</f>
        <v>#VALUE!</v>
      </c>
      <c r="AX82" s="105" t="e">
        <f>AV82*'Alternative 3'!$K83/'Alternative 3'!$L83</f>
        <v>#VALUE!</v>
      </c>
      <c r="AY82" s="105" t="e">
        <f>AW82/'Alternative 3'!$M83</f>
        <v>#VALUE!</v>
      </c>
      <c r="AZ82" s="105" t="e">
        <f t="shared" si="25"/>
        <v>#VALUE!</v>
      </c>
      <c r="BB82" s="105" t="e">
        <f>'Alternative 3'!$B$39*$B82*$C82*COS($K$63)-($N$62/3)*$E82*SIN($K$63)-($N$62/3)*$F82*SIN($K$63)-($N$62/3)*$G82*SIN($K$63)</f>
        <v>#VALUE!</v>
      </c>
      <c r="BC82" s="106" t="e">
        <f>IF(($A82&lt;'Alternative 3'!$B$27),(($H82*'Alternative 3'!$B$39)+(3*($N$62/3)*COS($K$63))),IF(($A82&lt;'Alternative 3'!$B$28),(($H82*'Alternative 3'!$B$39)+(2*(($N$62/3)*COS($K$63)))),IF(($A82&lt;'Alternative 3'!$B$29),(($H$3*'Alternative 3'!$B$39+(($N$62/3)*COS($K$63)))),($H82*'Alternative 3'!$B$39))))</f>
        <v>#VALUE!</v>
      </c>
      <c r="BD82" s="105" t="e">
        <f>BB82*'Alternative 3'!$K83/'Alternative 3'!$L83</f>
        <v>#VALUE!</v>
      </c>
      <c r="BE82" s="105" t="e">
        <f>BC82/'Alternative 3'!$M83</f>
        <v>#VALUE!</v>
      </c>
      <c r="BF82" s="105" t="e">
        <f t="shared" si="26"/>
        <v>#VALUE!</v>
      </c>
      <c r="BH82" s="105" t="e">
        <f>'Alternative 3'!$B$39*$B82*$C82*COS($K$73)-($N$72/3)*$E82*SIN($K$73)-($N$72/3)*$F82*SIN($K$73)-($N$72/3)*$G82*SIN($K$73)</f>
        <v>#VALUE!</v>
      </c>
      <c r="BI82" s="106" t="e">
        <f>IF(($A82&lt;'Alternative 3'!$B$27),(($H82*'Alternative 3'!$B$39)+(3*($N$72/3)*COS($K$73))),IF(($A82&lt;'Alternative 3'!$B$28),(($H82*'Alternative 3'!$B$39)+(2*(($N$72/3)*COS($K$73)))),IF(($A82&lt;'Alternative 3'!$B$29),(($H$3*'Alternative 3'!$B$39+(($N$72/3)*COS($K$73)))),($H82*'Alternative 3'!$B$39))))</f>
        <v>#VALUE!</v>
      </c>
      <c r="BJ82" s="105" t="e">
        <f>BH82*'Alternative 3'!$K83/'Alternative 3'!$L83</f>
        <v>#VALUE!</v>
      </c>
      <c r="BK82" s="105" t="e">
        <f>BI82/'Alternative 3'!$M83</f>
        <v>#VALUE!</v>
      </c>
      <c r="BL82" s="105" t="e">
        <f t="shared" si="27"/>
        <v>#VALUE!</v>
      </c>
      <c r="BN82" s="105" t="e">
        <f>'Alternative 3'!$B$39*$B82*$C82*COS($K$83)-($N$82/3)*$E82*SIN($K$83)-($N$82/3)*$F82*SIN($K$83)-($N$82/3)*$G82*SIN($K$83)</f>
        <v>#VALUE!</v>
      </c>
      <c r="BO82" s="106" t="e">
        <f>IF(($A82&lt;'Alternative 3'!$B$27),(($H82*'Alternative 3'!$B$39)+(3*($N$82/3)*COS($K$83))),IF(($A82&lt;'Alternative 3'!$B$28),(($H82*'Alternative 3'!$B$39)+(2*(($N$82/3)*COS($K$83)))),IF(($A82&lt;'Alternative 3'!$B$29),(($H$3*'Alternative 3'!$B$39+(($N$82/3)*COS($K$83)))),($H82*'Alternative 3'!$B$39))))</f>
        <v>#VALUE!</v>
      </c>
      <c r="BP82" s="105" t="e">
        <f>BN82*'Alternative 3'!$K83/'Alternative 3'!$L83</f>
        <v>#VALUE!</v>
      </c>
      <c r="BQ82" s="105" t="e">
        <f>BO82/'Alternative 3'!$M83</f>
        <v>#VALUE!</v>
      </c>
      <c r="BR82" s="105" t="e">
        <f t="shared" si="28"/>
        <v>#VALUE!</v>
      </c>
      <c r="BT82" s="105" t="e">
        <f>'Alternative 3'!$B$39*$B82*$C82*COS($K$93)-($K$92/3)*$E82*SIN($K$93)-($K$92/3)*$F82*SIN($K$93)-($K$92/3)*$G82*SIN($K$93)</f>
        <v>#VALUE!</v>
      </c>
      <c r="BU82" s="106" t="e">
        <f>IF(($A82&lt;'Alternative 3'!$B$27),(($H82*'Alternative 3'!$B$39)+(3*($N$92/3)*COS($K$93))),IF(($A82&lt;'Alternative 3'!$B$28),(($H82*'Alternative 3'!$B$39)+(2*(($N$92/3)*COS($K$93)))),IF(($A82&lt;'Alternative 3'!$B$29),(($H$3*'Alternative 3'!$B$39+(($N$92/3)*COS($K$93)))),($H82*'Alternative 3'!$B$39))))</f>
        <v>#VALUE!</v>
      </c>
      <c r="BV82" s="105" t="e">
        <f>BT82*'Alternative 3'!$K83/'Alternative 3'!$L83</f>
        <v>#VALUE!</v>
      </c>
      <c r="BW82" s="105" t="e">
        <f>BU82/'Alternative 3'!$M83</f>
        <v>#VALUE!</v>
      </c>
      <c r="BX82" s="105" t="e">
        <f t="shared" si="29"/>
        <v>#VALUE!</v>
      </c>
    </row>
    <row r="83" spans="1:76" ht="15" customHeight="1" x14ac:dyDescent="0.25">
      <c r="A83" s="18" t="str">
        <f>IF('Alternative 3'!F84&gt;0,'Alternative 3'!F84,"x")</f>
        <v>x</v>
      </c>
      <c r="B83" s="18" t="e">
        <f t="shared" si="35"/>
        <v>#VALUE!</v>
      </c>
      <c r="C83" s="18">
        <f t="shared" si="30"/>
        <v>0</v>
      </c>
      <c r="D83" s="18" t="str">
        <f t="shared" si="31"/>
        <v>x</v>
      </c>
      <c r="E83" s="101">
        <f>IF($A83&lt;='Alternative 3'!$B$27, IF($A83='Alternative 3'!$B$27,0,E84+1),0)</f>
        <v>0</v>
      </c>
      <c r="F83" s="101">
        <f>IF($A83&lt;=('Alternative 3'!$B$28), IF($A83=ROUNDDOWN('Alternative 3'!$B$28,0),0,F84+1),0)</f>
        <v>0</v>
      </c>
      <c r="G83" s="101">
        <f>IF($A83&lt;=('Alternative 3'!$B$29), IF($A83=ROUNDDOWN('Alternative 3'!$B$29,0),0,G84+1),0)</f>
        <v>0</v>
      </c>
      <c r="H83" s="18" t="e">
        <f t="shared" si="32"/>
        <v>#VALUE!</v>
      </c>
      <c r="J83" s="104">
        <f t="shared" si="33"/>
        <v>80</v>
      </c>
      <c r="K83" s="109">
        <f t="shared" si="34"/>
        <v>1.3962634015954636</v>
      </c>
      <c r="L83" s="105">
        <f>'Alternative 3'!$B$27*SIN(K83)+'Alternative 3'!$B$28*SIN(K83)+'Alternative 3'!$B$29*SIN(K83)</f>
        <v>65.972271374287814</v>
      </c>
      <c r="M83" s="104">
        <f>(('Alternative 3'!$B$27)*(((('Alternative 3'!$B$28-'Alternative 3'!$B$27)/2)+'Alternative 3'!$B$27)*'Alternative 3'!$B$39)*COS('Alternative 3-Tilt Up (3pt)'!K83))+(('Alternative 3'!$B$28)*((('Alternative 3'!$B$28-'Alternative 3'!$B$27)/2)+(('Alternative 3'!$B$29-'Alternative 3'!$B$28)/2))*('Alternative 3'!$B$39)*COS('Alternative 3-Tilt Up (3pt)'!K83))+(('Alternative 3'!$B$29)*((('Alternative 3'!$B$12-'Alternative 3'!$B$29+(('Alternative 3'!$B$29-'Alternative 3'!$B$28)/2)*('Alternative 3'!$B$39)*COS('Alternative 3-Tilt Up (3pt)'!K83)))))</f>
        <v>390433.34398441203</v>
      </c>
      <c r="N83" s="104">
        <f t="shared" si="18"/>
        <v>17754.429361814291</v>
      </c>
      <c r="O83" s="104">
        <f>(((('Alternative 3'!$B$28-'Alternative 3'!$B$27)/2)+'Alternative 3'!$B$27)*('Alternative 3'!$B$39)*COS('Alternative 3-Tilt Up (3pt)'!K83))+(((('Alternative 3'!$B$28-'Alternative 3'!$B$27)/2)+(('Alternative 3'!$B$29-'Alternative 3'!$B$28)/2))*('Alternative 3'!$B$39)*COS('Alternative 3-Tilt Up (3pt)'!K83))+(((('Alternative 3'!$B$12-'Alternative 3'!$B$29)+(('Alternative 3'!$B$29-'Alternative 3'!$B$28)/2))*('Alternative 3'!$B$39)*COS('Alternative 3-Tilt Up (3pt)'!K83)))</f>
        <v>25355.231421874047</v>
      </c>
      <c r="P83" s="109">
        <f t="shared" si="19"/>
        <v>3083.024304195294</v>
      </c>
      <c r="R83" s="105" t="e">
        <f>'Alternative 3'!$B$39*$B83*$C83*COS($K$5)-($N$5/3)*$E83*SIN($K$5)-($N$5/3)*$F83*SIN($K$5)-($N$5/3)*$G83*SIN($K$5)</f>
        <v>#VALUE!</v>
      </c>
      <c r="S83" s="106" t="e">
        <f>IF(($A83&lt;'Alternative 3'!$B$27),(($H83*'Alternative 3'!$B$39)+(3*($N$5/3)*COS($K$5))),IF(($A83&lt;'Alternative 3'!$B$28),(($H83*'Alternative 3'!$B$39)+(2*(($N$5/3)*COS($K$5)))),IF(($A83&lt;'Alternative 3'!$B$29),(($H$3*'Alternative 3'!$B$39+(($N$5/3)*COS($K$5)))),($H83*'Alternative 3'!$B$39))))</f>
        <v>#VALUE!</v>
      </c>
      <c r="T83" s="105" t="e">
        <f>R83*'Alternative 3'!$K84/'Alternative 3'!$L84</f>
        <v>#VALUE!</v>
      </c>
      <c r="U83" s="105" t="e">
        <f>S83/'Alternative 3'!$M84</f>
        <v>#VALUE!</v>
      </c>
      <c r="V83" s="105" t="e">
        <f t="shared" si="20"/>
        <v>#VALUE!</v>
      </c>
      <c r="X83" s="105" t="e">
        <f>'Alternative 3'!$B$39*$B83*$C83*COS($K$13)-($N$12/3)*$E83*SIN($K$13)-($N$12/3)*$F83*SIN($K$13)-($N$12/3)*$G83*SIN($K$13)</f>
        <v>#VALUE!</v>
      </c>
      <c r="Y83" s="106" t="e">
        <f>IF(($A83&lt;'Alternative 3'!$B$27),(($H83*'Alternative 3'!$B$39)+(3*($N$12/3)*COS($K$13))),IF(($A83&lt;'Alternative 3'!$B$28),(($H83*'Alternative 3'!$B$39)+(2*(($N$12/3)*COS($K$13)))),IF(($A83&lt;'Alternative 3'!$B$29),(($H$3*'Alternative 3'!$B$39+(($N$12/3)*COS($K$13)))),($H83*'Alternative 3'!$B$39))))</f>
        <v>#VALUE!</v>
      </c>
      <c r="Z83" s="105" t="e">
        <f>X83*'Alternative 3'!$K84/'Alternative 3'!$L84</f>
        <v>#VALUE!</v>
      </c>
      <c r="AA83" s="105" t="e">
        <f>Y83/'Alternative 3'!$M84</f>
        <v>#VALUE!</v>
      </c>
      <c r="AB83" s="105" t="e">
        <f t="shared" si="21"/>
        <v>#VALUE!</v>
      </c>
      <c r="AD83" s="105" t="e">
        <f>'Alternative 3'!$B$39*$B83*$C83*COS($K$23)-($N$22/3)*$E83*SIN($K$23)-($N$22/3)*$F83*SIN($K$23)-($N$22/3)*$G83*SIN($K$23)</f>
        <v>#VALUE!</v>
      </c>
      <c r="AE83" s="106" t="e">
        <f>IF(($A83&lt;'Alternative 3'!$B$27),(($H83*'Alternative 3'!$B$39)+(3*($N$22/3)*COS($K$23))),IF(($A83&lt;'Alternative 3'!$B$28),(($H83*'Alternative 3'!$B$39)+(2*(($N$22/3)*COS($K$23)))),IF(($A83&lt;'Alternative 3'!$B$29),(($H$3*'Alternative 3'!$B$39+(($N$22/3)*COS($K$23)))),($H83*'Alternative 3'!$B$39))))</f>
        <v>#VALUE!</v>
      </c>
      <c r="AF83" s="105" t="e">
        <f>AD83*'Alternative 3'!$K84/'Alternative 3'!$L84</f>
        <v>#VALUE!</v>
      </c>
      <c r="AG83" s="105" t="e">
        <f>AE83/'Alternative 3'!$M84</f>
        <v>#VALUE!</v>
      </c>
      <c r="AH83" s="105" t="e">
        <f t="shared" si="22"/>
        <v>#VALUE!</v>
      </c>
      <c r="AJ83" s="105" t="e">
        <f>'Alternative 3'!$B$39*$B83*$C83*COS($K$33)-($N$32/3)*$E83*SIN($K$33)-($N$32/3)*$F83*SIN($K$33)-($N$32/3)*$G83*SIN($K$33)</f>
        <v>#VALUE!</v>
      </c>
      <c r="AK83" s="106" t="e">
        <f>IF(($A83&lt;'Alternative 3'!$B$27),(($H83*'Alternative 3'!$B$39)+(3*($N$32/3)*COS($K$33))),IF(($A83&lt;'Alternative 3'!$B$28),(($H83*'Alternative 3'!$B$39)+(2*(($N$32/3)*COS($K$33)))),IF(($A83&lt;'Alternative 3'!$B$29),(($H$3*'Alternative 3'!$B$39+(($N$32/3)*COS($K$33)))),($H83*'Alternative 3'!$B$39))))</f>
        <v>#VALUE!</v>
      </c>
      <c r="AL83" s="105" t="e">
        <f>AJ83*'Alternative 3'!$K84/'Alternative 3'!$L84</f>
        <v>#VALUE!</v>
      </c>
      <c r="AM83" s="105" t="e">
        <f>AK83/'Alternative 3'!$M84</f>
        <v>#VALUE!</v>
      </c>
      <c r="AN83" s="105" t="e">
        <f t="shared" si="23"/>
        <v>#VALUE!</v>
      </c>
      <c r="AP83" s="105" t="e">
        <f>'Alternative 3'!$B$39*$B83*$C83*COS($K$43)-($N$42/3)*$E83*SIN($K$43)-($N$42/3)*$F83*SIN($K$43)-($N$42/3)*$G83*SIN($K$43)</f>
        <v>#VALUE!</v>
      </c>
      <c r="AQ83" s="106" t="e">
        <f>IF(($A83&lt;'Alternative 3'!$B$27),(($H83*'Alternative 3'!$B$39)+(3*($N$42/3)*COS($K$43))),IF(($A83&lt;'Alternative 3'!$B$28),(($H83*'Alternative 3'!$B$39)+(2*(($N$42/3)*COS($K$43)))),IF(($A83&lt;'Alternative 3'!$B$29),(($H$3*'Alternative 3'!$B$39+(($N$42/3)*COS($K$43)))),($H83*'Alternative 3'!$B$39))))</f>
        <v>#VALUE!</v>
      </c>
      <c r="AR83" s="105" t="e">
        <f>AP83*'Alternative 3'!$K84/'Alternative 3'!$L84</f>
        <v>#VALUE!</v>
      </c>
      <c r="AS83" s="105" t="e">
        <f>AQ83/'Alternative 3'!$M84</f>
        <v>#VALUE!</v>
      </c>
      <c r="AT83" s="105" t="e">
        <f t="shared" si="24"/>
        <v>#VALUE!</v>
      </c>
      <c r="AV83" s="105" t="e">
        <f>'Alternative 3'!$B$39*$B83*$C83*COS($K$53)-($N$52/3)*$E83*SIN($K$53)-($N$52/3)*$F83*SIN($K$53)-($N$52/3)*$G83*SIN($K$53)</f>
        <v>#VALUE!</v>
      </c>
      <c r="AW83" s="106" t="e">
        <f>IF(($A83&lt;'Alternative 3'!$B$27),(($H83*'Alternative 3'!$B$39)+(3*($N$52/3)*COS($K$53))),IF(($A83&lt;'Alternative 3'!$B$28),(($H83*'Alternative 3'!$B$39)+(2*(($N$52/3)*COS($K$53)))),IF(($A83&lt;'Alternative 3'!$B$29),(($H$3*'Alternative 3'!$B$39+(($N$52/3)*COS($K$53)))),($H83*'Alternative 3'!$B$39))))</f>
        <v>#VALUE!</v>
      </c>
      <c r="AX83" s="105" t="e">
        <f>AV83*'Alternative 3'!$K84/'Alternative 3'!$L84</f>
        <v>#VALUE!</v>
      </c>
      <c r="AY83" s="105" t="e">
        <f>AW83/'Alternative 3'!$M84</f>
        <v>#VALUE!</v>
      </c>
      <c r="AZ83" s="105" t="e">
        <f t="shared" si="25"/>
        <v>#VALUE!</v>
      </c>
      <c r="BB83" s="105" t="e">
        <f>'Alternative 3'!$B$39*$B83*$C83*COS($K$63)-($N$62/3)*$E83*SIN($K$63)-($N$62/3)*$F83*SIN($K$63)-($N$62/3)*$G83*SIN($K$63)</f>
        <v>#VALUE!</v>
      </c>
      <c r="BC83" s="106" t="e">
        <f>IF(($A83&lt;'Alternative 3'!$B$27),(($H83*'Alternative 3'!$B$39)+(3*($N$62/3)*COS($K$63))),IF(($A83&lt;'Alternative 3'!$B$28),(($H83*'Alternative 3'!$B$39)+(2*(($N$62/3)*COS($K$63)))),IF(($A83&lt;'Alternative 3'!$B$29),(($H$3*'Alternative 3'!$B$39+(($N$62/3)*COS($K$63)))),($H83*'Alternative 3'!$B$39))))</f>
        <v>#VALUE!</v>
      </c>
      <c r="BD83" s="105" t="e">
        <f>BB83*'Alternative 3'!$K84/'Alternative 3'!$L84</f>
        <v>#VALUE!</v>
      </c>
      <c r="BE83" s="105" t="e">
        <f>BC83/'Alternative 3'!$M84</f>
        <v>#VALUE!</v>
      </c>
      <c r="BF83" s="105" t="e">
        <f t="shared" si="26"/>
        <v>#VALUE!</v>
      </c>
      <c r="BH83" s="105" t="e">
        <f>'Alternative 3'!$B$39*$B83*$C83*COS($K$73)-($N$72/3)*$E83*SIN($K$73)-($N$72/3)*$F83*SIN($K$73)-($N$72/3)*$G83*SIN($K$73)</f>
        <v>#VALUE!</v>
      </c>
      <c r="BI83" s="106" t="e">
        <f>IF(($A83&lt;'Alternative 3'!$B$27),(($H83*'Alternative 3'!$B$39)+(3*($N$72/3)*COS($K$73))),IF(($A83&lt;'Alternative 3'!$B$28),(($H83*'Alternative 3'!$B$39)+(2*(($N$72/3)*COS($K$73)))),IF(($A83&lt;'Alternative 3'!$B$29),(($H$3*'Alternative 3'!$B$39+(($N$72/3)*COS($K$73)))),($H83*'Alternative 3'!$B$39))))</f>
        <v>#VALUE!</v>
      </c>
      <c r="BJ83" s="105" t="e">
        <f>BH83*'Alternative 3'!$K84/'Alternative 3'!$L84</f>
        <v>#VALUE!</v>
      </c>
      <c r="BK83" s="105" t="e">
        <f>BI83/'Alternative 3'!$M84</f>
        <v>#VALUE!</v>
      </c>
      <c r="BL83" s="105" t="e">
        <f t="shared" si="27"/>
        <v>#VALUE!</v>
      </c>
      <c r="BN83" s="105" t="e">
        <f>'Alternative 3'!$B$39*$B83*$C83*COS($K$83)-($N$82/3)*$E83*SIN($K$83)-($N$82/3)*$F83*SIN($K$83)-($N$82/3)*$G83*SIN($K$83)</f>
        <v>#VALUE!</v>
      </c>
      <c r="BO83" s="106" t="e">
        <f>IF(($A83&lt;'Alternative 3'!$B$27),(($H83*'Alternative 3'!$B$39)+(3*($N$82/3)*COS($K$83))),IF(($A83&lt;'Alternative 3'!$B$28),(($H83*'Alternative 3'!$B$39)+(2*(($N$82/3)*COS($K$83)))),IF(($A83&lt;'Alternative 3'!$B$29),(($H$3*'Alternative 3'!$B$39+(($N$82/3)*COS($K$83)))),($H83*'Alternative 3'!$B$39))))</f>
        <v>#VALUE!</v>
      </c>
      <c r="BP83" s="105" t="e">
        <f>BN83*'Alternative 3'!$K84/'Alternative 3'!$L84</f>
        <v>#VALUE!</v>
      </c>
      <c r="BQ83" s="105" t="e">
        <f>BO83/'Alternative 3'!$M84</f>
        <v>#VALUE!</v>
      </c>
      <c r="BR83" s="105" t="e">
        <f t="shared" si="28"/>
        <v>#VALUE!</v>
      </c>
      <c r="BT83" s="105" t="e">
        <f>'Alternative 3'!$B$39*$B83*$C83*COS($K$93)-($K$92/3)*$E83*SIN($K$93)-($K$92/3)*$F83*SIN($K$93)-($K$92/3)*$G83*SIN($K$93)</f>
        <v>#VALUE!</v>
      </c>
      <c r="BU83" s="106" t="e">
        <f>IF(($A83&lt;'Alternative 3'!$B$27),(($H83*'Alternative 3'!$B$39)+(3*($N$92/3)*COS($K$93))),IF(($A83&lt;'Alternative 3'!$B$28),(($H83*'Alternative 3'!$B$39)+(2*(($N$92/3)*COS($K$93)))),IF(($A83&lt;'Alternative 3'!$B$29),(($H$3*'Alternative 3'!$B$39+(($N$92/3)*COS($K$93)))),($H83*'Alternative 3'!$B$39))))</f>
        <v>#VALUE!</v>
      </c>
      <c r="BV83" s="105" t="e">
        <f>BT83*'Alternative 3'!$K84/'Alternative 3'!$L84</f>
        <v>#VALUE!</v>
      </c>
      <c r="BW83" s="105" t="e">
        <f>BU83/'Alternative 3'!$M84</f>
        <v>#VALUE!</v>
      </c>
      <c r="BX83" s="105" t="e">
        <f t="shared" si="29"/>
        <v>#VALUE!</v>
      </c>
    </row>
    <row r="84" spans="1:76" ht="15" customHeight="1" x14ac:dyDescent="0.25">
      <c r="A84" s="18" t="str">
        <f>IF('Alternative 3'!F85&gt;0,'Alternative 3'!F85,"x")</f>
        <v>x</v>
      </c>
      <c r="B84" s="18" t="e">
        <f t="shared" si="35"/>
        <v>#VALUE!</v>
      </c>
      <c r="C84" s="18">
        <f t="shared" si="30"/>
        <v>0</v>
      </c>
      <c r="D84" s="18" t="str">
        <f t="shared" si="31"/>
        <v>x</v>
      </c>
      <c r="E84" s="101">
        <f>IF($A84&lt;='Alternative 3'!$B$27, IF($A84='Alternative 3'!$B$27,0,E85+1),0)</f>
        <v>0</v>
      </c>
      <c r="F84" s="101">
        <f>IF($A84&lt;=('Alternative 3'!$B$28), IF($A84=ROUNDDOWN('Alternative 3'!$B$28,0),0,F85+1),0)</f>
        <v>0</v>
      </c>
      <c r="G84" s="101">
        <f>IF($A84&lt;=('Alternative 3'!$B$29), IF($A84=ROUNDDOWN('Alternative 3'!$B$29,0),0,G85+1),0)</f>
        <v>0</v>
      </c>
      <c r="H84" s="18" t="e">
        <f t="shared" si="32"/>
        <v>#VALUE!</v>
      </c>
      <c r="J84" s="104">
        <f t="shared" si="33"/>
        <v>81</v>
      </c>
      <c r="K84" s="104">
        <f t="shared" si="34"/>
        <v>1.4137166941154069</v>
      </c>
      <c r="L84" s="105">
        <f>'Alternative 3'!$B$27*SIN(K84)+'Alternative 3'!$B$28*SIN(K84)+'Alternative 3'!$B$29*SIN(K84)</f>
        <v>66.165241936468277</v>
      </c>
      <c r="M84" s="104">
        <f>(('Alternative 3'!$B$27)*(((('Alternative 3'!$B$28-'Alternative 3'!$B$27)/2)+'Alternative 3'!$B$27)*'Alternative 3'!$B$39)*COS('Alternative 3-Tilt Up (3pt)'!K84))+(('Alternative 3'!$B$28)*((('Alternative 3'!$B$28-'Alternative 3'!$B$27)/2)+(('Alternative 3'!$B$29-'Alternative 3'!$B$28)/2))*('Alternative 3'!$B$39)*COS('Alternative 3-Tilt Up (3pt)'!K84))+(('Alternative 3'!$B$29)*((('Alternative 3'!$B$12-'Alternative 3'!$B$29+(('Alternative 3'!$B$29-'Alternative 3'!$B$28)/2)*('Alternative 3'!$B$39)*COS('Alternative 3-Tilt Up (3pt)'!K84)))))</f>
        <v>351747.76912747714</v>
      </c>
      <c r="N84" s="104">
        <f t="shared" si="18"/>
        <v>15948.604985011219</v>
      </c>
      <c r="O84" s="104">
        <f>(((('Alternative 3'!$B$28-'Alternative 3'!$B$27)/2)+'Alternative 3'!$B$27)*('Alternative 3'!$B$39)*COS('Alternative 3-Tilt Up (3pt)'!K84))+(((('Alternative 3'!$B$28-'Alternative 3'!$B$27)/2)+(('Alternative 3'!$B$29-'Alternative 3'!$B$28)/2))*('Alternative 3'!$B$39)*COS('Alternative 3-Tilt Up (3pt)'!K84))+(((('Alternative 3'!$B$12-'Alternative 3'!$B$29)+(('Alternative 3'!$B$29-'Alternative 3'!$B$28)/2))*('Alternative 3'!$B$39)*COS('Alternative 3-Tilt Up (3pt)'!K84)))</f>
        <v>22841.771890402557</v>
      </c>
      <c r="P84" s="104">
        <f t="shared" si="19"/>
        <v>2494.91148896819</v>
      </c>
      <c r="R84" s="105" t="e">
        <f>'Alternative 3'!$B$39*$B84*$C84*COS($K$5)-($N$5/3)*$E84*SIN($K$5)-($N$5/3)*$F84*SIN($K$5)-($N$5/3)*$G84*SIN($K$5)</f>
        <v>#VALUE!</v>
      </c>
      <c r="S84" s="106" t="e">
        <f>IF(($A84&lt;'Alternative 3'!$B$27),(($H84*'Alternative 3'!$B$39)+(3*($N$5/3)*COS($K$5))),IF(($A84&lt;'Alternative 3'!$B$28),(($H84*'Alternative 3'!$B$39)+(2*(($N$5/3)*COS($K$5)))),IF(($A84&lt;'Alternative 3'!$B$29),(($H$3*'Alternative 3'!$B$39+(($N$5/3)*COS($K$5)))),($H84*'Alternative 3'!$B$39))))</f>
        <v>#VALUE!</v>
      </c>
      <c r="T84" s="105" t="e">
        <f>R84*'Alternative 3'!$K85/'Alternative 3'!$L85</f>
        <v>#VALUE!</v>
      </c>
      <c r="U84" s="105" t="e">
        <f>S84/'Alternative 3'!$M85</f>
        <v>#VALUE!</v>
      </c>
      <c r="V84" s="105" t="e">
        <f t="shared" si="20"/>
        <v>#VALUE!</v>
      </c>
      <c r="X84" s="105" t="e">
        <f>'Alternative 3'!$B$39*$B84*$C84*COS($K$13)-($N$12/3)*$E84*SIN($K$13)-($N$12/3)*$F84*SIN($K$13)-($N$12/3)*$G84*SIN($K$13)</f>
        <v>#VALUE!</v>
      </c>
      <c r="Y84" s="106" t="e">
        <f>IF(($A84&lt;'Alternative 3'!$B$27),(($H84*'Alternative 3'!$B$39)+(3*($N$12/3)*COS($K$13))),IF(($A84&lt;'Alternative 3'!$B$28),(($H84*'Alternative 3'!$B$39)+(2*(($N$12/3)*COS($K$13)))),IF(($A84&lt;'Alternative 3'!$B$29),(($H$3*'Alternative 3'!$B$39+(($N$12/3)*COS($K$13)))),($H84*'Alternative 3'!$B$39))))</f>
        <v>#VALUE!</v>
      </c>
      <c r="Z84" s="105" t="e">
        <f>X84*'Alternative 3'!$K85/'Alternative 3'!$L85</f>
        <v>#VALUE!</v>
      </c>
      <c r="AA84" s="105" t="e">
        <f>Y84/'Alternative 3'!$M85</f>
        <v>#VALUE!</v>
      </c>
      <c r="AB84" s="105" t="e">
        <f t="shared" si="21"/>
        <v>#VALUE!</v>
      </c>
      <c r="AD84" s="105" t="e">
        <f>'Alternative 3'!$B$39*$B84*$C84*COS($K$23)-($N$22/3)*$E84*SIN($K$23)-($N$22/3)*$F84*SIN($K$23)-($N$22/3)*$G84*SIN($K$23)</f>
        <v>#VALUE!</v>
      </c>
      <c r="AE84" s="106" t="e">
        <f>IF(($A84&lt;'Alternative 3'!$B$27),(($H84*'Alternative 3'!$B$39)+(3*($N$22/3)*COS($K$23))),IF(($A84&lt;'Alternative 3'!$B$28),(($H84*'Alternative 3'!$B$39)+(2*(($N$22/3)*COS($K$23)))),IF(($A84&lt;'Alternative 3'!$B$29),(($H$3*'Alternative 3'!$B$39+(($N$22/3)*COS($K$23)))),($H84*'Alternative 3'!$B$39))))</f>
        <v>#VALUE!</v>
      </c>
      <c r="AF84" s="105" t="e">
        <f>AD84*'Alternative 3'!$K85/'Alternative 3'!$L85</f>
        <v>#VALUE!</v>
      </c>
      <c r="AG84" s="105" t="e">
        <f>AE84/'Alternative 3'!$M85</f>
        <v>#VALUE!</v>
      </c>
      <c r="AH84" s="105" t="e">
        <f t="shared" si="22"/>
        <v>#VALUE!</v>
      </c>
      <c r="AJ84" s="105" t="e">
        <f>'Alternative 3'!$B$39*$B84*$C84*COS($K$33)-($N$32/3)*$E84*SIN($K$33)-($N$32/3)*$F84*SIN($K$33)-($N$32/3)*$G84*SIN($K$33)</f>
        <v>#VALUE!</v>
      </c>
      <c r="AK84" s="106" t="e">
        <f>IF(($A84&lt;'Alternative 3'!$B$27),(($H84*'Alternative 3'!$B$39)+(3*($N$32/3)*COS($K$33))),IF(($A84&lt;'Alternative 3'!$B$28),(($H84*'Alternative 3'!$B$39)+(2*(($N$32/3)*COS($K$33)))),IF(($A84&lt;'Alternative 3'!$B$29),(($H$3*'Alternative 3'!$B$39+(($N$32/3)*COS($K$33)))),($H84*'Alternative 3'!$B$39))))</f>
        <v>#VALUE!</v>
      </c>
      <c r="AL84" s="105" t="e">
        <f>AJ84*'Alternative 3'!$K85/'Alternative 3'!$L85</f>
        <v>#VALUE!</v>
      </c>
      <c r="AM84" s="105" t="e">
        <f>AK84/'Alternative 3'!$M85</f>
        <v>#VALUE!</v>
      </c>
      <c r="AN84" s="105" t="e">
        <f t="shared" si="23"/>
        <v>#VALUE!</v>
      </c>
      <c r="AP84" s="105" t="e">
        <f>'Alternative 3'!$B$39*$B84*$C84*COS($K$43)-($N$42/3)*$E84*SIN($K$43)-($N$42/3)*$F84*SIN($K$43)-($N$42/3)*$G84*SIN($K$43)</f>
        <v>#VALUE!</v>
      </c>
      <c r="AQ84" s="106" t="e">
        <f>IF(($A84&lt;'Alternative 3'!$B$27),(($H84*'Alternative 3'!$B$39)+(3*($N$42/3)*COS($K$43))),IF(($A84&lt;'Alternative 3'!$B$28),(($H84*'Alternative 3'!$B$39)+(2*(($N$42/3)*COS($K$43)))),IF(($A84&lt;'Alternative 3'!$B$29),(($H$3*'Alternative 3'!$B$39+(($N$42/3)*COS($K$43)))),($H84*'Alternative 3'!$B$39))))</f>
        <v>#VALUE!</v>
      </c>
      <c r="AR84" s="105" t="e">
        <f>AP84*'Alternative 3'!$K85/'Alternative 3'!$L85</f>
        <v>#VALUE!</v>
      </c>
      <c r="AS84" s="105" t="e">
        <f>AQ84/'Alternative 3'!$M85</f>
        <v>#VALUE!</v>
      </c>
      <c r="AT84" s="105" t="e">
        <f t="shared" si="24"/>
        <v>#VALUE!</v>
      </c>
      <c r="AV84" s="105" t="e">
        <f>'Alternative 3'!$B$39*$B84*$C84*COS($K$53)-($N$52/3)*$E84*SIN($K$53)-($N$52/3)*$F84*SIN($K$53)-($N$52/3)*$G84*SIN($K$53)</f>
        <v>#VALUE!</v>
      </c>
      <c r="AW84" s="106" t="e">
        <f>IF(($A84&lt;'Alternative 3'!$B$27),(($H84*'Alternative 3'!$B$39)+(3*($N$52/3)*COS($K$53))),IF(($A84&lt;'Alternative 3'!$B$28),(($H84*'Alternative 3'!$B$39)+(2*(($N$52/3)*COS($K$53)))),IF(($A84&lt;'Alternative 3'!$B$29),(($H$3*'Alternative 3'!$B$39+(($N$52/3)*COS($K$53)))),($H84*'Alternative 3'!$B$39))))</f>
        <v>#VALUE!</v>
      </c>
      <c r="AX84" s="105" t="e">
        <f>AV84*'Alternative 3'!$K85/'Alternative 3'!$L85</f>
        <v>#VALUE!</v>
      </c>
      <c r="AY84" s="105" t="e">
        <f>AW84/'Alternative 3'!$M85</f>
        <v>#VALUE!</v>
      </c>
      <c r="AZ84" s="105" t="e">
        <f t="shared" si="25"/>
        <v>#VALUE!</v>
      </c>
      <c r="BB84" s="105" t="e">
        <f>'Alternative 3'!$B$39*$B84*$C84*COS($K$63)-($N$62/3)*$E84*SIN($K$63)-($N$62/3)*$F84*SIN($K$63)-($N$62/3)*$G84*SIN($K$63)</f>
        <v>#VALUE!</v>
      </c>
      <c r="BC84" s="106" t="e">
        <f>IF(($A84&lt;'Alternative 3'!$B$27),(($H84*'Alternative 3'!$B$39)+(3*($N$62/3)*COS($K$63))),IF(($A84&lt;'Alternative 3'!$B$28),(($H84*'Alternative 3'!$B$39)+(2*(($N$62/3)*COS($K$63)))),IF(($A84&lt;'Alternative 3'!$B$29),(($H$3*'Alternative 3'!$B$39+(($N$62/3)*COS($K$63)))),($H84*'Alternative 3'!$B$39))))</f>
        <v>#VALUE!</v>
      </c>
      <c r="BD84" s="105" t="e">
        <f>BB84*'Alternative 3'!$K85/'Alternative 3'!$L85</f>
        <v>#VALUE!</v>
      </c>
      <c r="BE84" s="105" t="e">
        <f>BC84/'Alternative 3'!$M85</f>
        <v>#VALUE!</v>
      </c>
      <c r="BF84" s="105" t="e">
        <f t="shared" si="26"/>
        <v>#VALUE!</v>
      </c>
      <c r="BH84" s="105" t="e">
        <f>'Alternative 3'!$B$39*$B84*$C84*COS($K$73)-($N$72/3)*$E84*SIN($K$73)-($N$72/3)*$F84*SIN($K$73)-($N$72/3)*$G84*SIN($K$73)</f>
        <v>#VALUE!</v>
      </c>
      <c r="BI84" s="106" t="e">
        <f>IF(($A84&lt;'Alternative 3'!$B$27),(($H84*'Alternative 3'!$B$39)+(3*($N$72/3)*COS($K$73))),IF(($A84&lt;'Alternative 3'!$B$28),(($H84*'Alternative 3'!$B$39)+(2*(($N$72/3)*COS($K$73)))),IF(($A84&lt;'Alternative 3'!$B$29),(($H$3*'Alternative 3'!$B$39+(($N$72/3)*COS($K$73)))),($H84*'Alternative 3'!$B$39))))</f>
        <v>#VALUE!</v>
      </c>
      <c r="BJ84" s="105" t="e">
        <f>BH84*'Alternative 3'!$K85/'Alternative 3'!$L85</f>
        <v>#VALUE!</v>
      </c>
      <c r="BK84" s="105" t="e">
        <f>BI84/'Alternative 3'!$M85</f>
        <v>#VALUE!</v>
      </c>
      <c r="BL84" s="105" t="e">
        <f t="shared" si="27"/>
        <v>#VALUE!</v>
      </c>
      <c r="BN84" s="105" t="e">
        <f>'Alternative 3'!$B$39*$B84*$C84*COS($K$83)-($N$82/3)*$E84*SIN($K$83)-($N$82/3)*$F84*SIN($K$83)-($N$82/3)*$G84*SIN($K$83)</f>
        <v>#VALUE!</v>
      </c>
      <c r="BO84" s="106" t="e">
        <f>IF(($A84&lt;'Alternative 3'!$B$27),(($H84*'Alternative 3'!$B$39)+(3*($N$82/3)*COS($K$83))),IF(($A84&lt;'Alternative 3'!$B$28),(($H84*'Alternative 3'!$B$39)+(2*(($N$82/3)*COS($K$83)))),IF(($A84&lt;'Alternative 3'!$B$29),(($H$3*'Alternative 3'!$B$39+(($N$82/3)*COS($K$83)))),($H84*'Alternative 3'!$B$39))))</f>
        <v>#VALUE!</v>
      </c>
      <c r="BP84" s="105" t="e">
        <f>BN84*'Alternative 3'!$K85/'Alternative 3'!$L85</f>
        <v>#VALUE!</v>
      </c>
      <c r="BQ84" s="105" t="e">
        <f>BO84/'Alternative 3'!$M85</f>
        <v>#VALUE!</v>
      </c>
      <c r="BR84" s="105" t="e">
        <f t="shared" si="28"/>
        <v>#VALUE!</v>
      </c>
      <c r="BT84" s="105" t="e">
        <f>'Alternative 3'!$B$39*$B84*$C84*COS($K$93)-($K$92/3)*$E84*SIN($K$93)-($K$92/3)*$F84*SIN($K$93)-($K$92/3)*$G84*SIN($K$93)</f>
        <v>#VALUE!</v>
      </c>
      <c r="BU84" s="106" t="e">
        <f>IF(($A84&lt;'Alternative 3'!$B$27),(($H84*'Alternative 3'!$B$39)+(3*($N$92/3)*COS($K$93))),IF(($A84&lt;'Alternative 3'!$B$28),(($H84*'Alternative 3'!$B$39)+(2*(($N$92/3)*COS($K$93)))),IF(($A84&lt;'Alternative 3'!$B$29),(($H$3*'Alternative 3'!$B$39+(($N$92/3)*COS($K$93)))),($H84*'Alternative 3'!$B$39))))</f>
        <v>#VALUE!</v>
      </c>
      <c r="BV84" s="105" t="e">
        <f>BT84*'Alternative 3'!$K85/'Alternative 3'!$L85</f>
        <v>#VALUE!</v>
      </c>
      <c r="BW84" s="105" t="e">
        <f>BU84/'Alternative 3'!$M85</f>
        <v>#VALUE!</v>
      </c>
      <c r="BX84" s="105" t="e">
        <f t="shared" si="29"/>
        <v>#VALUE!</v>
      </c>
    </row>
    <row r="85" spans="1:76" ht="15" customHeight="1" x14ac:dyDescent="0.25">
      <c r="A85" s="18" t="str">
        <f>IF('Alternative 3'!F86&gt;0,'Alternative 3'!F86,"x")</f>
        <v>x</v>
      </c>
      <c r="B85" s="18" t="e">
        <f t="shared" si="35"/>
        <v>#VALUE!</v>
      </c>
      <c r="C85" s="18">
        <f t="shared" si="30"/>
        <v>0</v>
      </c>
      <c r="D85" s="18" t="str">
        <f t="shared" si="31"/>
        <v>x</v>
      </c>
      <c r="E85" s="101">
        <f>IF($A85&lt;='Alternative 3'!$B$27, IF($A85='Alternative 3'!$B$27,0,E86+1),0)</f>
        <v>0</v>
      </c>
      <c r="F85" s="101">
        <f>IF($A85&lt;=('Alternative 3'!$B$28), IF($A85=ROUNDDOWN('Alternative 3'!$B$28,0),0,F86+1),0)</f>
        <v>0</v>
      </c>
      <c r="G85" s="101">
        <f>IF($A85&lt;=('Alternative 3'!$B$29), IF($A85=ROUNDDOWN('Alternative 3'!$B$29,0),0,G86+1),0)</f>
        <v>0</v>
      </c>
      <c r="H85" s="18" t="e">
        <f t="shared" si="32"/>
        <v>#VALUE!</v>
      </c>
      <c r="J85" s="104">
        <f t="shared" si="33"/>
        <v>82</v>
      </c>
      <c r="K85" s="104">
        <f t="shared" si="34"/>
        <v>1.43116998663535</v>
      </c>
      <c r="L85" s="105">
        <f>'Alternative 3'!$B$27*SIN(K85)+'Alternative 3'!$B$28*SIN(K85)+'Alternative 3'!$B$29*SIN(K85)</f>
        <v>66.338057924997798</v>
      </c>
      <c r="M85" s="104">
        <f>(('Alternative 3'!$B$27)*(((('Alternative 3'!$B$28-'Alternative 3'!$B$27)/2)+'Alternative 3'!$B$27)*'Alternative 3'!$B$39)*COS('Alternative 3-Tilt Up (3pt)'!K85))+(('Alternative 3'!$B$28)*((('Alternative 3'!$B$28-'Alternative 3'!$B$27)/2)+(('Alternative 3'!$B$29-'Alternative 3'!$B$28)/2))*('Alternative 3'!$B$39)*COS('Alternative 3-Tilt Up (3pt)'!K85))+(('Alternative 3'!$B$29)*((('Alternative 3'!$B$12-'Alternative 3'!$B$29+(('Alternative 3'!$B$29-'Alternative 3'!$B$28)/2)*('Alternative 3'!$B$39)*COS('Alternative 3-Tilt Up (3pt)'!K85)))))</f>
        <v>312955.10384152975</v>
      </c>
      <c r="N85" s="104">
        <f t="shared" si="18"/>
        <v>14152.740386010033</v>
      </c>
      <c r="O85" s="104">
        <f>(((('Alternative 3'!$B$28-'Alternative 3'!$B$27)/2)+'Alternative 3'!$B$27)*('Alternative 3'!$B$39)*COS('Alternative 3-Tilt Up (3pt)'!K85))+(((('Alternative 3'!$B$28-'Alternative 3'!$B$27)/2)+(('Alternative 3'!$B$29-'Alternative 3'!$B$28)/2))*('Alternative 3'!$B$39)*COS('Alternative 3-Tilt Up (3pt)'!K85))+(((('Alternative 3'!$B$12-'Alternative 3'!$B$29)+(('Alternative 3'!$B$29-'Alternative 3'!$B$28)/2))*('Alternative 3'!$B$39)*COS('Alternative 3-Tilt Up (3pt)'!K85)))</f>
        <v>20321.354533940066</v>
      </c>
      <c r="P85" s="104">
        <f t="shared" si="19"/>
        <v>1969.6807666037735</v>
      </c>
      <c r="R85" s="105" t="e">
        <f>'Alternative 3'!$B$39*$B85*$C85*COS($K$5)-($N$5/3)*$E85*SIN($K$5)-($N$5/3)*$F85*SIN($K$5)-($N$5/3)*$G85*SIN($K$5)</f>
        <v>#VALUE!</v>
      </c>
      <c r="S85" s="106" t="e">
        <f>IF(($A85&lt;'Alternative 3'!$B$27),(($H85*'Alternative 3'!$B$39)+(3*($N$5/3)*COS($K$5))),IF(($A85&lt;'Alternative 3'!$B$28),(($H85*'Alternative 3'!$B$39)+(2*(($N$5/3)*COS($K$5)))),IF(($A85&lt;'Alternative 3'!$B$29),(($H$3*'Alternative 3'!$B$39+(($N$5/3)*COS($K$5)))),($H85*'Alternative 3'!$B$39))))</f>
        <v>#VALUE!</v>
      </c>
      <c r="T85" s="105" t="e">
        <f>R85*'Alternative 3'!$K86/'Alternative 3'!$L86</f>
        <v>#VALUE!</v>
      </c>
      <c r="U85" s="105" t="e">
        <f>S85/'Alternative 3'!$M86</f>
        <v>#VALUE!</v>
      </c>
      <c r="V85" s="105" t="e">
        <f t="shared" si="20"/>
        <v>#VALUE!</v>
      </c>
      <c r="X85" s="105" t="e">
        <f>'Alternative 3'!$B$39*$B85*$C85*COS($K$13)-($N$12/3)*$E85*SIN($K$13)-($N$12/3)*$F85*SIN($K$13)-($N$12/3)*$G85*SIN($K$13)</f>
        <v>#VALUE!</v>
      </c>
      <c r="Y85" s="106" t="e">
        <f>IF(($A85&lt;'Alternative 3'!$B$27),(($H85*'Alternative 3'!$B$39)+(3*($N$12/3)*COS($K$13))),IF(($A85&lt;'Alternative 3'!$B$28),(($H85*'Alternative 3'!$B$39)+(2*(($N$12/3)*COS($K$13)))),IF(($A85&lt;'Alternative 3'!$B$29),(($H$3*'Alternative 3'!$B$39+(($N$12/3)*COS($K$13)))),($H85*'Alternative 3'!$B$39))))</f>
        <v>#VALUE!</v>
      </c>
      <c r="Z85" s="105" t="e">
        <f>X85*'Alternative 3'!$K86/'Alternative 3'!$L86</f>
        <v>#VALUE!</v>
      </c>
      <c r="AA85" s="105" t="e">
        <f>Y85/'Alternative 3'!$M86</f>
        <v>#VALUE!</v>
      </c>
      <c r="AB85" s="105" t="e">
        <f t="shared" si="21"/>
        <v>#VALUE!</v>
      </c>
      <c r="AD85" s="105" t="e">
        <f>'Alternative 3'!$B$39*$B85*$C85*COS($K$23)-($N$22/3)*$E85*SIN($K$23)-($N$22/3)*$F85*SIN($K$23)-($N$22/3)*$G85*SIN($K$23)</f>
        <v>#VALUE!</v>
      </c>
      <c r="AE85" s="106" t="e">
        <f>IF(($A85&lt;'Alternative 3'!$B$27),(($H85*'Alternative 3'!$B$39)+(3*($N$22/3)*COS($K$23))),IF(($A85&lt;'Alternative 3'!$B$28),(($H85*'Alternative 3'!$B$39)+(2*(($N$22/3)*COS($K$23)))),IF(($A85&lt;'Alternative 3'!$B$29),(($H$3*'Alternative 3'!$B$39+(($N$22/3)*COS($K$23)))),($H85*'Alternative 3'!$B$39))))</f>
        <v>#VALUE!</v>
      </c>
      <c r="AF85" s="105" t="e">
        <f>AD85*'Alternative 3'!$K86/'Alternative 3'!$L86</f>
        <v>#VALUE!</v>
      </c>
      <c r="AG85" s="105" t="e">
        <f>AE85/'Alternative 3'!$M86</f>
        <v>#VALUE!</v>
      </c>
      <c r="AH85" s="105" t="e">
        <f t="shared" si="22"/>
        <v>#VALUE!</v>
      </c>
      <c r="AJ85" s="105" t="e">
        <f>'Alternative 3'!$B$39*$B85*$C85*COS($K$33)-($N$32/3)*$E85*SIN($K$33)-($N$32/3)*$F85*SIN($K$33)-($N$32/3)*$G85*SIN($K$33)</f>
        <v>#VALUE!</v>
      </c>
      <c r="AK85" s="106" t="e">
        <f>IF(($A85&lt;'Alternative 3'!$B$27),(($H85*'Alternative 3'!$B$39)+(3*($N$32/3)*COS($K$33))),IF(($A85&lt;'Alternative 3'!$B$28),(($H85*'Alternative 3'!$B$39)+(2*(($N$32/3)*COS($K$33)))),IF(($A85&lt;'Alternative 3'!$B$29),(($H$3*'Alternative 3'!$B$39+(($N$32/3)*COS($K$33)))),($H85*'Alternative 3'!$B$39))))</f>
        <v>#VALUE!</v>
      </c>
      <c r="AL85" s="105" t="e">
        <f>AJ85*'Alternative 3'!$K86/'Alternative 3'!$L86</f>
        <v>#VALUE!</v>
      </c>
      <c r="AM85" s="105" t="e">
        <f>AK85/'Alternative 3'!$M86</f>
        <v>#VALUE!</v>
      </c>
      <c r="AN85" s="105" t="e">
        <f t="shared" si="23"/>
        <v>#VALUE!</v>
      </c>
      <c r="AP85" s="105" t="e">
        <f>'Alternative 3'!$B$39*$B85*$C85*COS($K$43)-($N$42/3)*$E85*SIN($K$43)-($N$42/3)*$F85*SIN($K$43)-($N$42/3)*$G85*SIN($K$43)</f>
        <v>#VALUE!</v>
      </c>
      <c r="AQ85" s="106" t="e">
        <f>IF(($A85&lt;'Alternative 3'!$B$27),(($H85*'Alternative 3'!$B$39)+(3*($N$42/3)*COS($K$43))),IF(($A85&lt;'Alternative 3'!$B$28),(($H85*'Alternative 3'!$B$39)+(2*(($N$42/3)*COS($K$43)))),IF(($A85&lt;'Alternative 3'!$B$29),(($H$3*'Alternative 3'!$B$39+(($N$42/3)*COS($K$43)))),($H85*'Alternative 3'!$B$39))))</f>
        <v>#VALUE!</v>
      </c>
      <c r="AR85" s="105" t="e">
        <f>AP85*'Alternative 3'!$K86/'Alternative 3'!$L86</f>
        <v>#VALUE!</v>
      </c>
      <c r="AS85" s="105" t="e">
        <f>AQ85/'Alternative 3'!$M86</f>
        <v>#VALUE!</v>
      </c>
      <c r="AT85" s="105" t="e">
        <f t="shared" si="24"/>
        <v>#VALUE!</v>
      </c>
      <c r="AV85" s="105" t="e">
        <f>'Alternative 3'!$B$39*$B85*$C85*COS($K$53)-($N$52/3)*$E85*SIN($K$53)-($N$52/3)*$F85*SIN($K$53)-($N$52/3)*$G85*SIN($K$53)</f>
        <v>#VALUE!</v>
      </c>
      <c r="AW85" s="106" t="e">
        <f>IF(($A85&lt;'Alternative 3'!$B$27),(($H85*'Alternative 3'!$B$39)+(3*($N$52/3)*COS($K$53))),IF(($A85&lt;'Alternative 3'!$B$28),(($H85*'Alternative 3'!$B$39)+(2*(($N$52/3)*COS($K$53)))),IF(($A85&lt;'Alternative 3'!$B$29),(($H$3*'Alternative 3'!$B$39+(($N$52/3)*COS($K$53)))),($H85*'Alternative 3'!$B$39))))</f>
        <v>#VALUE!</v>
      </c>
      <c r="AX85" s="105" t="e">
        <f>AV85*'Alternative 3'!$K86/'Alternative 3'!$L86</f>
        <v>#VALUE!</v>
      </c>
      <c r="AY85" s="105" t="e">
        <f>AW85/'Alternative 3'!$M86</f>
        <v>#VALUE!</v>
      </c>
      <c r="AZ85" s="105" t="e">
        <f t="shared" si="25"/>
        <v>#VALUE!</v>
      </c>
      <c r="BB85" s="105" t="e">
        <f>'Alternative 3'!$B$39*$B85*$C85*COS($K$63)-($N$62/3)*$E85*SIN($K$63)-($N$62/3)*$F85*SIN($K$63)-($N$62/3)*$G85*SIN($K$63)</f>
        <v>#VALUE!</v>
      </c>
      <c r="BC85" s="106" t="e">
        <f>IF(($A85&lt;'Alternative 3'!$B$27),(($H85*'Alternative 3'!$B$39)+(3*($N$62/3)*COS($K$63))),IF(($A85&lt;'Alternative 3'!$B$28),(($H85*'Alternative 3'!$B$39)+(2*(($N$62/3)*COS($K$63)))),IF(($A85&lt;'Alternative 3'!$B$29),(($H$3*'Alternative 3'!$B$39+(($N$62/3)*COS($K$63)))),($H85*'Alternative 3'!$B$39))))</f>
        <v>#VALUE!</v>
      </c>
      <c r="BD85" s="105" t="e">
        <f>BB85*'Alternative 3'!$K86/'Alternative 3'!$L86</f>
        <v>#VALUE!</v>
      </c>
      <c r="BE85" s="105" t="e">
        <f>BC85/'Alternative 3'!$M86</f>
        <v>#VALUE!</v>
      </c>
      <c r="BF85" s="105" t="e">
        <f t="shared" si="26"/>
        <v>#VALUE!</v>
      </c>
      <c r="BH85" s="105" t="e">
        <f>'Alternative 3'!$B$39*$B85*$C85*COS($K$73)-($N$72/3)*$E85*SIN($K$73)-($N$72/3)*$F85*SIN($K$73)-($N$72/3)*$G85*SIN($K$73)</f>
        <v>#VALUE!</v>
      </c>
      <c r="BI85" s="106" t="e">
        <f>IF(($A85&lt;'Alternative 3'!$B$27),(($H85*'Alternative 3'!$B$39)+(3*($N$72/3)*COS($K$73))),IF(($A85&lt;'Alternative 3'!$B$28),(($H85*'Alternative 3'!$B$39)+(2*(($N$72/3)*COS($K$73)))),IF(($A85&lt;'Alternative 3'!$B$29),(($H$3*'Alternative 3'!$B$39+(($N$72/3)*COS($K$73)))),($H85*'Alternative 3'!$B$39))))</f>
        <v>#VALUE!</v>
      </c>
      <c r="BJ85" s="105" t="e">
        <f>BH85*'Alternative 3'!$K86/'Alternative 3'!$L86</f>
        <v>#VALUE!</v>
      </c>
      <c r="BK85" s="105" t="e">
        <f>BI85/'Alternative 3'!$M86</f>
        <v>#VALUE!</v>
      </c>
      <c r="BL85" s="105" t="e">
        <f t="shared" si="27"/>
        <v>#VALUE!</v>
      </c>
      <c r="BN85" s="105" t="e">
        <f>'Alternative 3'!$B$39*$B85*$C85*COS($K$83)-($N$82/3)*$E85*SIN($K$83)-($N$82/3)*$F85*SIN($K$83)-($N$82/3)*$G85*SIN($K$83)</f>
        <v>#VALUE!</v>
      </c>
      <c r="BO85" s="106" t="e">
        <f>IF(($A85&lt;'Alternative 3'!$B$27),(($H85*'Alternative 3'!$B$39)+(3*($N$82/3)*COS($K$83))),IF(($A85&lt;'Alternative 3'!$B$28),(($H85*'Alternative 3'!$B$39)+(2*(($N$82/3)*COS($K$83)))),IF(($A85&lt;'Alternative 3'!$B$29),(($H$3*'Alternative 3'!$B$39+(($N$82/3)*COS($K$83)))),($H85*'Alternative 3'!$B$39))))</f>
        <v>#VALUE!</v>
      </c>
      <c r="BP85" s="105" t="e">
        <f>BN85*'Alternative 3'!$K86/'Alternative 3'!$L86</f>
        <v>#VALUE!</v>
      </c>
      <c r="BQ85" s="105" t="e">
        <f>BO85/'Alternative 3'!$M86</f>
        <v>#VALUE!</v>
      </c>
      <c r="BR85" s="105" t="e">
        <f t="shared" si="28"/>
        <v>#VALUE!</v>
      </c>
      <c r="BT85" s="105" t="e">
        <f>'Alternative 3'!$B$39*$B85*$C85*COS($K$93)-($K$92/3)*$E85*SIN($K$93)-($K$92/3)*$F85*SIN($K$93)-($K$92/3)*$G85*SIN($K$93)</f>
        <v>#VALUE!</v>
      </c>
      <c r="BU85" s="106" t="e">
        <f>IF(($A85&lt;'Alternative 3'!$B$27),(($H85*'Alternative 3'!$B$39)+(3*($N$92/3)*COS($K$93))),IF(($A85&lt;'Alternative 3'!$B$28),(($H85*'Alternative 3'!$B$39)+(2*(($N$92/3)*COS($K$93)))),IF(($A85&lt;'Alternative 3'!$B$29),(($H$3*'Alternative 3'!$B$39+(($N$92/3)*COS($K$93)))),($H85*'Alternative 3'!$B$39))))</f>
        <v>#VALUE!</v>
      </c>
      <c r="BV85" s="105" t="e">
        <f>BT85*'Alternative 3'!$K86/'Alternative 3'!$L86</f>
        <v>#VALUE!</v>
      </c>
      <c r="BW85" s="105" t="e">
        <f>BU85/'Alternative 3'!$M86</f>
        <v>#VALUE!</v>
      </c>
      <c r="BX85" s="105" t="e">
        <f t="shared" si="29"/>
        <v>#VALUE!</v>
      </c>
    </row>
    <row r="86" spans="1:76" ht="15" customHeight="1" x14ac:dyDescent="0.25">
      <c r="A86" s="18" t="str">
        <f>IF('Alternative 3'!F87&gt;0,'Alternative 3'!F87,"x")</f>
        <v>x</v>
      </c>
      <c r="B86" s="18" t="e">
        <f t="shared" si="35"/>
        <v>#VALUE!</v>
      </c>
      <c r="C86" s="18">
        <f t="shared" si="30"/>
        <v>0</v>
      </c>
      <c r="D86" s="18" t="str">
        <f t="shared" si="31"/>
        <v>x</v>
      </c>
      <c r="E86" s="101">
        <f>IF($A86&lt;='Alternative 3'!$B$27, IF($A86='Alternative 3'!$B$27,0,E87+1),0)</f>
        <v>0</v>
      </c>
      <c r="F86" s="101">
        <f>IF($A86&lt;=('Alternative 3'!$B$28), IF($A86=ROUNDDOWN('Alternative 3'!$B$28,0),0,F87+1),0)</f>
        <v>0</v>
      </c>
      <c r="G86" s="101">
        <f>IF($A86&lt;=('Alternative 3'!$B$29), IF($A86=ROUNDDOWN('Alternative 3'!$B$29,0),0,G87+1),0)</f>
        <v>0</v>
      </c>
      <c r="H86" s="18" t="e">
        <f t="shared" si="32"/>
        <v>#VALUE!</v>
      </c>
      <c r="J86" s="104">
        <f t="shared" si="33"/>
        <v>83</v>
      </c>
      <c r="K86" s="104">
        <f t="shared" si="34"/>
        <v>1.4486232791552935</v>
      </c>
      <c r="L86" s="105">
        <f>'Alternative 3'!$B$27*SIN(K86)+'Alternative 3'!$B$28*SIN(K86)+'Alternative 3'!$B$29*SIN(K86)</f>
        <v>66.490666698452159</v>
      </c>
      <c r="M86" s="104">
        <f>(('Alternative 3'!$B$27)*(((('Alternative 3'!$B$28-'Alternative 3'!$B$27)/2)+'Alternative 3'!$B$27)*'Alternative 3'!$B$39)*COS('Alternative 3-Tilt Up (3pt)'!K86))+(('Alternative 3'!$B$28)*((('Alternative 3'!$B$28-'Alternative 3'!$B$27)/2)+(('Alternative 3'!$B$29-'Alternative 3'!$B$28)/2))*('Alternative 3'!$B$39)*COS('Alternative 3-Tilt Up (3pt)'!K86))+(('Alternative 3'!$B$29)*((('Alternative 3'!$B$12-'Alternative 3'!$B$29+(('Alternative 3'!$B$29-'Alternative 3'!$B$28)/2)*('Alternative 3'!$B$39)*COS('Alternative 3-Tilt Up (3pt)'!K86)))))</f>
        <v>274067.16474820749</v>
      </c>
      <c r="N86" s="104">
        <f t="shared" si="18"/>
        <v>12365.667770688222</v>
      </c>
      <c r="O86" s="104">
        <f>(((('Alternative 3'!$B$28-'Alternative 3'!$B$27)/2)+'Alternative 3'!$B$27)*('Alternative 3'!$B$39)*COS('Alternative 3-Tilt Up (3pt)'!K86))+(((('Alternative 3'!$B$28-'Alternative 3'!$B$27)/2)+(('Alternative 3'!$B$29-'Alternative 3'!$B$28)/2))*('Alternative 3'!$B$39)*COS('Alternative 3-Tilt Up (3pt)'!K86))+(((('Alternative 3'!$B$12-'Alternative 3'!$B$29)+(('Alternative 3'!$B$29-'Alternative 3'!$B$28)/2))*('Alternative 3'!$B$39)*COS('Alternative 3-Tilt Up (3pt)'!K86)))</f>
        <v>17794.747096029096</v>
      </c>
      <c r="P86" s="104">
        <f t="shared" si="19"/>
        <v>1506.9958119799676</v>
      </c>
      <c r="R86" s="105" t="e">
        <f>'Alternative 3'!$B$39*$B86*$C86*COS($K$5)-($N$5/3)*$E86*SIN($K$5)-($N$5/3)*$F86*SIN($K$5)-($N$5/3)*$G86*SIN($K$5)</f>
        <v>#VALUE!</v>
      </c>
      <c r="S86" s="106" t="e">
        <f>IF(($A86&lt;'Alternative 3'!$B$27),(($H86*'Alternative 3'!$B$39)+(3*($N$5/3)*COS($K$5))),IF(($A86&lt;'Alternative 3'!$B$28),(($H86*'Alternative 3'!$B$39)+(2*(($N$5/3)*COS($K$5)))),IF(($A86&lt;'Alternative 3'!$B$29),(($H$3*'Alternative 3'!$B$39+(($N$5/3)*COS($K$5)))),($H86*'Alternative 3'!$B$39))))</f>
        <v>#VALUE!</v>
      </c>
      <c r="T86" s="105" t="e">
        <f>R86*'Alternative 3'!$K87/'Alternative 3'!$L87</f>
        <v>#VALUE!</v>
      </c>
      <c r="U86" s="105" t="e">
        <f>S86/'Alternative 3'!$M87</f>
        <v>#VALUE!</v>
      </c>
      <c r="V86" s="105" t="e">
        <f t="shared" si="20"/>
        <v>#VALUE!</v>
      </c>
      <c r="X86" s="105" t="e">
        <f>'Alternative 3'!$B$39*$B86*$C86*COS($K$13)-($N$12/3)*$E86*SIN($K$13)-($N$12/3)*$F86*SIN($K$13)-($N$12/3)*$G86*SIN($K$13)</f>
        <v>#VALUE!</v>
      </c>
      <c r="Y86" s="106" t="e">
        <f>IF(($A86&lt;'Alternative 3'!$B$27),(($H86*'Alternative 3'!$B$39)+(3*($N$12/3)*COS($K$13))),IF(($A86&lt;'Alternative 3'!$B$28),(($H86*'Alternative 3'!$B$39)+(2*(($N$12/3)*COS($K$13)))),IF(($A86&lt;'Alternative 3'!$B$29),(($H$3*'Alternative 3'!$B$39+(($N$12/3)*COS($K$13)))),($H86*'Alternative 3'!$B$39))))</f>
        <v>#VALUE!</v>
      </c>
      <c r="Z86" s="105" t="e">
        <f>X86*'Alternative 3'!$K87/'Alternative 3'!$L87</f>
        <v>#VALUE!</v>
      </c>
      <c r="AA86" s="105" t="e">
        <f>Y86/'Alternative 3'!$M87</f>
        <v>#VALUE!</v>
      </c>
      <c r="AB86" s="105" t="e">
        <f t="shared" si="21"/>
        <v>#VALUE!</v>
      </c>
      <c r="AD86" s="105" t="e">
        <f>'Alternative 3'!$B$39*$B86*$C86*COS($K$23)-($N$22/3)*$E86*SIN($K$23)-($N$22/3)*$F86*SIN($K$23)-($N$22/3)*$G86*SIN($K$23)</f>
        <v>#VALUE!</v>
      </c>
      <c r="AE86" s="106" t="e">
        <f>IF(($A86&lt;'Alternative 3'!$B$27),(($H86*'Alternative 3'!$B$39)+(3*($N$22/3)*COS($K$23))),IF(($A86&lt;'Alternative 3'!$B$28),(($H86*'Alternative 3'!$B$39)+(2*(($N$22/3)*COS($K$23)))),IF(($A86&lt;'Alternative 3'!$B$29),(($H$3*'Alternative 3'!$B$39+(($N$22/3)*COS($K$23)))),($H86*'Alternative 3'!$B$39))))</f>
        <v>#VALUE!</v>
      </c>
      <c r="AF86" s="105" t="e">
        <f>AD86*'Alternative 3'!$K87/'Alternative 3'!$L87</f>
        <v>#VALUE!</v>
      </c>
      <c r="AG86" s="105" t="e">
        <f>AE86/'Alternative 3'!$M87</f>
        <v>#VALUE!</v>
      </c>
      <c r="AH86" s="105" t="e">
        <f t="shared" si="22"/>
        <v>#VALUE!</v>
      </c>
      <c r="AJ86" s="105" t="e">
        <f>'Alternative 3'!$B$39*$B86*$C86*COS($K$33)-($N$32/3)*$E86*SIN($K$33)-($N$32/3)*$F86*SIN($K$33)-($N$32/3)*$G86*SIN($K$33)</f>
        <v>#VALUE!</v>
      </c>
      <c r="AK86" s="106" t="e">
        <f>IF(($A86&lt;'Alternative 3'!$B$27),(($H86*'Alternative 3'!$B$39)+(3*($N$32/3)*COS($K$33))),IF(($A86&lt;'Alternative 3'!$B$28),(($H86*'Alternative 3'!$B$39)+(2*(($N$32/3)*COS($K$33)))),IF(($A86&lt;'Alternative 3'!$B$29),(($H$3*'Alternative 3'!$B$39+(($N$32/3)*COS($K$33)))),($H86*'Alternative 3'!$B$39))))</f>
        <v>#VALUE!</v>
      </c>
      <c r="AL86" s="105" t="e">
        <f>AJ86*'Alternative 3'!$K87/'Alternative 3'!$L87</f>
        <v>#VALUE!</v>
      </c>
      <c r="AM86" s="105" t="e">
        <f>AK86/'Alternative 3'!$M87</f>
        <v>#VALUE!</v>
      </c>
      <c r="AN86" s="105" t="e">
        <f t="shared" si="23"/>
        <v>#VALUE!</v>
      </c>
      <c r="AP86" s="105" t="e">
        <f>'Alternative 3'!$B$39*$B86*$C86*COS($K$43)-($N$42/3)*$E86*SIN($K$43)-($N$42/3)*$F86*SIN($K$43)-($N$42/3)*$G86*SIN($K$43)</f>
        <v>#VALUE!</v>
      </c>
      <c r="AQ86" s="106" t="e">
        <f>IF(($A86&lt;'Alternative 3'!$B$27),(($H86*'Alternative 3'!$B$39)+(3*($N$42/3)*COS($K$43))),IF(($A86&lt;'Alternative 3'!$B$28),(($H86*'Alternative 3'!$B$39)+(2*(($N$42/3)*COS($K$43)))),IF(($A86&lt;'Alternative 3'!$B$29),(($H$3*'Alternative 3'!$B$39+(($N$42/3)*COS($K$43)))),($H86*'Alternative 3'!$B$39))))</f>
        <v>#VALUE!</v>
      </c>
      <c r="AR86" s="105" t="e">
        <f>AP86*'Alternative 3'!$K87/'Alternative 3'!$L87</f>
        <v>#VALUE!</v>
      </c>
      <c r="AS86" s="105" t="e">
        <f>AQ86/'Alternative 3'!$M87</f>
        <v>#VALUE!</v>
      </c>
      <c r="AT86" s="105" t="e">
        <f t="shared" si="24"/>
        <v>#VALUE!</v>
      </c>
      <c r="AV86" s="105" t="e">
        <f>'Alternative 3'!$B$39*$B86*$C86*COS($K$53)-($N$52/3)*$E86*SIN($K$53)-($N$52/3)*$F86*SIN($K$53)-($N$52/3)*$G86*SIN($K$53)</f>
        <v>#VALUE!</v>
      </c>
      <c r="AW86" s="106" t="e">
        <f>IF(($A86&lt;'Alternative 3'!$B$27),(($H86*'Alternative 3'!$B$39)+(3*($N$52/3)*COS($K$53))),IF(($A86&lt;'Alternative 3'!$B$28),(($H86*'Alternative 3'!$B$39)+(2*(($N$52/3)*COS($K$53)))),IF(($A86&lt;'Alternative 3'!$B$29),(($H$3*'Alternative 3'!$B$39+(($N$52/3)*COS($K$53)))),($H86*'Alternative 3'!$B$39))))</f>
        <v>#VALUE!</v>
      </c>
      <c r="AX86" s="105" t="e">
        <f>AV86*'Alternative 3'!$K87/'Alternative 3'!$L87</f>
        <v>#VALUE!</v>
      </c>
      <c r="AY86" s="105" t="e">
        <f>AW86/'Alternative 3'!$M87</f>
        <v>#VALUE!</v>
      </c>
      <c r="AZ86" s="105" t="e">
        <f t="shared" si="25"/>
        <v>#VALUE!</v>
      </c>
      <c r="BB86" s="105" t="e">
        <f>'Alternative 3'!$B$39*$B86*$C86*COS($K$63)-($N$62/3)*$E86*SIN($K$63)-($N$62/3)*$F86*SIN($K$63)-($N$62/3)*$G86*SIN($K$63)</f>
        <v>#VALUE!</v>
      </c>
      <c r="BC86" s="106" t="e">
        <f>IF(($A86&lt;'Alternative 3'!$B$27),(($H86*'Alternative 3'!$B$39)+(3*($N$62/3)*COS($K$63))),IF(($A86&lt;'Alternative 3'!$B$28),(($H86*'Alternative 3'!$B$39)+(2*(($N$62/3)*COS($K$63)))),IF(($A86&lt;'Alternative 3'!$B$29),(($H$3*'Alternative 3'!$B$39+(($N$62/3)*COS($K$63)))),($H86*'Alternative 3'!$B$39))))</f>
        <v>#VALUE!</v>
      </c>
      <c r="BD86" s="105" t="e">
        <f>BB86*'Alternative 3'!$K87/'Alternative 3'!$L87</f>
        <v>#VALUE!</v>
      </c>
      <c r="BE86" s="105" t="e">
        <f>BC86/'Alternative 3'!$M87</f>
        <v>#VALUE!</v>
      </c>
      <c r="BF86" s="105" t="e">
        <f t="shared" si="26"/>
        <v>#VALUE!</v>
      </c>
      <c r="BH86" s="105" t="e">
        <f>'Alternative 3'!$B$39*$B86*$C86*COS($K$73)-($N$72/3)*$E86*SIN($K$73)-($N$72/3)*$F86*SIN($K$73)-($N$72/3)*$G86*SIN($K$73)</f>
        <v>#VALUE!</v>
      </c>
      <c r="BI86" s="106" t="e">
        <f>IF(($A86&lt;'Alternative 3'!$B$27),(($H86*'Alternative 3'!$B$39)+(3*($N$72/3)*COS($K$73))),IF(($A86&lt;'Alternative 3'!$B$28),(($H86*'Alternative 3'!$B$39)+(2*(($N$72/3)*COS($K$73)))),IF(($A86&lt;'Alternative 3'!$B$29),(($H$3*'Alternative 3'!$B$39+(($N$72/3)*COS($K$73)))),($H86*'Alternative 3'!$B$39))))</f>
        <v>#VALUE!</v>
      </c>
      <c r="BJ86" s="105" t="e">
        <f>BH86*'Alternative 3'!$K87/'Alternative 3'!$L87</f>
        <v>#VALUE!</v>
      </c>
      <c r="BK86" s="105" t="e">
        <f>BI86/'Alternative 3'!$M87</f>
        <v>#VALUE!</v>
      </c>
      <c r="BL86" s="105" t="e">
        <f t="shared" si="27"/>
        <v>#VALUE!</v>
      </c>
      <c r="BN86" s="105" t="e">
        <f>'Alternative 3'!$B$39*$B86*$C86*COS($K$83)-($N$82/3)*$E86*SIN($K$83)-($N$82/3)*$F86*SIN($K$83)-($N$82/3)*$G86*SIN($K$83)</f>
        <v>#VALUE!</v>
      </c>
      <c r="BO86" s="106" t="e">
        <f>IF(($A86&lt;'Alternative 3'!$B$27),(($H86*'Alternative 3'!$B$39)+(3*($N$82/3)*COS($K$83))),IF(($A86&lt;'Alternative 3'!$B$28),(($H86*'Alternative 3'!$B$39)+(2*(($N$82/3)*COS($K$83)))),IF(($A86&lt;'Alternative 3'!$B$29),(($H$3*'Alternative 3'!$B$39+(($N$82/3)*COS($K$83)))),($H86*'Alternative 3'!$B$39))))</f>
        <v>#VALUE!</v>
      </c>
      <c r="BP86" s="105" t="e">
        <f>BN86*'Alternative 3'!$K87/'Alternative 3'!$L87</f>
        <v>#VALUE!</v>
      </c>
      <c r="BQ86" s="105" t="e">
        <f>BO86/'Alternative 3'!$M87</f>
        <v>#VALUE!</v>
      </c>
      <c r="BR86" s="105" t="e">
        <f t="shared" si="28"/>
        <v>#VALUE!</v>
      </c>
      <c r="BT86" s="105" t="e">
        <f>'Alternative 3'!$B$39*$B86*$C86*COS($K$93)-($K$92/3)*$E86*SIN($K$93)-($K$92/3)*$F86*SIN($K$93)-($K$92/3)*$G86*SIN($K$93)</f>
        <v>#VALUE!</v>
      </c>
      <c r="BU86" s="106" t="e">
        <f>IF(($A86&lt;'Alternative 3'!$B$27),(($H86*'Alternative 3'!$B$39)+(3*($N$92/3)*COS($K$93))),IF(($A86&lt;'Alternative 3'!$B$28),(($H86*'Alternative 3'!$B$39)+(2*(($N$92/3)*COS($K$93)))),IF(($A86&lt;'Alternative 3'!$B$29),(($H$3*'Alternative 3'!$B$39+(($N$92/3)*COS($K$93)))),($H86*'Alternative 3'!$B$39))))</f>
        <v>#VALUE!</v>
      </c>
      <c r="BV86" s="105" t="e">
        <f>BT86*'Alternative 3'!$K87/'Alternative 3'!$L87</f>
        <v>#VALUE!</v>
      </c>
      <c r="BW86" s="105" t="e">
        <f>BU86/'Alternative 3'!$M87</f>
        <v>#VALUE!</v>
      </c>
      <c r="BX86" s="105" t="e">
        <f t="shared" si="29"/>
        <v>#VALUE!</v>
      </c>
    </row>
    <row r="87" spans="1:76" ht="15" customHeight="1" x14ac:dyDescent="0.25">
      <c r="A87" s="18" t="str">
        <f>IF('Alternative 3'!F88&gt;0,'Alternative 3'!F88,"x")</f>
        <v>x</v>
      </c>
      <c r="B87" s="18" t="e">
        <f t="shared" si="35"/>
        <v>#VALUE!</v>
      </c>
      <c r="C87" s="18">
        <f t="shared" si="30"/>
        <v>0</v>
      </c>
      <c r="D87" s="18" t="str">
        <f t="shared" si="31"/>
        <v>x</v>
      </c>
      <c r="E87" s="101">
        <f>IF($A87&lt;='Alternative 3'!$B$27, IF($A87='Alternative 3'!$B$27,0,E88+1),0)</f>
        <v>0</v>
      </c>
      <c r="F87" s="101">
        <f>IF($A87&lt;=('Alternative 3'!$B$28), IF($A87=ROUNDDOWN('Alternative 3'!$B$28,0),0,F88+1),0)</f>
        <v>0</v>
      </c>
      <c r="G87" s="101">
        <f>IF($A87&lt;=('Alternative 3'!$B$29), IF($A87=ROUNDDOWN('Alternative 3'!$B$29,0),0,G88+1),0)</f>
        <v>0</v>
      </c>
      <c r="H87" s="18" t="e">
        <f t="shared" si="32"/>
        <v>#VALUE!</v>
      </c>
      <c r="J87" s="104">
        <f t="shared" si="33"/>
        <v>84</v>
      </c>
      <c r="K87" s="104">
        <f t="shared" si="34"/>
        <v>1.4660765716752369</v>
      </c>
      <c r="L87" s="105">
        <f>'Alternative 3'!$B$27*SIN(K87)+'Alternative 3'!$B$28*SIN(K87)+'Alternative 3'!$B$29*SIN(K87)</f>
        <v>66.623021770720626</v>
      </c>
      <c r="M87" s="104">
        <f>(('Alternative 3'!$B$27)*(((('Alternative 3'!$B$28-'Alternative 3'!$B$27)/2)+'Alternative 3'!$B$27)*'Alternative 3'!$B$39)*COS('Alternative 3-Tilt Up (3pt)'!K87))+(('Alternative 3'!$B$28)*((('Alternative 3'!$B$28-'Alternative 3'!$B$27)/2)+(('Alternative 3'!$B$29-'Alternative 3'!$B$28)/2))*('Alternative 3'!$B$39)*COS('Alternative 3-Tilt Up (3pt)'!K87))+(('Alternative 3'!$B$29)*((('Alternative 3'!$B$12-'Alternative 3'!$B$29+(('Alternative 3'!$B$29-'Alternative 3'!$B$28)/2)*('Alternative 3'!$B$39)*COS('Alternative 3-Tilt Up (3pt)'!K87)))))</f>
        <v>235095.79749047567</v>
      </c>
      <c r="N87" s="104">
        <f t="shared" si="18"/>
        <v>10586.241418148726</v>
      </c>
      <c r="O87" s="104">
        <f>(((('Alternative 3'!$B$28-'Alternative 3'!$B$27)/2)+'Alternative 3'!$B$27)*('Alternative 3'!$B$39)*COS('Alternative 3-Tilt Up (3pt)'!K87))+(((('Alternative 3'!$B$28-'Alternative 3'!$B$27)/2)+(('Alternative 3'!$B$29-'Alternative 3'!$B$28)/2))*('Alternative 3'!$B$39)*COS('Alternative 3-Tilt Up (3pt)'!K87))+(((('Alternative 3'!$B$12-'Alternative 3'!$B$29)+(('Alternative 3'!$B$29-'Alternative 3'!$B$28)/2))*('Alternative 3'!$B$39)*COS('Alternative 3-Tilt Up (3pt)'!K87)))</f>
        <v>15262.719205771118</v>
      </c>
      <c r="P87" s="104">
        <f t="shared" si="19"/>
        <v>1106.5635472194708</v>
      </c>
      <c r="R87" s="105" t="e">
        <f>'Alternative 3'!$B$39*$B87*$C87*COS($K$5)-($N$5/3)*$E87*SIN($K$5)-($N$5/3)*$F87*SIN($K$5)-($N$5/3)*$G87*SIN($K$5)</f>
        <v>#VALUE!</v>
      </c>
      <c r="S87" s="106" t="e">
        <f>IF(($A87&lt;'Alternative 3'!$B$27),(($H87*'Alternative 3'!$B$39)+(3*($N$5/3)*COS($K$5))),IF(($A87&lt;'Alternative 3'!$B$28),(($H87*'Alternative 3'!$B$39)+(2*(($N$5/3)*COS($K$5)))),IF(($A87&lt;'Alternative 3'!$B$29),(($H$3*'Alternative 3'!$B$39+(($N$5/3)*COS($K$5)))),($H87*'Alternative 3'!$B$39))))</f>
        <v>#VALUE!</v>
      </c>
      <c r="T87" s="105" t="e">
        <f>R87*'Alternative 3'!$K88/'Alternative 3'!$L88</f>
        <v>#VALUE!</v>
      </c>
      <c r="U87" s="105" t="e">
        <f>S87/'Alternative 3'!$M88</f>
        <v>#VALUE!</v>
      </c>
      <c r="V87" s="105" t="e">
        <f t="shared" si="20"/>
        <v>#VALUE!</v>
      </c>
      <c r="X87" s="105" t="e">
        <f>'Alternative 3'!$B$39*$B87*$C87*COS($K$13)-($N$12/3)*$E87*SIN($K$13)-($N$12/3)*$F87*SIN($K$13)-($N$12/3)*$G87*SIN($K$13)</f>
        <v>#VALUE!</v>
      </c>
      <c r="Y87" s="106" t="e">
        <f>IF(($A87&lt;'Alternative 3'!$B$27),(($H87*'Alternative 3'!$B$39)+(3*($N$12/3)*COS($K$13))),IF(($A87&lt;'Alternative 3'!$B$28),(($H87*'Alternative 3'!$B$39)+(2*(($N$12/3)*COS($K$13)))),IF(($A87&lt;'Alternative 3'!$B$29),(($H$3*'Alternative 3'!$B$39+(($N$12/3)*COS($K$13)))),($H87*'Alternative 3'!$B$39))))</f>
        <v>#VALUE!</v>
      </c>
      <c r="Z87" s="105" t="e">
        <f>X87*'Alternative 3'!$K88/'Alternative 3'!$L88</f>
        <v>#VALUE!</v>
      </c>
      <c r="AA87" s="105" t="e">
        <f>Y87/'Alternative 3'!$M88</f>
        <v>#VALUE!</v>
      </c>
      <c r="AB87" s="105" t="e">
        <f t="shared" si="21"/>
        <v>#VALUE!</v>
      </c>
      <c r="AD87" s="105" t="e">
        <f>'Alternative 3'!$B$39*$B87*$C87*COS($K$23)-($N$22/3)*$E87*SIN($K$23)-($N$22/3)*$F87*SIN($K$23)-($N$22/3)*$G87*SIN($K$23)</f>
        <v>#VALUE!</v>
      </c>
      <c r="AE87" s="106" t="e">
        <f>IF(($A87&lt;'Alternative 3'!$B$27),(($H87*'Alternative 3'!$B$39)+(3*($N$22/3)*COS($K$23))),IF(($A87&lt;'Alternative 3'!$B$28),(($H87*'Alternative 3'!$B$39)+(2*(($N$22/3)*COS($K$23)))),IF(($A87&lt;'Alternative 3'!$B$29),(($H$3*'Alternative 3'!$B$39+(($N$22/3)*COS($K$23)))),($H87*'Alternative 3'!$B$39))))</f>
        <v>#VALUE!</v>
      </c>
      <c r="AF87" s="105" t="e">
        <f>AD87*'Alternative 3'!$K88/'Alternative 3'!$L88</f>
        <v>#VALUE!</v>
      </c>
      <c r="AG87" s="105" t="e">
        <f>AE87/'Alternative 3'!$M88</f>
        <v>#VALUE!</v>
      </c>
      <c r="AH87" s="105" t="e">
        <f t="shared" si="22"/>
        <v>#VALUE!</v>
      </c>
      <c r="AJ87" s="105" t="e">
        <f>'Alternative 3'!$B$39*$B87*$C87*COS($K$33)-($N$32/3)*$E87*SIN($K$33)-($N$32/3)*$F87*SIN($K$33)-($N$32/3)*$G87*SIN($K$33)</f>
        <v>#VALUE!</v>
      </c>
      <c r="AK87" s="106" t="e">
        <f>IF(($A87&lt;'Alternative 3'!$B$27),(($H87*'Alternative 3'!$B$39)+(3*($N$32/3)*COS($K$33))),IF(($A87&lt;'Alternative 3'!$B$28),(($H87*'Alternative 3'!$B$39)+(2*(($N$32/3)*COS($K$33)))),IF(($A87&lt;'Alternative 3'!$B$29),(($H$3*'Alternative 3'!$B$39+(($N$32/3)*COS($K$33)))),($H87*'Alternative 3'!$B$39))))</f>
        <v>#VALUE!</v>
      </c>
      <c r="AL87" s="105" t="e">
        <f>AJ87*'Alternative 3'!$K88/'Alternative 3'!$L88</f>
        <v>#VALUE!</v>
      </c>
      <c r="AM87" s="105" t="e">
        <f>AK87/'Alternative 3'!$M88</f>
        <v>#VALUE!</v>
      </c>
      <c r="AN87" s="105" t="e">
        <f t="shared" si="23"/>
        <v>#VALUE!</v>
      </c>
      <c r="AP87" s="105" t="e">
        <f>'Alternative 3'!$B$39*$B87*$C87*COS($K$43)-($N$42/3)*$E87*SIN($K$43)-($N$42/3)*$F87*SIN($K$43)-($N$42/3)*$G87*SIN($K$43)</f>
        <v>#VALUE!</v>
      </c>
      <c r="AQ87" s="106" t="e">
        <f>IF(($A87&lt;'Alternative 3'!$B$27),(($H87*'Alternative 3'!$B$39)+(3*($N$42/3)*COS($K$43))),IF(($A87&lt;'Alternative 3'!$B$28),(($H87*'Alternative 3'!$B$39)+(2*(($N$42/3)*COS($K$43)))),IF(($A87&lt;'Alternative 3'!$B$29),(($H$3*'Alternative 3'!$B$39+(($N$42/3)*COS($K$43)))),($H87*'Alternative 3'!$B$39))))</f>
        <v>#VALUE!</v>
      </c>
      <c r="AR87" s="105" t="e">
        <f>AP87*'Alternative 3'!$K88/'Alternative 3'!$L88</f>
        <v>#VALUE!</v>
      </c>
      <c r="AS87" s="105" t="e">
        <f>AQ87/'Alternative 3'!$M88</f>
        <v>#VALUE!</v>
      </c>
      <c r="AT87" s="105" t="e">
        <f t="shared" si="24"/>
        <v>#VALUE!</v>
      </c>
      <c r="AV87" s="105" t="e">
        <f>'Alternative 3'!$B$39*$B87*$C87*COS($K$53)-($N$52/3)*$E87*SIN($K$53)-($N$52/3)*$F87*SIN($K$53)-($N$52/3)*$G87*SIN($K$53)</f>
        <v>#VALUE!</v>
      </c>
      <c r="AW87" s="106" t="e">
        <f>IF(($A87&lt;'Alternative 3'!$B$27),(($H87*'Alternative 3'!$B$39)+(3*($N$52/3)*COS($K$53))),IF(($A87&lt;'Alternative 3'!$B$28),(($H87*'Alternative 3'!$B$39)+(2*(($N$52/3)*COS($K$53)))),IF(($A87&lt;'Alternative 3'!$B$29),(($H$3*'Alternative 3'!$B$39+(($N$52/3)*COS($K$53)))),($H87*'Alternative 3'!$B$39))))</f>
        <v>#VALUE!</v>
      </c>
      <c r="AX87" s="105" t="e">
        <f>AV87*'Alternative 3'!$K88/'Alternative 3'!$L88</f>
        <v>#VALUE!</v>
      </c>
      <c r="AY87" s="105" t="e">
        <f>AW87/'Alternative 3'!$M88</f>
        <v>#VALUE!</v>
      </c>
      <c r="AZ87" s="105" t="e">
        <f t="shared" si="25"/>
        <v>#VALUE!</v>
      </c>
      <c r="BB87" s="105" t="e">
        <f>'Alternative 3'!$B$39*$B87*$C87*COS($K$63)-($N$62/3)*$E87*SIN($K$63)-($N$62/3)*$F87*SIN($K$63)-($N$62/3)*$G87*SIN($K$63)</f>
        <v>#VALUE!</v>
      </c>
      <c r="BC87" s="106" t="e">
        <f>IF(($A87&lt;'Alternative 3'!$B$27),(($H87*'Alternative 3'!$B$39)+(3*($N$62/3)*COS($K$63))),IF(($A87&lt;'Alternative 3'!$B$28),(($H87*'Alternative 3'!$B$39)+(2*(($N$62/3)*COS($K$63)))),IF(($A87&lt;'Alternative 3'!$B$29),(($H$3*'Alternative 3'!$B$39+(($N$62/3)*COS($K$63)))),($H87*'Alternative 3'!$B$39))))</f>
        <v>#VALUE!</v>
      </c>
      <c r="BD87" s="105" t="e">
        <f>BB87*'Alternative 3'!$K88/'Alternative 3'!$L88</f>
        <v>#VALUE!</v>
      </c>
      <c r="BE87" s="105" t="e">
        <f>BC87/'Alternative 3'!$M88</f>
        <v>#VALUE!</v>
      </c>
      <c r="BF87" s="105" t="e">
        <f t="shared" si="26"/>
        <v>#VALUE!</v>
      </c>
      <c r="BH87" s="105" t="e">
        <f>'Alternative 3'!$B$39*$B87*$C87*COS($K$73)-($N$72/3)*$E87*SIN($K$73)-($N$72/3)*$F87*SIN($K$73)-($N$72/3)*$G87*SIN($K$73)</f>
        <v>#VALUE!</v>
      </c>
      <c r="BI87" s="106" t="e">
        <f>IF(($A87&lt;'Alternative 3'!$B$27),(($H87*'Alternative 3'!$B$39)+(3*($N$72/3)*COS($K$73))),IF(($A87&lt;'Alternative 3'!$B$28),(($H87*'Alternative 3'!$B$39)+(2*(($N$72/3)*COS($K$73)))),IF(($A87&lt;'Alternative 3'!$B$29),(($H$3*'Alternative 3'!$B$39+(($N$72/3)*COS($K$73)))),($H87*'Alternative 3'!$B$39))))</f>
        <v>#VALUE!</v>
      </c>
      <c r="BJ87" s="105" t="e">
        <f>BH87*'Alternative 3'!$K88/'Alternative 3'!$L88</f>
        <v>#VALUE!</v>
      </c>
      <c r="BK87" s="105" t="e">
        <f>BI87/'Alternative 3'!$M88</f>
        <v>#VALUE!</v>
      </c>
      <c r="BL87" s="105" t="e">
        <f t="shared" si="27"/>
        <v>#VALUE!</v>
      </c>
      <c r="BN87" s="105" t="e">
        <f>'Alternative 3'!$B$39*$B87*$C87*COS($K$83)-($N$82/3)*$E87*SIN($K$83)-($N$82/3)*$F87*SIN($K$83)-($N$82/3)*$G87*SIN($K$83)</f>
        <v>#VALUE!</v>
      </c>
      <c r="BO87" s="106" t="e">
        <f>IF(($A87&lt;'Alternative 3'!$B$27),(($H87*'Alternative 3'!$B$39)+(3*($N$82/3)*COS($K$83))),IF(($A87&lt;'Alternative 3'!$B$28),(($H87*'Alternative 3'!$B$39)+(2*(($N$82/3)*COS($K$83)))),IF(($A87&lt;'Alternative 3'!$B$29),(($H$3*'Alternative 3'!$B$39+(($N$82/3)*COS($K$83)))),($H87*'Alternative 3'!$B$39))))</f>
        <v>#VALUE!</v>
      </c>
      <c r="BP87" s="105" t="e">
        <f>BN87*'Alternative 3'!$K88/'Alternative 3'!$L88</f>
        <v>#VALUE!</v>
      </c>
      <c r="BQ87" s="105" t="e">
        <f>BO87/'Alternative 3'!$M88</f>
        <v>#VALUE!</v>
      </c>
      <c r="BR87" s="105" t="e">
        <f t="shared" si="28"/>
        <v>#VALUE!</v>
      </c>
      <c r="BT87" s="105" t="e">
        <f>'Alternative 3'!$B$39*$B87*$C87*COS($K$93)-($K$92/3)*$E87*SIN($K$93)-($K$92/3)*$F87*SIN($K$93)-($K$92/3)*$G87*SIN($K$93)</f>
        <v>#VALUE!</v>
      </c>
      <c r="BU87" s="106" t="e">
        <f>IF(($A87&lt;'Alternative 3'!$B$27),(($H87*'Alternative 3'!$B$39)+(3*($N$92/3)*COS($K$93))),IF(($A87&lt;'Alternative 3'!$B$28),(($H87*'Alternative 3'!$B$39)+(2*(($N$92/3)*COS($K$93)))),IF(($A87&lt;'Alternative 3'!$B$29),(($H$3*'Alternative 3'!$B$39+(($N$92/3)*COS($K$93)))),($H87*'Alternative 3'!$B$39))))</f>
        <v>#VALUE!</v>
      </c>
      <c r="BV87" s="105" t="e">
        <f>BT87*'Alternative 3'!$K88/'Alternative 3'!$L88</f>
        <v>#VALUE!</v>
      </c>
      <c r="BW87" s="105" t="e">
        <f>BU87/'Alternative 3'!$M88</f>
        <v>#VALUE!</v>
      </c>
      <c r="BX87" s="105" t="e">
        <f t="shared" si="29"/>
        <v>#VALUE!</v>
      </c>
    </row>
    <row r="88" spans="1:76" ht="15" customHeight="1" x14ac:dyDescent="0.25">
      <c r="A88" s="18" t="str">
        <f>IF('Alternative 3'!F89&gt;0,'Alternative 3'!F89,"x")</f>
        <v>x</v>
      </c>
      <c r="B88" s="18" t="e">
        <f t="shared" si="35"/>
        <v>#VALUE!</v>
      </c>
      <c r="C88" s="18">
        <f t="shared" si="30"/>
        <v>0</v>
      </c>
      <c r="D88" s="18" t="str">
        <f t="shared" si="31"/>
        <v>x</v>
      </c>
      <c r="E88" s="101">
        <f>IF($A88&lt;='Alternative 3'!$B$27, IF($A88='Alternative 3'!$B$27,0,E89+1),0)</f>
        <v>0</v>
      </c>
      <c r="F88" s="101">
        <f>IF($A88&lt;=('Alternative 3'!$B$28), IF($A88=ROUNDDOWN('Alternative 3'!$B$28,0),0,F89+1),0)</f>
        <v>0</v>
      </c>
      <c r="G88" s="101">
        <f>IF($A88&lt;=('Alternative 3'!$B$29), IF($A88=ROUNDDOWN('Alternative 3'!$B$29,0),0,G89+1),0)</f>
        <v>0</v>
      </c>
      <c r="H88" s="18" t="e">
        <f t="shared" si="32"/>
        <v>#VALUE!</v>
      </c>
      <c r="J88" s="104">
        <f t="shared" si="33"/>
        <v>85</v>
      </c>
      <c r="K88" s="104">
        <f t="shared" si="34"/>
        <v>1.4835298641951802</v>
      </c>
      <c r="L88" s="105">
        <f>'Alternative 3'!$B$27*SIN(K88)+'Alternative 3'!$B$28*SIN(K88)+'Alternative 3'!$B$29*SIN(K88)</f>
        <v>66.735082825166032</v>
      </c>
      <c r="M88" s="104">
        <f>(('Alternative 3'!$B$27)*(((('Alternative 3'!$B$28-'Alternative 3'!$B$27)/2)+'Alternative 3'!$B$27)*'Alternative 3'!$B$39)*COS('Alternative 3-Tilt Up (3pt)'!K88))+(('Alternative 3'!$B$28)*((('Alternative 3'!$B$28-'Alternative 3'!$B$27)/2)+(('Alternative 3'!$B$29-'Alternative 3'!$B$28)/2))*('Alternative 3'!$B$39)*COS('Alternative 3-Tilt Up (3pt)'!K88))+(('Alternative 3'!$B$29)*((('Alternative 3'!$B$12-'Alternative 3'!$B$29+(('Alternative 3'!$B$29-'Alternative 3'!$B$28)/2)*('Alternative 3'!$B$39)*COS('Alternative 3-Tilt Up (3pt)'!K88)))))</f>
        <v>196052.87312432457</v>
      </c>
      <c r="N88" s="104">
        <f t="shared" si="18"/>
        <v>8813.3346730660978</v>
      </c>
      <c r="O88" s="104">
        <f>(((('Alternative 3'!$B$28-'Alternative 3'!$B$27)/2)+'Alternative 3'!$B$27)*('Alternative 3'!$B$39)*COS('Alternative 3-Tilt Up (3pt)'!K88))+(((('Alternative 3'!$B$28-'Alternative 3'!$B$27)/2)+(('Alternative 3'!$B$29-'Alternative 3'!$B$28)/2))*('Alternative 3'!$B$39)*COS('Alternative 3-Tilt Up (3pt)'!K88))+(((('Alternative 3'!$B$12-'Alternative 3'!$B$29)+(('Alternative 3'!$B$29-'Alternative 3'!$B$28)/2))*('Alternative 3'!$B$39)*COS('Alternative 3-Tilt Up (3pt)'!K88)))</f>
        <v>12726.042143389781</v>
      </c>
      <c r="P88" s="104">
        <f t="shared" si="19"/>
        <v>768.13272951476461</v>
      </c>
      <c r="R88" s="105" t="e">
        <f>'Alternative 3'!$B$39*$B88*$C88*COS($K$5)-($N$5/3)*$E88*SIN($K$5)-($N$5/3)*$F88*SIN($K$5)-($N$5/3)*$G88*SIN($K$5)</f>
        <v>#VALUE!</v>
      </c>
      <c r="S88" s="106" t="e">
        <f>IF(($A88&lt;'Alternative 3'!$B$27),(($H88*'Alternative 3'!$B$39)+(3*($N$5/3)*COS($K$5))),IF(($A88&lt;'Alternative 3'!$B$28),(($H88*'Alternative 3'!$B$39)+(2*(($N$5/3)*COS($K$5)))),IF(($A88&lt;'Alternative 3'!$B$29),(($H$3*'Alternative 3'!$B$39+(($N$5/3)*COS($K$5)))),($H88*'Alternative 3'!$B$39))))</f>
        <v>#VALUE!</v>
      </c>
      <c r="T88" s="105" t="e">
        <f>R88*'Alternative 3'!$K89/'Alternative 3'!$L89</f>
        <v>#VALUE!</v>
      </c>
      <c r="U88" s="105" t="e">
        <f>S88/'Alternative 3'!$M89</f>
        <v>#VALUE!</v>
      </c>
      <c r="V88" s="105" t="e">
        <f t="shared" si="20"/>
        <v>#VALUE!</v>
      </c>
      <c r="X88" s="105" t="e">
        <f>'Alternative 3'!$B$39*$B88*$C88*COS($K$13)-($N$12/3)*$E88*SIN($K$13)-($N$12/3)*$F88*SIN($K$13)-($N$12/3)*$G88*SIN($K$13)</f>
        <v>#VALUE!</v>
      </c>
      <c r="Y88" s="106" t="e">
        <f>IF(($A88&lt;'Alternative 3'!$B$27),(($H88*'Alternative 3'!$B$39)+(3*($N$12/3)*COS($K$13))),IF(($A88&lt;'Alternative 3'!$B$28),(($H88*'Alternative 3'!$B$39)+(2*(($N$12/3)*COS($K$13)))),IF(($A88&lt;'Alternative 3'!$B$29),(($H$3*'Alternative 3'!$B$39+(($N$12/3)*COS($K$13)))),($H88*'Alternative 3'!$B$39))))</f>
        <v>#VALUE!</v>
      </c>
      <c r="Z88" s="105" t="e">
        <f>X88*'Alternative 3'!$K89/'Alternative 3'!$L89</f>
        <v>#VALUE!</v>
      </c>
      <c r="AA88" s="105" t="e">
        <f>Y88/'Alternative 3'!$M89</f>
        <v>#VALUE!</v>
      </c>
      <c r="AB88" s="105" t="e">
        <f t="shared" si="21"/>
        <v>#VALUE!</v>
      </c>
      <c r="AD88" s="105" t="e">
        <f>'Alternative 3'!$B$39*$B88*$C88*COS($K$23)-($N$22/3)*$E88*SIN($K$23)-($N$22/3)*$F88*SIN($K$23)-($N$22/3)*$G88*SIN($K$23)</f>
        <v>#VALUE!</v>
      </c>
      <c r="AE88" s="106" t="e">
        <f>IF(($A88&lt;'Alternative 3'!$B$27),(($H88*'Alternative 3'!$B$39)+(3*($N$22/3)*COS($K$23))),IF(($A88&lt;'Alternative 3'!$B$28),(($H88*'Alternative 3'!$B$39)+(2*(($N$22/3)*COS($K$23)))),IF(($A88&lt;'Alternative 3'!$B$29),(($H$3*'Alternative 3'!$B$39+(($N$22/3)*COS($K$23)))),($H88*'Alternative 3'!$B$39))))</f>
        <v>#VALUE!</v>
      </c>
      <c r="AF88" s="105" t="e">
        <f>AD88*'Alternative 3'!$K89/'Alternative 3'!$L89</f>
        <v>#VALUE!</v>
      </c>
      <c r="AG88" s="105" t="e">
        <f>AE88/'Alternative 3'!$M89</f>
        <v>#VALUE!</v>
      </c>
      <c r="AH88" s="105" t="e">
        <f t="shared" si="22"/>
        <v>#VALUE!</v>
      </c>
      <c r="AJ88" s="105" t="e">
        <f>'Alternative 3'!$B$39*$B88*$C88*COS($K$33)-($N$32/3)*$E88*SIN($K$33)-($N$32/3)*$F88*SIN($K$33)-($N$32/3)*$G88*SIN($K$33)</f>
        <v>#VALUE!</v>
      </c>
      <c r="AK88" s="106" t="e">
        <f>IF(($A88&lt;'Alternative 3'!$B$27),(($H88*'Alternative 3'!$B$39)+(3*($N$32/3)*COS($K$33))),IF(($A88&lt;'Alternative 3'!$B$28),(($H88*'Alternative 3'!$B$39)+(2*(($N$32/3)*COS($K$33)))),IF(($A88&lt;'Alternative 3'!$B$29),(($H$3*'Alternative 3'!$B$39+(($N$32/3)*COS($K$33)))),($H88*'Alternative 3'!$B$39))))</f>
        <v>#VALUE!</v>
      </c>
      <c r="AL88" s="105" t="e">
        <f>AJ88*'Alternative 3'!$K89/'Alternative 3'!$L89</f>
        <v>#VALUE!</v>
      </c>
      <c r="AM88" s="105" t="e">
        <f>AK88/'Alternative 3'!$M89</f>
        <v>#VALUE!</v>
      </c>
      <c r="AN88" s="105" t="e">
        <f t="shared" si="23"/>
        <v>#VALUE!</v>
      </c>
      <c r="AP88" s="105" t="e">
        <f>'Alternative 3'!$B$39*$B88*$C88*COS($K$43)-($N$42/3)*$E88*SIN($K$43)-($N$42/3)*$F88*SIN($K$43)-($N$42/3)*$G88*SIN($K$43)</f>
        <v>#VALUE!</v>
      </c>
      <c r="AQ88" s="106" t="e">
        <f>IF(($A88&lt;'Alternative 3'!$B$27),(($H88*'Alternative 3'!$B$39)+(3*($N$42/3)*COS($K$43))),IF(($A88&lt;'Alternative 3'!$B$28),(($H88*'Alternative 3'!$B$39)+(2*(($N$42/3)*COS($K$43)))),IF(($A88&lt;'Alternative 3'!$B$29),(($H$3*'Alternative 3'!$B$39+(($N$42/3)*COS($K$43)))),($H88*'Alternative 3'!$B$39))))</f>
        <v>#VALUE!</v>
      </c>
      <c r="AR88" s="105" t="e">
        <f>AP88*'Alternative 3'!$K89/'Alternative 3'!$L89</f>
        <v>#VALUE!</v>
      </c>
      <c r="AS88" s="105" t="e">
        <f>AQ88/'Alternative 3'!$M89</f>
        <v>#VALUE!</v>
      </c>
      <c r="AT88" s="105" t="e">
        <f t="shared" si="24"/>
        <v>#VALUE!</v>
      </c>
      <c r="AV88" s="105" t="e">
        <f>'Alternative 3'!$B$39*$B88*$C88*COS($K$53)-($N$52/3)*$E88*SIN($K$53)-($N$52/3)*$F88*SIN($K$53)-($N$52/3)*$G88*SIN($K$53)</f>
        <v>#VALUE!</v>
      </c>
      <c r="AW88" s="106" t="e">
        <f>IF(($A88&lt;'Alternative 3'!$B$27),(($H88*'Alternative 3'!$B$39)+(3*($N$52/3)*COS($K$53))),IF(($A88&lt;'Alternative 3'!$B$28),(($H88*'Alternative 3'!$B$39)+(2*(($N$52/3)*COS($K$53)))),IF(($A88&lt;'Alternative 3'!$B$29),(($H$3*'Alternative 3'!$B$39+(($N$52/3)*COS($K$53)))),($H88*'Alternative 3'!$B$39))))</f>
        <v>#VALUE!</v>
      </c>
      <c r="AX88" s="105" t="e">
        <f>AV88*'Alternative 3'!$K89/'Alternative 3'!$L89</f>
        <v>#VALUE!</v>
      </c>
      <c r="AY88" s="105" t="e">
        <f>AW88/'Alternative 3'!$M89</f>
        <v>#VALUE!</v>
      </c>
      <c r="AZ88" s="105" t="e">
        <f t="shared" si="25"/>
        <v>#VALUE!</v>
      </c>
      <c r="BB88" s="105" t="e">
        <f>'Alternative 3'!$B$39*$B88*$C88*COS($K$63)-($N$62/3)*$E88*SIN($K$63)-($N$62/3)*$F88*SIN($K$63)-($N$62/3)*$G88*SIN($K$63)</f>
        <v>#VALUE!</v>
      </c>
      <c r="BC88" s="106" t="e">
        <f>IF(($A88&lt;'Alternative 3'!$B$27),(($H88*'Alternative 3'!$B$39)+(3*($N$62/3)*COS($K$63))),IF(($A88&lt;'Alternative 3'!$B$28),(($H88*'Alternative 3'!$B$39)+(2*(($N$62/3)*COS($K$63)))),IF(($A88&lt;'Alternative 3'!$B$29),(($H$3*'Alternative 3'!$B$39+(($N$62/3)*COS($K$63)))),($H88*'Alternative 3'!$B$39))))</f>
        <v>#VALUE!</v>
      </c>
      <c r="BD88" s="105" t="e">
        <f>BB88*'Alternative 3'!$K89/'Alternative 3'!$L89</f>
        <v>#VALUE!</v>
      </c>
      <c r="BE88" s="105" t="e">
        <f>BC88/'Alternative 3'!$M89</f>
        <v>#VALUE!</v>
      </c>
      <c r="BF88" s="105" t="e">
        <f t="shared" si="26"/>
        <v>#VALUE!</v>
      </c>
      <c r="BH88" s="105" t="e">
        <f>'Alternative 3'!$B$39*$B88*$C88*COS($K$73)-($N$72/3)*$E88*SIN($K$73)-($N$72/3)*$F88*SIN($K$73)-($N$72/3)*$G88*SIN($K$73)</f>
        <v>#VALUE!</v>
      </c>
      <c r="BI88" s="106" t="e">
        <f>IF(($A88&lt;'Alternative 3'!$B$27),(($H88*'Alternative 3'!$B$39)+(3*($N$72/3)*COS($K$73))),IF(($A88&lt;'Alternative 3'!$B$28),(($H88*'Alternative 3'!$B$39)+(2*(($N$72/3)*COS($K$73)))),IF(($A88&lt;'Alternative 3'!$B$29),(($H$3*'Alternative 3'!$B$39+(($N$72/3)*COS($K$73)))),($H88*'Alternative 3'!$B$39))))</f>
        <v>#VALUE!</v>
      </c>
      <c r="BJ88" s="105" t="e">
        <f>BH88*'Alternative 3'!$K89/'Alternative 3'!$L89</f>
        <v>#VALUE!</v>
      </c>
      <c r="BK88" s="105" t="e">
        <f>BI88/'Alternative 3'!$M89</f>
        <v>#VALUE!</v>
      </c>
      <c r="BL88" s="105" t="e">
        <f t="shared" si="27"/>
        <v>#VALUE!</v>
      </c>
      <c r="BN88" s="105" t="e">
        <f>'Alternative 3'!$B$39*$B88*$C88*COS($K$83)-($N$82/3)*$E88*SIN($K$83)-($N$82/3)*$F88*SIN($K$83)-($N$82/3)*$G88*SIN($K$83)</f>
        <v>#VALUE!</v>
      </c>
      <c r="BO88" s="106" t="e">
        <f>IF(($A88&lt;'Alternative 3'!$B$27),(($H88*'Alternative 3'!$B$39)+(3*($N$82/3)*COS($K$83))),IF(($A88&lt;'Alternative 3'!$B$28),(($H88*'Alternative 3'!$B$39)+(2*(($N$82/3)*COS($K$83)))),IF(($A88&lt;'Alternative 3'!$B$29),(($H$3*'Alternative 3'!$B$39+(($N$82/3)*COS($K$83)))),($H88*'Alternative 3'!$B$39))))</f>
        <v>#VALUE!</v>
      </c>
      <c r="BP88" s="105" t="e">
        <f>BN88*'Alternative 3'!$K89/'Alternative 3'!$L89</f>
        <v>#VALUE!</v>
      </c>
      <c r="BQ88" s="105" t="e">
        <f>BO88/'Alternative 3'!$M89</f>
        <v>#VALUE!</v>
      </c>
      <c r="BR88" s="105" t="e">
        <f t="shared" si="28"/>
        <v>#VALUE!</v>
      </c>
      <c r="BT88" s="105" t="e">
        <f>'Alternative 3'!$B$39*$B88*$C88*COS($K$93)-($K$92/3)*$E88*SIN($K$93)-($K$92/3)*$F88*SIN($K$93)-($K$92/3)*$G88*SIN($K$93)</f>
        <v>#VALUE!</v>
      </c>
      <c r="BU88" s="106" t="e">
        <f>IF(($A88&lt;'Alternative 3'!$B$27),(($H88*'Alternative 3'!$B$39)+(3*($N$92/3)*COS($K$93))),IF(($A88&lt;'Alternative 3'!$B$28),(($H88*'Alternative 3'!$B$39)+(2*(($N$92/3)*COS($K$93)))),IF(($A88&lt;'Alternative 3'!$B$29),(($H$3*'Alternative 3'!$B$39+(($N$92/3)*COS($K$93)))),($H88*'Alternative 3'!$B$39))))</f>
        <v>#VALUE!</v>
      </c>
      <c r="BV88" s="105" t="e">
        <f>BT88*'Alternative 3'!$K89/'Alternative 3'!$L89</f>
        <v>#VALUE!</v>
      </c>
      <c r="BW88" s="105" t="e">
        <f>BU88/'Alternative 3'!$M89</f>
        <v>#VALUE!</v>
      </c>
      <c r="BX88" s="105" t="e">
        <f t="shared" si="29"/>
        <v>#VALUE!</v>
      </c>
    </row>
    <row r="89" spans="1:76" ht="15" customHeight="1" x14ac:dyDescent="0.25">
      <c r="A89" s="18" t="str">
        <f>IF('Alternative 3'!F90&gt;0,'Alternative 3'!F90,"x")</f>
        <v>x</v>
      </c>
      <c r="B89" s="18" t="e">
        <f t="shared" si="35"/>
        <v>#VALUE!</v>
      </c>
      <c r="C89" s="18">
        <f t="shared" si="30"/>
        <v>0</v>
      </c>
      <c r="D89" s="18" t="str">
        <f t="shared" si="31"/>
        <v>x</v>
      </c>
      <c r="E89" s="101">
        <f>IF($A89&lt;='Alternative 3'!$B$27, IF($A89='Alternative 3'!$B$27,0,E90+1),0)</f>
        <v>0</v>
      </c>
      <c r="F89" s="101">
        <f>IF($A89&lt;=('Alternative 3'!$B$28), IF($A89=ROUNDDOWN('Alternative 3'!$B$28,0),0,F90+1),0)</f>
        <v>0</v>
      </c>
      <c r="G89" s="101">
        <f>IF($A89&lt;=('Alternative 3'!$B$29), IF($A89=ROUNDDOWN('Alternative 3'!$B$29,0),0,G90+1),0)</f>
        <v>0</v>
      </c>
      <c r="H89" s="18" t="e">
        <f t="shared" si="32"/>
        <v>#VALUE!</v>
      </c>
      <c r="J89" s="104">
        <f t="shared" si="33"/>
        <v>86</v>
      </c>
      <c r="K89" s="104">
        <f t="shared" si="34"/>
        <v>1.5009831567151233</v>
      </c>
      <c r="L89" s="105">
        <f>'Alternative 3'!$B$27*SIN(K89)+'Alternative 3'!$B$28*SIN(K89)+'Alternative 3'!$B$29*SIN(K89)</f>
        <v>66.826815726905622</v>
      </c>
      <c r="M89" s="104">
        <f>(('Alternative 3'!$B$27)*(((('Alternative 3'!$B$28-'Alternative 3'!$B$27)/2)+'Alternative 3'!$B$27)*'Alternative 3'!$B$39)*COS('Alternative 3-Tilt Up (3pt)'!K89))+(('Alternative 3'!$B$28)*((('Alternative 3'!$B$28-'Alternative 3'!$B$27)/2)+(('Alternative 3'!$B$29-'Alternative 3'!$B$28)/2))*('Alternative 3'!$B$39)*COS('Alternative 3-Tilt Up (3pt)'!K89))+(('Alternative 3'!$B$29)*((('Alternative 3'!$B$12-'Alternative 3'!$B$29+(('Alternative 3'!$B$29-'Alternative 3'!$B$28)/2)*('Alternative 3'!$B$39)*COS('Alternative 3-Tilt Up (3pt)'!K89)))))</f>
        <v>156950.28450273391</v>
      </c>
      <c r="N89" s="104">
        <f t="shared" si="18"/>
        <v>7045.837039914938</v>
      </c>
      <c r="O89" s="104">
        <f>(((('Alternative 3'!$B$28-'Alternative 3'!$B$27)/2)+'Alternative 3'!$B$27)*('Alternative 3'!$B$39)*COS('Alternative 3-Tilt Up (3pt)'!K89))+(((('Alternative 3'!$B$28-'Alternative 3'!$B$27)/2)+(('Alternative 3'!$B$29-'Alternative 3'!$B$28)/2))*('Alternative 3'!$B$39)*COS('Alternative 3-Tilt Up (3pt)'!K89))+(((('Alternative 3'!$B$12-'Alternative 3'!$B$29)+(('Alternative 3'!$B$29-'Alternative 3'!$B$28)/2))*('Alternative 3'!$B$39)*COS('Alternative 3-Tilt Up (3pt)'!K89)))</f>
        <v>10185.488605291663</v>
      </c>
      <c r="P89" s="104">
        <f t="shared" si="19"/>
        <v>491.49274648021299</v>
      </c>
      <c r="R89" s="105" t="e">
        <f>'Alternative 3'!$B$39*$B89*$C89*COS($K$5)-($N$5/3)*$E89*SIN($K$5)-($N$5/3)*$F89*SIN($K$5)-($N$5/3)*$G89*SIN($K$5)</f>
        <v>#VALUE!</v>
      </c>
      <c r="S89" s="106" t="e">
        <f>IF(($A89&lt;'Alternative 3'!$B$27),(($H89*'Alternative 3'!$B$39)+(3*($N$5/3)*COS($K$5))),IF(($A89&lt;'Alternative 3'!$B$28),(($H89*'Alternative 3'!$B$39)+(2*(($N$5/3)*COS($K$5)))),IF(($A89&lt;'Alternative 3'!$B$29),(($H$3*'Alternative 3'!$B$39+(($N$5/3)*COS($K$5)))),($H89*'Alternative 3'!$B$39))))</f>
        <v>#VALUE!</v>
      </c>
      <c r="T89" s="105" t="e">
        <f>R89*'Alternative 3'!$K90/'Alternative 3'!$L90</f>
        <v>#VALUE!</v>
      </c>
      <c r="U89" s="105" t="e">
        <f>S89/'Alternative 3'!$M90</f>
        <v>#VALUE!</v>
      </c>
      <c r="V89" s="105" t="e">
        <f t="shared" si="20"/>
        <v>#VALUE!</v>
      </c>
      <c r="X89" s="105" t="e">
        <f>'Alternative 3'!$B$39*$B89*$C89*COS($K$13)-($N$12/3)*$E89*SIN($K$13)-($N$12/3)*$F89*SIN($K$13)-($N$12/3)*$G89*SIN($K$13)</f>
        <v>#VALUE!</v>
      </c>
      <c r="Y89" s="106" t="e">
        <f>IF(($A89&lt;'Alternative 3'!$B$27),(($H89*'Alternative 3'!$B$39)+(3*($N$12/3)*COS($K$13))),IF(($A89&lt;'Alternative 3'!$B$28),(($H89*'Alternative 3'!$B$39)+(2*(($N$12/3)*COS($K$13)))),IF(($A89&lt;'Alternative 3'!$B$29),(($H$3*'Alternative 3'!$B$39+(($N$12/3)*COS($K$13)))),($H89*'Alternative 3'!$B$39))))</f>
        <v>#VALUE!</v>
      </c>
      <c r="Z89" s="105" t="e">
        <f>X89*'Alternative 3'!$K90/'Alternative 3'!$L90</f>
        <v>#VALUE!</v>
      </c>
      <c r="AA89" s="105" t="e">
        <f>Y89/'Alternative 3'!$M90</f>
        <v>#VALUE!</v>
      </c>
      <c r="AB89" s="105" t="e">
        <f t="shared" si="21"/>
        <v>#VALUE!</v>
      </c>
      <c r="AD89" s="105" t="e">
        <f>'Alternative 3'!$B$39*$B89*$C89*COS($K$23)-($N$22/3)*$E89*SIN($K$23)-($N$22/3)*$F89*SIN($K$23)-($N$22/3)*$G89*SIN($K$23)</f>
        <v>#VALUE!</v>
      </c>
      <c r="AE89" s="106" t="e">
        <f>IF(($A89&lt;'Alternative 3'!$B$27),(($H89*'Alternative 3'!$B$39)+(3*($N$22/3)*COS($K$23))),IF(($A89&lt;'Alternative 3'!$B$28),(($H89*'Alternative 3'!$B$39)+(2*(($N$22/3)*COS($K$23)))),IF(($A89&lt;'Alternative 3'!$B$29),(($H$3*'Alternative 3'!$B$39+(($N$22/3)*COS($K$23)))),($H89*'Alternative 3'!$B$39))))</f>
        <v>#VALUE!</v>
      </c>
      <c r="AF89" s="105" t="e">
        <f>AD89*'Alternative 3'!$K90/'Alternative 3'!$L90</f>
        <v>#VALUE!</v>
      </c>
      <c r="AG89" s="105" t="e">
        <f>AE89/'Alternative 3'!$M90</f>
        <v>#VALUE!</v>
      </c>
      <c r="AH89" s="105" t="e">
        <f t="shared" si="22"/>
        <v>#VALUE!</v>
      </c>
      <c r="AJ89" s="105" t="e">
        <f>'Alternative 3'!$B$39*$B89*$C89*COS($K$33)-($N$32/3)*$E89*SIN($K$33)-($N$32/3)*$F89*SIN($K$33)-($N$32/3)*$G89*SIN($K$33)</f>
        <v>#VALUE!</v>
      </c>
      <c r="AK89" s="106" t="e">
        <f>IF(($A89&lt;'Alternative 3'!$B$27),(($H89*'Alternative 3'!$B$39)+(3*($N$32/3)*COS($K$33))),IF(($A89&lt;'Alternative 3'!$B$28),(($H89*'Alternative 3'!$B$39)+(2*(($N$32/3)*COS($K$33)))),IF(($A89&lt;'Alternative 3'!$B$29),(($H$3*'Alternative 3'!$B$39+(($N$32/3)*COS($K$33)))),($H89*'Alternative 3'!$B$39))))</f>
        <v>#VALUE!</v>
      </c>
      <c r="AL89" s="105" t="e">
        <f>AJ89*'Alternative 3'!$K90/'Alternative 3'!$L90</f>
        <v>#VALUE!</v>
      </c>
      <c r="AM89" s="105" t="e">
        <f>AK89/'Alternative 3'!$M90</f>
        <v>#VALUE!</v>
      </c>
      <c r="AN89" s="105" t="e">
        <f t="shared" si="23"/>
        <v>#VALUE!</v>
      </c>
      <c r="AP89" s="105" t="e">
        <f>'Alternative 3'!$B$39*$B89*$C89*COS($K$43)-($N$42/3)*$E89*SIN($K$43)-($N$42/3)*$F89*SIN($K$43)-($N$42/3)*$G89*SIN($K$43)</f>
        <v>#VALUE!</v>
      </c>
      <c r="AQ89" s="106" t="e">
        <f>IF(($A89&lt;'Alternative 3'!$B$27),(($H89*'Alternative 3'!$B$39)+(3*($N$42/3)*COS($K$43))),IF(($A89&lt;'Alternative 3'!$B$28),(($H89*'Alternative 3'!$B$39)+(2*(($N$42/3)*COS($K$43)))),IF(($A89&lt;'Alternative 3'!$B$29),(($H$3*'Alternative 3'!$B$39+(($N$42/3)*COS($K$43)))),($H89*'Alternative 3'!$B$39))))</f>
        <v>#VALUE!</v>
      </c>
      <c r="AR89" s="105" t="e">
        <f>AP89*'Alternative 3'!$K90/'Alternative 3'!$L90</f>
        <v>#VALUE!</v>
      </c>
      <c r="AS89" s="105" t="e">
        <f>AQ89/'Alternative 3'!$M90</f>
        <v>#VALUE!</v>
      </c>
      <c r="AT89" s="105" t="e">
        <f t="shared" si="24"/>
        <v>#VALUE!</v>
      </c>
      <c r="AV89" s="105" t="e">
        <f>'Alternative 3'!$B$39*$B89*$C89*COS($K$53)-($N$52/3)*$E89*SIN($K$53)-($N$52/3)*$F89*SIN($K$53)-($N$52/3)*$G89*SIN($K$53)</f>
        <v>#VALUE!</v>
      </c>
      <c r="AW89" s="106" t="e">
        <f>IF(($A89&lt;'Alternative 3'!$B$27),(($H89*'Alternative 3'!$B$39)+(3*($N$52/3)*COS($K$53))),IF(($A89&lt;'Alternative 3'!$B$28),(($H89*'Alternative 3'!$B$39)+(2*(($N$52/3)*COS($K$53)))),IF(($A89&lt;'Alternative 3'!$B$29),(($H$3*'Alternative 3'!$B$39+(($N$52/3)*COS($K$53)))),($H89*'Alternative 3'!$B$39))))</f>
        <v>#VALUE!</v>
      </c>
      <c r="AX89" s="105" t="e">
        <f>AV89*'Alternative 3'!$K90/'Alternative 3'!$L90</f>
        <v>#VALUE!</v>
      </c>
      <c r="AY89" s="105" t="e">
        <f>AW89/'Alternative 3'!$M90</f>
        <v>#VALUE!</v>
      </c>
      <c r="AZ89" s="105" t="e">
        <f t="shared" si="25"/>
        <v>#VALUE!</v>
      </c>
      <c r="BB89" s="105" t="e">
        <f>'Alternative 3'!$B$39*$B89*$C89*COS($K$63)-($N$62/3)*$E89*SIN($K$63)-($N$62/3)*$F89*SIN($K$63)-($N$62/3)*$G89*SIN($K$63)</f>
        <v>#VALUE!</v>
      </c>
      <c r="BC89" s="106" t="e">
        <f>IF(($A89&lt;'Alternative 3'!$B$27),(($H89*'Alternative 3'!$B$39)+(3*($N$62/3)*COS($K$63))),IF(($A89&lt;'Alternative 3'!$B$28),(($H89*'Alternative 3'!$B$39)+(2*(($N$62/3)*COS($K$63)))),IF(($A89&lt;'Alternative 3'!$B$29),(($H$3*'Alternative 3'!$B$39+(($N$62/3)*COS($K$63)))),($H89*'Alternative 3'!$B$39))))</f>
        <v>#VALUE!</v>
      </c>
      <c r="BD89" s="105" t="e">
        <f>BB89*'Alternative 3'!$K90/'Alternative 3'!$L90</f>
        <v>#VALUE!</v>
      </c>
      <c r="BE89" s="105" t="e">
        <f>BC89/'Alternative 3'!$M90</f>
        <v>#VALUE!</v>
      </c>
      <c r="BF89" s="105" t="e">
        <f t="shared" si="26"/>
        <v>#VALUE!</v>
      </c>
      <c r="BH89" s="105" t="e">
        <f>'Alternative 3'!$B$39*$B89*$C89*COS($K$73)-($N$72/3)*$E89*SIN($K$73)-($N$72/3)*$F89*SIN($K$73)-($N$72/3)*$G89*SIN($K$73)</f>
        <v>#VALUE!</v>
      </c>
      <c r="BI89" s="106" t="e">
        <f>IF(($A89&lt;'Alternative 3'!$B$27),(($H89*'Alternative 3'!$B$39)+(3*($N$72/3)*COS($K$73))),IF(($A89&lt;'Alternative 3'!$B$28),(($H89*'Alternative 3'!$B$39)+(2*(($N$72/3)*COS($K$73)))),IF(($A89&lt;'Alternative 3'!$B$29),(($H$3*'Alternative 3'!$B$39+(($N$72/3)*COS($K$73)))),($H89*'Alternative 3'!$B$39))))</f>
        <v>#VALUE!</v>
      </c>
      <c r="BJ89" s="105" t="e">
        <f>BH89*'Alternative 3'!$K90/'Alternative 3'!$L90</f>
        <v>#VALUE!</v>
      </c>
      <c r="BK89" s="105" t="e">
        <f>BI89/'Alternative 3'!$M90</f>
        <v>#VALUE!</v>
      </c>
      <c r="BL89" s="105" t="e">
        <f t="shared" si="27"/>
        <v>#VALUE!</v>
      </c>
      <c r="BN89" s="105" t="e">
        <f>'Alternative 3'!$B$39*$B89*$C89*COS($K$83)-($N$82/3)*$E89*SIN($K$83)-($N$82/3)*$F89*SIN($K$83)-($N$82/3)*$G89*SIN($K$83)</f>
        <v>#VALUE!</v>
      </c>
      <c r="BO89" s="106" t="e">
        <f>IF(($A89&lt;'Alternative 3'!$B$27),(($H89*'Alternative 3'!$B$39)+(3*($N$82/3)*COS($K$83))),IF(($A89&lt;'Alternative 3'!$B$28),(($H89*'Alternative 3'!$B$39)+(2*(($N$82/3)*COS($K$83)))),IF(($A89&lt;'Alternative 3'!$B$29),(($H$3*'Alternative 3'!$B$39+(($N$82/3)*COS($K$83)))),($H89*'Alternative 3'!$B$39))))</f>
        <v>#VALUE!</v>
      </c>
      <c r="BP89" s="105" t="e">
        <f>BN89*'Alternative 3'!$K90/'Alternative 3'!$L90</f>
        <v>#VALUE!</v>
      </c>
      <c r="BQ89" s="105" t="e">
        <f>BO89/'Alternative 3'!$M90</f>
        <v>#VALUE!</v>
      </c>
      <c r="BR89" s="105" t="e">
        <f t="shared" si="28"/>
        <v>#VALUE!</v>
      </c>
      <c r="BT89" s="105" t="e">
        <f>'Alternative 3'!$B$39*$B89*$C89*COS($K$93)-($K$92/3)*$E89*SIN($K$93)-($K$92/3)*$F89*SIN($K$93)-($K$92/3)*$G89*SIN($K$93)</f>
        <v>#VALUE!</v>
      </c>
      <c r="BU89" s="106" t="e">
        <f>IF(($A89&lt;'Alternative 3'!$B$27),(($H89*'Alternative 3'!$B$39)+(3*($N$92/3)*COS($K$93))),IF(($A89&lt;'Alternative 3'!$B$28),(($H89*'Alternative 3'!$B$39)+(2*(($N$92/3)*COS($K$93)))),IF(($A89&lt;'Alternative 3'!$B$29),(($H$3*'Alternative 3'!$B$39+(($N$92/3)*COS($K$93)))),($H89*'Alternative 3'!$B$39))))</f>
        <v>#VALUE!</v>
      </c>
      <c r="BV89" s="105" t="e">
        <f>BT89*'Alternative 3'!$K90/'Alternative 3'!$L90</f>
        <v>#VALUE!</v>
      </c>
      <c r="BW89" s="105" t="e">
        <f>BU89/'Alternative 3'!$M90</f>
        <v>#VALUE!</v>
      </c>
      <c r="BX89" s="105" t="e">
        <f t="shared" si="29"/>
        <v>#VALUE!</v>
      </c>
    </row>
    <row r="90" spans="1:76" ht="15" customHeight="1" x14ac:dyDescent="0.25">
      <c r="A90" s="18" t="str">
        <f>IF('Alternative 3'!F91&gt;0,'Alternative 3'!F91,"x")</f>
        <v>x</v>
      </c>
      <c r="B90" s="18" t="e">
        <f t="shared" si="35"/>
        <v>#VALUE!</v>
      </c>
      <c r="C90" s="18">
        <f t="shared" si="30"/>
        <v>0</v>
      </c>
      <c r="D90" s="18" t="str">
        <f t="shared" si="31"/>
        <v>x</v>
      </c>
      <c r="E90" s="101">
        <f>IF($A90&lt;='Alternative 3'!$B$27, IF($A90='Alternative 3'!$B$27,0,E91+1),0)</f>
        <v>0</v>
      </c>
      <c r="F90" s="101">
        <f>IF($A90&lt;=('Alternative 3'!$B$28), IF($A90=ROUNDDOWN('Alternative 3'!$B$28,0),0,F91+1),0)</f>
        <v>0</v>
      </c>
      <c r="G90" s="101">
        <f>IF($A90&lt;=('Alternative 3'!$B$29), IF($A90=ROUNDDOWN('Alternative 3'!$B$29,0),0,G91+1),0)</f>
        <v>0</v>
      </c>
      <c r="H90" s="18" t="e">
        <f t="shared" si="32"/>
        <v>#VALUE!</v>
      </c>
      <c r="J90" s="104">
        <f t="shared" si="33"/>
        <v>87</v>
      </c>
      <c r="K90" s="104">
        <f t="shared" si="34"/>
        <v>1.5184364492350666</v>
      </c>
      <c r="L90" s="105">
        <f>'Alternative 3'!$B$27*SIN(K90)+'Alternative 3'!$B$28*SIN(K90)+'Alternative 3'!$B$29*SIN(K90)</f>
        <v>66.898192533208899</v>
      </c>
      <c r="M90" s="104">
        <f>(('Alternative 3'!$B$27)*(((('Alternative 3'!$B$28-'Alternative 3'!$B$27)/2)+'Alternative 3'!$B$27)*'Alternative 3'!$B$39)*COS('Alternative 3-Tilt Up (3pt)'!K90))+(('Alternative 3'!$B$28)*((('Alternative 3'!$B$28-'Alternative 3'!$B$27)/2)+(('Alternative 3'!$B$29-'Alternative 3'!$B$28)/2))*('Alternative 3'!$B$39)*COS('Alternative 3-Tilt Up (3pt)'!K90))+(('Alternative 3'!$B$29)*((('Alternative 3'!$B$12-'Alternative 3'!$B$29+(('Alternative 3'!$B$29-'Alternative 3'!$B$28)/2)*('Alternative 3'!$B$39)*COS('Alternative 3-Tilt Up (3pt)'!K90)))))</f>
        <v>117799.94265299213</v>
      </c>
      <c r="N90" s="104">
        <f t="shared" si="18"/>
        <v>5282.6513628682169</v>
      </c>
      <c r="O90" s="104">
        <f>(((('Alternative 3'!$B$28-'Alternative 3'!$B$27)/2)+'Alternative 3'!$B$27)*('Alternative 3'!$B$39)*COS('Alternative 3-Tilt Up (3pt)'!K90))+(((('Alternative 3'!$B$28-'Alternative 3'!$B$27)/2)+(('Alternative 3'!$B$29-'Alternative 3'!$B$28)/2))*('Alternative 3'!$B$39)*COS('Alternative 3-Tilt Up (3pt)'!K90))+(((('Alternative 3'!$B$12-'Alternative 3'!$B$29)+(('Alternative 3'!$B$29-'Alternative 3'!$B$28)/2))*('Alternative 3'!$B$39)*COS('Alternative 3-Tilt Up (3pt)'!K90)))</f>
        <v>7641.8324686952947</v>
      </c>
      <c r="P90" s="104">
        <f t="shared" si="19"/>
        <v>276.47261057379933</v>
      </c>
      <c r="R90" s="105" t="e">
        <f>'Alternative 3'!$B$39*$B90*$C90*COS($K$5)-($N$5/3)*$E90*SIN($K$5)-($N$5/3)*$F90*SIN($K$5)-($N$5/3)*$G90*SIN($K$5)</f>
        <v>#VALUE!</v>
      </c>
      <c r="S90" s="106" t="e">
        <f>IF(($A90&lt;'Alternative 3'!$B$27),(($H90*'Alternative 3'!$B$39)+(3*($N$5/3)*COS($K$5))),IF(($A90&lt;'Alternative 3'!$B$28),(($H90*'Alternative 3'!$B$39)+(2*(($N$5/3)*COS($K$5)))),IF(($A90&lt;'Alternative 3'!$B$29),(($H$3*'Alternative 3'!$B$39+(($N$5/3)*COS($K$5)))),($H90*'Alternative 3'!$B$39))))</f>
        <v>#VALUE!</v>
      </c>
      <c r="T90" s="105" t="e">
        <f>R90*'Alternative 3'!$K91/'Alternative 3'!$L91</f>
        <v>#VALUE!</v>
      </c>
      <c r="U90" s="105" t="e">
        <f>S90/'Alternative 3'!$M91</f>
        <v>#VALUE!</v>
      </c>
      <c r="V90" s="105" t="e">
        <f t="shared" si="20"/>
        <v>#VALUE!</v>
      </c>
      <c r="X90" s="105" t="e">
        <f>'Alternative 3'!$B$39*$B90*$C90*COS($K$13)-($N$12/3)*$E90*SIN($K$13)-($N$12/3)*$F90*SIN($K$13)-($N$12/3)*$G90*SIN($K$13)</f>
        <v>#VALUE!</v>
      </c>
      <c r="Y90" s="106" t="e">
        <f>IF(($A90&lt;'Alternative 3'!$B$27),(($H90*'Alternative 3'!$B$39)+(3*($N$12/3)*COS($K$13))),IF(($A90&lt;'Alternative 3'!$B$28),(($H90*'Alternative 3'!$B$39)+(2*(($N$12/3)*COS($K$13)))),IF(($A90&lt;'Alternative 3'!$B$29),(($H$3*'Alternative 3'!$B$39+(($N$12/3)*COS($K$13)))),($H90*'Alternative 3'!$B$39))))</f>
        <v>#VALUE!</v>
      </c>
      <c r="Z90" s="105" t="e">
        <f>X90*'Alternative 3'!$K91/'Alternative 3'!$L91</f>
        <v>#VALUE!</v>
      </c>
      <c r="AA90" s="105" t="e">
        <f>Y90/'Alternative 3'!$M91</f>
        <v>#VALUE!</v>
      </c>
      <c r="AB90" s="105" t="e">
        <f t="shared" si="21"/>
        <v>#VALUE!</v>
      </c>
      <c r="AD90" s="105" t="e">
        <f>'Alternative 3'!$B$39*$B90*$C90*COS($K$23)-($N$22/3)*$E90*SIN($K$23)-($N$22/3)*$F90*SIN($K$23)-($N$22/3)*$G90*SIN($K$23)</f>
        <v>#VALUE!</v>
      </c>
      <c r="AE90" s="106" t="e">
        <f>IF(($A90&lt;'Alternative 3'!$B$27),(($H90*'Alternative 3'!$B$39)+(3*($N$22/3)*COS($K$23))),IF(($A90&lt;'Alternative 3'!$B$28),(($H90*'Alternative 3'!$B$39)+(2*(($N$22/3)*COS($K$23)))),IF(($A90&lt;'Alternative 3'!$B$29),(($H$3*'Alternative 3'!$B$39+(($N$22/3)*COS($K$23)))),($H90*'Alternative 3'!$B$39))))</f>
        <v>#VALUE!</v>
      </c>
      <c r="AF90" s="105" t="e">
        <f>AD90*'Alternative 3'!$K91/'Alternative 3'!$L91</f>
        <v>#VALUE!</v>
      </c>
      <c r="AG90" s="105" t="e">
        <f>AE90/'Alternative 3'!$M91</f>
        <v>#VALUE!</v>
      </c>
      <c r="AH90" s="105" t="e">
        <f t="shared" si="22"/>
        <v>#VALUE!</v>
      </c>
      <c r="AJ90" s="105" t="e">
        <f>'Alternative 3'!$B$39*$B90*$C90*COS($K$33)-($N$32/3)*$E90*SIN($K$33)-($N$32/3)*$F90*SIN($K$33)-($N$32/3)*$G90*SIN($K$33)</f>
        <v>#VALUE!</v>
      </c>
      <c r="AK90" s="106" t="e">
        <f>IF(($A90&lt;'Alternative 3'!$B$27),(($H90*'Alternative 3'!$B$39)+(3*($N$32/3)*COS($K$33))),IF(($A90&lt;'Alternative 3'!$B$28),(($H90*'Alternative 3'!$B$39)+(2*(($N$32/3)*COS($K$33)))),IF(($A90&lt;'Alternative 3'!$B$29),(($H$3*'Alternative 3'!$B$39+(($N$32/3)*COS($K$33)))),($H90*'Alternative 3'!$B$39))))</f>
        <v>#VALUE!</v>
      </c>
      <c r="AL90" s="105" t="e">
        <f>AJ90*'Alternative 3'!$K91/'Alternative 3'!$L91</f>
        <v>#VALUE!</v>
      </c>
      <c r="AM90" s="105" t="e">
        <f>AK90/'Alternative 3'!$M91</f>
        <v>#VALUE!</v>
      </c>
      <c r="AN90" s="105" t="e">
        <f t="shared" si="23"/>
        <v>#VALUE!</v>
      </c>
      <c r="AP90" s="105" t="e">
        <f>'Alternative 3'!$B$39*$B90*$C90*COS($K$43)-($N$42/3)*$E90*SIN($K$43)-($N$42/3)*$F90*SIN($K$43)-($N$42/3)*$G90*SIN($K$43)</f>
        <v>#VALUE!</v>
      </c>
      <c r="AQ90" s="106" t="e">
        <f>IF(($A90&lt;'Alternative 3'!$B$27),(($H90*'Alternative 3'!$B$39)+(3*($N$42/3)*COS($K$43))),IF(($A90&lt;'Alternative 3'!$B$28),(($H90*'Alternative 3'!$B$39)+(2*(($N$42/3)*COS($K$43)))),IF(($A90&lt;'Alternative 3'!$B$29),(($H$3*'Alternative 3'!$B$39+(($N$42/3)*COS($K$43)))),($H90*'Alternative 3'!$B$39))))</f>
        <v>#VALUE!</v>
      </c>
      <c r="AR90" s="105" t="e">
        <f>AP90*'Alternative 3'!$K91/'Alternative 3'!$L91</f>
        <v>#VALUE!</v>
      </c>
      <c r="AS90" s="105" t="e">
        <f>AQ90/'Alternative 3'!$M91</f>
        <v>#VALUE!</v>
      </c>
      <c r="AT90" s="105" t="e">
        <f t="shared" si="24"/>
        <v>#VALUE!</v>
      </c>
      <c r="AV90" s="105" t="e">
        <f>'Alternative 3'!$B$39*$B90*$C90*COS($K$53)-($N$52/3)*$E90*SIN($K$53)-($N$52/3)*$F90*SIN($K$53)-($N$52/3)*$G90*SIN($K$53)</f>
        <v>#VALUE!</v>
      </c>
      <c r="AW90" s="106" t="e">
        <f>IF(($A90&lt;'Alternative 3'!$B$27),(($H90*'Alternative 3'!$B$39)+(3*($N$52/3)*COS($K$53))),IF(($A90&lt;'Alternative 3'!$B$28),(($H90*'Alternative 3'!$B$39)+(2*(($N$52/3)*COS($K$53)))),IF(($A90&lt;'Alternative 3'!$B$29),(($H$3*'Alternative 3'!$B$39+(($N$52/3)*COS($K$53)))),($H90*'Alternative 3'!$B$39))))</f>
        <v>#VALUE!</v>
      </c>
      <c r="AX90" s="105" t="e">
        <f>AV90*'Alternative 3'!$K91/'Alternative 3'!$L91</f>
        <v>#VALUE!</v>
      </c>
      <c r="AY90" s="105" t="e">
        <f>AW90/'Alternative 3'!$M91</f>
        <v>#VALUE!</v>
      </c>
      <c r="AZ90" s="105" t="e">
        <f t="shared" si="25"/>
        <v>#VALUE!</v>
      </c>
      <c r="BB90" s="105" t="e">
        <f>'Alternative 3'!$B$39*$B90*$C90*COS($K$63)-($N$62/3)*$E90*SIN($K$63)-($N$62/3)*$F90*SIN($K$63)-($N$62/3)*$G90*SIN($K$63)</f>
        <v>#VALUE!</v>
      </c>
      <c r="BC90" s="106" t="e">
        <f>IF(($A90&lt;'Alternative 3'!$B$27),(($H90*'Alternative 3'!$B$39)+(3*($N$62/3)*COS($K$63))),IF(($A90&lt;'Alternative 3'!$B$28),(($H90*'Alternative 3'!$B$39)+(2*(($N$62/3)*COS($K$63)))),IF(($A90&lt;'Alternative 3'!$B$29),(($H$3*'Alternative 3'!$B$39+(($N$62/3)*COS($K$63)))),($H90*'Alternative 3'!$B$39))))</f>
        <v>#VALUE!</v>
      </c>
      <c r="BD90" s="105" t="e">
        <f>BB90*'Alternative 3'!$K91/'Alternative 3'!$L91</f>
        <v>#VALUE!</v>
      </c>
      <c r="BE90" s="105" t="e">
        <f>BC90/'Alternative 3'!$M91</f>
        <v>#VALUE!</v>
      </c>
      <c r="BF90" s="105" t="e">
        <f t="shared" si="26"/>
        <v>#VALUE!</v>
      </c>
      <c r="BH90" s="105" t="e">
        <f>'Alternative 3'!$B$39*$B90*$C90*COS($K$73)-($N$72/3)*$E90*SIN($K$73)-($N$72/3)*$F90*SIN($K$73)-($N$72/3)*$G90*SIN($K$73)</f>
        <v>#VALUE!</v>
      </c>
      <c r="BI90" s="106" t="e">
        <f>IF(($A90&lt;'Alternative 3'!$B$27),(($H90*'Alternative 3'!$B$39)+(3*($N$72/3)*COS($K$73))),IF(($A90&lt;'Alternative 3'!$B$28),(($H90*'Alternative 3'!$B$39)+(2*(($N$72/3)*COS($K$73)))),IF(($A90&lt;'Alternative 3'!$B$29),(($H$3*'Alternative 3'!$B$39+(($N$72/3)*COS($K$73)))),($H90*'Alternative 3'!$B$39))))</f>
        <v>#VALUE!</v>
      </c>
      <c r="BJ90" s="105" t="e">
        <f>BH90*'Alternative 3'!$K91/'Alternative 3'!$L91</f>
        <v>#VALUE!</v>
      </c>
      <c r="BK90" s="105" t="e">
        <f>BI90/'Alternative 3'!$M91</f>
        <v>#VALUE!</v>
      </c>
      <c r="BL90" s="105" t="e">
        <f t="shared" si="27"/>
        <v>#VALUE!</v>
      </c>
      <c r="BN90" s="105" t="e">
        <f>'Alternative 3'!$B$39*$B90*$C90*COS($K$83)-($N$82/3)*$E90*SIN($K$83)-($N$82/3)*$F90*SIN($K$83)-($N$82/3)*$G90*SIN($K$83)</f>
        <v>#VALUE!</v>
      </c>
      <c r="BO90" s="106" t="e">
        <f>IF(($A90&lt;'Alternative 3'!$B$27),(($H90*'Alternative 3'!$B$39)+(3*($N$82/3)*COS($K$83))),IF(($A90&lt;'Alternative 3'!$B$28),(($H90*'Alternative 3'!$B$39)+(2*(($N$82/3)*COS($K$83)))),IF(($A90&lt;'Alternative 3'!$B$29),(($H$3*'Alternative 3'!$B$39+(($N$82/3)*COS($K$83)))),($H90*'Alternative 3'!$B$39))))</f>
        <v>#VALUE!</v>
      </c>
      <c r="BP90" s="105" t="e">
        <f>BN90*'Alternative 3'!$K91/'Alternative 3'!$L91</f>
        <v>#VALUE!</v>
      </c>
      <c r="BQ90" s="105" t="e">
        <f>BO90/'Alternative 3'!$M91</f>
        <v>#VALUE!</v>
      </c>
      <c r="BR90" s="105" t="e">
        <f t="shared" si="28"/>
        <v>#VALUE!</v>
      </c>
      <c r="BT90" s="105" t="e">
        <f>'Alternative 3'!$B$39*$B90*$C90*COS($K$93)-($K$92/3)*$E90*SIN($K$93)-($K$92/3)*$F90*SIN($K$93)-($K$92/3)*$G90*SIN($K$93)</f>
        <v>#VALUE!</v>
      </c>
      <c r="BU90" s="106" t="e">
        <f>IF(($A90&lt;'Alternative 3'!$B$27),(($H90*'Alternative 3'!$B$39)+(3*($N$92/3)*COS($K$93))),IF(($A90&lt;'Alternative 3'!$B$28),(($H90*'Alternative 3'!$B$39)+(2*(($N$92/3)*COS($K$93)))),IF(($A90&lt;'Alternative 3'!$B$29),(($H$3*'Alternative 3'!$B$39+(($N$92/3)*COS($K$93)))),($H90*'Alternative 3'!$B$39))))</f>
        <v>#VALUE!</v>
      </c>
      <c r="BV90" s="105" t="e">
        <f>BT90*'Alternative 3'!$K91/'Alternative 3'!$L91</f>
        <v>#VALUE!</v>
      </c>
      <c r="BW90" s="105" t="e">
        <f>BU90/'Alternative 3'!$M91</f>
        <v>#VALUE!</v>
      </c>
      <c r="BX90" s="105" t="e">
        <f t="shared" si="29"/>
        <v>#VALUE!</v>
      </c>
    </row>
    <row r="91" spans="1:76" ht="15" customHeight="1" x14ac:dyDescent="0.25">
      <c r="A91" s="18" t="str">
        <f>IF('Alternative 3'!F92&gt;0,'Alternative 3'!F92,"x")</f>
        <v>x</v>
      </c>
      <c r="B91" s="18" t="e">
        <f t="shared" si="35"/>
        <v>#VALUE!</v>
      </c>
      <c r="C91" s="18">
        <f t="shared" si="30"/>
        <v>0</v>
      </c>
      <c r="D91" s="18" t="str">
        <f t="shared" si="31"/>
        <v>x</v>
      </c>
      <c r="E91" s="101">
        <f>IF($A91&lt;='Alternative 3'!$B$27, IF($A91='Alternative 3'!$B$27,0,E92+1),0)</f>
        <v>0</v>
      </c>
      <c r="F91" s="101">
        <f>IF($A91&lt;=('Alternative 3'!$B$28), IF($A91=ROUNDDOWN('Alternative 3'!$B$28,0),0,F92+1),0)</f>
        <v>0</v>
      </c>
      <c r="G91" s="101">
        <f>IF($A91&lt;=('Alternative 3'!$B$29), IF($A91=ROUNDDOWN('Alternative 3'!$B$29,0),0,G92+1),0)</f>
        <v>0</v>
      </c>
      <c r="H91" s="18" t="e">
        <f t="shared" si="32"/>
        <v>#VALUE!</v>
      </c>
      <c r="J91" s="104">
        <f t="shared" si="33"/>
        <v>88</v>
      </c>
      <c r="K91" s="104">
        <f t="shared" si="34"/>
        <v>1.5358897417550099</v>
      </c>
      <c r="L91" s="105">
        <f>'Alternative 3'!$B$27*SIN(K91)+'Alternative 3'!$B$28*SIN(K91)+'Alternative 3'!$B$29*SIN(K91)</f>
        <v>66.949191502009228</v>
      </c>
      <c r="M91" s="104">
        <f>(('Alternative 3'!$B$27)*(((('Alternative 3'!$B$28-'Alternative 3'!$B$27)/2)+'Alternative 3'!$B$27)*'Alternative 3'!$B$39)*COS('Alternative 3-Tilt Up (3pt)'!K91))+(('Alternative 3'!$B$28)*((('Alternative 3'!$B$28-'Alternative 3'!$B$27)/2)+(('Alternative 3'!$B$29-'Alternative 3'!$B$28)/2))*('Alternative 3'!$B$39)*COS('Alternative 3-Tilt Up (3pt)'!K91))+(('Alternative 3'!$B$29)*((('Alternative 3'!$B$12-'Alternative 3'!$B$29+(('Alternative 3'!$B$29-'Alternative 3'!$B$28)/2)*('Alternative 3'!$B$39)*COS('Alternative 3-Tilt Up (3pt)'!K91)))))</f>
        <v>78613.773148485023</v>
      </c>
      <c r="N91" s="104">
        <f t="shared" si="18"/>
        <v>3522.6910759389407</v>
      </c>
      <c r="O91" s="104">
        <f>(((('Alternative 3'!$B$28-'Alternative 3'!$B$27)/2)+'Alternative 3'!$B$27)*('Alternative 3'!$B$39)*COS('Alternative 3-Tilt Up (3pt)'!K91))+(((('Alternative 3'!$B$28-'Alternative 3'!$B$27)/2)+(('Alternative 3'!$B$29-'Alternative 3'!$B$28)/2))*('Alternative 3'!$B$39)*COS('Alternative 3-Tilt Up (3pt)'!K91))+(((('Alternative 3'!$B$12-'Alternative 3'!$B$29)+(('Alternative 3'!$B$29-'Alternative 3'!$B$28)/2))*('Alternative 3'!$B$39)*COS('Alternative 3-Tilt Up (3pt)'!K91)))</f>
        <v>5095.8485559008705</v>
      </c>
      <c r="P91" s="104">
        <f t="shared" si="19"/>
        <v>122.94014558866104</v>
      </c>
      <c r="R91" s="105" t="e">
        <f>'Alternative 3'!$B$39*$B91*$C91*COS($K$5)-($N$5/3)*$E91*SIN($K$5)-($N$5/3)*$F91*SIN($K$5)-($N$5/3)*$G91*SIN($K$5)</f>
        <v>#VALUE!</v>
      </c>
      <c r="S91" s="106" t="e">
        <f>IF(($A91&lt;'Alternative 3'!$B$27),(($H91*'Alternative 3'!$B$39)+(3*($N$5/3)*COS($K$5))),IF(($A91&lt;'Alternative 3'!$B$28),(($H91*'Alternative 3'!$B$39)+(2*(($N$5/3)*COS($K$5)))),IF(($A91&lt;'Alternative 3'!$B$29),(($H$3*'Alternative 3'!$B$39+(($N$5/3)*COS($K$5)))),($H91*'Alternative 3'!$B$39))))</f>
        <v>#VALUE!</v>
      </c>
      <c r="T91" s="105" t="e">
        <f>R91*'Alternative 3'!$K92/'Alternative 3'!$L92</f>
        <v>#VALUE!</v>
      </c>
      <c r="U91" s="105" t="e">
        <f>S91/'Alternative 3'!$M92</f>
        <v>#VALUE!</v>
      </c>
      <c r="V91" s="105" t="e">
        <f t="shared" si="20"/>
        <v>#VALUE!</v>
      </c>
      <c r="X91" s="105" t="e">
        <f>'Alternative 3'!$B$39*$B91*$C91*COS($K$13)-($N$12/3)*$E91*SIN($K$13)-($N$12/3)*$F91*SIN($K$13)-($N$12/3)*$G91*SIN($K$13)</f>
        <v>#VALUE!</v>
      </c>
      <c r="Y91" s="106" t="e">
        <f>IF(($A91&lt;'Alternative 3'!$B$27),(($H91*'Alternative 3'!$B$39)+(3*($N$12/3)*COS($K$13))),IF(($A91&lt;'Alternative 3'!$B$28),(($H91*'Alternative 3'!$B$39)+(2*(($N$12/3)*COS($K$13)))),IF(($A91&lt;'Alternative 3'!$B$29),(($H$3*'Alternative 3'!$B$39+(($N$12/3)*COS($K$13)))),($H91*'Alternative 3'!$B$39))))</f>
        <v>#VALUE!</v>
      </c>
      <c r="Z91" s="105" t="e">
        <f>X91*'Alternative 3'!$K92/'Alternative 3'!$L92</f>
        <v>#VALUE!</v>
      </c>
      <c r="AA91" s="105" t="e">
        <f>Y91/'Alternative 3'!$M92</f>
        <v>#VALUE!</v>
      </c>
      <c r="AB91" s="105" t="e">
        <f t="shared" si="21"/>
        <v>#VALUE!</v>
      </c>
      <c r="AD91" s="105" t="e">
        <f>'Alternative 3'!$B$39*$B91*$C91*COS($K$23)-($N$22/3)*$E91*SIN($K$23)-($N$22/3)*$F91*SIN($K$23)-($N$22/3)*$G91*SIN($K$23)</f>
        <v>#VALUE!</v>
      </c>
      <c r="AE91" s="106" t="e">
        <f>IF(($A91&lt;'Alternative 3'!$B$27),(($H91*'Alternative 3'!$B$39)+(3*($N$22/3)*COS($K$23))),IF(($A91&lt;'Alternative 3'!$B$28),(($H91*'Alternative 3'!$B$39)+(2*(($N$22/3)*COS($K$23)))),IF(($A91&lt;'Alternative 3'!$B$29),(($H$3*'Alternative 3'!$B$39+(($N$22/3)*COS($K$23)))),($H91*'Alternative 3'!$B$39))))</f>
        <v>#VALUE!</v>
      </c>
      <c r="AF91" s="105" t="e">
        <f>AD91*'Alternative 3'!$K92/'Alternative 3'!$L92</f>
        <v>#VALUE!</v>
      </c>
      <c r="AG91" s="105" t="e">
        <f>AE91/'Alternative 3'!$M92</f>
        <v>#VALUE!</v>
      </c>
      <c r="AH91" s="105" t="e">
        <f t="shared" si="22"/>
        <v>#VALUE!</v>
      </c>
      <c r="AJ91" s="105" t="e">
        <f>'Alternative 3'!$B$39*$B91*$C91*COS($K$33)-($N$32/3)*$E91*SIN($K$33)-($N$32/3)*$F91*SIN($K$33)-($N$32/3)*$G91*SIN($K$33)</f>
        <v>#VALUE!</v>
      </c>
      <c r="AK91" s="106" t="e">
        <f>IF(($A91&lt;'Alternative 3'!$B$27),(($H91*'Alternative 3'!$B$39)+(3*($N$32/3)*COS($K$33))),IF(($A91&lt;'Alternative 3'!$B$28),(($H91*'Alternative 3'!$B$39)+(2*(($N$32/3)*COS($K$33)))),IF(($A91&lt;'Alternative 3'!$B$29),(($H$3*'Alternative 3'!$B$39+(($N$32/3)*COS($K$33)))),($H91*'Alternative 3'!$B$39))))</f>
        <v>#VALUE!</v>
      </c>
      <c r="AL91" s="105" t="e">
        <f>AJ91*'Alternative 3'!$K92/'Alternative 3'!$L92</f>
        <v>#VALUE!</v>
      </c>
      <c r="AM91" s="105" t="e">
        <f>AK91/'Alternative 3'!$M92</f>
        <v>#VALUE!</v>
      </c>
      <c r="AN91" s="105" t="e">
        <f t="shared" si="23"/>
        <v>#VALUE!</v>
      </c>
      <c r="AP91" s="105" t="e">
        <f>'Alternative 3'!$B$39*$B91*$C91*COS($K$43)-($N$42/3)*$E91*SIN($K$43)-($N$42/3)*$F91*SIN($K$43)-($N$42/3)*$G91*SIN($K$43)</f>
        <v>#VALUE!</v>
      </c>
      <c r="AQ91" s="106" t="e">
        <f>IF(($A91&lt;'Alternative 3'!$B$27),(($H91*'Alternative 3'!$B$39)+(3*($N$42/3)*COS($K$43))),IF(($A91&lt;'Alternative 3'!$B$28),(($H91*'Alternative 3'!$B$39)+(2*(($N$42/3)*COS($K$43)))),IF(($A91&lt;'Alternative 3'!$B$29),(($H$3*'Alternative 3'!$B$39+(($N$42/3)*COS($K$43)))),($H91*'Alternative 3'!$B$39))))</f>
        <v>#VALUE!</v>
      </c>
      <c r="AR91" s="105" t="e">
        <f>AP91*'Alternative 3'!$K92/'Alternative 3'!$L92</f>
        <v>#VALUE!</v>
      </c>
      <c r="AS91" s="105" t="e">
        <f>AQ91/'Alternative 3'!$M92</f>
        <v>#VALUE!</v>
      </c>
      <c r="AT91" s="105" t="e">
        <f t="shared" si="24"/>
        <v>#VALUE!</v>
      </c>
      <c r="AV91" s="105" t="e">
        <f>'Alternative 3'!$B$39*$B91*$C91*COS($K$53)-($N$52/3)*$E91*SIN($K$53)-($N$52/3)*$F91*SIN($K$53)-($N$52/3)*$G91*SIN($K$53)</f>
        <v>#VALUE!</v>
      </c>
      <c r="AW91" s="106" t="e">
        <f>IF(($A91&lt;'Alternative 3'!$B$27),(($H91*'Alternative 3'!$B$39)+(3*($N$52/3)*COS($K$53))),IF(($A91&lt;'Alternative 3'!$B$28),(($H91*'Alternative 3'!$B$39)+(2*(($N$52/3)*COS($K$53)))),IF(($A91&lt;'Alternative 3'!$B$29),(($H$3*'Alternative 3'!$B$39+(($N$52/3)*COS($K$53)))),($H91*'Alternative 3'!$B$39))))</f>
        <v>#VALUE!</v>
      </c>
      <c r="AX91" s="105" t="e">
        <f>AV91*'Alternative 3'!$K92/'Alternative 3'!$L92</f>
        <v>#VALUE!</v>
      </c>
      <c r="AY91" s="105" t="e">
        <f>AW91/'Alternative 3'!$M92</f>
        <v>#VALUE!</v>
      </c>
      <c r="AZ91" s="105" t="e">
        <f t="shared" si="25"/>
        <v>#VALUE!</v>
      </c>
      <c r="BB91" s="105" t="e">
        <f>'Alternative 3'!$B$39*$B91*$C91*COS($K$63)-($N$62/3)*$E91*SIN($K$63)-($N$62/3)*$F91*SIN($K$63)-($N$62/3)*$G91*SIN($K$63)</f>
        <v>#VALUE!</v>
      </c>
      <c r="BC91" s="106" t="e">
        <f>IF(($A91&lt;'Alternative 3'!$B$27),(($H91*'Alternative 3'!$B$39)+(3*($N$62/3)*COS($K$63))),IF(($A91&lt;'Alternative 3'!$B$28),(($H91*'Alternative 3'!$B$39)+(2*(($N$62/3)*COS($K$63)))),IF(($A91&lt;'Alternative 3'!$B$29),(($H$3*'Alternative 3'!$B$39+(($N$62/3)*COS($K$63)))),($H91*'Alternative 3'!$B$39))))</f>
        <v>#VALUE!</v>
      </c>
      <c r="BD91" s="105" t="e">
        <f>BB91*'Alternative 3'!$K92/'Alternative 3'!$L92</f>
        <v>#VALUE!</v>
      </c>
      <c r="BE91" s="105" t="e">
        <f>BC91/'Alternative 3'!$M92</f>
        <v>#VALUE!</v>
      </c>
      <c r="BF91" s="105" t="e">
        <f t="shared" si="26"/>
        <v>#VALUE!</v>
      </c>
      <c r="BH91" s="105" t="e">
        <f>'Alternative 3'!$B$39*$B91*$C91*COS($K$73)-($N$72/3)*$E91*SIN($K$73)-($N$72/3)*$F91*SIN($K$73)-($N$72/3)*$G91*SIN($K$73)</f>
        <v>#VALUE!</v>
      </c>
      <c r="BI91" s="106" t="e">
        <f>IF(($A91&lt;'Alternative 3'!$B$27),(($H91*'Alternative 3'!$B$39)+(3*($N$72/3)*COS($K$73))),IF(($A91&lt;'Alternative 3'!$B$28),(($H91*'Alternative 3'!$B$39)+(2*(($N$72/3)*COS($K$73)))),IF(($A91&lt;'Alternative 3'!$B$29),(($H$3*'Alternative 3'!$B$39+(($N$72/3)*COS($K$73)))),($H91*'Alternative 3'!$B$39))))</f>
        <v>#VALUE!</v>
      </c>
      <c r="BJ91" s="105" t="e">
        <f>BH91*'Alternative 3'!$K92/'Alternative 3'!$L92</f>
        <v>#VALUE!</v>
      </c>
      <c r="BK91" s="105" t="e">
        <f>BI91/'Alternative 3'!$M92</f>
        <v>#VALUE!</v>
      </c>
      <c r="BL91" s="105" t="e">
        <f t="shared" si="27"/>
        <v>#VALUE!</v>
      </c>
      <c r="BN91" s="105" t="e">
        <f>'Alternative 3'!$B$39*$B91*$C91*COS($K$83)-($N$82/3)*$E91*SIN($K$83)-($N$82/3)*$F91*SIN($K$83)-($N$82/3)*$G91*SIN($K$83)</f>
        <v>#VALUE!</v>
      </c>
      <c r="BO91" s="106" t="e">
        <f>IF(($A91&lt;'Alternative 3'!$B$27),(($H91*'Alternative 3'!$B$39)+(3*($N$82/3)*COS($K$83))),IF(($A91&lt;'Alternative 3'!$B$28),(($H91*'Alternative 3'!$B$39)+(2*(($N$82/3)*COS($K$83)))),IF(($A91&lt;'Alternative 3'!$B$29),(($H$3*'Alternative 3'!$B$39+(($N$82/3)*COS($K$83)))),($H91*'Alternative 3'!$B$39))))</f>
        <v>#VALUE!</v>
      </c>
      <c r="BP91" s="105" t="e">
        <f>BN91*'Alternative 3'!$K92/'Alternative 3'!$L92</f>
        <v>#VALUE!</v>
      </c>
      <c r="BQ91" s="105" t="e">
        <f>BO91/'Alternative 3'!$M92</f>
        <v>#VALUE!</v>
      </c>
      <c r="BR91" s="105" t="e">
        <f t="shared" si="28"/>
        <v>#VALUE!</v>
      </c>
      <c r="BT91" s="105" t="e">
        <f>'Alternative 3'!$B$39*$B91*$C91*COS($K$93)-($K$92/3)*$E91*SIN($K$93)-($K$92/3)*$F91*SIN($K$93)-($K$92/3)*$G91*SIN($K$93)</f>
        <v>#VALUE!</v>
      </c>
      <c r="BU91" s="106" t="e">
        <f>IF(($A91&lt;'Alternative 3'!$B$27),(($H91*'Alternative 3'!$B$39)+(3*($N$92/3)*COS($K$93))),IF(($A91&lt;'Alternative 3'!$B$28),(($H91*'Alternative 3'!$B$39)+(2*(($N$92/3)*COS($K$93)))),IF(($A91&lt;'Alternative 3'!$B$29),(($H$3*'Alternative 3'!$B$39+(($N$92/3)*COS($K$93)))),($H91*'Alternative 3'!$B$39))))</f>
        <v>#VALUE!</v>
      </c>
      <c r="BV91" s="105" t="e">
        <f>BT91*'Alternative 3'!$K92/'Alternative 3'!$L92</f>
        <v>#VALUE!</v>
      </c>
      <c r="BW91" s="105" t="e">
        <f>BU91/'Alternative 3'!$M92</f>
        <v>#VALUE!</v>
      </c>
      <c r="BX91" s="105" t="e">
        <f t="shared" si="29"/>
        <v>#VALUE!</v>
      </c>
    </row>
    <row r="92" spans="1:76" ht="15" customHeight="1" x14ac:dyDescent="0.25">
      <c r="A92" s="18" t="str">
        <f>IF('Alternative 3'!F93&gt;0,'Alternative 3'!F93,"x")</f>
        <v>x</v>
      </c>
      <c r="B92" s="18" t="e">
        <f t="shared" si="35"/>
        <v>#VALUE!</v>
      </c>
      <c r="C92" s="18">
        <f t="shared" si="30"/>
        <v>0</v>
      </c>
      <c r="D92" s="18" t="str">
        <f t="shared" si="31"/>
        <v>x</v>
      </c>
      <c r="E92" s="101">
        <f>IF($A92&lt;='Alternative 3'!$B$27, IF($A92='Alternative 3'!$B$27,0,E93+1),0)</f>
        <v>0</v>
      </c>
      <c r="F92" s="101">
        <f>IF($A92&lt;=('Alternative 3'!$B$28), IF($A92=ROUNDDOWN('Alternative 3'!$B$28,0),0,F93+1),0)</f>
        <v>0</v>
      </c>
      <c r="G92" s="101">
        <f>IF($A92&lt;=('Alternative 3'!$B$29), IF($A92=ROUNDDOWN('Alternative 3'!$B$29,0),0,G93+1),0)</f>
        <v>0</v>
      </c>
      <c r="H92" s="18" t="e">
        <f t="shared" si="32"/>
        <v>#VALUE!</v>
      </c>
      <c r="J92" s="104">
        <f t="shared" si="33"/>
        <v>89</v>
      </c>
      <c r="K92" s="104">
        <f t="shared" si="34"/>
        <v>1.5533430342749535</v>
      </c>
      <c r="L92" s="105">
        <f>'Alternative 3'!$B$27*SIN(K92)+'Alternative 3'!$B$28*SIN(K92)+'Alternative 3'!$B$29*SIN(K92)</f>
        <v>66.979797098526646</v>
      </c>
      <c r="M92" s="104">
        <f>(('Alternative 3'!$B$27)*(((('Alternative 3'!$B$28-'Alternative 3'!$B$27)/2)+'Alternative 3'!$B$27)*'Alternative 3'!$B$39)*COS('Alternative 3-Tilt Up (3pt)'!K92))+(('Alternative 3'!$B$28)*((('Alternative 3'!$B$28-'Alternative 3'!$B$27)/2)+(('Alternative 3'!$B$29-'Alternative 3'!$B$28)/2))*('Alternative 3'!$B$39)*COS('Alternative 3-Tilt Up (3pt)'!K92))+(('Alternative 3'!$B$29)*((('Alternative 3'!$B$12-'Alternative 3'!$B$29+(('Alternative 3'!$B$29-'Alternative 3'!$B$28)/2)*('Alternative 3'!$B$39)*COS('Alternative 3-Tilt Up (3pt)'!K92)))))</f>
        <v>39403.712476048124</v>
      </c>
      <c r="N92" s="109">
        <f t="shared" si="18"/>
        <v>1764.8775085755622</v>
      </c>
      <c r="O92" s="104">
        <f>(((('Alternative 3'!$B$28-'Alternative 3'!$B$27)/2)+'Alternative 3'!$B$27)*('Alternative 3'!$B$39)*COS('Alternative 3-Tilt Up (3pt)'!K92))+(((('Alternative 3'!$B$28-'Alternative 3'!$B$27)/2)+(('Alternative 3'!$B$29-'Alternative 3'!$B$28)/2))*('Alternative 3'!$B$39)*COS('Alternative 3-Tilt Up (3pt)'!K92))+(((('Alternative 3'!$B$12-'Alternative 3'!$B$29)+(('Alternative 3'!$B$29-'Alternative 3'!$B$28)/2))*('Alternative 3'!$B$39)*COS('Alternative 3-Tilt Up (3pt)'!K92)))</f>
        <v>2548.3123982716925</v>
      </c>
      <c r="P92" s="104">
        <f t="shared" si="19"/>
        <v>30.801359591680789</v>
      </c>
      <c r="R92" s="105" t="e">
        <f>'Alternative 3'!$B$39*$B92*$C92*COS($K$5)-($N$5/3)*$E92*SIN($K$5)-($N$5/3)*$F92*SIN($K$5)-($N$5/3)*$G92*SIN($K$5)</f>
        <v>#VALUE!</v>
      </c>
      <c r="S92" s="106" t="e">
        <f>IF(($A92&lt;'Alternative 3'!$B$27),(($H92*'Alternative 3'!$B$39)+(3*($N$5/3)*COS($K$5))),IF(($A92&lt;'Alternative 3'!$B$28),(($H92*'Alternative 3'!$B$39)+(2*(($N$5/3)*COS($K$5)))),IF(($A92&lt;'Alternative 3'!$B$29),(($H$3*'Alternative 3'!$B$39+(($N$5/3)*COS($K$5)))),($H92*'Alternative 3'!$B$39))))</f>
        <v>#VALUE!</v>
      </c>
      <c r="T92" s="105" t="e">
        <f>R92*'Alternative 3'!$K93/'Alternative 3'!$L93</f>
        <v>#VALUE!</v>
      </c>
      <c r="U92" s="105" t="e">
        <f>S92/'Alternative 3'!$M93</f>
        <v>#VALUE!</v>
      </c>
      <c r="V92" s="105" t="e">
        <f t="shared" si="20"/>
        <v>#VALUE!</v>
      </c>
      <c r="X92" s="105" t="e">
        <f>'Alternative 3'!$B$39*$B92*$C92*COS($K$13)-($N$12/3)*$E92*SIN($K$13)-($N$12/3)*$F92*SIN($K$13)-($N$12/3)*$G92*SIN($K$13)</f>
        <v>#VALUE!</v>
      </c>
      <c r="Y92" s="106" t="e">
        <f>IF(($A92&lt;'Alternative 3'!$B$27),(($H92*'Alternative 3'!$B$39)+(3*($N$12/3)*COS($K$13))),IF(($A92&lt;'Alternative 3'!$B$28),(($H92*'Alternative 3'!$B$39)+(2*(($N$12/3)*COS($K$13)))),IF(($A92&lt;'Alternative 3'!$B$29),(($H$3*'Alternative 3'!$B$39+(($N$12/3)*COS($K$13)))),($H92*'Alternative 3'!$B$39))))</f>
        <v>#VALUE!</v>
      </c>
      <c r="Z92" s="105" t="e">
        <f>X92*'Alternative 3'!$K93/'Alternative 3'!$L93</f>
        <v>#VALUE!</v>
      </c>
      <c r="AA92" s="105" t="e">
        <f>Y92/'Alternative 3'!$M93</f>
        <v>#VALUE!</v>
      </c>
      <c r="AB92" s="105" t="e">
        <f t="shared" si="21"/>
        <v>#VALUE!</v>
      </c>
      <c r="AD92" s="105" t="e">
        <f>'Alternative 3'!$B$39*$B92*$C92*COS($K$23)-($N$22/3)*$E92*SIN($K$23)-($N$22/3)*$F92*SIN($K$23)-($N$22/3)*$G92*SIN($K$23)</f>
        <v>#VALUE!</v>
      </c>
      <c r="AE92" s="106" t="e">
        <f>IF(($A92&lt;'Alternative 3'!$B$27),(($H92*'Alternative 3'!$B$39)+(3*($N$22/3)*COS($K$23))),IF(($A92&lt;'Alternative 3'!$B$28),(($H92*'Alternative 3'!$B$39)+(2*(($N$22/3)*COS($K$23)))),IF(($A92&lt;'Alternative 3'!$B$29),(($H$3*'Alternative 3'!$B$39+(($N$22/3)*COS($K$23)))),($H92*'Alternative 3'!$B$39))))</f>
        <v>#VALUE!</v>
      </c>
      <c r="AF92" s="105" t="e">
        <f>AD92*'Alternative 3'!$K93/'Alternative 3'!$L93</f>
        <v>#VALUE!</v>
      </c>
      <c r="AG92" s="105" t="e">
        <f>AE92/'Alternative 3'!$M93</f>
        <v>#VALUE!</v>
      </c>
      <c r="AH92" s="105" t="e">
        <f t="shared" si="22"/>
        <v>#VALUE!</v>
      </c>
      <c r="AJ92" s="105" t="e">
        <f>'Alternative 3'!$B$39*$B92*$C92*COS($K$33)-($N$32/3)*$E92*SIN($K$33)-($N$32/3)*$F92*SIN($K$33)-($N$32/3)*$G92*SIN($K$33)</f>
        <v>#VALUE!</v>
      </c>
      <c r="AK92" s="106" t="e">
        <f>IF(($A92&lt;'Alternative 3'!$B$27),(($H92*'Alternative 3'!$B$39)+(3*($N$32/3)*COS($K$33))),IF(($A92&lt;'Alternative 3'!$B$28),(($H92*'Alternative 3'!$B$39)+(2*(($N$32/3)*COS($K$33)))),IF(($A92&lt;'Alternative 3'!$B$29),(($H$3*'Alternative 3'!$B$39+(($N$32/3)*COS($K$33)))),($H92*'Alternative 3'!$B$39))))</f>
        <v>#VALUE!</v>
      </c>
      <c r="AL92" s="105" t="e">
        <f>AJ92*'Alternative 3'!$K93/'Alternative 3'!$L93</f>
        <v>#VALUE!</v>
      </c>
      <c r="AM92" s="105" t="e">
        <f>AK92/'Alternative 3'!$M93</f>
        <v>#VALUE!</v>
      </c>
      <c r="AN92" s="105" t="e">
        <f t="shared" si="23"/>
        <v>#VALUE!</v>
      </c>
      <c r="AP92" s="105" t="e">
        <f>'Alternative 3'!$B$39*$B92*$C92*COS($K$43)-($N$42/3)*$E92*SIN($K$43)-($N$42/3)*$F92*SIN($K$43)-($N$42/3)*$G92*SIN($K$43)</f>
        <v>#VALUE!</v>
      </c>
      <c r="AQ92" s="106" t="e">
        <f>IF(($A92&lt;'Alternative 3'!$B$27),(($H92*'Alternative 3'!$B$39)+(3*($N$42/3)*COS($K$43))),IF(($A92&lt;'Alternative 3'!$B$28),(($H92*'Alternative 3'!$B$39)+(2*(($N$42/3)*COS($K$43)))),IF(($A92&lt;'Alternative 3'!$B$29),(($H$3*'Alternative 3'!$B$39+(($N$42/3)*COS($K$43)))),($H92*'Alternative 3'!$B$39))))</f>
        <v>#VALUE!</v>
      </c>
      <c r="AR92" s="105" t="e">
        <f>AP92*'Alternative 3'!$K93/'Alternative 3'!$L93</f>
        <v>#VALUE!</v>
      </c>
      <c r="AS92" s="105" t="e">
        <f>AQ92/'Alternative 3'!$M93</f>
        <v>#VALUE!</v>
      </c>
      <c r="AT92" s="105" t="e">
        <f t="shared" si="24"/>
        <v>#VALUE!</v>
      </c>
      <c r="AV92" s="105" t="e">
        <f>'Alternative 3'!$B$39*$B92*$C92*COS($K$53)-($N$52/3)*$E92*SIN($K$53)-($N$52/3)*$F92*SIN($K$53)-($N$52/3)*$G92*SIN($K$53)</f>
        <v>#VALUE!</v>
      </c>
      <c r="AW92" s="106" t="e">
        <f>IF(($A92&lt;'Alternative 3'!$B$27),(($H92*'Alternative 3'!$B$39)+(3*($N$52/3)*COS($K$53))),IF(($A92&lt;'Alternative 3'!$B$28),(($H92*'Alternative 3'!$B$39)+(2*(($N$52/3)*COS($K$53)))),IF(($A92&lt;'Alternative 3'!$B$29),(($H$3*'Alternative 3'!$B$39+(($N$52/3)*COS($K$53)))),($H92*'Alternative 3'!$B$39))))</f>
        <v>#VALUE!</v>
      </c>
      <c r="AX92" s="105" t="e">
        <f>AV92*'Alternative 3'!$K93/'Alternative 3'!$L93</f>
        <v>#VALUE!</v>
      </c>
      <c r="AY92" s="105" t="e">
        <f>AW92/'Alternative 3'!$M93</f>
        <v>#VALUE!</v>
      </c>
      <c r="AZ92" s="105" t="e">
        <f t="shared" si="25"/>
        <v>#VALUE!</v>
      </c>
      <c r="BB92" s="105" t="e">
        <f>'Alternative 3'!$B$39*$B92*$C92*COS($K$63)-($N$62/3)*$E92*SIN($K$63)-($N$62/3)*$F92*SIN($K$63)-($N$62/3)*$G92*SIN($K$63)</f>
        <v>#VALUE!</v>
      </c>
      <c r="BC92" s="106" t="e">
        <f>IF(($A92&lt;'Alternative 3'!$B$27),(($H92*'Alternative 3'!$B$39)+(3*($N$62/3)*COS($K$63))),IF(($A92&lt;'Alternative 3'!$B$28),(($H92*'Alternative 3'!$B$39)+(2*(($N$62/3)*COS($K$63)))),IF(($A92&lt;'Alternative 3'!$B$29),(($H$3*'Alternative 3'!$B$39+(($N$62/3)*COS($K$63)))),($H92*'Alternative 3'!$B$39))))</f>
        <v>#VALUE!</v>
      </c>
      <c r="BD92" s="105" t="e">
        <f>BB92*'Alternative 3'!$K93/'Alternative 3'!$L93</f>
        <v>#VALUE!</v>
      </c>
      <c r="BE92" s="105" t="e">
        <f>BC92/'Alternative 3'!$M93</f>
        <v>#VALUE!</v>
      </c>
      <c r="BF92" s="105" t="e">
        <f t="shared" si="26"/>
        <v>#VALUE!</v>
      </c>
      <c r="BH92" s="105" t="e">
        <f>'Alternative 3'!$B$39*$B92*$C92*COS($K$73)-($N$72/3)*$E92*SIN($K$73)-($N$72/3)*$F92*SIN($K$73)-($N$72/3)*$G92*SIN($K$73)</f>
        <v>#VALUE!</v>
      </c>
      <c r="BI92" s="106" t="e">
        <f>IF(($A92&lt;'Alternative 3'!$B$27),(($H92*'Alternative 3'!$B$39)+(3*($N$72/3)*COS($K$73))),IF(($A92&lt;'Alternative 3'!$B$28),(($H92*'Alternative 3'!$B$39)+(2*(($N$72/3)*COS($K$73)))),IF(($A92&lt;'Alternative 3'!$B$29),(($H$3*'Alternative 3'!$B$39+(($N$72/3)*COS($K$73)))),($H92*'Alternative 3'!$B$39))))</f>
        <v>#VALUE!</v>
      </c>
      <c r="BJ92" s="105" t="e">
        <f>BH92*'Alternative 3'!$K93/'Alternative 3'!$L93</f>
        <v>#VALUE!</v>
      </c>
      <c r="BK92" s="105" t="e">
        <f>BI92/'Alternative 3'!$M93</f>
        <v>#VALUE!</v>
      </c>
      <c r="BL92" s="105" t="e">
        <f t="shared" si="27"/>
        <v>#VALUE!</v>
      </c>
      <c r="BN92" s="105" t="e">
        <f>'Alternative 3'!$B$39*$B92*$C92*COS($K$83)-($N$82/3)*$E92*SIN($K$83)-($N$82/3)*$F92*SIN($K$83)-($N$82/3)*$G92*SIN($K$83)</f>
        <v>#VALUE!</v>
      </c>
      <c r="BO92" s="106" t="e">
        <f>IF(($A92&lt;'Alternative 3'!$B$27),(($H92*'Alternative 3'!$B$39)+(3*($N$82/3)*COS($K$83))),IF(($A92&lt;'Alternative 3'!$B$28),(($H92*'Alternative 3'!$B$39)+(2*(($N$82/3)*COS($K$83)))),IF(($A92&lt;'Alternative 3'!$B$29),(($H$3*'Alternative 3'!$B$39+(($N$82/3)*COS($K$83)))),($H92*'Alternative 3'!$B$39))))</f>
        <v>#VALUE!</v>
      </c>
      <c r="BP92" s="105" t="e">
        <f>BN92*'Alternative 3'!$K93/'Alternative 3'!$L93</f>
        <v>#VALUE!</v>
      </c>
      <c r="BQ92" s="105" t="e">
        <f>BO92/'Alternative 3'!$M93</f>
        <v>#VALUE!</v>
      </c>
      <c r="BR92" s="105" t="e">
        <f t="shared" si="28"/>
        <v>#VALUE!</v>
      </c>
      <c r="BT92" s="105" t="e">
        <f>'Alternative 3'!$B$39*$B92*$C92*COS($K$93)-($K$92/3)*$E92*SIN($K$93)-($K$92/3)*$F92*SIN($K$93)-($K$92/3)*$G92*SIN($K$93)</f>
        <v>#VALUE!</v>
      </c>
      <c r="BU92" s="106" t="e">
        <f>IF(($A92&lt;'Alternative 3'!$B$27),(($H92*'Alternative 3'!$B$39)+(3*($N$92/3)*COS($K$93))),IF(($A92&lt;'Alternative 3'!$B$28),(($H92*'Alternative 3'!$B$39)+(2*(($N$92/3)*COS($K$93)))),IF(($A92&lt;'Alternative 3'!$B$29),(($H$3*'Alternative 3'!$B$39+(($N$92/3)*COS($K$93)))),($H92*'Alternative 3'!$B$39))))</f>
        <v>#VALUE!</v>
      </c>
      <c r="BV92" s="105" t="e">
        <f>BT92*'Alternative 3'!$K93/'Alternative 3'!$L93</f>
        <v>#VALUE!</v>
      </c>
      <c r="BW92" s="105" t="e">
        <f>BU92/'Alternative 3'!$M93</f>
        <v>#VALUE!</v>
      </c>
      <c r="BX92" s="105" t="e">
        <f t="shared" si="29"/>
        <v>#VALUE!</v>
      </c>
    </row>
    <row r="93" spans="1:76" ht="15" customHeight="1" x14ac:dyDescent="0.25">
      <c r="J93" s="104">
        <f t="shared" si="33"/>
        <v>90</v>
      </c>
      <c r="K93" s="109">
        <f t="shared" si="34"/>
        <v>1.5707963267948966</v>
      </c>
      <c r="L93" s="105">
        <f>'Alternative 3'!$B$27*SIN(K93)+'Alternative 3'!$B$28*SIN(K93)+'Alternative 3'!$B$29*SIN(K93)</f>
        <v>66.989999999999995</v>
      </c>
      <c r="M93" s="104">
        <f>(('Alternative 3'!$B$27)*(((('Alternative 3'!$B$28-'Alternative 3'!$B$27)/2)+'Alternative 3'!$B$27)*'Alternative 3'!$B$39)*COS('Alternative 3-Tilt Up (3pt)'!K93))+(('Alternative 3'!$B$28)*((('Alternative 3'!$B$28-'Alternative 3'!$B$27)/2)+(('Alternative 3'!$B$29-'Alternative 3'!$B$28)/2))*('Alternative 3'!$B$39)*COS('Alternative 3-Tilt Up (3pt)'!K93))+(('Alternative 3'!$B$29)*((('Alternative 3'!$B$12-'Alternative 3'!$B$29+(('Alternative 3'!$B$29-'Alternative 3'!$B$28)/2)*('Alternative 3'!$B$39)*COS('Alternative 3-Tilt Up (3pt)'!K93)))))</f>
        <v>181.70440000013767</v>
      </c>
      <c r="N93" s="104">
        <f t="shared" si="18"/>
        <v>8.1372324227558295</v>
      </c>
      <c r="O93" s="104">
        <f>(((('Alternative 3'!$B$28-'Alternative 3'!$B$27)/2)+'Alternative 3'!$B$27)*('Alternative 3'!$B$39)*COS('Alternative 3-Tilt Up (3pt)'!K93))+(((('Alternative 3'!$B$28-'Alternative 3'!$B$27)/2)+(('Alternative 3'!$B$29-'Alternative 3'!$B$28)/2))*('Alternative 3'!$B$39)*COS('Alternative 3-Tilt Up (3pt)'!K93))+(((('Alternative 3'!$B$12-'Alternative 3'!$B$29)+(('Alternative 3'!$B$29-'Alternative 3'!$B$28)/2))*('Alternative 3'!$B$39)*COS('Alternative 3-Tilt Up (3pt)'!K93)))</f>
        <v>8.9445000280804264E-12</v>
      </c>
      <c r="P93" s="109">
        <f t="shared" si="19"/>
        <v>4.9846588649858155E-16</v>
      </c>
      <c r="R93" s="105">
        <f>'Alternative 3'!$B$39*$B93*$C93*COS($K$5)-($N$5/3)*$E93*SIN($K$5)-($N$5/3)*$F93*SIN($K$5)-($N$5/3)*$G93*SIN($K$5)</f>
        <v>0</v>
      </c>
      <c r="S93" s="106">
        <f>IF(($A93&lt;'Alternative 3'!$B$27),(($H93*'Alternative 3'!$B$39)+(3*($N$5/3)*COS($K$5))),IF(($A93&lt;'Alternative 3'!$B$28),(($H93*'Alternative 3'!$B$39)+(2*(($N$5/3)*COS($K$5)))),IF(($A93&lt;'Alternative 3'!$B$29),(($H$3*'Alternative 3'!$B$39+(($N$5/3)*COS($K$5)))),($H93*'Alternative 3'!$B$39))))</f>
        <v>2880530.4519830663</v>
      </c>
      <c r="T93" s="105" t="e">
        <f>R93*'Alternative 3'!$K94/'Alternative 3'!$L94</f>
        <v>#DIV/0!</v>
      </c>
      <c r="U93" s="105" t="e">
        <f>S93/'Alternative 3'!$M94</f>
        <v>#DIV/0!</v>
      </c>
      <c r="V93" s="105" t="e">
        <f t="shared" si="20"/>
        <v>#DIV/0!</v>
      </c>
      <c r="X93" s="105">
        <f>'Alternative 3'!$B$39*$B93*$C93*COS($K$13)-($N$12/3)*$E93*SIN($K$13)-($N$12/3)*$F93*SIN($K$13)-($N$12/3)*$G93*SIN($K$13)</f>
        <v>0</v>
      </c>
      <c r="Y93" s="106">
        <f>IF(($A93&lt;'Alternative 3'!$B$27),(($H93*'Alternative 3'!$B$39)+(3*($N$12/3)*COS($K$13))),IF(($A93&lt;'Alternative 3'!$B$28),(($H93*'Alternative 3'!$B$39)+(2*(($N$12/3)*COS($K$13)))),IF(($A93&lt;'Alternative 3'!$B$29),(($H$3*'Alternative 3'!$B$39+(($N$12/3)*COS($K$13)))),($H93*'Alternative 3'!$B$39))))</f>
        <v>625835.62001735356</v>
      </c>
      <c r="Z93" s="105" t="e">
        <f>X93*'Alternative 3'!$K94/'Alternative 3'!$L94</f>
        <v>#DIV/0!</v>
      </c>
      <c r="AA93" s="105" t="e">
        <f>Y93/'Alternative 3'!$M94</f>
        <v>#DIV/0!</v>
      </c>
      <c r="AB93" s="105" t="e">
        <f t="shared" si="21"/>
        <v>#DIV/0!</v>
      </c>
      <c r="AD93" s="105">
        <f>'Alternative 3'!$B$39*$B93*$C93*COS($K$23)-($N$22/3)*$E93*SIN($K$23)-($N$22/3)*$F93*SIN($K$23)-($N$22/3)*$G93*SIN($K$23)</f>
        <v>0</v>
      </c>
      <c r="AE93" s="106">
        <f>IF(($A93&lt;'Alternative 3'!$B$27),(($H93*'Alternative 3'!$B$39)+(3*($N$22/3)*COS($K$23))),IF(($A93&lt;'Alternative 3'!$B$28),(($H93*'Alternative 3'!$B$39)+(2*(($N$22/3)*COS($K$23)))),IF(($A93&lt;'Alternative 3'!$B$29),(($H$3*'Alternative 3'!$B$39+(($N$22/3)*COS($K$23)))),($H93*'Alternative 3'!$B$39))))</f>
        <v>274686.22614852112</v>
      </c>
      <c r="AF93" s="105" t="e">
        <f>AD93*'Alternative 3'!$K94/'Alternative 3'!$L94</f>
        <v>#DIV/0!</v>
      </c>
      <c r="AG93" s="105" t="e">
        <f>AE93/'Alternative 3'!$M94</f>
        <v>#DIV/0!</v>
      </c>
      <c r="AH93" s="105" t="e">
        <f t="shared" si="22"/>
        <v>#DIV/0!</v>
      </c>
      <c r="AJ93" s="105">
        <f>'Alternative 3'!$B$39*$B93*$C93*COS($K$33)-($N$32/3)*$E93*SIN($K$33)-($N$32/3)*$F93*SIN($K$33)-($N$32/3)*$G93*SIN($K$33)</f>
        <v>0</v>
      </c>
      <c r="AK93" s="106">
        <f>IF(($A93&lt;'Alternative 3'!$B$27),(($H93*'Alternative 3'!$B$39)+(3*($N$32/3)*COS($K$33))),IF(($A93&lt;'Alternative 3'!$B$28),(($H93*'Alternative 3'!$B$39)+(2*(($N$32/3)*COS($K$33)))),IF(($A93&lt;'Alternative 3'!$B$29),(($H$3*'Alternative 3'!$B$39+(($N$32/3)*COS($K$33)))),($H93*'Alternative 3'!$B$39))))</f>
        <v>157255.04601791635</v>
      </c>
      <c r="AL93" s="105" t="e">
        <f>AJ93*'Alternative 3'!$K94/'Alternative 3'!$L94</f>
        <v>#DIV/0!</v>
      </c>
      <c r="AM93" s="105" t="e">
        <f>AK93/'Alternative 3'!$M94</f>
        <v>#DIV/0!</v>
      </c>
      <c r="AN93" s="105" t="e">
        <f t="shared" si="23"/>
        <v>#DIV/0!</v>
      </c>
      <c r="AP93" s="105">
        <f>'Alternative 3'!$B$39*$B93*$C93*COS($K$43)-($N$42/3)*$E93*SIN($K$43)-($N$42/3)*$F93*SIN($K$43)-($N$42/3)*$G93*SIN($K$43)</f>
        <v>0</v>
      </c>
      <c r="AQ93" s="106">
        <f>IF(($A93&lt;'Alternative 3'!$B$27),(($H93*'Alternative 3'!$B$39)+(3*($N$42/3)*COS($K$43))),IF(($A93&lt;'Alternative 3'!$B$28),(($H93*'Alternative 3'!$B$39)+(2*(($N$42/3)*COS($K$43)))),IF(($A93&lt;'Alternative 3'!$B$29),(($H$3*'Alternative 3'!$B$39+(($N$42/3)*COS($K$43)))),($H93*'Alternative 3'!$B$39))))</f>
        <v>95217.268972548496</v>
      </c>
      <c r="AR93" s="105" t="e">
        <f>AP93*'Alternative 3'!$K94/'Alternative 3'!$L94</f>
        <v>#DIV/0!</v>
      </c>
      <c r="AS93" s="105" t="e">
        <f>AQ93/'Alternative 3'!$M94</f>
        <v>#DIV/0!</v>
      </c>
      <c r="AT93" s="105" t="e">
        <f t="shared" si="24"/>
        <v>#DIV/0!</v>
      </c>
      <c r="AV93" s="105">
        <f>'Alternative 3'!$B$39*$B93*$C93*COS($K$53)-($N$52/3)*$E93*SIN($K$53)-($N$52/3)*$F93*SIN($K$53)-($N$52/3)*$G93*SIN($K$53)</f>
        <v>0</v>
      </c>
      <c r="AW93" s="106">
        <f>IF(($A93&lt;'Alternative 3'!$B$27),(($H93*'Alternative 3'!$B$39)+(3*($N$52/3)*COS($K$53))),IF(($A93&lt;'Alternative 3'!$B$28),(($H93*'Alternative 3'!$B$39)+(2*(($N$52/3)*COS($K$53)))),IF(($A93&lt;'Alternative 3'!$B$29),(($H$3*'Alternative 3'!$B$39+(($N$52/3)*COS($K$53)))),($H93*'Alternative 3'!$B$39))))</f>
        <v>56243.178037017584</v>
      </c>
      <c r="AX93" s="105" t="e">
        <f>AV93*'Alternative 3'!$K94/'Alternative 3'!$L94</f>
        <v>#DIV/0!</v>
      </c>
      <c r="AY93" s="105" t="e">
        <f>AW93/'Alternative 3'!$M94</f>
        <v>#DIV/0!</v>
      </c>
      <c r="AZ93" s="105" t="e">
        <f t="shared" si="25"/>
        <v>#DIV/0!</v>
      </c>
      <c r="BB93" s="105">
        <f>'Alternative 3'!$B$39*$B93*$C93*COS($K$63)-($N$62/3)*$E93*SIN($K$63)-($N$62/3)*$F93*SIN($K$63)-($N$62/3)*$G93*SIN($K$63)</f>
        <v>0</v>
      </c>
      <c r="BC93" s="106">
        <f>IF(($A93&lt;'Alternative 3'!$B$27),(($H93*'Alternative 3'!$B$39)+(3*($N$62/3)*COS($K$63))),IF(($A93&lt;'Alternative 3'!$B$28),(($H93*'Alternative 3'!$B$39)+(2*(($N$62/3)*COS($K$63)))),IF(($A93&lt;'Alternative 3'!$B$29),(($H$3*'Alternative 3'!$B$39+(($N$62/3)*COS($K$63)))),($H93*'Alternative 3'!$B$39))))</f>
        <v>30241.108045304085</v>
      </c>
      <c r="BD93" s="105" t="e">
        <f>BB93*'Alternative 3'!$K94/'Alternative 3'!$L94</f>
        <v>#DIV/0!</v>
      </c>
      <c r="BE93" s="105" t="e">
        <f>BC93/'Alternative 3'!$M94</f>
        <v>#DIV/0!</v>
      </c>
      <c r="BF93" s="105" t="e">
        <f t="shared" si="26"/>
        <v>#DIV/0!</v>
      </c>
      <c r="BH93" s="105">
        <f>'Alternative 3'!$B$39*$B93*$C93*COS($K$73)-($N$72/3)*$E93*SIN($K$73)-($N$72/3)*$F93*SIN($K$73)-($N$72/3)*$G93*SIN($K$73)</f>
        <v>0</v>
      </c>
      <c r="BI93" s="106">
        <f>IF(($A93&lt;'Alternative 3'!$B$27),(($H93*'Alternative 3'!$B$39)+(3*($N$72/3)*COS($K$73))),IF(($A93&lt;'Alternative 3'!$B$28),(($H93*'Alternative 3'!$B$39)+(2*(($N$72/3)*COS($K$73)))),IF(($A93&lt;'Alternative 3'!$B$29),(($H$3*'Alternative 3'!$B$39+(($N$72/3)*COS($K$73)))),($H93*'Alternative 3'!$B$39))))</f>
        <v>13216.390525781169</v>
      </c>
      <c r="BJ93" s="105" t="e">
        <f>BH93*'Alternative 3'!$K94/'Alternative 3'!$L94</f>
        <v>#DIV/0!</v>
      </c>
      <c r="BK93" s="105" t="e">
        <f>BI93/'Alternative 3'!$M94</f>
        <v>#DIV/0!</v>
      </c>
      <c r="BL93" s="105" t="e">
        <f t="shared" si="27"/>
        <v>#DIV/0!</v>
      </c>
      <c r="BN93" s="105">
        <f>'Alternative 3'!$B$39*$B93*$C93*COS($K$83)-($N$82/3)*$E93*SIN($K$83)-($N$82/3)*$F93*SIN($K$83)-($N$82/3)*$G93*SIN($K$83)</f>
        <v>0</v>
      </c>
      <c r="BO93" s="106">
        <f>IF(($A93&lt;'Alternative 3'!$B$27),(($H93*'Alternative 3'!$B$39)+(3*($N$82/3)*COS($K$83))),IF(($A93&lt;'Alternative 3'!$B$28),(($H93*'Alternative 3'!$B$39)+(2*(($N$82/3)*COS($K$83)))),IF(($A93&lt;'Alternative 3'!$B$29),(($H$3*'Alternative 3'!$B$39+(($N$82/3)*COS($K$83)))),($H93*'Alternative 3'!$B$39))))</f>
        <v>3398.5390749195185</v>
      </c>
      <c r="BP93" s="105" t="e">
        <f>BN93*'Alternative 3'!$K94/'Alternative 3'!$L94</f>
        <v>#DIV/0!</v>
      </c>
      <c r="BQ93" s="105" t="e">
        <f>BO93/'Alternative 3'!$M94</f>
        <v>#DIV/0!</v>
      </c>
      <c r="BR93" s="105" t="e">
        <f t="shared" si="28"/>
        <v>#DIV/0!</v>
      </c>
      <c r="BT93" s="105">
        <f>'Alternative 3'!$B$39*$B93*$C93*COS($K$93)-($K$92/3)*$E93*SIN($K$93)-($K$92/3)*$F93*SIN($K$93)-($K$92/3)*$G93*SIN($K$93)</f>
        <v>0</v>
      </c>
      <c r="BU93" s="106">
        <f>IF(($A93&lt;'Alternative 3'!$B$27),(($H93*'Alternative 3'!$B$39)+(3*($N$92/3)*COS($K$93))),IF(($A93&lt;'Alternative 3'!$B$28),(($H93*'Alternative 3'!$B$39)+(2*(($N$92/3)*COS($K$93)))),IF(($A93&lt;'Alternative 3'!$B$29),(($H$3*'Alternative 3'!$B$39+(($N$92/3)*COS($K$93)))),($H93*'Alternative 3'!$B$39))))</f>
        <v>1.0811184763671624E-13</v>
      </c>
      <c r="BV93" s="105" t="e">
        <f>BT93*'Alternative 3'!$K94/'Alternative 3'!$L94</f>
        <v>#DIV/0!</v>
      </c>
      <c r="BW93" s="105" t="e">
        <f>BU93/'Alternative 3'!$M94</f>
        <v>#DIV/0!</v>
      </c>
      <c r="BX93" s="105" t="e">
        <f t="shared" si="29"/>
        <v>#DIV/0!</v>
      </c>
    </row>
    <row r="94" spans="1:76" ht="15" customHeight="1" x14ac:dyDescent="0.25">
      <c r="BT94" s="105"/>
      <c r="BU94" s="106"/>
      <c r="BV94" s="105"/>
      <c r="BW94" s="105"/>
      <c r="BX94" s="105"/>
    </row>
    <row r="95" spans="1:76" ht="15" customHeight="1" x14ac:dyDescent="0.25"/>
    <row r="96" spans="1:76" ht="15" customHeight="1" x14ac:dyDescent="0.25"/>
  </sheetData>
  <mergeCells count="25">
    <mergeCell ref="BZ1:CA1"/>
    <mergeCell ref="AJ1:AN1"/>
    <mergeCell ref="AP1:AT1"/>
    <mergeCell ref="AV1:AZ1"/>
    <mergeCell ref="BB1:BF1"/>
    <mergeCell ref="BH1:BL1"/>
    <mergeCell ref="AO1:AO1048576"/>
    <mergeCell ref="BY1:BY1048576"/>
    <mergeCell ref="AU1:AU1048576"/>
    <mergeCell ref="BA1:BA1048576"/>
    <mergeCell ref="BG1:BG1048576"/>
    <mergeCell ref="BM1:BM1048576"/>
    <mergeCell ref="BS1:BS1048576"/>
    <mergeCell ref="BN1:BR1"/>
    <mergeCell ref="BT1:BX1"/>
    <mergeCell ref="AI1:AI1048576"/>
    <mergeCell ref="A1:H1"/>
    <mergeCell ref="R1:V1"/>
    <mergeCell ref="X1:AB1"/>
    <mergeCell ref="AD1:AH1"/>
    <mergeCell ref="I1:I1048576"/>
    <mergeCell ref="K1:P1"/>
    <mergeCell ref="Q1:Q1048576"/>
    <mergeCell ref="W1:W1048576"/>
    <mergeCell ref="AC1:AC104857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6" tint="-0.249977111117893"/>
  </sheetPr>
  <dimension ref="A1:U92"/>
  <sheetViews>
    <sheetView workbookViewId="0">
      <selection activeCell="D12" sqref="D12"/>
    </sheetView>
  </sheetViews>
  <sheetFormatPr defaultColWidth="9.140625" defaultRowHeight="15" x14ac:dyDescent="0.25"/>
  <cols>
    <col min="1" max="1" width="12.85546875" style="18" bestFit="1" customWidth="1"/>
    <col min="2" max="2" width="2.42578125" style="202" customWidth="1"/>
    <col min="3" max="3" width="9.140625" style="15"/>
    <col min="4" max="4" width="17.28515625" style="15" customWidth="1"/>
    <col min="5" max="5" width="11.5703125" style="15" customWidth="1"/>
    <col min="6" max="6" width="10.28515625" style="15" hidden="1" customWidth="1"/>
    <col min="7" max="7" width="2.42578125" style="202" customWidth="1"/>
    <col min="8" max="10" width="9.140625" style="15"/>
    <col min="11" max="11" width="9.140625" style="15" hidden="1" customWidth="1"/>
    <col min="12" max="12" width="2.7109375" style="202" customWidth="1"/>
    <col min="13" max="15" width="9.140625" style="15"/>
    <col min="16" max="16" width="9.140625" style="15" hidden="1" customWidth="1"/>
    <col min="17" max="17" width="3" style="202" customWidth="1"/>
    <col min="18" max="20" width="9.140625" style="15"/>
    <col min="21" max="21" width="4.7109375" style="15" hidden="1" customWidth="1"/>
    <col min="22" max="16384" width="9.140625" style="15"/>
  </cols>
  <sheetData>
    <row r="1" spans="1:21" ht="18.75" x14ac:dyDescent="0.3">
      <c r="A1" s="115"/>
      <c r="C1" s="204" t="s">
        <v>78</v>
      </c>
      <c r="D1" s="204"/>
      <c r="E1" s="204"/>
      <c r="F1" s="204"/>
      <c r="H1" s="203" t="s">
        <v>147</v>
      </c>
      <c r="I1" s="203"/>
      <c r="J1" s="203"/>
      <c r="K1" s="203"/>
      <c r="M1" s="203" t="s">
        <v>148</v>
      </c>
      <c r="N1" s="203"/>
      <c r="O1" s="203"/>
      <c r="P1" s="203"/>
      <c r="R1" s="203" t="s">
        <v>149</v>
      </c>
      <c r="S1" s="203"/>
      <c r="T1" s="203"/>
      <c r="U1" s="203"/>
    </row>
    <row r="2" spans="1:21" ht="18" x14ac:dyDescent="0.25">
      <c r="A2" s="51" t="s">
        <v>16</v>
      </c>
      <c r="C2" s="50" t="s">
        <v>108</v>
      </c>
      <c r="D2" s="50" t="s">
        <v>109</v>
      </c>
      <c r="E2" s="50" t="s">
        <v>47</v>
      </c>
      <c r="F2" s="30" t="s">
        <v>48</v>
      </c>
      <c r="H2" s="50" t="s">
        <v>108</v>
      </c>
      <c r="I2" s="50" t="s">
        <v>109</v>
      </c>
      <c r="J2" s="50" t="s">
        <v>47</v>
      </c>
      <c r="K2" s="30" t="s">
        <v>48</v>
      </c>
      <c r="M2" s="50" t="s">
        <v>108</v>
      </c>
      <c r="N2" s="50" t="s">
        <v>109</v>
      </c>
      <c r="O2" s="50" t="s">
        <v>47</v>
      </c>
      <c r="P2" s="30" t="s">
        <v>48</v>
      </c>
      <c r="R2" s="50" t="s">
        <v>108</v>
      </c>
      <c r="S2" s="50" t="s">
        <v>109</v>
      </c>
      <c r="T2" s="50" t="s">
        <v>47</v>
      </c>
      <c r="U2" s="30" t="s">
        <v>48</v>
      </c>
    </row>
    <row r="3" spans="1:21" x14ac:dyDescent="0.25">
      <c r="A3" s="18">
        <v>1</v>
      </c>
      <c r="C3" s="10">
        <f>1.03</f>
        <v>1.03</v>
      </c>
      <c r="D3" s="10">
        <f>0.613*(C3*'Baseline Given'!$B$33*'Baseline Given'!$B$34*'Baseline Given'!$B$35)</f>
        <v>1198.7098482529279</v>
      </c>
      <c r="E3" s="10">
        <f>D3*'Baseline Given'!$B$31*'Baseline Given'!$B$32*'Baseline Given'!G4</f>
        <v>2845.8290510221636</v>
      </c>
      <c r="F3" s="10">
        <f>E3/4448.2216</f>
        <v>0.63976782339759419</v>
      </c>
      <c r="H3" s="10">
        <f>1.03</f>
        <v>1.03</v>
      </c>
      <c r="I3" s="10">
        <f>0.613*(H3*'Alternative 1'!$B$34*'Alternative 1'!$B$35*'Alternative 1'!$B$36)</f>
        <v>1198.7098482529279</v>
      </c>
      <c r="J3" s="10">
        <f>I3*'Alternative 1'!$B$32*'Alternative 1'!$B$33*'Alternative 1'!H4</f>
        <v>1516.37162076449</v>
      </c>
      <c r="K3" s="10">
        <f>J3/4448.2216</f>
        <v>0.34089390257996366</v>
      </c>
      <c r="M3" s="10">
        <f>1.03</f>
        <v>1.03</v>
      </c>
      <c r="N3" s="10">
        <f>0.613*(M3*'Alternative 2'!$B$34*'Alternative 2'!$B$35*'Alternative 2'!$B$36)</f>
        <v>1198.7098482529279</v>
      </c>
      <c r="O3" s="10">
        <f>N3*'Alternative 2'!$B$32*'Alternative 2'!$B$33*'Alternative 2'!H4</f>
        <v>963.01873612214479</v>
      </c>
      <c r="P3" s="10">
        <f>O3/4448.2216</f>
        <v>0.21649522499556786</v>
      </c>
      <c r="R3" s="10">
        <f>1.03</f>
        <v>1.03</v>
      </c>
      <c r="S3" s="10">
        <f>0.613*(R3*'Alternative 3'!$B$34*'Alternative 3'!$B$35*'Alternative 3'!$B$36)</f>
        <v>1198.7098482529279</v>
      </c>
      <c r="T3" s="10">
        <f>S3*'Alternative 3'!$B$32*'Alternative 3'!$B$33*'Alternative 3'!H4</f>
        <v>1476.49287493782</v>
      </c>
      <c r="U3" s="10">
        <f>T3/4448.2216</f>
        <v>0.33192880384777146</v>
      </c>
    </row>
    <row r="4" spans="1:21" x14ac:dyDescent="0.25">
      <c r="A4" s="18">
        <f>A3+1</f>
        <v>2</v>
      </c>
      <c r="C4" s="10">
        <f>1.03</f>
        <v>1.03</v>
      </c>
      <c r="D4" s="10">
        <f>0.613*(C4*'Baseline Given'!$B$33*'Baseline Given'!$B$34*'Baseline Given'!$B$35)</f>
        <v>1198.7098482529279</v>
      </c>
      <c r="E4" s="10">
        <f>D4*'Baseline Given'!$B$31*'Baseline Given'!$B$32*'Baseline Given'!G5</f>
        <v>2831.6282753825544</v>
      </c>
      <c r="F4" s="10">
        <f t="shared" ref="F4:F67" si="0">E4/4448.2216</f>
        <v>0.63657536202390508</v>
      </c>
      <c r="H4" s="10">
        <f>1.03</f>
        <v>1.03</v>
      </c>
      <c r="I4" s="10">
        <f>0.613*(H4*'Alternative 1'!$B$34*'Alternative 1'!$B$35*'Alternative 1'!$B$36)</f>
        <v>1198.7098482529279</v>
      </c>
      <c r="J4" s="10">
        <f>I4*'Alternative 1'!$B$32*'Alternative 1'!$B$33*'Alternative 1'!H5</f>
        <v>1502.1862216102479</v>
      </c>
      <c r="K4" s="10">
        <f t="shared" ref="K4:K67" si="1">J4/4448.2216</f>
        <v>0.33770489797771047</v>
      </c>
      <c r="M4" s="10">
        <f>1.03</f>
        <v>1.03</v>
      </c>
      <c r="N4" s="10">
        <f>0.613*(M4*'Alternative 2'!$B$34*'Alternative 2'!$B$35*'Alternative 2'!$B$36)</f>
        <v>1198.7098482529279</v>
      </c>
      <c r="O4" s="10">
        <f>N4*'Alternative 2'!$B$32*'Alternative 2'!$B$33*'Alternative 2'!H5</f>
        <v>949.06418995389595</v>
      </c>
      <c r="P4" s="10">
        <f t="shared" ref="P4:P67" si="2">O4/4448.2216</f>
        <v>0.21335811820928524</v>
      </c>
      <c r="R4" s="10">
        <f>1.03</f>
        <v>1.03</v>
      </c>
      <c r="S4" s="10">
        <f>0.613*(R4*'Alternative 3'!$B$34*'Alternative 3'!$B$35*'Alternative 3'!$B$36)</f>
        <v>1198.7098482529279</v>
      </c>
      <c r="T4" s="10">
        <f>S4*'Alternative 3'!$B$32*'Alternative 3'!$B$33*'Alternative 3'!H5</f>
        <v>1462.4320084178132</v>
      </c>
      <c r="U4" s="10">
        <f t="shared" ref="U4:U67" si="3">T4/4448.2216</f>
        <v>0.32876779529549816</v>
      </c>
    </row>
    <row r="5" spans="1:21" x14ac:dyDescent="0.25">
      <c r="A5" s="18">
        <f t="shared" ref="A5:A68" si="4">A4+1</f>
        <v>3</v>
      </c>
      <c r="C5" s="10">
        <f>1.03</f>
        <v>1.03</v>
      </c>
      <c r="D5" s="10">
        <f>0.613*(C5*'Baseline Given'!$B$33*'Baseline Given'!$B$34*'Baseline Given'!$B$35)</f>
        <v>1198.7098482529279</v>
      </c>
      <c r="E5" s="10">
        <f>D5*'Baseline Given'!$B$31*'Baseline Given'!$B$32*'Baseline Given'!G6</f>
        <v>2817.4274997429461</v>
      </c>
      <c r="F5" s="10">
        <f t="shared" si="0"/>
        <v>0.6333829006502163</v>
      </c>
      <c r="H5" s="10">
        <f>1.03</f>
        <v>1.03</v>
      </c>
      <c r="I5" s="10">
        <f>0.613*(H5*'Alternative 1'!$B$34*'Alternative 1'!$B$35*'Alternative 1'!$B$36)</f>
        <v>1198.7098482529279</v>
      </c>
      <c r="J5" s="10">
        <f>I5*'Alternative 1'!$B$32*'Alternative 1'!$B$33*'Alternative 1'!H6</f>
        <v>1488.0008224560058</v>
      </c>
      <c r="K5" s="10">
        <f t="shared" si="1"/>
        <v>0.33451589337545728</v>
      </c>
      <c r="M5" s="10">
        <f>1.03</f>
        <v>1.03</v>
      </c>
      <c r="N5" s="10">
        <f>0.613*(M5*'Alternative 2'!$B$34*'Alternative 2'!$B$35*'Alternative 2'!$B$36)</f>
        <v>1198.7098482529279</v>
      </c>
      <c r="O5" s="10">
        <f>N5*'Alternative 2'!$B$32*'Alternative 2'!$B$33*'Alternative 2'!H6</f>
        <v>935.10964378564722</v>
      </c>
      <c r="P5" s="10">
        <f t="shared" si="2"/>
        <v>0.21022101142300267</v>
      </c>
      <c r="R5" s="10">
        <f>1.03</f>
        <v>1.03</v>
      </c>
      <c r="S5" s="10">
        <f>0.613*(R5*'Alternative 3'!$B$34*'Alternative 3'!$B$35*'Alternative 3'!$B$36)</f>
        <v>1198.7098482529279</v>
      </c>
      <c r="T5" s="10">
        <f>S5*'Alternative 3'!$B$32*'Alternative 3'!$B$33*'Alternative 3'!H6</f>
        <v>1448.3711418978062</v>
      </c>
      <c r="U5" s="10">
        <f t="shared" si="3"/>
        <v>0.3256067867432248</v>
      </c>
    </row>
    <row r="6" spans="1:21" x14ac:dyDescent="0.25">
      <c r="A6" s="18">
        <f t="shared" si="4"/>
        <v>4</v>
      </c>
      <c r="C6" s="10">
        <f>1.03</f>
        <v>1.03</v>
      </c>
      <c r="D6" s="10">
        <f>0.613*(C6*'Baseline Given'!$B$33*'Baseline Given'!$B$34*'Baseline Given'!$B$35)</f>
        <v>1198.7098482529279</v>
      </c>
      <c r="E6" s="10">
        <f>D6*'Baseline Given'!$B$31*'Baseline Given'!$B$32*'Baseline Given'!G7</f>
        <v>2803.2267241033369</v>
      </c>
      <c r="F6" s="10">
        <f t="shared" si="0"/>
        <v>0.63019043927652729</v>
      </c>
      <c r="H6" s="10">
        <f>1.03</f>
        <v>1.03</v>
      </c>
      <c r="I6" s="10">
        <f>0.613*(H6*'Alternative 1'!$B$34*'Alternative 1'!$B$35*'Alternative 1'!$B$36)</f>
        <v>1198.7098482529279</v>
      </c>
      <c r="J6" s="10">
        <f>I6*'Alternative 1'!$B$32*'Alternative 1'!$B$33*'Alternative 1'!H7</f>
        <v>1473.815423301764</v>
      </c>
      <c r="K6" s="10">
        <f t="shared" si="1"/>
        <v>0.3313268887732041</v>
      </c>
      <c r="M6" s="10">
        <f>1.03</f>
        <v>1.03</v>
      </c>
      <c r="N6" s="10">
        <f>0.613*(M6*'Alternative 2'!$B$34*'Alternative 2'!$B$35*'Alternative 2'!$B$36)</f>
        <v>1198.7098482529279</v>
      </c>
      <c r="O6" s="10">
        <f>N6*'Alternative 2'!$B$32*'Alternative 2'!$B$33*'Alternative 2'!H7</f>
        <v>921.1550976173985</v>
      </c>
      <c r="P6" s="10">
        <f t="shared" si="2"/>
        <v>0.20708390463672011</v>
      </c>
      <c r="R6" s="10">
        <f>1.03</f>
        <v>1.03</v>
      </c>
      <c r="S6" s="10">
        <f>0.613*(R6*'Alternative 3'!$B$34*'Alternative 3'!$B$35*'Alternative 3'!$B$36)</f>
        <v>1198.7098482529279</v>
      </c>
      <c r="T6" s="10">
        <f>S6*'Alternative 3'!$B$32*'Alternative 3'!$B$33*'Alternative 3'!H7</f>
        <v>1434.3102753777996</v>
      </c>
      <c r="U6" s="10">
        <f t="shared" si="3"/>
        <v>0.32244577819095155</v>
      </c>
    </row>
    <row r="7" spans="1:21" x14ac:dyDescent="0.25">
      <c r="A7" s="18">
        <f t="shared" si="4"/>
        <v>5</v>
      </c>
      <c r="C7" s="10">
        <f>1.03</f>
        <v>1.03</v>
      </c>
      <c r="D7" s="10">
        <f>0.613*(C7*'Baseline Given'!$B$33*'Baseline Given'!$B$34*'Baseline Given'!$B$35)</f>
        <v>1198.7098482529279</v>
      </c>
      <c r="E7" s="10">
        <f>D7*'Baseline Given'!$B$31*'Baseline Given'!$B$32*'Baseline Given'!G8</f>
        <v>2789.0259484637277</v>
      </c>
      <c r="F7" s="10">
        <f t="shared" si="0"/>
        <v>0.62699797790283829</v>
      </c>
      <c r="H7" s="10">
        <f>1.03</f>
        <v>1.03</v>
      </c>
      <c r="I7" s="10">
        <f>0.613*(H7*'Alternative 1'!$B$34*'Alternative 1'!$B$35*'Alternative 1'!$B$36)</f>
        <v>1198.7098482529279</v>
      </c>
      <c r="J7" s="10">
        <f>I7*'Alternative 1'!$B$32*'Alternative 1'!$B$33*'Alternative 1'!H8</f>
        <v>1459.6300241475219</v>
      </c>
      <c r="K7" s="10">
        <f t="shared" si="1"/>
        <v>0.32813788417095091</v>
      </c>
      <c r="M7" s="10">
        <f>1.03</f>
        <v>1.03</v>
      </c>
      <c r="N7" s="10">
        <f>0.613*(M7*'Alternative 2'!$B$34*'Alternative 2'!$B$35*'Alternative 2'!$B$36)</f>
        <v>1198.7098482529279</v>
      </c>
      <c r="O7" s="10">
        <f>N7*'Alternative 2'!$B$32*'Alternative 2'!$B$33*'Alternative 2'!H8</f>
        <v>907.20055144914977</v>
      </c>
      <c r="P7" s="10">
        <f t="shared" si="2"/>
        <v>0.20394679785043754</v>
      </c>
      <c r="R7" s="10">
        <f>1.03</f>
        <v>1.03</v>
      </c>
      <c r="S7" s="10">
        <f>0.613*(R7*'Alternative 3'!$B$34*'Alternative 3'!$B$35*'Alternative 3'!$B$36)</f>
        <v>1198.7098482529279</v>
      </c>
      <c r="T7" s="10">
        <f>S7*'Alternative 3'!$B$32*'Alternative 3'!$B$33*'Alternative 3'!H8</f>
        <v>1420.2494088577926</v>
      </c>
      <c r="U7" s="10">
        <f t="shared" si="3"/>
        <v>0.31928476963867819</v>
      </c>
    </row>
    <row r="8" spans="1:21" x14ac:dyDescent="0.25">
      <c r="A8" s="18">
        <f t="shared" si="4"/>
        <v>6</v>
      </c>
      <c r="C8" s="10">
        <f>2.01*(('Baseline Given'!F9/213.36)^(2/11.5))</f>
        <v>1.063877576076824</v>
      </c>
      <c r="D8" s="10">
        <f>0.613*(C8*'Baseline Given'!$B$33*'Baseline Given'!$B$34*'Baseline Given'!$B$35)</f>
        <v>1238.1364347366432</v>
      </c>
      <c r="E8" s="10">
        <f>D8*'Baseline Given'!$B$31*'Baseline Given'!$B$32*'Baseline Given'!G9</f>
        <v>2866.0915329136683</v>
      </c>
      <c r="F8" s="10">
        <f t="shared" si="0"/>
        <v>0.64432301055182784</v>
      </c>
      <c r="H8" s="10">
        <f>2.01*(('Alternative 1'!G9/213.36)^(2/11.5))</f>
        <v>1.063877576076824</v>
      </c>
      <c r="I8" s="10">
        <f>0.613*(H8*'Alternative 1'!$B$34*'Alternative 1'!$B$35*'Alternative 1'!$B$36)</f>
        <v>1238.1364347366432</v>
      </c>
      <c r="J8" s="10">
        <f>I8*'Alternative 1'!$B$32*'Alternative 1'!$B$33*'Alternative 1'!H9</f>
        <v>1492.986528146723</v>
      </c>
      <c r="K8" s="10">
        <f t="shared" si="1"/>
        <v>0.33563672460623883</v>
      </c>
      <c r="M8" s="10">
        <f>2.01*(('Alternative 2'!G9/213.36)^(2/11.5))</f>
        <v>1.063877576076824</v>
      </c>
      <c r="N8" s="10">
        <f>0.613*(M8*'Alternative 2'!$B$34*'Alternative 2'!$B$35*'Alternative 2'!$B$36)</f>
        <v>1238.1364347366432</v>
      </c>
      <c r="O8" s="10">
        <f>N8*'Alternative 2'!$B$32*'Alternative 2'!$B$33*'Alternative 2'!H9</f>
        <v>922.6256261539329</v>
      </c>
      <c r="P8" s="10">
        <f t="shared" si="2"/>
        <v>0.20741449260395051</v>
      </c>
      <c r="R8" s="10">
        <f>2.01*(('Alternative 3'!G9/213.36)^(2/11.5))</f>
        <v>1.063877576076824</v>
      </c>
      <c r="S8" s="10">
        <f>0.613*(R8*'Alternative 3'!$B$34*'Alternative 3'!$B$35*'Alternative 3'!$B$36)</f>
        <v>1238.1364347366432</v>
      </c>
      <c r="T8" s="10">
        <f>S8*'Alternative 3'!$B$32*'Alternative 3'!$B$33*'Alternative 3'!H9</f>
        <v>1452.4392795430349</v>
      </c>
      <c r="U8" s="10">
        <f t="shared" si="3"/>
        <v>0.32652134047077036</v>
      </c>
    </row>
    <row r="9" spans="1:21" x14ac:dyDescent="0.25">
      <c r="A9" s="18">
        <f t="shared" si="4"/>
        <v>7</v>
      </c>
      <c r="C9" s="10">
        <f>2.01*(('Baseline Given'!F10/213.36)^(2/11.5))</f>
        <v>1.0952396617636087</v>
      </c>
      <c r="D9" s="10">
        <f>0.613*(C9*'Baseline Given'!$B$33*'Baseline Given'!$B$34*'Baseline Given'!$B$35)</f>
        <v>1274.6355036439259</v>
      </c>
      <c r="E9" s="10">
        <f>D9*'Baseline Given'!$B$31*'Baseline Given'!$B$32*'Baseline Given'!G10</f>
        <v>2935.4809039113875</v>
      </c>
      <c r="F9" s="10">
        <f t="shared" si="0"/>
        <v>0.65992236176169539</v>
      </c>
      <c r="H9" s="10">
        <f>2.01*(('Alternative 1'!G10/213.36)^(2/11.5))</f>
        <v>1.0952396617636087</v>
      </c>
      <c r="I9" s="10">
        <f>0.613*(H9*'Alternative 1'!$B$34*'Alternative 1'!$B$35*'Alternative 1'!$B$36)</f>
        <v>1274.6355036439259</v>
      </c>
      <c r="J9" s="10">
        <f>I9*'Alternative 1'!$B$32*'Alternative 1'!$B$33*'Alternative 1'!H10</f>
        <v>1521.9144372854296</v>
      </c>
      <c r="K9" s="10">
        <f t="shared" si="1"/>
        <v>0.34213997730810658</v>
      </c>
      <c r="M9" s="10">
        <f>2.01*(('Alternative 2'!G10/213.36)^(2/11.5))</f>
        <v>1.0952396617636087</v>
      </c>
      <c r="N9" s="10">
        <f>0.613*(M9*'Alternative 2'!$B$34*'Alternative 2'!$B$35*'Alternative 2'!$B$36)</f>
        <v>1274.6355036439259</v>
      </c>
      <c r="O9" s="10">
        <f>N9*'Alternative 2'!$B$32*'Alternative 2'!$B$33*'Alternative 2'!H10</f>
        <v>934.98532065065172</v>
      </c>
      <c r="P9" s="10">
        <f t="shared" si="2"/>
        <v>0.21019306247032563</v>
      </c>
      <c r="R9" s="10">
        <f>2.01*(('Alternative 3'!G10/213.36)^(2/11.5))</f>
        <v>1.0952396617636087</v>
      </c>
      <c r="S9" s="10">
        <f>0.613*(R9*'Alternative 3'!$B$34*'Alternative 3'!$B$35*'Alternative 3'!$B$36)</f>
        <v>1274.6355036439259</v>
      </c>
      <c r="T9" s="10">
        <f>S9*'Alternative 3'!$B$32*'Alternative 3'!$B$33*'Alternative 3'!H10</f>
        <v>1480.3043153343913</v>
      </c>
      <c r="U9" s="10">
        <f t="shared" si="3"/>
        <v>0.33278564973795177</v>
      </c>
    </row>
    <row r="10" spans="1:21" x14ac:dyDescent="0.25">
      <c r="A10" s="18">
        <f t="shared" si="4"/>
        <v>8</v>
      </c>
      <c r="C10" s="10">
        <f>2.01*(('Baseline Given'!F11/213.36)^(2/11.5))</f>
        <v>1.1228390137637763</v>
      </c>
      <c r="D10" s="10">
        <f>0.613*(C10*'Baseline Given'!$B$33*'Baseline Given'!$B$34*'Baseline Given'!$B$35)</f>
        <v>1306.7555182536344</v>
      </c>
      <c r="E10" s="10">
        <f>D10*'Baseline Given'!$B$31*'Baseline Given'!$B$32*'Baseline Given'!G11</f>
        <v>2993.9724180514713</v>
      </c>
      <c r="F10" s="10">
        <f t="shared" si="0"/>
        <v>0.67307177728094114</v>
      </c>
      <c r="H10" s="10">
        <f>2.01*(('Alternative 1'!G11/213.36)^(2/11.5))</f>
        <v>1.1228390137637763</v>
      </c>
      <c r="I10" s="10">
        <f>0.613*(H10*'Alternative 1'!$B$34*'Alternative 1'!$B$35*'Alternative 1'!$B$36)</f>
        <v>1306.7555182536344</v>
      </c>
      <c r="J10" s="10">
        <f>I10*'Alternative 1'!$B$32*'Alternative 1'!$B$33*'Alternative 1'!H11</f>
        <v>1544.8017261992393</v>
      </c>
      <c r="K10" s="10">
        <f t="shared" si="1"/>
        <v>0.34728524455688975</v>
      </c>
      <c r="M10" s="10">
        <f>2.01*(('Alternative 2'!G11/213.36)^(2/11.5))</f>
        <v>1.1228390137637763</v>
      </c>
      <c r="N10" s="10">
        <f>0.613*(M10*'Alternative 2'!$B$34*'Alternative 2'!$B$35*'Alternative 2'!$B$36)</f>
        <v>1306.7555182536344</v>
      </c>
      <c r="O10" s="10">
        <f>N10*'Alternative 2'!$B$32*'Alternative 2'!$B$33*'Alternative 2'!H11</f>
        <v>943.33402514940246</v>
      </c>
      <c r="P10" s="10">
        <f t="shared" si="2"/>
        <v>0.21206992591138052</v>
      </c>
      <c r="R10" s="10">
        <f>2.01*(('Alternative 3'!G11/213.36)^(2/11.5))</f>
        <v>1.1228390137637763</v>
      </c>
      <c r="S10" s="10">
        <f>0.613*(R10*'Alternative 3'!$B$34*'Alternative 3'!$B$35*'Alternative 3'!$B$36)</f>
        <v>1306.7555182536344</v>
      </c>
      <c r="T10" s="10">
        <f>S10*'Alternative 3'!$B$32*'Alternative 3'!$B$33*'Alternative 3'!H11</f>
        <v>1502.2788126723342</v>
      </c>
      <c r="U10" s="10">
        <f t="shared" si="3"/>
        <v>0.33772571327658996</v>
      </c>
    </row>
    <row r="11" spans="1:21" x14ac:dyDescent="0.25">
      <c r="A11" s="18">
        <f t="shared" si="4"/>
        <v>9</v>
      </c>
      <c r="C11" s="10">
        <f>2.01*(('Baseline Given'!F12/213.36)^(2/11.5))</f>
        <v>1.1475483703503253</v>
      </c>
      <c r="D11" s="10">
        <f>0.613*(C11*'Baseline Given'!$B$33*'Baseline Given'!$B$34*'Baseline Given'!$B$35)</f>
        <v>1335.5121678500323</v>
      </c>
      <c r="E11" s="10">
        <f>D11*'Baseline Given'!$B$31*'Baseline Given'!$B$32*'Baseline Given'!G12</f>
        <v>3044.0367711189774</v>
      </c>
      <c r="F11" s="10">
        <f t="shared" si="0"/>
        <v>0.68432669161963011</v>
      </c>
      <c r="H11" s="10">
        <f>2.01*(('Alternative 1'!G12/213.36)^(2/11.5))</f>
        <v>1.1475483703503253</v>
      </c>
      <c r="I11" s="10">
        <f>0.613*(H11*'Alternative 1'!$B$34*'Alternative 1'!$B$35*'Alternative 1'!$B$36)</f>
        <v>1335.5121678500323</v>
      </c>
      <c r="J11" s="10">
        <f>I11*'Alternative 1'!$B$32*'Alternative 1'!$B$33*'Alternative 1'!H12</f>
        <v>1562.9925522291437</v>
      </c>
      <c r="K11" s="10">
        <f t="shared" si="1"/>
        <v>0.35137470494481293</v>
      </c>
      <c r="M11" s="10">
        <f>2.01*(('Alternative 2'!G12/213.36)^(2/11.5))</f>
        <v>1.1475483703503253</v>
      </c>
      <c r="N11" s="10">
        <f>0.613*(M11*'Alternative 2'!$B$34*'Alternative 2'!$B$35*'Alternative 2'!$B$36)</f>
        <v>1335.5121678500323</v>
      </c>
      <c r="O11" s="10">
        <f>N11*'Alternative 2'!$B$32*'Alternative 2'!$B$33*'Alternative 2'!H12</f>
        <v>948.54606557182467</v>
      </c>
      <c r="P11" s="10">
        <f t="shared" si="2"/>
        <v>0.21324163921415801</v>
      </c>
      <c r="R11" s="10">
        <f>2.01*(('Alternative 3'!G12/213.36)^(2/11.5))</f>
        <v>1.1475483703503253</v>
      </c>
      <c r="S11" s="10">
        <f>0.613*(R11*'Alternative 3'!$B$34*'Alternative 3'!$B$35*'Alternative 3'!$B$36)</f>
        <v>1335.5121678500323</v>
      </c>
      <c r="T11" s="10">
        <f>S11*'Alternative 3'!$B$32*'Alternative 3'!$B$33*'Alternative 3'!H12</f>
        <v>1519.6726182357124</v>
      </c>
      <c r="U11" s="10">
        <f t="shared" si="3"/>
        <v>0.34163599633518987</v>
      </c>
    </row>
    <row r="12" spans="1:21" x14ac:dyDescent="0.25">
      <c r="A12" s="18">
        <f t="shared" si="4"/>
        <v>10</v>
      </c>
      <c r="C12" s="10">
        <f>2.01*(('Baseline Given'!F13/213.36)^(2/11.5))</f>
        <v>1.1699621567046941</v>
      </c>
      <c r="D12" s="10">
        <f>0.613*(C12*'Baseline Given'!$B$33*'Baseline Given'!$B$34*'Baseline Given'!$B$35)</f>
        <v>1361.5972420632545</v>
      </c>
      <c r="E12" s="10">
        <f>D12*'Baseline Given'!$B$31*'Baseline Given'!$B$32*'Baseline Given'!G13</f>
        <v>3087.3621002902878</v>
      </c>
      <c r="F12" s="10">
        <f t="shared" si="0"/>
        <v>0.69406661311349416</v>
      </c>
      <c r="H12" s="10">
        <f>2.01*(('Alternative 1'!G13/213.36)^(2/11.5))</f>
        <v>1.1699621567046941</v>
      </c>
      <c r="I12" s="10">
        <f>0.613*(H12*'Alternative 1'!$B$34*'Alternative 1'!$B$35*'Alternative 1'!$B$36)</f>
        <v>1361.5972420632545</v>
      </c>
      <c r="J12" s="10">
        <f>I12*'Alternative 1'!$B$32*'Alternative 1'!$B$33*'Alternative 1'!H13</f>
        <v>1577.4077573800873</v>
      </c>
      <c r="K12" s="10">
        <f t="shared" si="1"/>
        <v>0.35461537199047982</v>
      </c>
      <c r="M12" s="10">
        <f>2.01*(('Alternative 2'!G13/213.36)^(2/11.5))</f>
        <v>1.1699621567046941</v>
      </c>
      <c r="N12" s="10">
        <f>0.613*(M12*'Alternative 2'!$B$34*'Alternative 2'!$B$35*'Alternative 2'!$B$36)</f>
        <v>1361.5972420632545</v>
      </c>
      <c r="O12" s="10">
        <f>N12*'Alternative 2'!$B$32*'Alternative 2'!$B$33*'Alternative 2'!H13</f>
        <v>951.22219328440519</v>
      </c>
      <c r="P12" s="10">
        <f t="shared" si="2"/>
        <v>0.21384325665888707</v>
      </c>
      <c r="R12" s="10">
        <f>2.01*(('Alternative 3'!G13/213.36)^(2/11.5))</f>
        <v>1.1699621567046941</v>
      </c>
      <c r="S12" s="10">
        <f>0.613*(R12*'Alternative 3'!$B$34*'Alternative 3'!$B$35*'Alternative 3'!$B$36)</f>
        <v>1361.5972420632545</v>
      </c>
      <c r="T12" s="10">
        <f>S12*'Alternative 3'!$B$32*'Alternative 3'!$B$33*'Alternative 3'!H13</f>
        <v>1533.3831581081649</v>
      </c>
      <c r="U12" s="10">
        <f t="shared" si="3"/>
        <v>0.34471824832381665</v>
      </c>
    </row>
    <row r="13" spans="1:21" x14ac:dyDescent="0.25">
      <c r="A13" s="18">
        <f t="shared" si="4"/>
        <v>11</v>
      </c>
      <c r="C13" s="10">
        <f>2.01*(('Baseline Given'!F14/213.36)^(2/11.5))</f>
        <v>1.1905045662005738</v>
      </c>
      <c r="D13" s="10">
        <f>0.613*(C13*'Baseline Given'!$B$33*'Baseline Given'!$B$34*'Baseline Given'!$B$35)</f>
        <v>1385.5044154317552</v>
      </c>
      <c r="E13" s="10">
        <f>D13*'Baseline Given'!$B$31*'Baseline Given'!$B$32*'Baseline Given'!G14</f>
        <v>3125.1568907210581</v>
      </c>
      <c r="F13" s="10">
        <f t="shared" si="0"/>
        <v>0.70256322003405991</v>
      </c>
      <c r="H13" s="10">
        <f>2.01*(('Alternative 1'!G14/213.36)^(2/11.5))</f>
        <v>1.1905045662005738</v>
      </c>
      <c r="I13" s="10">
        <f>0.613*(H13*'Alternative 1'!$B$34*'Alternative 1'!$B$35*'Alternative 1'!$B$36)</f>
        <v>1385.5044154317552</v>
      </c>
      <c r="J13" s="10">
        <f>I13*'Alternative 1'!$B$32*'Alternative 1'!$B$33*'Alternative 1'!H14</f>
        <v>1588.7082659340406</v>
      </c>
      <c r="K13" s="10">
        <f t="shared" si="1"/>
        <v>0.35715582738369883</v>
      </c>
      <c r="M13" s="10">
        <f>2.01*(('Alternative 2'!G14/213.36)^(2/11.5))</f>
        <v>1.1905045662005738</v>
      </c>
      <c r="N13" s="10">
        <f>0.613*(M13*'Alternative 2'!$B$34*'Alternative 2'!$B$35*'Alternative 2'!$B$36)</f>
        <v>1385.5044154317552</v>
      </c>
      <c r="O13" s="10">
        <f>N13*'Alternative 2'!$B$32*'Alternative 2'!$B$33*'Alternative 2'!H14</f>
        <v>951.79484792674793</v>
      </c>
      <c r="P13" s="10">
        <f t="shared" si="2"/>
        <v>0.21397199454423493</v>
      </c>
      <c r="R13" s="10">
        <f>2.01*(('Alternative 3'!G14/213.36)^(2/11.5))</f>
        <v>1.1905045662005738</v>
      </c>
      <c r="S13" s="10">
        <f>0.613*(R13*'Alternative 3'!$B$34*'Alternative 3'!$B$35*'Alternative 3'!$B$36)</f>
        <v>1385.5044154317552</v>
      </c>
      <c r="T13" s="10">
        <f>S13*'Alternative 3'!$B$32*'Alternative 3'!$B$33*'Alternative 3'!H14</f>
        <v>1544.0546132116881</v>
      </c>
      <c r="U13" s="10">
        <f t="shared" si="3"/>
        <v>0.34711728687520604</v>
      </c>
    </row>
    <row r="14" spans="1:21" x14ac:dyDescent="0.25">
      <c r="A14" s="18">
        <f t="shared" si="4"/>
        <v>12</v>
      </c>
      <c r="C14" s="10">
        <f>2.01*(('Baseline Given'!F15/213.36)^(2/11.5))</f>
        <v>1.2094895381358994</v>
      </c>
      <c r="D14" s="10">
        <f>0.613*(C14*'Baseline Given'!$B$33*'Baseline Given'!$B$34*'Baseline Given'!$B$35)</f>
        <v>1407.5990492450369</v>
      </c>
      <c r="E14" s="10">
        <f>D14*'Baseline Given'!$B$31*'Baseline Given'!$B$32*'Baseline Given'!G15</f>
        <v>3158.3183293881352</v>
      </c>
      <c r="F14" s="10">
        <f t="shared" si="0"/>
        <v>0.71001820803804727</v>
      </c>
      <c r="H14" s="10">
        <f>2.01*(('Alternative 1'!G15/213.36)^(2/11.5))</f>
        <v>1.2094895381358994</v>
      </c>
      <c r="I14" s="10">
        <f>0.613*(H14*'Alternative 1'!$B$34*'Alternative 1'!$B$35*'Alternative 1'!$B$36)</f>
        <v>1407.5990492450369</v>
      </c>
      <c r="J14" s="10">
        <f>I14*'Alternative 1'!$B$32*'Alternative 1'!$B$33*'Alternative 1'!H15</f>
        <v>1597.3860200544812</v>
      </c>
      <c r="K14" s="10">
        <f t="shared" si="1"/>
        <v>0.35910666412268699</v>
      </c>
      <c r="M14" s="10">
        <f>2.01*(('Alternative 2'!G15/213.36)^(2/11.5))</f>
        <v>1.2094895381358994</v>
      </c>
      <c r="N14" s="10">
        <f>0.613*(M14*'Alternative 2'!$B$34*'Alternative 2'!$B$35*'Alternative 2'!$B$36)</f>
        <v>1407.5990492450369</v>
      </c>
      <c r="O14" s="10">
        <f>N14*'Alternative 2'!$B$32*'Alternative 2'!$B$33*'Alternative 2'!H15</f>
        <v>950.58682793140451</v>
      </c>
      <c r="P14" s="10">
        <f t="shared" si="2"/>
        <v>0.21370042084490676</v>
      </c>
      <c r="R14" s="10">
        <f>2.01*(('Alternative 3'!G15/213.36)^(2/11.5))</f>
        <v>1.2094895381358994</v>
      </c>
      <c r="S14" s="10">
        <f>0.613*(R14*'Alternative 3'!$B$34*'Alternative 3'!$B$35*'Alternative 3'!$B$36)</f>
        <v>1407.5990492450369</v>
      </c>
      <c r="T14" s="10">
        <f>S14*'Alternative 3'!$B$32*'Alternative 3'!$B$33*'Alternative 3'!H15</f>
        <v>1552.1665095977482</v>
      </c>
      <c r="U14" s="10">
        <f t="shared" si="3"/>
        <v>0.34894091373454694</v>
      </c>
    </row>
    <row r="15" spans="1:21" x14ac:dyDescent="0.25">
      <c r="A15" s="18">
        <f t="shared" si="4"/>
        <v>13</v>
      </c>
      <c r="C15" s="10">
        <f>2.01*(('Baseline Given'!F16/213.36)^(2/11.5))</f>
        <v>1.2271563112764232</v>
      </c>
      <c r="D15" s="10">
        <f>0.613*(C15*'Baseline Given'!$B$33*'Baseline Given'!$B$34*'Baseline Given'!$B$35)</f>
        <v>1428.1595686143537</v>
      </c>
      <c r="E15" s="10">
        <f>D15*'Baseline Given'!$B$31*'Baseline Given'!$B$32*'Baseline Given'!G16</f>
        <v>3187.5322556909168</v>
      </c>
      <c r="F15" s="10">
        <f t="shared" si="0"/>
        <v>0.71658575995649965</v>
      </c>
      <c r="H15" s="10">
        <f>2.01*(('Alternative 1'!G16/213.36)^(2/11.5))</f>
        <v>1.2271563112764232</v>
      </c>
      <c r="I15" s="10">
        <f>0.613*(H15*'Alternative 1'!$B$34*'Alternative 1'!$B$35*'Alternative 1'!$B$36)</f>
        <v>1428.1595686143537</v>
      </c>
      <c r="J15" s="10">
        <f>I15*'Alternative 1'!$B$32*'Alternative 1'!$B$33*'Alternative 1'!H16</f>
        <v>1603.8180383110325</v>
      </c>
      <c r="K15" s="10">
        <f t="shared" si="1"/>
        <v>0.36055263935390103</v>
      </c>
      <c r="M15" s="10">
        <f>2.01*(('Alternative 2'!G16/213.36)^(2/11.5))</f>
        <v>1.2271563112764232</v>
      </c>
      <c r="N15" s="10">
        <f>0.613*(M15*'Alternative 2'!$B$34*'Alternative 2'!$B$35*'Alternative 2'!$B$36)</f>
        <v>1428.1595686143537</v>
      </c>
      <c r="O15" s="10">
        <f>N15*'Alternative 2'!$B$32*'Alternative 2'!$B$33*'Alternative 2'!H16</f>
        <v>947.84622047898858</v>
      </c>
      <c r="P15" s="10">
        <f t="shared" si="2"/>
        <v>0.21308430777796425</v>
      </c>
      <c r="R15" s="10">
        <f>2.01*(('Alternative 3'!G16/213.36)^(2/11.5))</f>
        <v>1.2271563112764232</v>
      </c>
      <c r="S15" s="10">
        <f>0.613*(R15*'Alternative 3'!$B$34*'Alternative 3'!$B$35*'Alternative 3'!$B$36)</f>
        <v>1428.1595686143537</v>
      </c>
      <c r="T15" s="10">
        <f>S15*'Alternative 3'!$B$32*'Alternative 3'!$B$33*'Alternative 3'!H16</f>
        <v>1558.0863853690444</v>
      </c>
      <c r="U15" s="10">
        <f t="shared" si="3"/>
        <v>0.35027175475453931</v>
      </c>
    </row>
    <row r="16" spans="1:21" x14ac:dyDescent="0.25">
      <c r="A16" s="18">
        <f t="shared" si="4"/>
        <v>14</v>
      </c>
      <c r="C16" s="10">
        <f>2.01*(('Baseline Given'!F17/213.36)^(2/11.5))</f>
        <v>1.2436916322702423</v>
      </c>
      <c r="D16" s="10">
        <f>0.613*(C16*'Baseline Given'!$B$33*'Baseline Given'!$B$34*'Baseline Given'!$B$35)</f>
        <v>1447.4033085360177</v>
      </c>
      <c r="E16" s="10">
        <f>D16*'Baseline Given'!$B$31*'Baseline Given'!$B$32*'Baseline Given'!G17</f>
        <v>3213.3356910450061</v>
      </c>
      <c r="F16" s="10">
        <f t="shared" si="0"/>
        <v>0.7223866030066951</v>
      </c>
      <c r="H16" s="10">
        <f>2.01*(('Alternative 1'!G17/213.36)^(2/11.5))</f>
        <v>1.2436916322702423</v>
      </c>
      <c r="I16" s="10">
        <f>0.613*(H16*'Alternative 1'!$B$34*'Alternative 1'!$B$35*'Alternative 1'!$B$36)</f>
        <v>1447.4033085360177</v>
      </c>
      <c r="J16" s="10">
        <f>I16*'Alternative 1'!$B$32*'Alternative 1'!$B$33*'Alternative 1'!H17</f>
        <v>1608.3002788211527</v>
      </c>
      <c r="K16" s="10">
        <f t="shared" si="1"/>
        <v>0.36156028710915677</v>
      </c>
      <c r="M16" s="10">
        <f>2.01*(('Alternative 2'!G17/213.36)^(2/11.5))</f>
        <v>1.2436916322702423</v>
      </c>
      <c r="N16" s="10">
        <f>0.613*(M16*'Alternative 2'!$B$34*'Alternative 2'!$B$35*'Alternative 2'!$B$36)</f>
        <v>1447.4033085360177</v>
      </c>
      <c r="O16" s="10">
        <f>N16*'Alternative 2'!$B$32*'Alternative 2'!$B$33*'Alternative 2'!H17</f>
        <v>943.76831447964969</v>
      </c>
      <c r="P16" s="10">
        <f t="shared" si="2"/>
        <v>0.21216755803704782</v>
      </c>
      <c r="R16" s="10">
        <f>2.01*(('Alternative 3'!G17/213.36)^(2/11.5))</f>
        <v>1.2436916322702423</v>
      </c>
      <c r="S16" s="10">
        <f>0.613*(R16*'Alternative 3'!$B$34*'Alternative 3'!$B$35*'Alternative 3'!$B$36)</f>
        <v>1447.4033085360177</v>
      </c>
      <c r="T16" s="10">
        <f>S16*'Alternative 3'!$B$32*'Alternative 3'!$B$33*'Alternative 3'!H17</f>
        <v>1562.1027837209542</v>
      </c>
      <c r="U16" s="10">
        <f t="shared" si="3"/>
        <v>0.3511746770261972</v>
      </c>
    </row>
    <row r="17" spans="1:21" x14ac:dyDescent="0.25">
      <c r="A17" s="18">
        <f t="shared" si="4"/>
        <v>15</v>
      </c>
      <c r="C17" s="10">
        <f>2.01*(('Baseline Given'!F18/213.36)^(2/11.5))</f>
        <v>1.2592442324314197</v>
      </c>
      <c r="D17" s="10">
        <f>0.613*(C17*'Baseline Given'!$B$33*'Baseline Given'!$B$34*'Baseline Given'!$B$35)</f>
        <v>1465.5033619138271</v>
      </c>
      <c r="E17" s="10">
        <f>D17*'Baseline Given'!$B$31*'Baseline Given'!$B$32*'Baseline Given'!G18</f>
        <v>3236.157661652639</v>
      </c>
      <c r="F17" s="10">
        <f t="shared" si="0"/>
        <v>0.72751718611605121</v>
      </c>
      <c r="H17" s="10">
        <f>2.01*(('Alternative 1'!G18/213.36)^(2/11.5))</f>
        <v>1.2592442324314197</v>
      </c>
      <c r="I17" s="10">
        <f>0.613*(H17*'Alternative 1'!$B$34*'Alternative 1'!$B$35*'Alternative 1'!$B$36)</f>
        <v>1465.5033619138271</v>
      </c>
      <c r="J17" s="10">
        <f>I17*'Alternative 1'!$B$32*'Alternative 1'!$B$33*'Alternative 1'!H18</f>
        <v>1611.0697754313912</v>
      </c>
      <c r="K17" s="10">
        <f t="shared" si="1"/>
        <v>0.3621828947171587</v>
      </c>
      <c r="M17" s="10">
        <f>2.01*(('Alternative 2'!G18/213.36)^(2/11.5))</f>
        <v>1.2592442324314197</v>
      </c>
      <c r="N17" s="10">
        <f>0.613*(M17*'Alternative 2'!$B$34*'Alternative 2'!$B$35*'Alternative 2'!$B$36)</f>
        <v>1465.5033619138271</v>
      </c>
      <c r="O17" s="10">
        <f>N17*'Alternative 2'!$B$32*'Alternative 2'!$B$33*'Alternative 2'!H18</f>
        <v>938.50994590805158</v>
      </c>
      <c r="P17" s="10">
        <f t="shared" si="2"/>
        <v>0.21098542975198259</v>
      </c>
      <c r="R17" s="10">
        <f>2.01*(('Alternative 3'!G18/213.36)^(2/11.5))</f>
        <v>1.2592442324314197</v>
      </c>
      <c r="S17" s="10">
        <f>0.613*(R17*'Alternative 3'!$B$34*'Alternative 3'!$B$35*'Alternative 3'!$B$36)</f>
        <v>1465.5033619138271</v>
      </c>
      <c r="T17" s="10">
        <f>S17*'Alternative 3'!$B$32*'Alternative 3'!$B$33*'Alternative 3'!H18</f>
        <v>1564.4468213934388</v>
      </c>
      <c r="U17" s="10">
        <f t="shared" si="3"/>
        <v>0.35170163765974222</v>
      </c>
    </row>
    <row r="18" spans="1:21" x14ac:dyDescent="0.25">
      <c r="A18" s="18">
        <f t="shared" si="4"/>
        <v>16</v>
      </c>
      <c r="C18" s="10">
        <f>2.01*(('Baseline Given'!F19/213.36)^(2/11.5))</f>
        <v>1.2739346050089417</v>
      </c>
      <c r="D18" s="10">
        <f>0.613*(C18*'Baseline Given'!$B$33*'Baseline Given'!$B$34*'Baseline Given'!$B$35)</f>
        <v>1482.5999583052644</v>
      </c>
      <c r="E18" s="10">
        <f>D18*'Baseline Given'!$B$31*'Baseline Given'!$B$32*'Baseline Given'!G19</f>
        <v>3256.34681112418</v>
      </c>
      <c r="F18" s="10">
        <f t="shared" si="0"/>
        <v>0.73205588748640138</v>
      </c>
      <c r="H18" s="10">
        <f>2.01*(('Alternative 1'!G19/213.36)^(2/11.5))</f>
        <v>1.2739346050089417</v>
      </c>
      <c r="I18" s="10">
        <f>0.613*(H18*'Alternative 1'!$B$34*'Alternative 1'!$B$35*'Alternative 1'!$B$36)</f>
        <v>1482.5999583052644</v>
      </c>
      <c r="J18" s="10">
        <f>I18*'Alternative 1'!$B$32*'Alternative 1'!$B$33*'Alternative 1'!H19</f>
        <v>1612.3196298238615</v>
      </c>
      <c r="K18" s="10">
        <f t="shared" si="1"/>
        <v>0.36246387316312245</v>
      </c>
      <c r="M18" s="10">
        <f>2.01*(('Alternative 2'!G19/213.36)^(2/11.5))</f>
        <v>1.2739346050089417</v>
      </c>
      <c r="N18" s="10">
        <f>0.613*(M18*'Alternative 2'!$B$34*'Alternative 2'!$B$35*'Alternative 2'!$B$36)</f>
        <v>1482.5999583052644</v>
      </c>
      <c r="O18" s="10">
        <f>N18*'Alternative 2'!$B$32*'Alternative 2'!$B$33*'Alternative 2'!H19</f>
        <v>932.19922747967917</v>
      </c>
      <c r="P18" s="10">
        <f t="shared" si="2"/>
        <v>0.20956672380703317</v>
      </c>
      <c r="R18" s="10">
        <f>2.01*(('Alternative 3'!G19/213.36)^(2/11.5))</f>
        <v>1.2739346050089417</v>
      </c>
      <c r="S18" s="10">
        <f>0.613*(R18*'Alternative 3'!$B$34*'Alternative 3'!$B$35*'Alternative 3'!$B$36)</f>
        <v>1482.5999583052644</v>
      </c>
      <c r="T18" s="10">
        <f>S18*'Alternative 3'!$B$32*'Alternative 3'!$B$33*'Alternative 3'!H19</f>
        <v>1565.3067969793235</v>
      </c>
      <c r="U18" s="10">
        <f t="shared" si="3"/>
        <v>0.35189496786295976</v>
      </c>
    </row>
    <row r="19" spans="1:21" x14ac:dyDescent="0.25">
      <c r="A19" s="18">
        <f t="shared" si="4"/>
        <v>17</v>
      </c>
      <c r="C19" s="10">
        <f>2.01*(('Baseline Given'!F20/213.36)^(2/11.5))</f>
        <v>1.2878618092179877</v>
      </c>
      <c r="D19" s="10">
        <f>0.613*(C19*'Baseline Given'!$B$33*'Baseline Given'!$B$34*'Baseline Given'!$B$35)</f>
        <v>1498.8083824256655</v>
      </c>
      <c r="E19" s="10">
        <f>D19*'Baseline Given'!$B$31*'Baseline Given'!$B$32*'Baseline Given'!G20</f>
        <v>3274.1906452952489</v>
      </c>
      <c r="F19" s="18">
        <f t="shared" si="0"/>
        <v>0.7360673410010079</v>
      </c>
      <c r="H19" s="10">
        <f>2.01*(('Alternative 1'!G20/213.36)^(2/11.5))</f>
        <v>1.2878618092179877</v>
      </c>
      <c r="I19" s="10">
        <f>0.613*(H19*'Alternative 1'!$B$34*'Alternative 1'!$B$35*'Alternative 1'!$B$36)</f>
        <v>1498.8083824256655</v>
      </c>
      <c r="J19" s="10">
        <f>I19*'Alternative 1'!$B$32*'Alternative 1'!$B$33*'Alternative 1'!H20</f>
        <v>1612.2094736469767</v>
      </c>
      <c r="K19" s="10">
        <f t="shared" si="1"/>
        <v>0.36243910906933607</v>
      </c>
      <c r="M19" s="10">
        <f>2.01*(('Alternative 2'!G20/213.36)^(2/11.5))</f>
        <v>1.2878618092179877</v>
      </c>
      <c r="N19" s="10">
        <f>0.613*(M19*'Alternative 2'!$B$34*'Alternative 2'!$B$35*'Alternative 2'!$B$36)</f>
        <v>1498.8083824256655</v>
      </c>
      <c r="O19" s="10">
        <f>N19*'Alternative 2'!$B$32*'Alternative 2'!$B$33*'Alternative 2'!H20</f>
        <v>924.94234816716209</v>
      </c>
      <c r="P19" s="10">
        <f t="shared" si="2"/>
        <v>0.20793531243298718</v>
      </c>
      <c r="R19" s="10">
        <f>2.01*(('Alternative 3'!G20/213.36)^(2/11.5))</f>
        <v>1.2878618092179877</v>
      </c>
      <c r="S19" s="10">
        <f>0.613*(R19*'Alternative 3'!$B$34*'Alternative 3'!$B$35*'Alternative 3'!$B$36)</f>
        <v>1498.8083824256655</v>
      </c>
      <c r="T19" s="10">
        <f>S19*'Alternative 3'!$B$32*'Alternative 3'!$B$33*'Alternative 3'!H20</f>
        <v>1564.8383857134281</v>
      </c>
      <c r="U19" s="10">
        <f t="shared" si="3"/>
        <v>0.35178966482097657</v>
      </c>
    </row>
    <row r="20" spans="1:21" x14ac:dyDescent="0.25">
      <c r="A20" s="18">
        <f t="shared" si="4"/>
        <v>18</v>
      </c>
      <c r="C20" s="10">
        <f>2.01*(('Baseline Given'!F21/213.36)^(2/11.5))</f>
        <v>1.301108328182643</v>
      </c>
      <c r="D20" s="10">
        <f>0.613*(C20*'Baseline Given'!$B$33*'Baseline Given'!$B$34*'Baseline Given'!$B$35)</f>
        <v>1514.2246278023658</v>
      </c>
      <c r="E20" s="10">
        <f>D20*'Baseline Given'!$B$31*'Baseline Given'!$B$32*'Baseline Given'!G21</f>
        <v>3289.9292933942947</v>
      </c>
      <c r="F20" s="18">
        <f t="shared" si="0"/>
        <v>0.73960552985811112</v>
      </c>
      <c r="H20" s="10">
        <f>2.01*(('Alternative 1'!G21/213.36)^(2/11.5))</f>
        <v>1.301108328182643</v>
      </c>
      <c r="I20" s="10">
        <f>0.613*(H20*'Alternative 1'!$B$34*'Alternative 1'!$B$35*'Alternative 1'!$B$36)</f>
        <v>1514.2246278023658</v>
      </c>
      <c r="J20" s="10">
        <f>I20*'Alternative 1'!$B$32*'Alternative 1'!$B$33*'Alternative 1'!H21</f>
        <v>1610.8729589975171</v>
      </c>
      <c r="K20" s="10">
        <f t="shared" si="1"/>
        <v>0.36213864862252304</v>
      </c>
      <c r="M20" s="10">
        <f>2.01*(('Alternative 2'!G21/213.36)^(2/11.5))</f>
        <v>1.301108328182643</v>
      </c>
      <c r="N20" s="10">
        <f>0.613*(M20*'Alternative 2'!$B$34*'Alternative 2'!$B$35*'Alternative 2'!$B$36)</f>
        <v>1514.2246278023658</v>
      </c>
      <c r="O20" s="10">
        <f>N20*'Alternative 2'!$B$32*'Alternative 2'!$B$33*'Alternative 2'!H21</f>
        <v>916.8284483113066</v>
      </c>
      <c r="P20" s="10">
        <f t="shared" si="2"/>
        <v>0.20611123517571756</v>
      </c>
      <c r="R20" s="10">
        <f>2.01*(('Alternative 3'!G21/213.36)^(2/11.5))</f>
        <v>1.301108328182643</v>
      </c>
      <c r="S20" s="10">
        <f>0.613*(R20*'Alternative 3'!$B$34*'Alternative 3'!$B$35*'Alternative 3'!$B$36)</f>
        <v>1514.2246278023658</v>
      </c>
      <c r="T20" s="10">
        <f>S20*'Alternative 3'!$B$32*'Alternative 3'!$B$33*'Alternative 3'!H21</f>
        <v>1563.1719388960771</v>
      </c>
      <c r="U20" s="10">
        <f t="shared" si="3"/>
        <v>0.35141503267195079</v>
      </c>
    </row>
    <row r="21" spans="1:21" x14ac:dyDescent="0.25">
      <c r="A21" s="18">
        <f t="shared" si="4"/>
        <v>19</v>
      </c>
      <c r="C21" s="10">
        <f>2.01*(('Baseline Given'!F22/213.36)^(2/11.5))</f>
        <v>1.3137436153428621</v>
      </c>
      <c r="D21" s="10">
        <f>0.613*(C21*'Baseline Given'!$B$33*'Baseline Given'!$B$34*'Baseline Given'!$B$35)</f>
        <v>1528.9295240688305</v>
      </c>
      <c r="E21" s="10">
        <f>D21*'Baseline Given'!$B$31*'Baseline Given'!$B$32*'Baseline Given'!G22</f>
        <v>3303.765569133453</v>
      </c>
      <c r="F21" s="18">
        <f t="shared" si="0"/>
        <v>0.74271604839413874</v>
      </c>
      <c r="H21" s="10">
        <f>2.01*(('Alternative 1'!G22/213.36)^(2/11.5))</f>
        <v>1.3137436153428621</v>
      </c>
      <c r="I21" s="10">
        <f>0.613*(H21*'Alternative 1'!$B$34*'Alternative 1'!$B$35*'Alternative 1'!$B$36)</f>
        <v>1528.9295240688305</v>
      </c>
      <c r="J21" s="10">
        <f>I21*'Alternative 1'!$B$32*'Alternative 1'!$B$33*'Alternative 1'!H22</f>
        <v>1608.4232417542703</v>
      </c>
      <c r="K21" s="10">
        <f t="shared" si="1"/>
        <v>0.36158793027628622</v>
      </c>
      <c r="M21" s="10">
        <f>2.01*(('Alternative 2'!G22/213.36)^(2/11.5))</f>
        <v>1.3137436153428621</v>
      </c>
      <c r="N21" s="10">
        <f>0.613*(M21*'Alternative 2'!$B$34*'Alternative 2'!$B$35*'Alternative 2'!$B$36)</f>
        <v>1528.9295240688305</v>
      </c>
      <c r="O21" s="10">
        <f>N21*'Alternative 2'!$B$32*'Alternative 2'!$B$33*'Alternative 2'!H22</f>
        <v>907.93319342934785</v>
      </c>
      <c r="P21" s="10">
        <f t="shared" si="2"/>
        <v>0.20411150232024139</v>
      </c>
      <c r="R21" s="10">
        <f>2.01*(('Alternative 3'!G22/213.36)^(2/11.5))</f>
        <v>1.3137436153428621</v>
      </c>
      <c r="S21" s="10">
        <f>0.613*(R21*'Alternative 3'!$B$34*'Alternative 3'!$B$35*'Alternative 3'!$B$36)</f>
        <v>1528.9295240688305</v>
      </c>
      <c r="T21" s="10">
        <f>S21*'Alternative 3'!$B$32*'Alternative 3'!$B$33*'Alternative 3'!H22</f>
        <v>1560.417827617028</v>
      </c>
      <c r="U21" s="10">
        <f t="shared" si="3"/>
        <v>0.35079588382400467</v>
      </c>
    </row>
    <row r="22" spans="1:21" x14ac:dyDescent="0.25">
      <c r="A22" s="18">
        <f t="shared" si="4"/>
        <v>20</v>
      </c>
      <c r="C22" s="10">
        <f>2.01*(('Baseline Given'!F23/213.36)^(2/11.5))</f>
        <v>1.3258267342447705</v>
      </c>
      <c r="D22" s="10">
        <f>0.613*(C22*'Baseline Given'!$B$33*'Baseline Given'!$B$34*'Baseline Given'!$B$35)</f>
        <v>1542.9918091419649</v>
      </c>
      <c r="E22" s="10">
        <f>D22*'Baseline Given'!$B$31*'Baseline Given'!$B$32*'Baseline Given'!G23</f>
        <v>3315.8724709956391</v>
      </c>
      <c r="F22" s="18">
        <f t="shared" si="0"/>
        <v>0.74543778821532614</v>
      </c>
      <c r="H22" s="10">
        <f>2.01*(('Alternative 1'!G23/213.36)^(2/11.5))</f>
        <v>1.3258267342447705</v>
      </c>
      <c r="I22" s="10">
        <f>0.613*(H22*'Alternative 1'!$B$34*'Alternative 1'!$B$35*'Alternative 1'!$B$36)</f>
        <v>1542.9918091419649</v>
      </c>
      <c r="J22" s="10">
        <f>I22*'Alternative 1'!$B$32*'Alternative 1'!$B$33*'Alternative 1'!H23</f>
        <v>1604.9570743705985</v>
      </c>
      <c r="K22" s="10">
        <f t="shared" si="1"/>
        <v>0.36080870484748301</v>
      </c>
      <c r="M22" s="10">
        <f>2.01*(('Alternative 2'!G23/213.36)^(2/11.5))</f>
        <v>1.3258267342447705</v>
      </c>
      <c r="N22" s="10">
        <f>0.613*(M22*'Alternative 2'!$B$34*'Alternative 2'!$B$35*'Alternative 2'!$B$36)</f>
        <v>1542.9918091419649</v>
      </c>
      <c r="O22" s="10">
        <f>N22*'Alternative 2'!$B$32*'Alternative 2'!$B$33*'Alternative 2'!H23</f>
        <v>898.32144545740232</v>
      </c>
      <c r="P22" s="10">
        <f t="shared" si="2"/>
        <v>0.20195069540991445</v>
      </c>
      <c r="R22" s="10">
        <f>2.01*(('Alternative 3'!G23/213.36)^(2/11.5))</f>
        <v>1.3258267342447705</v>
      </c>
      <c r="S22" s="10">
        <f>0.613*(R22*'Alternative 3'!$B$34*'Alternative 3'!$B$35*'Alternative 3'!$B$36)</f>
        <v>1542.9918091419649</v>
      </c>
      <c r="T22" s="10">
        <f>S22*'Alternative 3'!$B$32*'Alternative 3'!$B$33*'Alternative 3'!H23</f>
        <v>1556.6704315300085</v>
      </c>
      <c r="U22" s="10">
        <f t="shared" si="3"/>
        <v>0.3499534356674156</v>
      </c>
    </row>
    <row r="23" spans="1:21" x14ac:dyDescent="0.25">
      <c r="A23" s="18">
        <f t="shared" si="4"/>
        <v>21</v>
      </c>
      <c r="C23" s="10">
        <f>2.01*(('Baseline Given'!F24/213.36)^(2/11.5))</f>
        <v>1.3374083574995945</v>
      </c>
      <c r="D23" s="10">
        <f>0.613*(C23*'Baseline Given'!$B$33*'Baseline Given'!$B$34*'Baseline Given'!$B$35)</f>
        <v>1556.4704556024628</v>
      </c>
      <c r="E23" s="10">
        <f>D23*'Baseline Given'!$B$31*'Baseline Given'!$B$32*'Baseline Given'!G24</f>
        <v>3326.3988702761067</v>
      </c>
      <c r="F23" s="18">
        <f t="shared" si="0"/>
        <v>0.74780421692033217</v>
      </c>
      <c r="H23" s="10">
        <f>2.01*(('Alternative 1'!G24/213.36)^(2/11.5))</f>
        <v>1.3374083574995945</v>
      </c>
      <c r="I23" s="10">
        <f>0.613*(H23*'Alternative 1'!$B$34*'Alternative 1'!$B$35*'Alternative 1'!$B$36)</f>
        <v>1556.4704556024628</v>
      </c>
      <c r="J23" s="10">
        <f>I23*'Alternative 1'!$B$32*'Alternative 1'!$B$33*'Alternative 1'!H24</f>
        <v>1600.5579136103067</v>
      </c>
      <c r="K23" s="10">
        <f t="shared" si="1"/>
        <v>0.35981973416304325</v>
      </c>
      <c r="M23" s="10">
        <f>2.01*(('Alternative 2'!G24/213.36)^(2/11.5))</f>
        <v>1.3374083574995945</v>
      </c>
      <c r="N23" s="10">
        <f>0.613*(M23*'Alternative 2'!$B$34*'Alternative 2'!$B$35*'Alternative 2'!$B$36)</f>
        <v>1556.4704556024628</v>
      </c>
      <c r="O23" s="10">
        <f>N23*'Alternative 2'!$B$32*'Alternative 2'!$B$33*'Alternative 2'!H24</f>
        <v>888.04929389112283</v>
      </c>
      <c r="P23" s="10">
        <f t="shared" si="2"/>
        <v>0.19964142386501671</v>
      </c>
      <c r="R23" s="10">
        <f>2.01*(('Alternative 3'!G24/213.36)^(2/11.5))</f>
        <v>1.3374083574995945</v>
      </c>
      <c r="S23" s="10">
        <f>0.613*(R23*'Alternative 3'!$B$34*'Alternative 3'!$B$35*'Alternative 3'!$B$36)</f>
        <v>1556.4704556024628</v>
      </c>
      <c r="T23" s="10">
        <f>S23*'Alternative 3'!$B$32*'Alternative 3'!$B$33*'Alternative 3'!H24</f>
        <v>1552.0111677471614</v>
      </c>
      <c r="U23" s="10">
        <f t="shared" si="3"/>
        <v>0.34890599149717755</v>
      </c>
    </row>
    <row r="24" spans="1:21" x14ac:dyDescent="0.25">
      <c r="A24" s="18">
        <f t="shared" si="4"/>
        <v>22</v>
      </c>
      <c r="C24" s="10">
        <f>2.01*(('Baseline Given'!F25/213.36)^(2/11.5))</f>
        <v>1.3485323037587196</v>
      </c>
      <c r="D24" s="10">
        <f>0.613*(C24*'Baseline Given'!$B$33*'Baseline Given'!$B$34*'Baseline Given'!$B$35)</f>
        <v>1569.4164594201807</v>
      </c>
      <c r="E24" s="10">
        <f>D24*'Baseline Given'!$B$31*'Baseline Given'!$B$32*'Baseline Given'!G25</f>
        <v>3335.4738910884626</v>
      </c>
      <c r="F24" s="18">
        <f t="shared" si="0"/>
        <v>0.74984436276476485</v>
      </c>
      <c r="H24" s="10">
        <f>2.01*(('Alternative 1'!G25/213.36)^(2/11.5))</f>
        <v>1.3485323037587196</v>
      </c>
      <c r="I24" s="10">
        <f>0.613*(H24*'Alternative 1'!$B$34*'Alternative 1'!$B$35*'Alternative 1'!$B$36)</f>
        <v>1569.4164594201807</v>
      </c>
      <c r="J24" s="10">
        <f>I24*'Alternative 1'!$B$32*'Alternative 1'!$B$33*'Alternative 1'!H25</f>
        <v>1595.2983165811017</v>
      </c>
      <c r="K24" s="10">
        <f t="shared" si="1"/>
        <v>0.35863732970972079</v>
      </c>
      <c r="M24" s="10">
        <f>2.01*(('Alternative 2'!G25/213.36)^(2/11.5))</f>
        <v>1.3485323037587196</v>
      </c>
      <c r="N24" s="10">
        <f>0.613*(M24*'Alternative 2'!$B$34*'Alternative 2'!$B$35*'Alternative 2'!$B$36)</f>
        <v>1569.4164594201807</v>
      </c>
      <c r="O24" s="10">
        <f>N24*'Alternative 2'!$B$32*'Alternative 2'!$B$33*'Alternative 2'!H25</f>
        <v>877.16562393195363</v>
      </c>
      <c r="P24" s="10">
        <f t="shared" si="2"/>
        <v>0.19719467751605577</v>
      </c>
      <c r="R24" s="10">
        <f>2.01*(('Alternative 3'!G25/213.36)^(2/11.5))</f>
        <v>1.3485323037587196</v>
      </c>
      <c r="S24" s="10">
        <f>0.613*(R24*'Alternative 3'!$B$34*'Alternative 3'!$B$35*'Alternative 3'!$B$36)</f>
        <v>1569.4164594201807</v>
      </c>
      <c r="T24" s="10">
        <f>S24*'Alternative 3'!$B$32*'Alternative 3'!$B$33*'Alternative 3'!H25</f>
        <v>1546.5108261949429</v>
      </c>
      <c r="U24" s="10">
        <f t="shared" si="3"/>
        <v>0.34766946552189371</v>
      </c>
    </row>
    <row r="25" spans="1:21" x14ac:dyDescent="0.25">
      <c r="A25" s="18">
        <f t="shared" si="4"/>
        <v>23</v>
      </c>
      <c r="C25" s="10">
        <f>2.01*(('Baseline Given'!F26/213.36)^(2/11.5))</f>
        <v>1.3592367357331496</v>
      </c>
      <c r="D25" s="10">
        <f>0.613*(C25*'Baseline Given'!$B$33*'Baseline Given'!$B$34*'Baseline Given'!$B$35)</f>
        <v>1581.8742342043583</v>
      </c>
      <c r="E25" s="10">
        <f>D25*'Baseline Given'!$B$31*'Baseline Given'!$B$32*'Baseline Given'!G26</f>
        <v>3343.210329524461</v>
      </c>
      <c r="F25" s="18">
        <f t="shared" si="0"/>
        <v>0.75158358331888442</v>
      </c>
      <c r="H25" s="10">
        <f>2.01*(('Alternative 1'!G26/213.36)^(2/11.5))</f>
        <v>1.3592367357331496</v>
      </c>
      <c r="I25" s="10">
        <f>0.613*(H25*'Alternative 1'!$B$34*'Alternative 1'!$B$35*'Alternative 1'!$B$36)</f>
        <v>1581.8742342043583</v>
      </c>
      <c r="J25" s="10">
        <f>I25*'Alternative 1'!$B$32*'Alternative 1'!$B$33*'Alternative 1'!H26</f>
        <v>1589.2418134501647</v>
      </c>
      <c r="K25" s="10">
        <f t="shared" si="1"/>
        <v>0.35727577363730367</v>
      </c>
      <c r="M25" s="10">
        <f>2.01*(('Alternative 2'!G26/213.36)^(2/11.5))</f>
        <v>1.3592367357331496</v>
      </c>
      <c r="N25" s="10">
        <f>0.613*(M25*'Alternative 2'!$B$34*'Alternative 2'!$B$35*'Alternative 2'!$B$36)</f>
        <v>1581.8742342043583</v>
      </c>
      <c r="O25" s="10">
        <f>N25*'Alternative 2'!$B$32*'Alternative 2'!$B$33*'Alternative 2'!H26</f>
        <v>865.71334381012832</v>
      </c>
      <c r="P25" s="10">
        <f t="shared" si="2"/>
        <v>0.19462010251695383</v>
      </c>
      <c r="R25" s="10">
        <f>2.01*(('Alternative 3'!G26/213.36)^(2/11.5))</f>
        <v>1.3592367357331496</v>
      </c>
      <c r="S25" s="10">
        <f>0.613*(R25*'Alternative 3'!$B$34*'Alternative 3'!$B$35*'Alternative 3'!$B$36)</f>
        <v>1581.8742342043583</v>
      </c>
      <c r="T25" s="10">
        <f>S25*'Alternative 3'!$B$32*'Alternative 3'!$B$33*'Alternative 3'!H26</f>
        <v>1540.2313949889283</v>
      </c>
      <c r="U25" s="10">
        <f t="shared" si="3"/>
        <v>0.34625779322435923</v>
      </c>
    </row>
    <row r="26" spans="1:21" x14ac:dyDescent="0.25">
      <c r="A26" s="18">
        <f t="shared" si="4"/>
        <v>24</v>
      </c>
      <c r="C26" s="10">
        <f>2.01*(('Baseline Given'!F27/213.36)^(2/11.5))</f>
        <v>1.3695551055702833</v>
      </c>
      <c r="D26" s="10">
        <f>0.613*(C26*'Baseline Given'!$B$33*'Baseline Given'!$B$34*'Baseline Given'!$B$35)</f>
        <v>1593.8827114292981</v>
      </c>
      <c r="E26" s="10">
        <f>D26*'Baseline Given'!$B$31*'Baseline Given'!$B$32*'Baseline Given'!G27</f>
        <v>3349.7073557874714</v>
      </c>
      <c r="F26" s="18">
        <f t="shared" si="0"/>
        <v>0.7530441729313736</v>
      </c>
      <c r="H26" s="10">
        <f>2.01*(('Alternative 1'!G27/213.36)^(2/11.5))</f>
        <v>1.3695551055702833</v>
      </c>
      <c r="I26" s="10">
        <f>0.613*(H26*'Alternative 1'!$B$34*'Alternative 1'!$B$35*'Alternative 1'!$B$36)</f>
        <v>1593.8827114292981</v>
      </c>
      <c r="J26" s="10">
        <f>I26*'Alternative 1'!$B$32*'Alternative 1'!$B$33*'Alternative 1'!H27</f>
        <v>1582.4443892488046</v>
      </c>
      <c r="K26" s="10">
        <f t="shared" si="1"/>
        <v>0.355747651881553</v>
      </c>
      <c r="M26" s="10">
        <f>2.01*(('Alternative 2'!G27/213.36)^(2/11.5))</f>
        <v>0</v>
      </c>
      <c r="N26" s="10">
        <f>0.613*(M26*'Alternative 2'!$B$34*'Alternative 2'!$B$35*'Alternative 2'!$B$36)</f>
        <v>0</v>
      </c>
      <c r="O26" s="10">
        <f>N26*'Alternative 2'!$B$32*'Alternative 2'!$B$33*'Alternative 2'!H27</f>
        <v>0</v>
      </c>
      <c r="P26" s="10">
        <f t="shared" si="2"/>
        <v>0</v>
      </c>
      <c r="R26" s="10">
        <f>2.01*(('Alternative 3'!G27/213.36)^(2/11.5))</f>
        <v>1.3695551055702833</v>
      </c>
      <c r="S26" s="10">
        <f>0.613*(R26*'Alternative 3'!$B$34*'Alternative 3'!$B$35*'Alternative 3'!$B$36)</f>
        <v>1593.8827114292981</v>
      </c>
      <c r="T26" s="10">
        <f>S26*'Alternative 3'!$B$32*'Alternative 3'!$B$33*'Alternative 3'!H27</f>
        <v>1533.2275048458559</v>
      </c>
      <c r="U26" s="10">
        <f t="shared" si="3"/>
        <v>0.34468325607830691</v>
      </c>
    </row>
    <row r="27" spans="1:21" x14ac:dyDescent="0.25">
      <c r="A27" s="18">
        <f t="shared" si="4"/>
        <v>25</v>
      </c>
      <c r="C27" s="10">
        <f>2.01*(('Baseline Given'!F28/213.36)^(2/11.5))</f>
        <v>1.3795169092235569</v>
      </c>
      <c r="D27" s="10">
        <f>0.613*(C27*'Baseline Given'!$B$33*'Baseline Given'!$B$34*'Baseline Given'!$B$35)</f>
        <v>1605.4762183667165</v>
      </c>
      <c r="E27" s="10">
        <f>D27*'Baseline Given'!$B$31*'Baseline Given'!$B$32*'Baseline Given'!G28</f>
        <v>3355.0526735828862</v>
      </c>
      <c r="F27" s="18">
        <f t="shared" si="0"/>
        <v>0.75424584817961549</v>
      </c>
      <c r="H27" s="10">
        <f>2.01*(('Alternative 1'!G28/213.36)^(2/11.5))</f>
        <v>1.3795169092235569</v>
      </c>
      <c r="I27" s="10">
        <f>0.613*(H27*'Alternative 1'!$B$34*'Alternative 1'!$B$35*'Alternative 1'!$B$36)</f>
        <v>1605.4762183667165</v>
      </c>
      <c r="J27" s="10">
        <f>I27*'Alternative 1'!$B$32*'Alternative 1'!$B$33*'Alternative 1'!H28</f>
        <v>1574.9556694899488</v>
      </c>
      <c r="K27" s="10">
        <f t="shared" si="1"/>
        <v>0.35406412070161902</v>
      </c>
      <c r="M27" s="10">
        <f>2.01*(('Alternative 2'!G28/213.36)^(2/11.5))</f>
        <v>0</v>
      </c>
      <c r="N27" s="10">
        <f>0.613*(M27*'Alternative 2'!$B$34*'Alternative 2'!$B$35*'Alternative 2'!$B$36)</f>
        <v>0</v>
      </c>
      <c r="O27" s="10">
        <f>N27*'Alternative 2'!$B$32*'Alternative 2'!$B$33*'Alternative 2'!H28</f>
        <v>0</v>
      </c>
      <c r="P27" s="10">
        <f t="shared" si="2"/>
        <v>0</v>
      </c>
      <c r="R27" s="10">
        <f>2.01*(('Alternative 3'!G28/213.36)^(2/11.5))</f>
        <v>1.3795169092235569</v>
      </c>
      <c r="S27" s="10">
        <f>0.613*(R27*'Alternative 3'!$B$34*'Alternative 3'!$B$35*'Alternative 3'!$B$36)</f>
        <v>1605.4762183667165</v>
      </c>
      <c r="T27" s="10">
        <f>S27*'Alternative 3'!$B$32*'Alternative 3'!$B$33*'Alternative 3'!H28</f>
        <v>1525.5475848353294</v>
      </c>
      <c r="U27" s="10">
        <f t="shared" si="3"/>
        <v>0.34295674137172694</v>
      </c>
    </row>
    <row r="28" spans="1:21" x14ac:dyDescent="0.25">
      <c r="A28" s="18">
        <f t="shared" si="4"/>
        <v>26</v>
      </c>
      <c r="C28" s="10">
        <f>2.01*(('Baseline Given'!F29/213.36)^(2/11.5))</f>
        <v>1.3891482945381712</v>
      </c>
      <c r="D28" s="10">
        <f>0.613*(C28*'Baseline Given'!$B$33*'Baseline Given'!$B$34*'Baseline Given'!$B$35)</f>
        <v>1616.6851857734612</v>
      </c>
      <c r="E28" s="10">
        <f>D28*'Baseline Given'!$B$31*'Baseline Given'!$B$32*'Baseline Given'!G29</f>
        <v>3359.3242633520131</v>
      </c>
      <c r="F28" s="18">
        <f t="shared" si="0"/>
        <v>0.75520613976426287</v>
      </c>
      <c r="H28" s="10">
        <f>2.01*(('Alternative 1'!G29/213.36)^(2/11.5))</f>
        <v>1.3891482945381712</v>
      </c>
      <c r="I28" s="10">
        <f>0.613*(H28*'Alternative 1'!$B$34*'Alternative 1'!$B$35*'Alternative 1'!$B$36)</f>
        <v>1616.6851857734612</v>
      </c>
      <c r="J28" s="10">
        <f>I28*'Alternative 1'!$B$32*'Alternative 1'!$B$33*'Alternative 1'!H29</f>
        <v>1566.8198784559336</v>
      </c>
      <c r="K28" s="10">
        <f t="shared" si="1"/>
        <v>0.35223512211170721</v>
      </c>
      <c r="M28" s="10">
        <f>2.01*(('Alternative 2'!G29/213.36)^(2/11.5))</f>
        <v>0</v>
      </c>
      <c r="N28" s="10">
        <f>0.613*(M28*'Alternative 2'!$B$34*'Alternative 2'!$B$35*'Alternative 2'!$B$36)</f>
        <v>0</v>
      </c>
      <c r="O28" s="10">
        <f>N28*'Alternative 2'!$B$32*'Alternative 2'!$B$33*'Alternative 2'!H29</f>
        <v>0</v>
      </c>
      <c r="P28" s="10">
        <f t="shared" si="2"/>
        <v>0</v>
      </c>
      <c r="R28" s="10">
        <f>2.01*(('Alternative 3'!G29/213.36)^(2/11.5))</f>
        <v>1.3891482945381712</v>
      </c>
      <c r="S28" s="10">
        <f>0.613*(R28*'Alternative 3'!$B$34*'Alternative 3'!$B$35*'Alternative 3'!$B$36)</f>
        <v>1616.6851857734612</v>
      </c>
      <c r="T28" s="10">
        <f>S28*'Alternative 3'!$B$32*'Alternative 3'!$B$33*'Alternative 3'!H29</f>
        <v>1517.2347965706067</v>
      </c>
      <c r="U28" s="10">
        <f t="shared" si="3"/>
        <v>0.34108795222131172</v>
      </c>
    </row>
    <row r="29" spans="1:21" x14ac:dyDescent="0.25">
      <c r="A29" s="18">
        <f t="shared" si="4"/>
        <v>27</v>
      </c>
      <c r="C29" s="10">
        <f>2.01*(('Baseline Given'!F30/213.36)^(2/11.5))</f>
        <v>1.3984725559793649</v>
      </c>
      <c r="D29" s="10">
        <f>0.613*(C29*'Baseline Given'!$B$33*'Baseline Given'!$B$34*'Baseline Given'!$B$35)</f>
        <v>1627.5367236542806</v>
      </c>
      <c r="E29" s="10">
        <f>D29*'Baseline Given'!$B$31*'Baseline Given'!$B$32*'Baseline Given'!G30</f>
        <v>3362.5918026382028</v>
      </c>
      <c r="F29" s="18">
        <f t="shared" si="0"/>
        <v>0.75594071182024813</v>
      </c>
      <c r="H29" s="10">
        <f>2.01*(('Alternative 1'!G30/213.36)^(2/11.5))</f>
        <v>1.3984725559793649</v>
      </c>
      <c r="I29" s="10">
        <f>0.613*(H29*'Alternative 1'!$B$34*'Alternative 1'!$B$35*'Alternative 1'!$B$36)</f>
        <v>1627.5367236542806</v>
      </c>
      <c r="J29" s="10">
        <f>I29*'Alternative 1'!$B$32*'Alternative 1'!$B$33*'Alternative 1'!H30</f>
        <v>1558.0766209434562</v>
      </c>
      <c r="K29" s="10">
        <f t="shared" si="1"/>
        <v>0.35026955962433531</v>
      </c>
      <c r="M29" s="10">
        <f>2.01*(('Alternative 2'!G30/213.36)^(2/11.5))</f>
        <v>0</v>
      </c>
      <c r="N29" s="10">
        <f>0.613*(M29*'Alternative 2'!$B$34*'Alternative 2'!$B$35*'Alternative 2'!$B$36)</f>
        <v>0</v>
      </c>
      <c r="O29" s="10">
        <f>N29*'Alternative 2'!$B$32*'Alternative 2'!$B$33*'Alternative 2'!H30</f>
        <v>0</v>
      </c>
      <c r="P29" s="10">
        <f t="shared" si="2"/>
        <v>0</v>
      </c>
      <c r="R29" s="10">
        <f>2.01*(('Alternative 3'!G30/213.36)^(2/11.5))</f>
        <v>1.3984725559793649</v>
      </c>
      <c r="S29" s="10">
        <f>0.613*(R29*'Alternative 3'!$B$34*'Alternative 3'!$B$35*'Alternative 3'!$B$36)</f>
        <v>1627.5367236542806</v>
      </c>
      <c r="T29" s="10">
        <f>S29*'Alternative 3'!$B$32*'Alternative 3'!$B$33*'Alternative 3'!H30</f>
        <v>1508.3277963302226</v>
      </c>
      <c r="U29" s="10">
        <f t="shared" si="3"/>
        <v>0.33908557890421254</v>
      </c>
    </row>
    <row r="30" spans="1:21" x14ac:dyDescent="0.25">
      <c r="A30" s="18">
        <f t="shared" si="4"/>
        <v>28</v>
      </c>
      <c r="C30" s="10">
        <f>2.01*(('Baseline Given'!F31/213.36)^(2/11.5))</f>
        <v>1.4075105405682082</v>
      </c>
      <c r="D30" s="10">
        <f>0.613*(C30*'Baseline Given'!$B$33*'Baseline Given'!$B$34*'Baseline Given'!$B$35)</f>
        <v>1638.0550936882655</v>
      </c>
      <c r="E30" s="10">
        <f>D30*'Baseline Given'!$B$31*'Baseline Given'!$B$32*'Baseline Given'!G31</f>
        <v>3364.9178332525094</v>
      </c>
      <c r="F30" s="18">
        <f t="shared" si="0"/>
        <v>0.75646362430606184</v>
      </c>
      <c r="H30" s="10">
        <f>2.01*(('Alternative 1'!G31/213.36)^(2/11.5))</f>
        <v>1.4075105405682082</v>
      </c>
      <c r="I30" s="10">
        <f>0.613*(H30*'Alternative 1'!$B$34*'Alternative 1'!$B$35*'Alternative 1'!$B$36)</f>
        <v>1638.0550936882655</v>
      </c>
      <c r="J30" s="10">
        <f>I30*'Alternative 1'!$B$32*'Alternative 1'!$B$33*'Alternative 1'!H31</f>
        <v>1548.7615254241912</v>
      </c>
      <c r="K30" s="10">
        <f t="shared" si="1"/>
        <v>0.3481754428385922</v>
      </c>
      <c r="M30" s="10">
        <f>2.01*(('Alternative 2'!G31/213.36)^(2/11.5))</f>
        <v>0</v>
      </c>
      <c r="N30" s="10">
        <f>0.613*(M30*'Alternative 2'!$B$34*'Alternative 2'!$B$35*'Alternative 2'!$B$36)</f>
        <v>0</v>
      </c>
      <c r="O30" s="10">
        <f>N30*'Alternative 2'!$B$32*'Alternative 2'!$B$33*'Alternative 2'!H31</f>
        <v>0</v>
      </c>
      <c r="P30" s="10">
        <f t="shared" si="2"/>
        <v>0</v>
      </c>
      <c r="R30" s="10">
        <f>2.01*(('Alternative 3'!G31/213.36)^(2/11.5))</f>
        <v>1.4075105405682082</v>
      </c>
      <c r="S30" s="10">
        <f>0.613*(R30*'Alternative 3'!$B$34*'Alternative 3'!$B$35*'Alternative 3'!$B$36)</f>
        <v>1638.0550936882655</v>
      </c>
      <c r="T30" s="10">
        <f>S30*'Alternative 3'!$B$32*'Alternative 3'!$B$33*'Alternative 3'!H31</f>
        <v>1498.861362102105</v>
      </c>
      <c r="U30" s="10">
        <f t="shared" si="3"/>
        <v>0.33695743982316551</v>
      </c>
    </row>
    <row r="31" spans="1:21" x14ac:dyDescent="0.25">
      <c r="A31" s="18">
        <f t="shared" si="4"/>
        <v>29</v>
      </c>
      <c r="C31" s="10">
        <f>2.01*(('Baseline Given'!F32/213.36)^(2/11.5))</f>
        <v>1.4162809835757659</v>
      </c>
      <c r="D31" s="10">
        <f>0.613*(C31*'Baseline Given'!$B$33*'Baseline Given'!$B$34*'Baseline Given'!$B$35)</f>
        <v>1648.2620999083631</v>
      </c>
      <c r="E31" s="10">
        <f>D31*'Baseline Given'!$B$31*'Baseline Given'!$B$32*'Baseline Given'!G32</f>
        <v>3366.3587279017906</v>
      </c>
      <c r="F31" s="18">
        <f t="shared" si="0"/>
        <v>0.75678755031039613</v>
      </c>
      <c r="H31" s="10">
        <f>2.01*(('Alternative 1'!G32/213.36)^(2/11.5))</f>
        <v>1.4162809835757659</v>
      </c>
      <c r="I31" s="10">
        <f>0.613*(H31*'Alternative 1'!$B$34*'Alternative 1'!$B$35*'Alternative 1'!$B$36)</f>
        <v>1648.2620999083631</v>
      </c>
      <c r="J31" s="10">
        <f>I31*'Alternative 1'!$B$32*'Alternative 1'!$B$33*'Alternative 1'!H32</f>
        <v>1538.9067773381928</v>
      </c>
      <c r="K31" s="10">
        <f t="shared" si="1"/>
        <v>0.34596000732926452</v>
      </c>
      <c r="M31" s="10">
        <f>2.01*(('Alternative 2'!G32/213.36)^(2/11.5))</f>
        <v>0</v>
      </c>
      <c r="N31" s="10">
        <f>0.613*(M31*'Alternative 2'!$B$34*'Alternative 2'!$B$35*'Alternative 2'!$B$36)</f>
        <v>0</v>
      </c>
      <c r="O31" s="10">
        <f>N31*'Alternative 2'!$B$32*'Alternative 2'!$B$33*'Alternative 2'!H32</f>
        <v>0</v>
      </c>
      <c r="P31" s="10">
        <f t="shared" si="2"/>
        <v>0</v>
      </c>
      <c r="R31" s="10">
        <f>2.01*(('Alternative 3'!G32/213.36)^(2/11.5))</f>
        <v>1.4162809835757659</v>
      </c>
      <c r="S31" s="10">
        <f>0.613*(R31*'Alternative 3'!$B$34*'Alternative 3'!$B$35*'Alternative 3'!$B$36)</f>
        <v>1648.2620999083631</v>
      </c>
      <c r="T31" s="10">
        <f>S31*'Alternative 3'!$B$32*'Alternative 3'!$B$33*'Alternative 3'!H32</f>
        <v>1488.8669135367247</v>
      </c>
      <c r="U31" s="10">
        <f t="shared" si="3"/>
        <v>0.33471059839660972</v>
      </c>
    </row>
    <row r="32" spans="1:21" x14ac:dyDescent="0.25">
      <c r="A32" s="18">
        <f t="shared" si="4"/>
        <v>30</v>
      </c>
      <c r="C32" s="10">
        <f>2.01*(('Baseline Given'!F33/213.36)^(2/11.5))</f>
        <v>1.4248007881422429</v>
      </c>
      <c r="D32" s="10">
        <f>0.613*(C32*'Baseline Given'!$B$33*'Baseline Given'!$B$34*'Baseline Given'!$B$35)</f>
        <v>1658.1774141210101</v>
      </c>
      <c r="E32" s="10">
        <f>D32*'Baseline Given'!$B$31*'Baseline Given'!$B$32*'Baseline Given'!G33</f>
        <v>3366.9654965355717</v>
      </c>
      <c r="F32" s="18">
        <f t="shared" si="0"/>
        <v>0.75692395732613049</v>
      </c>
      <c r="H32" s="10">
        <f>2.01*(('Alternative 1'!G33/213.36)^(2/11.5))</f>
        <v>1.4248007881422429</v>
      </c>
      <c r="I32" s="10">
        <f>0.613*(H32*'Alternative 1'!$B$34*'Alternative 1'!$B$35*'Alternative 1'!$B$36)</f>
        <v>1658.1774141210101</v>
      </c>
      <c r="J32" s="10">
        <f>I32*'Alternative 1'!$B$32*'Alternative 1'!$B$33*'Alternative 1'!H33</f>
        <v>1528.5415644898667</v>
      </c>
      <c r="K32" s="10">
        <f t="shared" si="1"/>
        <v>0.34362981477583465</v>
      </c>
      <c r="M32" s="10">
        <f>2.01*(('Alternative 2'!G33/213.36)^(2/11.5))</f>
        <v>0</v>
      </c>
      <c r="N32" s="10">
        <f>0.613*(M32*'Alternative 2'!$B$34*'Alternative 2'!$B$35*'Alternative 2'!$B$36)</f>
        <v>0</v>
      </c>
      <c r="O32" s="10">
        <f>N32*'Alternative 2'!$B$32*'Alternative 2'!$B$33*'Alternative 2'!H33</f>
        <v>0</v>
      </c>
      <c r="P32" s="10">
        <f t="shared" si="2"/>
        <v>0</v>
      </c>
      <c r="R32" s="10">
        <f>2.01*(('Alternative 3'!G33/213.36)^(2/11.5))</f>
        <v>1.4248007881422429</v>
      </c>
      <c r="S32" s="10">
        <f>0.613*(R32*'Alternative 3'!$B$34*'Alternative 3'!$B$35*'Alternative 3'!$B$36)</f>
        <v>1658.1774141210101</v>
      </c>
      <c r="T32" s="10">
        <f>S32*'Alternative 3'!$B$32*'Alternative 3'!$B$33*'Alternative 3'!H33</f>
        <v>1478.372946220798</v>
      </c>
      <c r="U32" s="10">
        <f t="shared" si="3"/>
        <v>0.33235146068729987</v>
      </c>
    </row>
    <row r="33" spans="1:21" x14ac:dyDescent="0.25">
      <c r="A33" s="18">
        <f t="shared" si="4"/>
        <v>31</v>
      </c>
      <c r="C33" s="10">
        <f>2.01*(('Baseline Given'!F34/213.36)^(2/11.5))</f>
        <v>1.4330852597517674</v>
      </c>
      <c r="D33" s="10">
        <f>0.613*(C33*'Baseline Given'!$B$33*'Baseline Given'!$B$34*'Baseline Given'!$B$35)</f>
        <v>1667.8188487869406</v>
      </c>
      <c r="E33" s="10">
        <f>D33*'Baseline Given'!$B$31*'Baseline Given'!$B$32*'Baseline Given'!G34</f>
        <v>3366.7844635031634</v>
      </c>
      <c r="F33" s="18">
        <f t="shared" si="0"/>
        <v>0.75688325948130897</v>
      </c>
      <c r="H33" s="10">
        <f>2.01*(('Alternative 1'!G34/213.36)^(2/11.5))</f>
        <v>1.4330852597517674</v>
      </c>
      <c r="I33" s="10">
        <f>0.613*(H33*'Alternative 1'!$B$34*'Alternative 1'!$B$35*'Alternative 1'!$B$36)</f>
        <v>1667.8188487869406</v>
      </c>
      <c r="J33" s="10">
        <f>I33*'Alternative 1'!$B$32*'Alternative 1'!$B$33*'Alternative 1'!H34</f>
        <v>1517.6924515284518</v>
      </c>
      <c r="K33" s="10">
        <f t="shared" si="1"/>
        <v>0.34119083714904219</v>
      </c>
      <c r="M33" s="10">
        <f>2.01*(('Alternative 2'!G34/213.36)^(2/11.5))</f>
        <v>0</v>
      </c>
      <c r="N33" s="10">
        <f>0.613*(M33*'Alternative 2'!$B$34*'Alternative 2'!$B$35*'Alternative 2'!$B$36)</f>
        <v>0</v>
      </c>
      <c r="O33" s="10">
        <f>N33*'Alternative 2'!$B$32*'Alternative 2'!$B$33*'Alternative 2'!H34</f>
        <v>0</v>
      </c>
      <c r="P33" s="10">
        <f t="shared" si="2"/>
        <v>0</v>
      </c>
      <c r="R33" s="10">
        <f>2.01*(('Alternative 3'!G34/213.36)^(2/11.5))</f>
        <v>1.4330852597517674</v>
      </c>
      <c r="S33" s="10">
        <f>0.613*(R33*'Alternative 3'!$B$34*'Alternative 3'!$B$35*'Alternative 3'!$B$36)</f>
        <v>1667.8188487869406</v>
      </c>
      <c r="T33" s="10">
        <f>S33*'Alternative 3'!$B$32*'Alternative 3'!$B$33*'Alternative 3'!H34</f>
        <v>1467.4053968224578</v>
      </c>
      <c r="U33" s="10">
        <f t="shared" si="3"/>
        <v>0.32988585749020638</v>
      </c>
    </row>
    <row r="34" spans="1:21" x14ac:dyDescent="0.25">
      <c r="A34" s="18">
        <f t="shared" si="4"/>
        <v>32</v>
      </c>
      <c r="C34" s="10">
        <f>2.01*(('Baseline Given'!F35/213.36)^(2/11.5))</f>
        <v>1.4411483040776412</v>
      </c>
      <c r="D34" s="10">
        <f>0.613*(C34*'Baseline Given'!$B$33*'Baseline Given'!$B$34*'Baseline Given'!$B$35)</f>
        <v>1677.2025872726929</v>
      </c>
      <c r="E34" s="10">
        <f>D34*'Baseline Given'!$B$31*'Baseline Given'!$B$32*'Baseline Given'!G35</f>
        <v>3365.8578397646415</v>
      </c>
      <c r="F34" s="18">
        <f t="shared" si="0"/>
        <v>0.75667494617728615</v>
      </c>
      <c r="H34" s="10">
        <f>2.01*(('Alternative 1'!G35/213.36)^(2/11.5))</f>
        <v>1.4411483040776412</v>
      </c>
      <c r="I34" s="10">
        <f>0.613*(H34*'Alternative 1'!$B$34*'Alternative 1'!$B$35*'Alternative 1'!$B$36)</f>
        <v>1677.2025872726929</v>
      </c>
      <c r="J34" s="10">
        <f>I34*'Alternative 1'!$B$32*'Alternative 1'!$B$33*'Alternative 1'!H35</f>
        <v>1506.3836967654372</v>
      </c>
      <c r="K34" s="10">
        <f t="shared" si="1"/>
        <v>0.33864852793427314</v>
      </c>
      <c r="M34" s="10">
        <f>2.01*(('Alternative 2'!G35/213.36)^(2/11.5))</f>
        <v>0</v>
      </c>
      <c r="N34" s="10">
        <f>0.613*(M34*'Alternative 2'!$B$34*'Alternative 2'!$B$35*'Alternative 2'!$B$36)</f>
        <v>0</v>
      </c>
      <c r="O34" s="10">
        <f>N34*'Alternative 2'!$B$32*'Alternative 2'!$B$33*'Alternative 2'!H35</f>
        <v>0</v>
      </c>
      <c r="P34" s="10">
        <f t="shared" si="2"/>
        <v>0</v>
      </c>
      <c r="R34" s="10">
        <f>2.01*(('Alternative 3'!G35/213.36)^(2/11.5))</f>
        <v>1.4411483040776412</v>
      </c>
      <c r="S34" s="10">
        <f>0.613*(R34*'Alternative 3'!$B$34*'Alternative 3'!$B$35*'Alternative 3'!$B$36)</f>
        <v>1677.2025872726929</v>
      </c>
      <c r="T34" s="10">
        <f>S34*'Alternative 3'!$B$32*'Alternative 3'!$B$33*'Alternative 3'!H35</f>
        <v>1455.987952024361</v>
      </c>
      <c r="U34" s="10">
        <f t="shared" si="3"/>
        <v>0.32731911378344125</v>
      </c>
    </row>
    <row r="35" spans="1:21" x14ac:dyDescent="0.25">
      <c r="A35" s="18">
        <f t="shared" si="4"/>
        <v>33</v>
      </c>
      <c r="C35" s="10">
        <f>2.01*(('Baseline Given'!F36/213.36)^(2/11.5))</f>
        <v>1.4490025948900345</v>
      </c>
      <c r="D35" s="10">
        <f>0.613*(C35*'Baseline Given'!$B$33*'Baseline Given'!$B$34*'Baseline Given'!$B$35)</f>
        <v>1686.3433792609053</v>
      </c>
      <c r="E35" s="10">
        <f>D35*'Baseline Given'!$B$31*'Baseline Given'!$B$32*'Baseline Given'!G36</f>
        <v>3364.2242092278998</v>
      </c>
      <c r="F35" s="18">
        <f t="shared" si="0"/>
        <v>0.75630769142164589</v>
      </c>
      <c r="H35" s="10">
        <f>2.01*(('Alternative 1'!G36/213.36)^(2/11.5))</f>
        <v>1.4490025948900345</v>
      </c>
      <c r="I35" s="10">
        <f>0.613*(H35*'Alternative 1'!$B$34*'Alternative 1'!$B$35*'Alternative 1'!$B$36)</f>
        <v>1686.3433792609053</v>
      </c>
      <c r="J35" s="10">
        <f>I35*'Alternative 1'!$B$32*'Alternative 1'!$B$33*'Alternative 1'!H36</f>
        <v>1494.6375217629432</v>
      </c>
      <c r="K35" s="10">
        <f t="shared" si="1"/>
        <v>0.33600788273743898</v>
      </c>
      <c r="M35" s="10">
        <f>2.01*(('Alternative 2'!G36/213.36)^(2/11.5))</f>
        <v>0</v>
      </c>
      <c r="N35" s="10">
        <f>0.613*(M35*'Alternative 2'!$B$34*'Alternative 2'!$B$35*'Alternative 2'!$B$36)</f>
        <v>0</v>
      </c>
      <c r="O35" s="10">
        <f>N35*'Alternative 2'!$B$32*'Alternative 2'!$B$33*'Alternative 2'!H36</f>
        <v>0</v>
      </c>
      <c r="P35" s="10">
        <f t="shared" si="2"/>
        <v>0</v>
      </c>
      <c r="R35" s="10">
        <f>2.01*(('Alternative 3'!G36/213.36)^(2/11.5))</f>
        <v>1.4490025948900345</v>
      </c>
      <c r="S35" s="10">
        <f>0.613*(R35*'Alternative 3'!$B$34*'Alternative 3'!$B$35*'Alternative 3'!$B$36)</f>
        <v>1686.3433792609053</v>
      </c>
      <c r="T35" s="10">
        <f>S35*'Alternative 3'!$B$32*'Alternative 3'!$B$33*'Alternative 3'!H36</f>
        <v>1444.1423114145575</v>
      </c>
      <c r="U35" s="10">
        <f t="shared" si="3"/>
        <v>0.32465610782847637</v>
      </c>
    </row>
    <row r="36" spans="1:21" x14ac:dyDescent="0.25">
      <c r="A36" s="18">
        <f t="shared" si="4"/>
        <v>34</v>
      </c>
      <c r="C36" s="10">
        <f>2.01*(('Baseline Given'!F37/213.36)^(2/11.5))</f>
        <v>1.4566597173291067</v>
      </c>
      <c r="D36" s="10">
        <f>0.613*(C36*'Baseline Given'!$B$33*'Baseline Given'!$B$34*'Baseline Given'!$B$35)</f>
        <v>1695.2547074909965</v>
      </c>
      <c r="E36" s="10">
        <f>D36*'Baseline Given'!$B$31*'Baseline Given'!$B$32*'Baseline Given'!G37</f>
        <v>3361.9189443401565</v>
      </c>
      <c r="F36" s="18">
        <f t="shared" si="0"/>
        <v>0.75578944725688946</v>
      </c>
      <c r="H36" s="10">
        <f>2.01*(('Alternative 1'!G37/213.36)^(2/11.5))</f>
        <v>1.4566597173291067</v>
      </c>
      <c r="I36" s="10">
        <f>0.613*(H36*'Alternative 1'!$B$34*'Alternative 1'!$B$35*'Alternative 1'!$B$36)</f>
        <v>1695.2547074909965</v>
      </c>
      <c r="J36" s="10">
        <f>I36*'Alternative 1'!$B$32*'Alternative 1'!$B$33*'Alternative 1'!H37</f>
        <v>1482.4743419761783</v>
      </c>
      <c r="K36" s="10">
        <f t="shared" si="1"/>
        <v>0.33327349113546373</v>
      </c>
      <c r="M36" s="10">
        <f>2.01*(('Alternative 2'!G37/213.36)^(2/11.5))</f>
        <v>0</v>
      </c>
      <c r="N36" s="10">
        <f>0.613*(M36*'Alternative 2'!$B$34*'Alternative 2'!$B$35*'Alternative 2'!$B$36)</f>
        <v>0</v>
      </c>
      <c r="O36" s="10">
        <f>N36*'Alternative 2'!$B$32*'Alternative 2'!$B$33*'Alternative 2'!H37</f>
        <v>0</v>
      </c>
      <c r="P36" s="10">
        <f t="shared" si="2"/>
        <v>0</v>
      </c>
      <c r="R36" s="10">
        <f>2.01*(('Alternative 3'!G37/213.36)^(2/11.5))</f>
        <v>1.4566597173291067</v>
      </c>
      <c r="S36" s="10">
        <f>0.613*(R36*'Alternative 3'!$B$34*'Alternative 3'!$B$35*'Alternative 3'!$B$36)</f>
        <v>1695.2547074909965</v>
      </c>
      <c r="T36" s="10">
        <f>S36*'Alternative 3'!$B$32*'Alternative 3'!$B$33*'Alternative 3'!H37</f>
        <v>1431.8884124087324</v>
      </c>
      <c r="U36" s="10">
        <f t="shared" si="3"/>
        <v>0.32190132173467539</v>
      </c>
    </row>
    <row r="37" spans="1:21" x14ac:dyDescent="0.25">
      <c r="A37" s="18">
        <f t="shared" si="4"/>
        <v>35</v>
      </c>
      <c r="C37" s="10">
        <f>2.01*(('Baseline Given'!F38/213.36)^(2/11.5))</f>
        <v>1.4641302907783511</v>
      </c>
      <c r="D37" s="10">
        <f>0.613*(C37*'Baseline Given'!$B$33*'Baseline Given'!$B$34*'Baseline Given'!$B$35)</f>
        <v>1703.9489307586723</v>
      </c>
      <c r="E37" s="10">
        <f>D37*'Baseline Given'!$B$31*'Baseline Given'!$B$32*'Baseline Given'!G38</f>
        <v>3358.9745630267994</v>
      </c>
      <c r="F37" s="18">
        <f t="shared" si="0"/>
        <v>0.75512752400348027</v>
      </c>
      <c r="H37" s="10">
        <f>2.01*(('Alternative 1'!G38/213.36)^(2/11.5))</f>
        <v>1.4641302907783511</v>
      </c>
      <c r="I37" s="10">
        <f>0.613*(H37*'Alternative 1'!$B$34*'Alternative 1'!$B$35*'Alternative 1'!$B$36)</f>
        <v>1703.9489307586723</v>
      </c>
      <c r="J37" s="10">
        <f>I37*'Alternative 1'!$B$32*'Alternative 1'!$B$33*'Alternative 1'!H38</f>
        <v>1469.9129650764107</v>
      </c>
      <c r="K37" s="10">
        <f t="shared" si="1"/>
        <v>0.33044958126106189</v>
      </c>
      <c r="M37" s="10">
        <f>2.01*(('Alternative 2'!G38/213.36)^(2/11.5))</f>
        <v>0</v>
      </c>
      <c r="N37" s="10">
        <f>0.613*(M37*'Alternative 2'!$B$34*'Alternative 2'!$B$35*'Alternative 2'!$B$36)</f>
        <v>0</v>
      </c>
      <c r="O37" s="10">
        <f>N37*'Alternative 2'!$B$32*'Alternative 2'!$B$33*'Alternative 2'!H38</f>
        <v>0</v>
      </c>
      <c r="P37" s="10">
        <f t="shared" si="2"/>
        <v>0</v>
      </c>
      <c r="R37" s="10">
        <f>2.01*(('Alternative 3'!G38/213.36)^(2/11.5))</f>
        <v>1.4641302907783511</v>
      </c>
      <c r="S37" s="10">
        <f>0.613*(R37*'Alternative 3'!$B$34*'Alternative 3'!$B$35*'Alternative 3'!$B$36)</f>
        <v>1703.9489307586723</v>
      </c>
      <c r="T37" s="10">
        <f>S37*'Alternative 3'!$B$32*'Alternative 3'!$B$33*'Alternative 3'!H38</f>
        <v>1419.2446236628593</v>
      </c>
      <c r="U37" s="10">
        <f t="shared" si="3"/>
        <v>0.31905888494018808</v>
      </c>
    </row>
    <row r="38" spans="1:21" x14ac:dyDescent="0.25">
      <c r="A38" s="18">
        <f t="shared" si="4"/>
        <v>36</v>
      </c>
      <c r="C38" s="10">
        <f>2.01*(('Baseline Given'!F39/213.36)^(2/11.5))</f>
        <v>1.4714240747444001</v>
      </c>
      <c r="D38" s="10">
        <f>0.613*(C38*'Baseline Given'!$B$33*'Baseline Given'!$B$34*'Baseline Given'!$B$35)</f>
        <v>1712.4374071384123</v>
      </c>
      <c r="E38" s="10">
        <f>D38*'Baseline Given'!$B$31*'Baseline Given'!$B$32*'Baseline Given'!G39</f>
        <v>3355.4210367138539</v>
      </c>
      <c r="F38" s="18">
        <f t="shared" si="0"/>
        <v>0.75432865950604933</v>
      </c>
      <c r="H38" s="10">
        <f>2.01*(('Alternative 1'!G39/213.36)^(2/11.5))</f>
        <v>1.4714240747444001</v>
      </c>
      <c r="I38" s="10">
        <f>0.613*(H38*'Alternative 1'!$B$34*'Alternative 1'!$B$35*'Alternative 1'!$B$36)</f>
        <v>1712.4374071384123</v>
      </c>
      <c r="J38" s="10">
        <f>I38*'Alternative 1'!$B$32*'Alternative 1'!$B$33*'Alternative 1'!H39</f>
        <v>1456.9707622938708</v>
      </c>
      <c r="K38" s="10">
        <f t="shared" si="1"/>
        <v>0.32754005832215527</v>
      </c>
      <c r="M38" s="10">
        <f>2.01*(('Alternative 2'!G39/213.36)^(2/11.5))</f>
        <v>0</v>
      </c>
      <c r="N38" s="10">
        <f>0.613*(M38*'Alternative 2'!$B$34*'Alternative 2'!$B$35*'Alternative 2'!$B$36)</f>
        <v>0</v>
      </c>
      <c r="O38" s="10">
        <f>N38*'Alternative 2'!$B$32*'Alternative 2'!$B$33*'Alternative 2'!H39</f>
        <v>0</v>
      </c>
      <c r="P38" s="10">
        <f t="shared" si="2"/>
        <v>0</v>
      </c>
      <c r="R38" s="10">
        <f>2.01*(('Alternative 3'!G39/213.36)^(2/11.5))</f>
        <v>0</v>
      </c>
      <c r="S38" s="10">
        <f>0.613*(R38*'Alternative 3'!$B$34*'Alternative 3'!$B$35*'Alternative 3'!$B$36)</f>
        <v>0</v>
      </c>
      <c r="T38" s="10">
        <f>S38*'Alternative 3'!$B$32*'Alternative 3'!$B$33*'Alternative 3'!H39</f>
        <v>0</v>
      </c>
      <c r="U38" s="10">
        <f t="shared" si="3"/>
        <v>0</v>
      </c>
    </row>
    <row r="39" spans="1:21" x14ac:dyDescent="0.25">
      <c r="A39" s="18">
        <f t="shared" si="4"/>
        <v>37</v>
      </c>
      <c r="C39" s="10">
        <f>2.01*(('Baseline Given'!F40/213.36)^(2/11.5))</f>
        <v>1.4785500605016701</v>
      </c>
      <c r="D39" s="10">
        <f>0.613*(C39*'Baseline Given'!$B$33*'Baseline Given'!$B$34*'Baseline Given'!$B$35)</f>
        <v>1720.7306006391402</v>
      </c>
      <c r="E39" s="10">
        <f>D39*'Baseline Given'!$B$31*'Baseline Given'!$B$32*'Baseline Given'!G40</f>
        <v>3351.2860573263233</v>
      </c>
      <c r="F39" s="18">
        <f t="shared" si="0"/>
        <v>0.75339907915701043</v>
      </c>
      <c r="H39" s="10">
        <f>2.01*(('Alternative 1'!G40/213.36)^(2/11.5))</f>
        <v>0</v>
      </c>
      <c r="I39" s="10">
        <f>0.613*(H39*'Alternative 1'!$B$34*'Alternative 1'!$B$35*'Alternative 1'!$B$36)</f>
        <v>0</v>
      </c>
      <c r="J39" s="10">
        <f>I39*'Alternative 1'!$B$32*'Alternative 1'!$B$33*'Alternative 1'!H40</f>
        <v>0</v>
      </c>
      <c r="K39" s="10">
        <f t="shared" si="1"/>
        <v>0</v>
      </c>
      <c r="M39" s="10">
        <f>2.01*(('Alternative 2'!G40/213.36)^(2/11.5))</f>
        <v>0</v>
      </c>
      <c r="N39" s="10">
        <f>0.613*(M39*'Alternative 2'!$B$34*'Alternative 2'!$B$35*'Alternative 2'!$B$36)</f>
        <v>0</v>
      </c>
      <c r="O39" s="10">
        <f>N39*'Alternative 2'!$B$32*'Alternative 2'!$B$33*'Alternative 2'!H40</f>
        <v>0</v>
      </c>
      <c r="P39" s="10">
        <f t="shared" si="2"/>
        <v>0</v>
      </c>
      <c r="R39" s="10">
        <f>2.01*(('Alternative 3'!G40/213.36)^(2/11.5))</f>
        <v>0</v>
      </c>
      <c r="S39" s="10">
        <f>0.613*(R39*'Alternative 3'!$B$34*'Alternative 3'!$B$35*'Alternative 3'!$B$36)</f>
        <v>0</v>
      </c>
      <c r="T39" s="10">
        <f>S39*'Alternative 3'!$B$32*'Alternative 3'!$B$33*'Alternative 3'!H40</f>
        <v>0</v>
      </c>
      <c r="U39" s="10">
        <f t="shared" si="3"/>
        <v>0</v>
      </c>
    </row>
    <row r="40" spans="1:21" x14ac:dyDescent="0.25">
      <c r="A40" s="18">
        <f t="shared" si="4"/>
        <v>38</v>
      </c>
      <c r="C40" s="10">
        <f>2.01*(('Baseline Given'!F41/213.36)^(2/11.5))</f>
        <v>1.4855165507498234</v>
      </c>
      <c r="D40" s="10">
        <f>0.613*(C40*'Baseline Given'!$B$33*'Baseline Given'!$B$34*'Baseline Given'!$B$35)</f>
        <v>1728.8381739092561</v>
      </c>
      <c r="E40" s="10">
        <f>D40*'Baseline Given'!$B$31*'Baseline Given'!$B$32*'Baseline Given'!G41</f>
        <v>3346.5952697004877</v>
      </c>
      <c r="F40" s="18">
        <f t="shared" si="0"/>
        <v>0.75234454814492335</v>
      </c>
      <c r="H40" s="10">
        <f>2.01*(('Alternative 1'!G41/213.36)^(2/11.5))</f>
        <v>0</v>
      </c>
      <c r="I40" s="10">
        <f>0.613*(H40*'Alternative 1'!$B$34*'Alternative 1'!$B$35*'Alternative 1'!$B$36)</f>
        <v>0</v>
      </c>
      <c r="J40" s="10">
        <f>I40*'Alternative 1'!$B$32*'Alternative 1'!$B$33*'Alternative 1'!H41</f>
        <v>0</v>
      </c>
      <c r="K40" s="10">
        <f t="shared" si="1"/>
        <v>0</v>
      </c>
      <c r="M40" s="10">
        <f>2.01*(('Alternative 2'!G41/213.36)^(2/11.5))</f>
        <v>0</v>
      </c>
      <c r="N40" s="10">
        <f>0.613*(M40*'Alternative 2'!$B$34*'Alternative 2'!$B$35*'Alternative 2'!$B$36)</f>
        <v>0</v>
      </c>
      <c r="O40" s="10">
        <f>N40*'Alternative 2'!$B$32*'Alternative 2'!$B$33*'Alternative 2'!H41</f>
        <v>0</v>
      </c>
      <c r="P40" s="10">
        <f t="shared" si="2"/>
        <v>0</v>
      </c>
      <c r="R40" s="10">
        <f>2.01*(('Alternative 3'!G41/213.36)^(2/11.5))</f>
        <v>0</v>
      </c>
      <c r="S40" s="10">
        <f>0.613*(R40*'Alternative 3'!$B$34*'Alternative 3'!$B$35*'Alternative 3'!$B$36)</f>
        <v>0</v>
      </c>
      <c r="T40" s="10">
        <f>S40*'Alternative 3'!$B$32*'Alternative 3'!$B$33*'Alternative 3'!H41</f>
        <v>0</v>
      </c>
      <c r="U40" s="10">
        <f t="shared" si="3"/>
        <v>0</v>
      </c>
    </row>
    <row r="41" spans="1:21" x14ac:dyDescent="0.25">
      <c r="A41" s="18">
        <f t="shared" si="4"/>
        <v>39</v>
      </c>
      <c r="C41" s="10">
        <f>2.01*(('Baseline Given'!F42/213.36)^(2/11.5))</f>
        <v>1.4923312291270403</v>
      </c>
      <c r="D41" s="10">
        <f>0.613*(C41*'Baseline Given'!$B$33*'Baseline Given'!$B$34*'Baseline Given'!$B$35)</f>
        <v>1736.769069135903</v>
      </c>
      <c r="E41" s="10">
        <f>D41*'Baseline Given'!$B$31*'Baseline Given'!$B$32*'Baseline Given'!G42</f>
        <v>3341.3724746935718</v>
      </c>
      <c r="F41" s="18">
        <f t="shared" si="0"/>
        <v>0.75117041711536403</v>
      </c>
      <c r="H41" s="10">
        <f>2.01*(('Alternative 1'!G42/213.36)^(2/11.5))</f>
        <v>0</v>
      </c>
      <c r="I41" s="10">
        <f>0.613*(H41*'Alternative 1'!$B$34*'Alternative 1'!$B$35*'Alternative 1'!$B$36)</f>
        <v>0</v>
      </c>
      <c r="J41" s="10">
        <f>I41*'Alternative 1'!$B$32*'Alternative 1'!$B$33*'Alternative 1'!H42</f>
        <v>0</v>
      </c>
      <c r="K41" s="10">
        <f t="shared" si="1"/>
        <v>0</v>
      </c>
      <c r="M41" s="10">
        <f>2.01*(('Alternative 2'!G42/213.36)^(2/11.5))</f>
        <v>0</v>
      </c>
      <c r="N41" s="10">
        <f>0.613*(M41*'Alternative 2'!$B$34*'Alternative 2'!$B$35*'Alternative 2'!$B$36)</f>
        <v>0</v>
      </c>
      <c r="O41" s="10">
        <f>N41*'Alternative 2'!$B$32*'Alternative 2'!$B$33*'Alternative 2'!H42</f>
        <v>0</v>
      </c>
      <c r="P41" s="10">
        <f t="shared" si="2"/>
        <v>0</v>
      </c>
      <c r="R41" s="10">
        <f>2.01*(('Alternative 3'!G42/213.36)^(2/11.5))</f>
        <v>0</v>
      </c>
      <c r="S41" s="10">
        <f>0.613*(R41*'Alternative 3'!$B$34*'Alternative 3'!$B$35*'Alternative 3'!$B$36)</f>
        <v>0</v>
      </c>
      <c r="T41" s="10">
        <f>S41*'Alternative 3'!$B$32*'Alternative 3'!$B$33*'Alternative 3'!H42</f>
        <v>0</v>
      </c>
      <c r="U41" s="10">
        <f t="shared" si="3"/>
        <v>0</v>
      </c>
    </row>
    <row r="42" spans="1:21" x14ac:dyDescent="0.25">
      <c r="A42" s="18">
        <f t="shared" si="4"/>
        <v>40</v>
      </c>
      <c r="C42" s="10">
        <f>2.01*(('Baseline Given'!F43/213.36)^(2/11.5))</f>
        <v>1.4990012210986265</v>
      </c>
      <c r="D42" s="10">
        <f>0.613*(C42*'Baseline Given'!$B$33*'Baseline Given'!$B$34*'Baseline Given'!$B$35)</f>
        <v>1744.531578906882</v>
      </c>
      <c r="E42" s="10">
        <f>D42*'Baseline Given'!$B$31*'Baseline Given'!$B$32*'Baseline Given'!G43</f>
        <v>3335.6398073511032</v>
      </c>
      <c r="F42" s="18">
        <f t="shared" si="0"/>
        <v>0.74988166222454011</v>
      </c>
      <c r="H42" s="10">
        <f>2.01*(('Alternative 1'!G43/213.36)^(2/11.5))</f>
        <v>0</v>
      </c>
      <c r="I42" s="10">
        <f>0.613*(H42*'Alternative 1'!$B$34*'Alternative 1'!$B$35*'Alternative 1'!$B$36)</f>
        <v>0</v>
      </c>
      <c r="J42" s="10">
        <f>I42*'Alternative 1'!$B$32*'Alternative 1'!$B$33*'Alternative 1'!H43</f>
        <v>0</v>
      </c>
      <c r="K42" s="10">
        <f t="shared" si="1"/>
        <v>0</v>
      </c>
      <c r="M42" s="10">
        <f>2.01*(('Alternative 2'!G43/213.36)^(2/11.5))</f>
        <v>0</v>
      </c>
      <c r="N42" s="10">
        <f>0.613*(M42*'Alternative 2'!$B$34*'Alternative 2'!$B$35*'Alternative 2'!$B$36)</f>
        <v>0</v>
      </c>
      <c r="O42" s="10">
        <f>N42*'Alternative 2'!$B$32*'Alternative 2'!$B$33*'Alternative 2'!H43</f>
        <v>0</v>
      </c>
      <c r="P42" s="10">
        <f t="shared" si="2"/>
        <v>0</v>
      </c>
      <c r="R42" s="10">
        <f>2.01*(('Alternative 3'!G43/213.36)^(2/11.5))</f>
        <v>0</v>
      </c>
      <c r="S42" s="10">
        <f>0.613*(R42*'Alternative 3'!$B$34*'Alternative 3'!$B$35*'Alternative 3'!$B$36)</f>
        <v>0</v>
      </c>
      <c r="T42" s="10">
        <f>S42*'Alternative 3'!$B$32*'Alternative 3'!$B$33*'Alternative 3'!H43</f>
        <v>0</v>
      </c>
      <c r="U42" s="10">
        <f t="shared" si="3"/>
        <v>0</v>
      </c>
    </row>
    <row r="43" spans="1:21" x14ac:dyDescent="0.25">
      <c r="A43" s="18">
        <f t="shared" si="4"/>
        <v>41</v>
      </c>
      <c r="C43" s="10">
        <f>2.01*(('Baseline Given'!F44/213.36)^(2/11.5))</f>
        <v>1.5055331474804632</v>
      </c>
      <c r="D43" s="10">
        <f>0.613*(C43*'Baseline Given'!$B$33*'Baseline Given'!$B$34*'Baseline Given'!$B$35)</f>
        <v>1752.133408501028</v>
      </c>
      <c r="E43" s="10">
        <f>D43*'Baseline Given'!$B$31*'Baseline Given'!$B$32*'Baseline Given'!G44</f>
        <v>3329.4178937496763</v>
      </c>
      <c r="F43" s="18">
        <f t="shared" si="0"/>
        <v>0.74848292039894693</v>
      </c>
      <c r="H43" s="10">
        <f>2.01*(('Alternative 1'!G44/213.36)^(2/11.5))</f>
        <v>0</v>
      </c>
      <c r="I43" s="10">
        <f>0.613*(H43*'Alternative 1'!$B$34*'Alternative 1'!$B$35*'Alternative 1'!$B$36)</f>
        <v>0</v>
      </c>
      <c r="J43" s="10">
        <f>I43*'Alternative 1'!$B$32*'Alternative 1'!$B$33*'Alternative 1'!H44</f>
        <v>0</v>
      </c>
      <c r="K43" s="10">
        <f t="shared" si="1"/>
        <v>0</v>
      </c>
      <c r="M43" s="10">
        <f>2.01*(('Alternative 2'!G44/213.36)^(2/11.5))</f>
        <v>0</v>
      </c>
      <c r="N43" s="10">
        <f>0.613*(M43*'Alternative 2'!$B$34*'Alternative 2'!$B$35*'Alternative 2'!$B$36)</f>
        <v>0</v>
      </c>
      <c r="O43" s="10">
        <f>N43*'Alternative 2'!$B$32*'Alternative 2'!$B$33*'Alternative 2'!H44</f>
        <v>0</v>
      </c>
      <c r="P43" s="10">
        <f t="shared" si="2"/>
        <v>0</v>
      </c>
      <c r="R43" s="10">
        <f>2.01*(('Alternative 3'!G44/213.36)^(2/11.5))</f>
        <v>0</v>
      </c>
      <c r="S43" s="10">
        <f>0.613*(R43*'Alternative 3'!$B$34*'Alternative 3'!$B$35*'Alternative 3'!$B$36)</f>
        <v>0</v>
      </c>
      <c r="T43" s="10">
        <f>S43*'Alternative 3'!$B$32*'Alternative 3'!$B$33*'Alternative 3'!H44</f>
        <v>0</v>
      </c>
      <c r="U43" s="10">
        <f t="shared" si="3"/>
        <v>0</v>
      </c>
    </row>
    <row r="44" spans="1:21" x14ac:dyDescent="0.25">
      <c r="A44" s="18">
        <f t="shared" si="4"/>
        <v>42</v>
      </c>
      <c r="C44" s="10">
        <f>2.01*(('Baseline Given'!F45/213.36)^(2/11.5))</f>
        <v>1.5119331716465585</v>
      </c>
      <c r="D44" s="10">
        <f>0.613*(C44*'Baseline Given'!$B$33*'Baseline Given'!$B$34*'Baseline Given'!$B$35)</f>
        <v>1759.5817308281692</v>
      </c>
      <c r="E44" s="10">
        <f>D44*'Baseline Given'!$B$31*'Baseline Given'!$B$32*'Baseline Given'!G45</f>
        <v>3322.7259895318621</v>
      </c>
      <c r="F44" s="18">
        <f t="shared" si="0"/>
        <v>0.7469785204792545</v>
      </c>
      <c r="H44" s="10">
        <f>2.01*(('Alternative 1'!G45/213.36)^(2/11.5))</f>
        <v>0</v>
      </c>
      <c r="I44" s="10">
        <f>0.613*(H44*'Alternative 1'!$B$34*'Alternative 1'!$B$35*'Alternative 1'!$B$36)</f>
        <v>0</v>
      </c>
      <c r="J44" s="10">
        <f>I44*'Alternative 1'!$B$32*'Alternative 1'!$B$33*'Alternative 1'!H45</f>
        <v>0</v>
      </c>
      <c r="K44" s="10">
        <f t="shared" si="1"/>
        <v>0</v>
      </c>
      <c r="M44" s="10">
        <f>2.01*(('Alternative 2'!G45/213.36)^(2/11.5))</f>
        <v>0</v>
      </c>
      <c r="N44" s="10">
        <f>0.613*(M44*'Alternative 2'!$B$34*'Alternative 2'!$B$35*'Alternative 2'!$B$36)</f>
        <v>0</v>
      </c>
      <c r="O44" s="10">
        <f>N44*'Alternative 2'!$B$32*'Alternative 2'!$B$33*'Alternative 2'!H45</f>
        <v>0</v>
      </c>
      <c r="P44" s="10">
        <f t="shared" si="2"/>
        <v>0</v>
      </c>
      <c r="R44" s="10">
        <f>2.01*(('Alternative 3'!G45/213.36)^(2/11.5))</f>
        <v>0</v>
      </c>
      <c r="S44" s="10">
        <f>0.613*(R44*'Alternative 3'!$B$34*'Alternative 3'!$B$35*'Alternative 3'!$B$36)</f>
        <v>0</v>
      </c>
      <c r="T44" s="10">
        <f>S44*'Alternative 3'!$B$32*'Alternative 3'!$B$33*'Alternative 3'!H45</f>
        <v>0</v>
      </c>
      <c r="U44" s="10">
        <f t="shared" si="3"/>
        <v>0</v>
      </c>
    </row>
    <row r="45" spans="1:21" x14ac:dyDescent="0.25">
      <c r="A45" s="18">
        <f t="shared" si="4"/>
        <v>43</v>
      </c>
      <c r="C45" s="10">
        <f>2.01*(('Baseline Given'!F46/213.36)^(2/11.5))</f>
        <v>1.5182070412990056</v>
      </c>
      <c r="D45" s="10">
        <f>0.613*(C45*'Baseline Given'!$B$33*'Baseline Given'!$B$34*'Baseline Given'!$B$35)</f>
        <v>1766.8832350408327</v>
      </c>
      <c r="E45" s="10">
        <f>D45*'Baseline Given'!$B$31*'Baseline Given'!$B$32*'Baseline Given'!G46</f>
        <v>3315.5821026609005</v>
      </c>
      <c r="F45" s="18">
        <f t="shared" si="0"/>
        <v>0.74537251081666001</v>
      </c>
      <c r="H45" s="10">
        <f>2.01*(('Alternative 1'!G46/213.36)^(2/11.5))</f>
        <v>0</v>
      </c>
      <c r="I45" s="10">
        <f>0.613*(H45*'Alternative 1'!$B$34*'Alternative 1'!$B$35*'Alternative 1'!$B$36)</f>
        <v>0</v>
      </c>
      <c r="J45" s="10">
        <f>I45*'Alternative 1'!$B$32*'Alternative 1'!$B$33*'Alternative 1'!H46</f>
        <v>0</v>
      </c>
      <c r="K45" s="10">
        <f t="shared" si="1"/>
        <v>0</v>
      </c>
      <c r="M45" s="10">
        <f>2.01*(('Alternative 2'!G46/213.36)^(2/11.5))</f>
        <v>0</v>
      </c>
      <c r="N45" s="10">
        <f>0.613*(M45*'Alternative 2'!$B$34*'Alternative 2'!$B$35*'Alternative 2'!$B$36)</f>
        <v>0</v>
      </c>
      <c r="O45" s="10">
        <f>N45*'Alternative 2'!$B$32*'Alternative 2'!$B$33*'Alternative 2'!H46</f>
        <v>0</v>
      </c>
      <c r="P45" s="10">
        <f t="shared" si="2"/>
        <v>0</v>
      </c>
      <c r="R45" s="10">
        <f>2.01*(('Alternative 3'!G46/213.36)^(2/11.5))</f>
        <v>0</v>
      </c>
      <c r="S45" s="10">
        <f>0.613*(R45*'Alternative 3'!$B$34*'Alternative 3'!$B$35*'Alternative 3'!$B$36)</f>
        <v>0</v>
      </c>
      <c r="T45" s="10">
        <f>S45*'Alternative 3'!$B$32*'Alternative 3'!$B$33*'Alternative 3'!H46</f>
        <v>0</v>
      </c>
      <c r="U45" s="10">
        <f t="shared" si="3"/>
        <v>0</v>
      </c>
    </row>
    <row r="46" spans="1:21" x14ac:dyDescent="0.25">
      <c r="A46" s="18">
        <f t="shared" si="4"/>
        <v>44</v>
      </c>
      <c r="C46" s="10">
        <f>2.01*(('Baseline Given'!F47/213.36)^(2/11.5))</f>
        <v>1.524360125538859</v>
      </c>
      <c r="D46" s="10">
        <f>0.613*(C46*'Baseline Given'!$B$33*'Baseline Given'!$B$34*'Baseline Given'!$B$35)</f>
        <v>1774.0441696771843</v>
      </c>
      <c r="E46" s="10">
        <f>D46*'Baseline Given'!$B$31*'Baseline Given'!$B$32*'Baseline Given'!G47</f>
        <v>3308.0031025226326</v>
      </c>
      <c r="F46" s="18">
        <f t="shared" si="0"/>
        <v>0.74366868379997808</v>
      </c>
      <c r="H46" s="10">
        <f>2.01*(('Alternative 1'!G47/213.36)^(2/11.5))</f>
        <v>0</v>
      </c>
      <c r="I46" s="10">
        <f>0.613*(H46*'Alternative 1'!$B$34*'Alternative 1'!$B$35*'Alternative 1'!$B$36)</f>
        <v>0</v>
      </c>
      <c r="J46" s="10">
        <f>I46*'Alternative 1'!$B$32*'Alternative 1'!$B$33*'Alternative 1'!H47</f>
        <v>0</v>
      </c>
      <c r="K46" s="10">
        <f t="shared" si="1"/>
        <v>0</v>
      </c>
      <c r="M46" s="10">
        <f>2.01*(('Alternative 2'!G47/213.36)^(2/11.5))</f>
        <v>0</v>
      </c>
      <c r="N46" s="10">
        <f>0.613*(M46*'Alternative 2'!$B$34*'Alternative 2'!$B$35*'Alternative 2'!$B$36)</f>
        <v>0</v>
      </c>
      <c r="O46" s="10">
        <f>N46*'Alternative 2'!$B$32*'Alternative 2'!$B$33*'Alternative 2'!H47</f>
        <v>0</v>
      </c>
      <c r="P46" s="10">
        <f t="shared" si="2"/>
        <v>0</v>
      </c>
      <c r="R46" s="10">
        <f>2.01*(('Alternative 3'!G47/213.36)^(2/11.5))</f>
        <v>0</v>
      </c>
      <c r="S46" s="10">
        <f>0.613*(R46*'Alternative 3'!$B$34*'Alternative 3'!$B$35*'Alternative 3'!$B$36)</f>
        <v>0</v>
      </c>
      <c r="T46" s="10">
        <f>S46*'Alternative 3'!$B$32*'Alternative 3'!$B$33*'Alternative 3'!H47</f>
        <v>0</v>
      </c>
      <c r="U46" s="10">
        <f t="shared" si="3"/>
        <v>0</v>
      </c>
    </row>
    <row r="47" spans="1:21" x14ac:dyDescent="0.25">
      <c r="A47" s="18">
        <f t="shared" si="4"/>
        <v>45</v>
      </c>
      <c r="C47" s="10">
        <f>2.01*(('Baseline Given'!F48/213.36)^(2/11.5))</f>
        <v>1.5303974478616111</v>
      </c>
      <c r="D47" s="10">
        <f>0.613*(C47*'Baseline Given'!$B$33*'Baseline Given'!$B$34*'Baseline Given'!$B$35)</f>
        <v>1781.0703810610294</v>
      </c>
      <c r="E47" s="10">
        <f>D47*'Baseline Given'!$B$31*'Baseline Given'!$B$32*'Baseline Given'!G48</f>
        <v>3300.0048171729973</v>
      </c>
      <c r="F47" s="18">
        <f t="shared" si="0"/>
        <v>0.74187059771774799</v>
      </c>
      <c r="H47" s="10">
        <f>2.01*(('Alternative 1'!G48/213.36)^(2/11.5))</f>
        <v>0</v>
      </c>
      <c r="I47" s="10">
        <f>0.613*(H47*'Alternative 1'!$B$34*'Alternative 1'!$B$35*'Alternative 1'!$B$36)</f>
        <v>0</v>
      </c>
      <c r="J47" s="10">
        <f>I47*'Alternative 1'!$B$32*'Alternative 1'!$B$33*'Alternative 1'!H48</f>
        <v>0</v>
      </c>
      <c r="K47" s="10">
        <f t="shared" si="1"/>
        <v>0</v>
      </c>
      <c r="M47" s="10">
        <f>2.01*(('Alternative 2'!G48/213.36)^(2/11.5))</f>
        <v>0</v>
      </c>
      <c r="N47" s="10">
        <f>0.613*(M47*'Alternative 2'!$B$34*'Alternative 2'!$B$35*'Alternative 2'!$B$36)</f>
        <v>0</v>
      </c>
      <c r="O47" s="10">
        <f>N47*'Alternative 2'!$B$32*'Alternative 2'!$B$33*'Alternative 2'!H48</f>
        <v>0</v>
      </c>
      <c r="P47" s="10">
        <f t="shared" si="2"/>
        <v>0</v>
      </c>
      <c r="R47" s="10">
        <f>2.01*(('Alternative 3'!G48/213.36)^(2/11.5))</f>
        <v>0</v>
      </c>
      <c r="S47" s="10">
        <f>0.613*(R47*'Alternative 3'!$B$34*'Alternative 3'!$B$35*'Alternative 3'!$B$36)</f>
        <v>0</v>
      </c>
      <c r="T47" s="10">
        <f>S47*'Alternative 3'!$B$32*'Alternative 3'!$B$33*'Alternative 3'!H48</f>
        <v>0</v>
      </c>
      <c r="U47" s="10">
        <f t="shared" si="3"/>
        <v>0</v>
      </c>
    </row>
    <row r="48" spans="1:21" x14ac:dyDescent="0.25">
      <c r="A48" s="18">
        <f t="shared" si="4"/>
        <v>46</v>
      </c>
      <c r="C48" s="10">
        <f>2.01*(('Baseline Given'!F49/213.36)^(2/11.5))</f>
        <v>1.5363237156061116</v>
      </c>
      <c r="D48" s="10">
        <f>0.613*(C48*'Baseline Given'!$B$33*'Baseline Given'!$B$34*'Baseline Given'!$B$35)</f>
        <v>1787.9673475743461</v>
      </c>
      <c r="E48" s="10">
        <f>D48*'Baseline Given'!$B$31*'Baseline Given'!$B$32*'Baseline Given'!G49</f>
        <v>3291.6021202574889</v>
      </c>
      <c r="F48" s="18">
        <f t="shared" si="0"/>
        <v>0.7399815962985048</v>
      </c>
      <c r="H48" s="10">
        <f>2.01*(('Alternative 1'!G49/213.36)^(2/11.5))</f>
        <v>0</v>
      </c>
      <c r="I48" s="10">
        <f>0.613*(H48*'Alternative 1'!$B$34*'Alternative 1'!$B$35*'Alternative 1'!$B$36)</f>
        <v>0</v>
      </c>
      <c r="J48" s="10">
        <f>I48*'Alternative 1'!$B$32*'Alternative 1'!$B$33*'Alternative 1'!H49</f>
        <v>0</v>
      </c>
      <c r="K48" s="10">
        <f t="shared" si="1"/>
        <v>0</v>
      </c>
      <c r="M48" s="10">
        <f>2.01*(('Alternative 2'!G49/213.36)^(2/11.5))</f>
        <v>0</v>
      </c>
      <c r="N48" s="10">
        <f>0.613*(M48*'Alternative 2'!$B$34*'Alternative 2'!$B$35*'Alternative 2'!$B$36)</f>
        <v>0</v>
      </c>
      <c r="O48" s="10">
        <f>N48*'Alternative 2'!$B$32*'Alternative 2'!$B$33*'Alternative 2'!H49</f>
        <v>0</v>
      </c>
      <c r="P48" s="10">
        <f t="shared" si="2"/>
        <v>0</v>
      </c>
      <c r="R48" s="10">
        <f>2.01*(('Alternative 3'!G49/213.36)^(2/11.5))</f>
        <v>0</v>
      </c>
      <c r="S48" s="10">
        <f>0.613*(R48*'Alternative 3'!$B$34*'Alternative 3'!$B$35*'Alternative 3'!$B$36)</f>
        <v>0</v>
      </c>
      <c r="T48" s="10">
        <f>S48*'Alternative 3'!$B$32*'Alternative 3'!$B$33*'Alternative 3'!H49</f>
        <v>0</v>
      </c>
      <c r="U48" s="10">
        <f t="shared" si="3"/>
        <v>0</v>
      </c>
    </row>
    <row r="49" spans="1:21" x14ac:dyDescent="0.25">
      <c r="A49" s="18">
        <f t="shared" si="4"/>
        <v>47</v>
      </c>
      <c r="C49" s="10">
        <f>2.01*(('Baseline Given'!F50/213.36)^(2/11.5))</f>
        <v>1.5421433463071172</v>
      </c>
      <c r="D49" s="10">
        <f>0.613*(C49*'Baseline Given'!$B$33*'Baseline Given'!$B$34*'Baseline Given'!$B$35)</f>
        <v>1794.7402103262789</v>
      </c>
      <c r="E49" s="10">
        <f>D49*'Baseline Given'!$B$31*'Baseline Given'!$B$32*'Baseline Given'!G50</f>
        <v>3282.8090089031721</v>
      </c>
      <c r="F49" s="18">
        <f t="shared" si="0"/>
        <v>0.73800482622160102</v>
      </c>
      <c r="H49" s="10">
        <f>2.01*(('Alternative 1'!G50/213.36)^(2/11.5))</f>
        <v>0</v>
      </c>
      <c r="I49" s="10">
        <f>0.613*(H49*'Alternative 1'!$B$34*'Alternative 1'!$B$35*'Alternative 1'!$B$36)</f>
        <v>0</v>
      </c>
      <c r="J49" s="10">
        <f>I49*'Alternative 1'!$B$32*'Alternative 1'!$B$33*'Alternative 1'!H50</f>
        <v>0</v>
      </c>
      <c r="K49" s="10">
        <f t="shared" si="1"/>
        <v>0</v>
      </c>
      <c r="M49" s="10">
        <f>2.01*(('Alternative 2'!G50/213.36)^(2/11.5))</f>
        <v>0</v>
      </c>
      <c r="N49" s="10">
        <f>0.613*(M49*'Alternative 2'!$B$34*'Alternative 2'!$B$35*'Alternative 2'!$B$36)</f>
        <v>0</v>
      </c>
      <c r="O49" s="10">
        <f>N49*'Alternative 2'!$B$32*'Alternative 2'!$B$33*'Alternative 2'!H50</f>
        <v>0</v>
      </c>
      <c r="P49" s="10">
        <f t="shared" si="2"/>
        <v>0</v>
      </c>
      <c r="R49" s="10">
        <f>2.01*(('Alternative 3'!G50/213.36)^(2/11.5))</f>
        <v>0</v>
      </c>
      <c r="S49" s="10">
        <f>0.613*(R49*'Alternative 3'!$B$34*'Alternative 3'!$B$35*'Alternative 3'!$B$36)</f>
        <v>0</v>
      </c>
      <c r="T49" s="10">
        <f>S49*'Alternative 3'!$B$32*'Alternative 3'!$B$33*'Alternative 3'!H50</f>
        <v>0</v>
      </c>
      <c r="U49" s="10">
        <f t="shared" si="3"/>
        <v>0</v>
      </c>
    </row>
    <row r="50" spans="1:21" x14ac:dyDescent="0.25">
      <c r="A50" s="18">
        <f t="shared" si="4"/>
        <v>48</v>
      </c>
      <c r="C50" s="10">
        <f>2.01*(('Baseline Given'!F51/213.36)^(2/11.5))</f>
        <v>1.5478604913361362</v>
      </c>
      <c r="D50" s="10">
        <f>0.613*(C50*'Baseline Given'!$B$33*'Baseline Given'!$B$34*'Baseline Given'!$B$35)</f>
        <v>1801.3938006662547</v>
      </c>
      <c r="E50" s="10">
        <f>D50*'Baseline Given'!$B$31*'Baseline Given'!$B$32*'Baseline Given'!G51</f>
        <v>3273.6386736956219</v>
      </c>
      <c r="F50" s="18">
        <f t="shared" si="0"/>
        <v>0.73594325284864903</v>
      </c>
      <c r="H50" s="10">
        <f>2.01*(('Alternative 1'!G51/213.36)^(2/11.5))</f>
        <v>0</v>
      </c>
      <c r="I50" s="10">
        <f>0.613*(H50*'Alternative 1'!$B$34*'Alternative 1'!$B$35*'Alternative 1'!$B$36)</f>
        <v>0</v>
      </c>
      <c r="J50" s="10">
        <f>I50*'Alternative 1'!$B$32*'Alternative 1'!$B$33*'Alternative 1'!H51</f>
        <v>0</v>
      </c>
      <c r="K50" s="10">
        <f t="shared" si="1"/>
        <v>0</v>
      </c>
      <c r="M50" s="10">
        <f>2.01*(('Alternative 2'!G51/213.36)^(2/11.5))</f>
        <v>0</v>
      </c>
      <c r="N50" s="10">
        <f>0.613*(M50*'Alternative 2'!$B$34*'Alternative 2'!$B$35*'Alternative 2'!$B$36)</f>
        <v>0</v>
      </c>
      <c r="O50" s="10">
        <f>N50*'Alternative 2'!$B$32*'Alternative 2'!$B$33*'Alternative 2'!H51</f>
        <v>0</v>
      </c>
      <c r="P50" s="10">
        <f t="shared" si="2"/>
        <v>0</v>
      </c>
      <c r="R50" s="10">
        <f>2.01*(('Alternative 3'!G51/213.36)^(2/11.5))</f>
        <v>0</v>
      </c>
      <c r="S50" s="10">
        <f>0.613*(R50*'Alternative 3'!$B$34*'Alternative 3'!$B$35*'Alternative 3'!$B$36)</f>
        <v>0</v>
      </c>
      <c r="T50" s="10">
        <f>S50*'Alternative 3'!$B$32*'Alternative 3'!$B$33*'Alternative 3'!H51</f>
        <v>0</v>
      </c>
      <c r="U50" s="10">
        <f t="shared" si="3"/>
        <v>0</v>
      </c>
    </row>
    <row r="51" spans="1:21" x14ac:dyDescent="0.25">
      <c r="A51" s="18">
        <f t="shared" si="4"/>
        <v>49</v>
      </c>
      <c r="C51" s="10">
        <f>2.01*(('Baseline Given'!F52/213.36)^(2/11.5))</f>
        <v>1.5534790571604011</v>
      </c>
      <c r="D51" s="10">
        <f>0.613*(C51*'Baseline Given'!$B$33*'Baseline Given'!$B$34*'Baseline Given'!$B$35)</f>
        <v>1807.9326649250934</v>
      </c>
      <c r="E51" s="10">
        <f>D51*'Baseline Given'!$B$31*'Baseline Given'!$B$32*'Baseline Given'!G52</f>
        <v>3264.1035616955537</v>
      </c>
      <c r="F51" s="18">
        <f t="shared" si="0"/>
        <v>0.73379967439022231</v>
      </c>
      <c r="H51" s="10">
        <f>2.01*(('Alternative 1'!G52/213.36)^(2/11.5))</f>
        <v>0</v>
      </c>
      <c r="I51" s="10">
        <f>0.613*(H51*'Alternative 1'!$B$34*'Alternative 1'!$B$35*'Alternative 1'!$B$36)</f>
        <v>0</v>
      </c>
      <c r="J51" s="10">
        <f>I51*'Alternative 1'!$B$32*'Alternative 1'!$B$33*'Alternative 1'!H52</f>
        <v>0</v>
      </c>
      <c r="K51" s="10">
        <f t="shared" si="1"/>
        <v>0</v>
      </c>
      <c r="M51" s="10">
        <f>2.01*(('Alternative 2'!G52/213.36)^(2/11.5))</f>
        <v>0</v>
      </c>
      <c r="N51" s="10">
        <f>0.613*(M51*'Alternative 2'!$B$34*'Alternative 2'!$B$35*'Alternative 2'!$B$36)</f>
        <v>0</v>
      </c>
      <c r="O51" s="10">
        <f>N51*'Alternative 2'!$B$32*'Alternative 2'!$B$33*'Alternative 2'!H52</f>
        <v>0</v>
      </c>
      <c r="P51" s="10">
        <f t="shared" si="2"/>
        <v>0</v>
      </c>
      <c r="R51" s="10">
        <f>2.01*(('Alternative 3'!G52/213.36)^(2/11.5))</f>
        <v>0</v>
      </c>
      <c r="S51" s="10">
        <f>0.613*(R51*'Alternative 3'!$B$34*'Alternative 3'!$B$35*'Alternative 3'!$B$36)</f>
        <v>0</v>
      </c>
      <c r="T51" s="10">
        <f>S51*'Alternative 3'!$B$32*'Alternative 3'!$B$33*'Alternative 3'!H52</f>
        <v>0</v>
      </c>
      <c r="U51" s="10">
        <f t="shared" si="3"/>
        <v>0</v>
      </c>
    </row>
    <row r="52" spans="1:21" x14ac:dyDescent="0.25">
      <c r="A52" s="18">
        <f t="shared" si="4"/>
        <v>50</v>
      </c>
      <c r="C52" s="10">
        <f>2.01*(('Baseline Given'!F53/213.36)^(2/11.5))</f>
        <v>1.5590027245037634</v>
      </c>
      <c r="D52" s="10">
        <f>0.613*(C52*'Baseline Given'!$B$33*'Baseline Given'!$B$34*'Baseline Given'!$B$35)</f>
        <v>1814.3610867143764</v>
      </c>
      <c r="E52" s="10">
        <f>D52*'Baseline Given'!$B$31*'Baseline Given'!$B$32*'Baseline Given'!G53</f>
        <v>3254.2154333173612</v>
      </c>
      <c r="F52" s="18">
        <f t="shared" si="0"/>
        <v>0.73157673469266038</v>
      </c>
      <c r="H52" s="10">
        <f>2.01*(('Alternative 1'!G53/213.36)^(2/11.5))</f>
        <v>0</v>
      </c>
      <c r="I52" s="10">
        <f>0.613*(H52*'Alternative 1'!$B$34*'Alternative 1'!$B$35*'Alternative 1'!$B$36)</f>
        <v>0</v>
      </c>
      <c r="J52" s="10">
        <f>I52*'Alternative 1'!$B$32*'Alternative 1'!$B$33*'Alternative 1'!H53</f>
        <v>0</v>
      </c>
      <c r="K52" s="10">
        <f t="shared" si="1"/>
        <v>0</v>
      </c>
      <c r="M52" s="10">
        <f>2.01*(('Alternative 2'!G53/213.36)^(2/11.5))</f>
        <v>0</v>
      </c>
      <c r="N52" s="10">
        <f>0.613*(M52*'Alternative 2'!$B$34*'Alternative 2'!$B$35*'Alternative 2'!$B$36)</f>
        <v>0</v>
      </c>
      <c r="O52" s="10">
        <f>N52*'Alternative 2'!$B$32*'Alternative 2'!$B$33*'Alternative 2'!H53</f>
        <v>0</v>
      </c>
      <c r="P52" s="10">
        <f t="shared" si="2"/>
        <v>0</v>
      </c>
      <c r="R52" s="10">
        <f>2.01*(('Alternative 3'!G53/213.36)^(2/11.5))</f>
        <v>0</v>
      </c>
      <c r="S52" s="10">
        <f>0.613*(R52*'Alternative 3'!$B$34*'Alternative 3'!$B$35*'Alternative 3'!$B$36)</f>
        <v>0</v>
      </c>
      <c r="T52" s="10">
        <f>S52*'Alternative 3'!$B$32*'Alternative 3'!$B$33*'Alternative 3'!H53</f>
        <v>0</v>
      </c>
      <c r="U52" s="10">
        <f t="shared" si="3"/>
        <v>0</v>
      </c>
    </row>
    <row r="53" spans="1:21" x14ac:dyDescent="0.25">
      <c r="A53" s="18">
        <f t="shared" si="4"/>
        <v>51</v>
      </c>
      <c r="C53" s="10">
        <f>2.01*(('Baseline Given'!F54/213.36)^(2/11.5))</f>
        <v>1.5644349656544774</v>
      </c>
      <c r="D53" s="10">
        <f>0.613*(C53*'Baseline Given'!$B$33*'Baseline Given'!$B$34*'Baseline Given'!$B$35)</f>
        <v>1820.683107069178</v>
      </c>
      <c r="E53" s="10">
        <f>D53*'Baseline Given'!$B$31*'Baseline Given'!$B$32*'Baseline Given'!G54</f>
        <v>3243.9854137800476</v>
      </c>
      <c r="F53" s="18">
        <f t="shared" si="0"/>
        <v>0.72927693480469757</v>
      </c>
      <c r="H53" s="10">
        <f>2.01*(('Alternative 1'!G54/213.36)^(2/11.5))</f>
        <v>0</v>
      </c>
      <c r="I53" s="10">
        <f>0.613*(H53*'Alternative 1'!$B$34*'Alternative 1'!$B$35*'Alternative 1'!$B$36)</f>
        <v>0</v>
      </c>
      <c r="J53" s="10">
        <f>I53*'Alternative 1'!$B$32*'Alternative 1'!$B$33*'Alternative 1'!H54</f>
        <v>0</v>
      </c>
      <c r="K53" s="10">
        <f t="shared" si="1"/>
        <v>0</v>
      </c>
      <c r="M53" s="10">
        <f>2.01*(('Alternative 2'!G54/213.36)^(2/11.5))</f>
        <v>0</v>
      </c>
      <c r="N53" s="10">
        <f>0.613*(M53*'Alternative 2'!$B$34*'Alternative 2'!$B$35*'Alternative 2'!$B$36)</f>
        <v>0</v>
      </c>
      <c r="O53" s="10">
        <f>N53*'Alternative 2'!$B$32*'Alternative 2'!$B$33*'Alternative 2'!H54</f>
        <v>0</v>
      </c>
      <c r="P53" s="10">
        <f t="shared" si="2"/>
        <v>0</v>
      </c>
      <c r="R53" s="10">
        <f>2.01*(('Alternative 3'!G54/213.36)^(2/11.5))</f>
        <v>0</v>
      </c>
      <c r="S53" s="10">
        <f>0.613*(R53*'Alternative 3'!$B$34*'Alternative 3'!$B$35*'Alternative 3'!$B$36)</f>
        <v>0</v>
      </c>
      <c r="T53" s="10">
        <f>S53*'Alternative 3'!$B$32*'Alternative 3'!$B$33*'Alternative 3'!H54</f>
        <v>0</v>
      </c>
      <c r="U53" s="10">
        <f t="shared" si="3"/>
        <v>0</v>
      </c>
    </row>
    <row r="54" spans="1:21" x14ac:dyDescent="0.25">
      <c r="A54" s="18">
        <f t="shared" si="4"/>
        <v>52</v>
      </c>
      <c r="C54" s="10">
        <f>2.01*(('Baseline Given'!F55/213.36)^(2/11.5))</f>
        <v>1.5697790601319874</v>
      </c>
      <c r="D54" s="10">
        <f>0.613*(C54*'Baseline Given'!$B$33*'Baseline Given'!$B$34*'Baseline Given'!$B$35)</f>
        <v>1826.9025426810083</v>
      </c>
      <c r="E54" s="10">
        <f>D54*'Baseline Given'!$B$31*'Baseline Given'!$B$32*'Baseline Given'!G55</f>
        <v>3233.4240397462754</v>
      </c>
      <c r="F54" s="18">
        <f t="shared" si="0"/>
        <v>0.72690264346233913</v>
      </c>
      <c r="H54" s="10">
        <f>2.01*(('Alternative 1'!G55/213.36)^(2/11.5))</f>
        <v>0</v>
      </c>
      <c r="I54" s="10">
        <f>0.613*(H54*'Alternative 1'!$B$34*'Alternative 1'!$B$35*'Alternative 1'!$B$36)</f>
        <v>0</v>
      </c>
      <c r="J54" s="10">
        <f>I54*'Alternative 1'!$B$32*'Alternative 1'!$B$33*'Alternative 1'!H55</f>
        <v>0</v>
      </c>
      <c r="K54" s="10">
        <f t="shared" si="1"/>
        <v>0</v>
      </c>
      <c r="M54" s="10">
        <f>2.01*(('Alternative 2'!G55/213.36)^(2/11.5))</f>
        <v>0</v>
      </c>
      <c r="N54" s="10">
        <f>0.613*(M54*'Alternative 2'!$B$34*'Alternative 2'!$B$35*'Alternative 2'!$B$36)</f>
        <v>0</v>
      </c>
      <c r="O54" s="10">
        <f>N54*'Alternative 2'!$B$32*'Alternative 2'!$B$33*'Alternative 2'!H55</f>
        <v>0</v>
      </c>
      <c r="P54" s="10">
        <f t="shared" si="2"/>
        <v>0</v>
      </c>
      <c r="R54" s="10">
        <f>2.01*(('Alternative 3'!G55/213.36)^(2/11.5))</f>
        <v>0</v>
      </c>
      <c r="S54" s="10">
        <f>0.613*(R54*'Alternative 3'!$B$34*'Alternative 3'!$B$35*'Alternative 3'!$B$36)</f>
        <v>0</v>
      </c>
      <c r="T54" s="10">
        <f>S54*'Alternative 3'!$B$32*'Alternative 3'!$B$33*'Alternative 3'!H55</f>
        <v>0</v>
      </c>
      <c r="U54" s="10">
        <f t="shared" si="3"/>
        <v>0</v>
      </c>
    </row>
    <row r="55" spans="1:21" x14ac:dyDescent="0.25">
      <c r="A55" s="18">
        <f t="shared" si="4"/>
        <v>53</v>
      </c>
      <c r="C55" s="10">
        <f>2.01*(('Baseline Given'!F56/213.36)^(2/11.5))</f>
        <v>1.5750381088969292</v>
      </c>
      <c r="D55" s="10">
        <f>0.613*(C55*'Baseline Given'!$B$33*'Baseline Given'!$B$34*'Baseline Given'!$B$35)</f>
        <v>1833.0230024353561</v>
      </c>
      <c r="E55" s="10">
        <f>D55*'Baseline Given'!$B$31*'Baseline Given'!$B$32*'Baseline Given'!G56</f>
        <v>3222.5413016848293</v>
      </c>
      <c r="F55" s="18">
        <f t="shared" si="0"/>
        <v>0.72445610661232107</v>
      </c>
      <c r="H55" s="10">
        <f>2.01*(('Alternative 1'!G56/213.36)^(2/11.5))</f>
        <v>0</v>
      </c>
      <c r="I55" s="10">
        <f>0.613*(H55*'Alternative 1'!$B$34*'Alternative 1'!$B$35*'Alternative 1'!$B$36)</f>
        <v>0</v>
      </c>
      <c r="J55" s="10">
        <f>I55*'Alternative 1'!$B$32*'Alternative 1'!$B$33*'Alternative 1'!H56</f>
        <v>0</v>
      </c>
      <c r="K55" s="10">
        <f t="shared" si="1"/>
        <v>0</v>
      </c>
      <c r="M55" s="10">
        <f>2.01*(('Alternative 2'!G56/213.36)^(2/11.5))</f>
        <v>0</v>
      </c>
      <c r="N55" s="10">
        <f>0.613*(M55*'Alternative 2'!$B$34*'Alternative 2'!$B$35*'Alternative 2'!$B$36)</f>
        <v>0</v>
      </c>
      <c r="O55" s="10">
        <f>N55*'Alternative 2'!$B$32*'Alternative 2'!$B$33*'Alternative 2'!H56</f>
        <v>0</v>
      </c>
      <c r="P55" s="10">
        <f t="shared" si="2"/>
        <v>0</v>
      </c>
      <c r="R55" s="10">
        <f>2.01*(('Alternative 3'!G56/213.36)^(2/11.5))</f>
        <v>0</v>
      </c>
      <c r="S55" s="10">
        <f>0.613*(R55*'Alternative 3'!$B$34*'Alternative 3'!$B$35*'Alternative 3'!$B$36)</f>
        <v>0</v>
      </c>
      <c r="T55" s="10">
        <f>S55*'Alternative 3'!$B$32*'Alternative 3'!$B$33*'Alternative 3'!H56</f>
        <v>0</v>
      </c>
      <c r="U55" s="10">
        <f t="shared" si="3"/>
        <v>0</v>
      </c>
    </row>
    <row r="56" spans="1:21" x14ac:dyDescent="0.25">
      <c r="A56" s="18">
        <f t="shared" si="4"/>
        <v>54</v>
      </c>
      <c r="C56" s="10">
        <f>2.01*(('Baseline Given'!F57/213.36)^(2/11.5))</f>
        <v>1.580215047264794</v>
      </c>
      <c r="D56" s="10">
        <f>0.613*(C56*'Baseline Given'!$B$33*'Baseline Given'!$B$34*'Baseline Given'!$B$35)</f>
        <v>1839.0479024405579</v>
      </c>
      <c r="E56" s="10">
        <f>D56*'Baseline Given'!$B$31*'Baseline Given'!$B$32*'Baseline Given'!G57</f>
        <v>3211.3466824231286</v>
      </c>
      <c r="F56" s="18">
        <f t="shared" si="0"/>
        <v>0.72193945607906063</v>
      </c>
      <c r="H56" s="10">
        <f>2.01*(('Alternative 1'!G57/213.36)^(2/11.5))</f>
        <v>0</v>
      </c>
      <c r="I56" s="10">
        <f>0.613*(H56*'Alternative 1'!$B$34*'Alternative 1'!$B$35*'Alternative 1'!$B$36)</f>
        <v>0</v>
      </c>
      <c r="J56" s="10">
        <f>I56*'Alternative 1'!$B$32*'Alternative 1'!$B$33*'Alternative 1'!H57</f>
        <v>0</v>
      </c>
      <c r="K56" s="10">
        <f t="shared" si="1"/>
        <v>0</v>
      </c>
      <c r="M56" s="10">
        <f>2.01*(('Alternative 2'!G57/213.36)^(2/11.5))</f>
        <v>0</v>
      </c>
      <c r="N56" s="10">
        <f>0.613*(M56*'Alternative 2'!$B$34*'Alternative 2'!$B$35*'Alternative 2'!$B$36)</f>
        <v>0</v>
      </c>
      <c r="O56" s="10">
        <f>N56*'Alternative 2'!$B$32*'Alternative 2'!$B$33*'Alternative 2'!H57</f>
        <v>0</v>
      </c>
      <c r="P56" s="10">
        <f t="shared" si="2"/>
        <v>0</v>
      </c>
      <c r="R56" s="10">
        <f>2.01*(('Alternative 3'!G57/213.36)^(2/11.5))</f>
        <v>0</v>
      </c>
      <c r="S56" s="10">
        <f>0.613*(R56*'Alternative 3'!$B$34*'Alternative 3'!$B$35*'Alternative 3'!$B$36)</f>
        <v>0</v>
      </c>
      <c r="T56" s="10">
        <f>S56*'Alternative 3'!$B$32*'Alternative 3'!$B$33*'Alternative 3'!H57</f>
        <v>0</v>
      </c>
      <c r="U56" s="10">
        <f t="shared" si="3"/>
        <v>0</v>
      </c>
    </row>
    <row r="57" spans="1:21" x14ac:dyDescent="0.25">
      <c r="A57" s="18">
        <f t="shared" si="4"/>
        <v>55</v>
      </c>
      <c r="C57" s="10">
        <f>2.01*(('Baseline Given'!F58/213.36)^(2/11.5))</f>
        <v>1.5853126566633693</v>
      </c>
      <c r="D57" s="10">
        <f>0.613*(C57*'Baseline Given'!$B$33*'Baseline Given'!$B$34*'Baseline Given'!$B$35)</f>
        <v>1844.9804797110617</v>
      </c>
      <c r="E57" s="10">
        <f>D57*'Baseline Given'!$B$31*'Baseline Given'!$B$32*'Baseline Given'!G58</f>
        <v>3199.8491922977319</v>
      </c>
      <c r="F57" s="18">
        <f t="shared" si="0"/>
        <v>0.71935471746680335</v>
      </c>
      <c r="H57" s="10">
        <f>2.01*(('Alternative 1'!G58/213.36)^(2/11.5))</f>
        <v>0</v>
      </c>
      <c r="I57" s="10">
        <f>0.613*(H57*'Alternative 1'!$B$34*'Alternative 1'!$B$35*'Alternative 1'!$B$36)</f>
        <v>0</v>
      </c>
      <c r="J57" s="10">
        <f>I57*'Alternative 1'!$B$32*'Alternative 1'!$B$33*'Alternative 1'!H58</f>
        <v>0</v>
      </c>
      <c r="K57" s="10">
        <f t="shared" si="1"/>
        <v>0</v>
      </c>
      <c r="M57" s="10">
        <f>2.01*(('Alternative 2'!G58/213.36)^(2/11.5))</f>
        <v>0</v>
      </c>
      <c r="N57" s="10">
        <f>0.613*(M57*'Alternative 2'!$B$34*'Alternative 2'!$B$35*'Alternative 2'!$B$36)</f>
        <v>0</v>
      </c>
      <c r="O57" s="10">
        <f>N57*'Alternative 2'!$B$32*'Alternative 2'!$B$33*'Alternative 2'!H58</f>
        <v>0</v>
      </c>
      <c r="P57" s="10">
        <f t="shared" si="2"/>
        <v>0</v>
      </c>
      <c r="R57" s="10">
        <f>2.01*(('Alternative 3'!G58/213.36)^(2/11.5))</f>
        <v>0</v>
      </c>
      <c r="S57" s="10">
        <f>0.613*(R57*'Alternative 3'!$B$34*'Alternative 3'!$B$35*'Alternative 3'!$B$36)</f>
        <v>0</v>
      </c>
      <c r="T57" s="10">
        <f>S57*'Alternative 3'!$B$32*'Alternative 3'!$B$33*'Alternative 3'!H58</f>
        <v>0</v>
      </c>
      <c r="U57" s="10">
        <f t="shared" si="3"/>
        <v>0</v>
      </c>
    </row>
    <row r="58" spans="1:21" x14ac:dyDescent="0.25">
      <c r="A58" s="18">
        <f t="shared" si="4"/>
        <v>56</v>
      </c>
      <c r="C58" s="10">
        <f>2.01*(('Baseline Given'!F59/213.36)^(2/11.5))</f>
        <v>1.5903335753566654</v>
      </c>
      <c r="D58" s="10">
        <f>0.613*(C58*'Baseline Given'!$B$33*'Baseline Given'!$B$34*'Baseline Given'!$B$35)</f>
        <v>1850.8238046478882</v>
      </c>
      <c r="E58" s="10">
        <f>D58*'Baseline Given'!$B$31*'Baseline Given'!$B$32*'Baseline Given'!G59</f>
        <v>3188.0574012603929</v>
      </c>
      <c r="F58" s="18">
        <f t="shared" si="0"/>
        <v>0.71670381737735211</v>
      </c>
      <c r="H58" s="10">
        <f>2.01*(('Alternative 1'!G59/213.36)^(2/11.5))</f>
        <v>0</v>
      </c>
      <c r="I58" s="10">
        <f>0.613*(H58*'Alternative 1'!$B$34*'Alternative 1'!$B$35*'Alternative 1'!$B$36)</f>
        <v>0</v>
      </c>
      <c r="J58" s="10">
        <f>I58*'Alternative 1'!$B$32*'Alternative 1'!$B$33*'Alternative 1'!H59</f>
        <v>0</v>
      </c>
      <c r="K58" s="10">
        <f t="shared" si="1"/>
        <v>0</v>
      </c>
      <c r="M58" s="10">
        <f>2.01*(('Alternative 2'!G59/213.36)^(2/11.5))</f>
        <v>0</v>
      </c>
      <c r="N58" s="10">
        <f>0.613*(M58*'Alternative 2'!$B$34*'Alternative 2'!$B$35*'Alternative 2'!$B$36)</f>
        <v>0</v>
      </c>
      <c r="O58" s="10">
        <f>N58*'Alternative 2'!$B$32*'Alternative 2'!$B$33*'Alternative 2'!H59</f>
        <v>0</v>
      </c>
      <c r="P58" s="10">
        <f t="shared" si="2"/>
        <v>0</v>
      </c>
      <c r="R58" s="10">
        <f>2.01*(('Alternative 3'!G59/213.36)^(2/11.5))</f>
        <v>0</v>
      </c>
      <c r="S58" s="10">
        <f>0.613*(R58*'Alternative 3'!$B$34*'Alternative 3'!$B$35*'Alternative 3'!$B$36)</f>
        <v>0</v>
      </c>
      <c r="T58" s="10">
        <f>S58*'Alternative 3'!$B$32*'Alternative 3'!$B$33*'Alternative 3'!H59</f>
        <v>0</v>
      </c>
      <c r="U58" s="10">
        <f t="shared" si="3"/>
        <v>0</v>
      </c>
    </row>
    <row r="59" spans="1:21" x14ac:dyDescent="0.25">
      <c r="A59" s="18">
        <f t="shared" si="4"/>
        <v>57</v>
      </c>
      <c r="C59" s="10">
        <f>2.01*(('Baseline Given'!F60/213.36)^(2/11.5))</f>
        <v>1.5952803082430351</v>
      </c>
      <c r="D59" s="10">
        <f>0.613*(C59*'Baseline Given'!$B$33*'Baseline Given'!$B$34*'Baseline Given'!$B$35)</f>
        <v>1856.5807924416438</v>
      </c>
      <c r="E59" s="10">
        <f>D59*'Baseline Given'!$B$31*'Baseline Given'!$B$32*'Baseline Given'!G60</f>
        <v>3175.97946825386</v>
      </c>
      <c r="F59" s="18">
        <f t="shared" si="0"/>
        <v>0.71398859001400916</v>
      </c>
      <c r="H59" s="10">
        <f>2.01*(('Alternative 1'!G60/213.36)^(2/11.5))</f>
        <v>0</v>
      </c>
      <c r="I59" s="10">
        <f>0.613*(H59*'Alternative 1'!$B$34*'Alternative 1'!$B$35*'Alternative 1'!$B$36)</f>
        <v>0</v>
      </c>
      <c r="J59" s="10">
        <f>I59*'Alternative 1'!$B$32*'Alternative 1'!$B$33*'Alternative 1'!H60</f>
        <v>0</v>
      </c>
      <c r="K59" s="10">
        <f t="shared" si="1"/>
        <v>0</v>
      </c>
      <c r="M59" s="10">
        <f>2.01*(('Alternative 2'!G60/213.36)^(2/11.5))</f>
        <v>0</v>
      </c>
      <c r="N59" s="10">
        <f>0.613*(M59*'Alternative 2'!$B$34*'Alternative 2'!$B$35*'Alternative 2'!$B$36)</f>
        <v>0</v>
      </c>
      <c r="O59" s="10">
        <f>N59*'Alternative 2'!$B$32*'Alternative 2'!$B$33*'Alternative 2'!H60</f>
        <v>0</v>
      </c>
      <c r="P59" s="10">
        <f t="shared" si="2"/>
        <v>0</v>
      </c>
      <c r="R59" s="10">
        <f>2.01*(('Alternative 3'!G60/213.36)^(2/11.5))</f>
        <v>0</v>
      </c>
      <c r="S59" s="10">
        <f>0.613*(R59*'Alternative 3'!$B$34*'Alternative 3'!$B$35*'Alternative 3'!$B$36)</f>
        <v>0</v>
      </c>
      <c r="T59" s="10">
        <f>S59*'Alternative 3'!$B$32*'Alternative 3'!$B$33*'Alternative 3'!H60</f>
        <v>0</v>
      </c>
      <c r="U59" s="10">
        <f t="shared" si="3"/>
        <v>0</v>
      </c>
    </row>
    <row r="60" spans="1:21" x14ac:dyDescent="0.25">
      <c r="A60" s="18">
        <f t="shared" si="4"/>
        <v>58</v>
      </c>
      <c r="C60" s="10">
        <f>2.01*(('Baseline Given'!F61/213.36)^(2/11.5))</f>
        <v>1.6001552358222859</v>
      </c>
      <c r="D60" s="10">
        <f>0.613*(C60*'Baseline Given'!$B$33*'Baseline Given'!$B$34*'Baseline Given'!$B$35)</f>
        <v>1862.2542135084084</v>
      </c>
      <c r="E60" s="10">
        <f>D60*'Baseline Given'!$B$31*'Baseline Given'!$B$32*'Baseline Given'!G61</f>
        <v>3163.623168134166</v>
      </c>
      <c r="F60" s="18">
        <f t="shared" si="0"/>
        <v>0.71121078323394815</v>
      </c>
      <c r="H60" s="10">
        <f>2.01*(('Alternative 1'!G61/213.36)^(2/11.5))</f>
        <v>0</v>
      </c>
      <c r="I60" s="10">
        <f>0.613*(H60*'Alternative 1'!$B$34*'Alternative 1'!$B$35*'Alternative 1'!$B$36)</f>
        <v>0</v>
      </c>
      <c r="J60" s="10">
        <f>I60*'Alternative 1'!$B$32*'Alternative 1'!$B$33*'Alternative 1'!H61</f>
        <v>0</v>
      </c>
      <c r="K60" s="10">
        <f t="shared" si="1"/>
        <v>0</v>
      </c>
      <c r="M60" s="10">
        <f>2.01*(('Alternative 2'!G61/213.36)^(2/11.5))</f>
        <v>0</v>
      </c>
      <c r="N60" s="10">
        <f>0.613*(M60*'Alternative 2'!$B$34*'Alternative 2'!$B$35*'Alternative 2'!$B$36)</f>
        <v>0</v>
      </c>
      <c r="O60" s="10">
        <f>N60*'Alternative 2'!$B$32*'Alternative 2'!$B$33*'Alternative 2'!H61</f>
        <v>0</v>
      </c>
      <c r="P60" s="10">
        <f t="shared" si="2"/>
        <v>0</v>
      </c>
      <c r="R60" s="10">
        <f>2.01*(('Alternative 3'!G61/213.36)^(2/11.5))</f>
        <v>0</v>
      </c>
      <c r="S60" s="10">
        <f>0.613*(R60*'Alternative 3'!$B$34*'Alternative 3'!$B$35*'Alternative 3'!$B$36)</f>
        <v>0</v>
      </c>
      <c r="T60" s="10">
        <f>S60*'Alternative 3'!$B$32*'Alternative 3'!$B$33*'Alternative 3'!H61</f>
        <v>0</v>
      </c>
      <c r="U60" s="10">
        <f t="shared" si="3"/>
        <v>0</v>
      </c>
    </row>
    <row r="61" spans="1:21" x14ac:dyDescent="0.25">
      <c r="A61" s="18">
        <f t="shared" si="4"/>
        <v>59</v>
      </c>
      <c r="C61" s="10">
        <f>2.01*(('Baseline Given'!F62/213.36)^(2/11.5))</f>
        <v>1.6049606224153998</v>
      </c>
      <c r="D61" s="10">
        <f>0.613*(C61*'Baseline Given'!$B$33*'Baseline Given'!$B$34*'Baseline Given'!$B$35)</f>
        <v>1867.8467030558145</v>
      </c>
      <c r="E61" s="10">
        <f>D61*'Baseline Given'!$B$31*'Baseline Given'!$B$32*'Baseline Given'!G62</f>
        <v>3150.9959163838112</v>
      </c>
      <c r="F61" s="18">
        <f t="shared" si="0"/>
        <v>0.70837206410395814</v>
      </c>
      <c r="H61" s="10">
        <f>2.01*(('Alternative 1'!G62/213.36)^(2/11.5))</f>
        <v>0</v>
      </c>
      <c r="I61" s="10">
        <f>0.613*(H61*'Alternative 1'!$B$34*'Alternative 1'!$B$35*'Alternative 1'!$B$36)</f>
        <v>0</v>
      </c>
      <c r="J61" s="10">
        <f>I61*'Alternative 1'!$B$32*'Alternative 1'!$B$33*'Alternative 1'!H62</f>
        <v>0</v>
      </c>
      <c r="K61" s="10">
        <f t="shared" si="1"/>
        <v>0</v>
      </c>
      <c r="M61" s="10">
        <f>2.01*(('Alternative 2'!G62/213.36)^(2/11.5))</f>
        <v>0</v>
      </c>
      <c r="N61" s="10">
        <f>0.613*(M61*'Alternative 2'!$B$34*'Alternative 2'!$B$35*'Alternative 2'!$B$36)</f>
        <v>0</v>
      </c>
      <c r="O61" s="10">
        <f>N61*'Alternative 2'!$B$32*'Alternative 2'!$B$33*'Alternative 2'!H62</f>
        <v>0</v>
      </c>
      <c r="P61" s="10">
        <f t="shared" si="2"/>
        <v>0</v>
      </c>
      <c r="R61" s="10">
        <f>2.01*(('Alternative 3'!G62/213.36)^(2/11.5))</f>
        <v>0</v>
      </c>
      <c r="S61" s="10">
        <f>0.613*(R61*'Alternative 3'!$B$34*'Alternative 3'!$B$35*'Alternative 3'!$B$36)</f>
        <v>0</v>
      </c>
      <c r="T61" s="10">
        <f>S61*'Alternative 3'!$B$32*'Alternative 3'!$B$33*'Alternative 3'!H62</f>
        <v>0</v>
      </c>
      <c r="U61" s="10">
        <f t="shared" si="3"/>
        <v>0</v>
      </c>
    </row>
    <row r="62" spans="1:21" x14ac:dyDescent="0.25">
      <c r="A62" s="18">
        <f t="shared" si="4"/>
        <v>60</v>
      </c>
      <c r="C62" s="10">
        <f>2.01*(('Baseline Given'!F63/213.36)^(2/11.5))</f>
        <v>1.6096986237107882</v>
      </c>
      <c r="D62" s="10">
        <f>0.613*(C62*'Baseline Given'!$B$33*'Baseline Given'!$B$34*'Baseline Given'!$B$35)</f>
        <v>1873.3607698653457</v>
      </c>
      <c r="E62" s="10">
        <f>D62*'Baseline Given'!$B$31*'Baseline Given'!$B$32*'Baseline Given'!G63</f>
        <v>3138.1047918320501</v>
      </c>
      <c r="F62" s="18">
        <f t="shared" si="0"/>
        <v>0.70547402400816772</v>
      </c>
      <c r="H62" s="10">
        <f>2.01*(('Alternative 1'!G63/213.36)^(2/11.5))</f>
        <v>0</v>
      </c>
      <c r="I62" s="10">
        <f>0.613*(H62*'Alternative 1'!$B$34*'Alternative 1'!$B$35*'Alternative 1'!$B$36)</f>
        <v>0</v>
      </c>
      <c r="J62" s="10">
        <f>I62*'Alternative 1'!$B$32*'Alternative 1'!$B$33*'Alternative 1'!H63</f>
        <v>0</v>
      </c>
      <c r="K62" s="10">
        <f t="shared" si="1"/>
        <v>0</v>
      </c>
      <c r="M62" s="10">
        <f>2.01*(('Alternative 2'!G63/213.36)^(2/11.5))</f>
        <v>0</v>
      </c>
      <c r="N62" s="10">
        <f>0.613*(M62*'Alternative 2'!$B$34*'Alternative 2'!$B$35*'Alternative 2'!$B$36)</f>
        <v>0</v>
      </c>
      <c r="O62" s="10">
        <f>N62*'Alternative 2'!$B$32*'Alternative 2'!$B$33*'Alternative 2'!H63</f>
        <v>0</v>
      </c>
      <c r="P62" s="10">
        <f t="shared" si="2"/>
        <v>0</v>
      </c>
      <c r="R62" s="10">
        <f>2.01*(('Alternative 3'!G63/213.36)^(2/11.5))</f>
        <v>0</v>
      </c>
      <c r="S62" s="10">
        <f>0.613*(R62*'Alternative 3'!$B$34*'Alternative 3'!$B$35*'Alternative 3'!$B$36)</f>
        <v>0</v>
      </c>
      <c r="T62" s="10">
        <f>S62*'Alternative 3'!$B$32*'Alternative 3'!$B$33*'Alternative 3'!H63</f>
        <v>0</v>
      </c>
      <c r="U62" s="10">
        <f t="shared" si="3"/>
        <v>0</v>
      </c>
    </row>
    <row r="63" spans="1:21" x14ac:dyDescent="0.25">
      <c r="A63" s="18">
        <f t="shared" si="4"/>
        <v>61</v>
      </c>
      <c r="C63" s="10">
        <f>2.01*(('Baseline Given'!F64/213.36)^(2/11.5))</f>
        <v>1.6143712937025834</v>
      </c>
      <c r="D63" s="10">
        <f>0.613*(C63*'Baseline Given'!$B$33*'Baseline Given'!$B$34*'Baseline Given'!$B$35)</f>
        <v>1878.7988043670941</v>
      </c>
      <c r="E63" s="10">
        <f>D63*'Baseline Given'!$B$31*'Baseline Given'!$B$32*'Baseline Given'!G64</f>
        <v>3124.9565575740903</v>
      </c>
      <c r="F63" s="18">
        <f t="shared" si="0"/>
        <v>0.7025181833508678</v>
      </c>
      <c r="H63" s="10">
        <f>2.01*(('Alternative 1'!G64/213.36)^(2/11.5))</f>
        <v>0</v>
      </c>
      <c r="I63" s="10">
        <f>0.613*(H63*'Alternative 1'!$B$34*'Alternative 1'!$B$35*'Alternative 1'!$B$36)</f>
        <v>0</v>
      </c>
      <c r="J63" s="10">
        <f>I63*'Alternative 1'!$B$32*'Alternative 1'!$B$33*'Alternative 1'!H64</f>
        <v>0</v>
      </c>
      <c r="K63" s="10">
        <f t="shared" si="1"/>
        <v>0</v>
      </c>
      <c r="M63" s="10">
        <f>2.01*(('Alternative 2'!G64/213.36)^(2/11.5))</f>
        <v>0</v>
      </c>
      <c r="N63" s="10">
        <f>0.613*(M63*'Alternative 2'!$B$34*'Alternative 2'!$B$35*'Alternative 2'!$B$36)</f>
        <v>0</v>
      </c>
      <c r="O63" s="10">
        <f>N63*'Alternative 2'!$B$32*'Alternative 2'!$B$33*'Alternative 2'!H64</f>
        <v>0</v>
      </c>
      <c r="P63" s="10">
        <f t="shared" si="2"/>
        <v>0</v>
      </c>
      <c r="R63" s="10">
        <f>2.01*(('Alternative 3'!G64/213.36)^(2/11.5))</f>
        <v>0</v>
      </c>
      <c r="S63" s="10">
        <f>0.613*(R63*'Alternative 3'!$B$34*'Alternative 3'!$B$35*'Alternative 3'!$B$36)</f>
        <v>0</v>
      </c>
      <c r="T63" s="10">
        <f>S63*'Alternative 3'!$B$32*'Alternative 3'!$B$33*'Alternative 3'!H64</f>
        <v>0</v>
      </c>
      <c r="U63" s="10">
        <f t="shared" si="3"/>
        <v>0</v>
      </c>
    </row>
    <row r="64" spans="1:21" x14ac:dyDescent="0.25">
      <c r="A64" s="18">
        <f t="shared" si="4"/>
        <v>62</v>
      </c>
      <c r="C64" s="10">
        <f>2.01*(('Baseline Given'!F65/213.36)^(2/11.5))</f>
        <v>1.6189805910791266</v>
      </c>
      <c r="D64" s="10">
        <f>0.613*(C64*'Baseline Given'!$B$33*'Baseline Given'!$B$34*'Baseline Given'!$B$35)</f>
        <v>1884.1630860746559</v>
      </c>
      <c r="E64" s="10">
        <f>D64*'Baseline Given'!$B$31*'Baseline Given'!$B$32*'Baseline Given'!G65</f>
        <v>3111.5576802596615</v>
      </c>
      <c r="F64" s="18">
        <f t="shared" si="0"/>
        <v>0.69950599589275442</v>
      </c>
      <c r="H64" s="10">
        <f>2.01*(('Alternative 1'!G65/213.36)^(2/11.5))</f>
        <v>0</v>
      </c>
      <c r="I64" s="10">
        <f>0.613*(H64*'Alternative 1'!$B$34*'Alternative 1'!$B$35*'Alternative 1'!$B$36)</f>
        <v>0</v>
      </c>
      <c r="J64" s="10">
        <f>I64*'Alternative 1'!$B$32*'Alternative 1'!$B$33*'Alternative 1'!H65</f>
        <v>0</v>
      </c>
      <c r="K64" s="10">
        <f t="shared" si="1"/>
        <v>0</v>
      </c>
      <c r="M64" s="10">
        <f>2.01*(('Alternative 2'!G65/213.36)^(2/11.5))</f>
        <v>0</v>
      </c>
      <c r="N64" s="10">
        <f>0.613*(M64*'Alternative 2'!$B$34*'Alternative 2'!$B$35*'Alternative 2'!$B$36)</f>
        <v>0</v>
      </c>
      <c r="O64" s="10">
        <f>N64*'Alternative 2'!$B$32*'Alternative 2'!$B$33*'Alternative 2'!H65</f>
        <v>0</v>
      </c>
      <c r="P64" s="10">
        <f t="shared" si="2"/>
        <v>0</v>
      </c>
      <c r="R64" s="10">
        <f>2.01*(('Alternative 3'!G65/213.36)^(2/11.5))</f>
        <v>0</v>
      </c>
      <c r="S64" s="10">
        <f>0.613*(R64*'Alternative 3'!$B$34*'Alternative 3'!$B$35*'Alternative 3'!$B$36)</f>
        <v>0</v>
      </c>
      <c r="T64" s="10">
        <f>S64*'Alternative 3'!$B$32*'Alternative 3'!$B$33*'Alternative 3'!H65</f>
        <v>0</v>
      </c>
      <c r="U64" s="10">
        <f t="shared" si="3"/>
        <v>0</v>
      </c>
    </row>
    <row r="65" spans="1:21" x14ac:dyDescent="0.25">
      <c r="A65" s="18">
        <f t="shared" si="4"/>
        <v>63</v>
      </c>
      <c r="C65" s="10">
        <f>2.01*(('Baseline Given'!F66/213.36)^(2/11.5))</f>
        <v>1.6235283851134019</v>
      </c>
      <c r="D65" s="10">
        <f>0.613*(C65*'Baseline Given'!$B$33*'Baseline Given'!$B$34*'Baseline Given'!$B$35)</f>
        <v>1889.4557904403955</v>
      </c>
      <c r="E65" s="10">
        <f>D65*'Baseline Given'!$B$31*'Baseline Given'!$B$32*'Baseline Given'!G66</f>
        <v>3097.9143479027534</v>
      </c>
      <c r="F65" s="18">
        <f t="shared" si="0"/>
        <v>0.6964388527547174</v>
      </c>
      <c r="H65" s="10">
        <f>2.01*(('Alternative 1'!G66/213.36)^(2/11.5))</f>
        <v>0</v>
      </c>
      <c r="I65" s="10">
        <f>0.613*(H65*'Alternative 1'!$B$34*'Alternative 1'!$B$35*'Alternative 1'!$B$36)</f>
        <v>0</v>
      </c>
      <c r="J65" s="10">
        <f>I65*'Alternative 1'!$B$32*'Alternative 1'!$B$33*'Alternative 1'!H66</f>
        <v>0</v>
      </c>
      <c r="K65" s="10">
        <f t="shared" si="1"/>
        <v>0</v>
      </c>
      <c r="M65" s="10">
        <f>2.01*(('Alternative 2'!G66/213.36)^(2/11.5))</f>
        <v>0</v>
      </c>
      <c r="N65" s="10">
        <f>0.613*(M65*'Alternative 2'!$B$34*'Alternative 2'!$B$35*'Alternative 2'!$B$36)</f>
        <v>0</v>
      </c>
      <c r="O65" s="10">
        <f>N65*'Alternative 2'!$B$32*'Alternative 2'!$B$33*'Alternative 2'!H66</f>
        <v>0</v>
      </c>
      <c r="P65" s="10">
        <f t="shared" si="2"/>
        <v>0</v>
      </c>
      <c r="R65" s="10">
        <f>2.01*(('Alternative 3'!G66/213.36)^(2/11.5))</f>
        <v>0</v>
      </c>
      <c r="S65" s="10">
        <f>0.613*(R65*'Alternative 3'!$B$34*'Alternative 3'!$B$35*'Alternative 3'!$B$36)</f>
        <v>0</v>
      </c>
      <c r="T65" s="10">
        <f>S65*'Alternative 3'!$B$32*'Alternative 3'!$B$33*'Alternative 3'!H66</f>
        <v>0</v>
      </c>
      <c r="U65" s="10">
        <f t="shared" si="3"/>
        <v>0</v>
      </c>
    </row>
    <row r="66" spans="1:21" x14ac:dyDescent="0.25">
      <c r="A66" s="18">
        <f t="shared" si="4"/>
        <v>64</v>
      </c>
      <c r="C66" s="10">
        <f>2.01*(('Baseline Given'!F67/213.36)^(2/11.5))</f>
        <v>1.6280164611015435</v>
      </c>
      <c r="D66" s="10">
        <f>0.613*(C66*'Baseline Given'!$B$33*'Baseline Given'!$B$34*'Baseline Given'!$B$35)</f>
        <v>1894.6789951847572</v>
      </c>
      <c r="E66" s="10">
        <f>D66*'Baseline Given'!$B$31*'Baseline Given'!$B$32*'Baseline Given'!G67</f>
        <v>3084.0324863479632</v>
      </c>
      <c r="F66" s="18">
        <f t="shared" si="0"/>
        <v>0.69331808611962209</v>
      </c>
      <c r="H66" s="10">
        <f>2.01*(('Alternative 1'!G67/213.36)^(2/11.5))</f>
        <v>0</v>
      </c>
      <c r="I66" s="10">
        <f>0.613*(H66*'Alternative 1'!$B$34*'Alternative 1'!$B$35*'Alternative 1'!$B$36)</f>
        <v>0</v>
      </c>
      <c r="J66" s="10">
        <f>I66*'Alternative 1'!$B$32*'Alternative 1'!$B$33*'Alternative 1'!H67</f>
        <v>0</v>
      </c>
      <c r="K66" s="10">
        <f t="shared" si="1"/>
        <v>0</v>
      </c>
      <c r="M66" s="10">
        <f>2.01*(('Alternative 2'!G67/213.36)^(2/11.5))</f>
        <v>0</v>
      </c>
      <c r="N66" s="10">
        <f>0.613*(M66*'Alternative 2'!$B$34*'Alternative 2'!$B$35*'Alternative 2'!$B$36)</f>
        <v>0</v>
      </c>
      <c r="O66" s="10">
        <f>N66*'Alternative 2'!$B$32*'Alternative 2'!$B$33*'Alternative 2'!H67</f>
        <v>0</v>
      </c>
      <c r="P66" s="10">
        <f t="shared" si="2"/>
        <v>0</v>
      </c>
      <c r="R66" s="10">
        <f>2.01*(('Alternative 3'!G67/213.36)^(2/11.5))</f>
        <v>0</v>
      </c>
      <c r="S66" s="10">
        <f>0.613*(R66*'Alternative 3'!$B$34*'Alternative 3'!$B$35*'Alternative 3'!$B$36)</f>
        <v>0</v>
      </c>
      <c r="T66" s="10">
        <f>S66*'Alternative 3'!$B$32*'Alternative 3'!$B$33*'Alternative 3'!H67</f>
        <v>0</v>
      </c>
      <c r="U66" s="10">
        <f t="shared" si="3"/>
        <v>0</v>
      </c>
    </row>
    <row r="67" spans="1:21" x14ac:dyDescent="0.25">
      <c r="A67" s="18">
        <f t="shared" si="4"/>
        <v>65</v>
      </c>
      <c r="C67" s="10">
        <f>2.01*(('Baseline Given'!F68/213.36)^(2/11.5))</f>
        <v>1.6324465253906193</v>
      </c>
      <c r="D67" s="10">
        <f>0.613*(C67*'Baseline Given'!$B$33*'Baseline Given'!$B$34*'Baseline Given'!$B$35)</f>
        <v>1899.8346861475814</v>
      </c>
      <c r="E67" s="10">
        <f>D67*'Baseline Given'!$B$31*'Baseline Given'!$B$32*'Baseline Given'!G68</f>
        <v>3069.9177745145744</v>
      </c>
      <c r="F67" s="18">
        <f t="shared" si="0"/>
        <v>0.69014497265931496</v>
      </c>
      <c r="H67" s="10">
        <f>2.01*(('Alternative 1'!G68/213.36)^(2/11.5))</f>
        <v>0</v>
      </c>
      <c r="I67" s="10">
        <f>0.613*(H67*'Alternative 1'!$B$34*'Alternative 1'!$B$35*'Alternative 1'!$B$36)</f>
        <v>0</v>
      </c>
      <c r="J67" s="10">
        <f>I67*'Alternative 1'!$B$32*'Alternative 1'!$B$33*'Alternative 1'!H68</f>
        <v>0</v>
      </c>
      <c r="K67" s="10">
        <f t="shared" si="1"/>
        <v>0</v>
      </c>
      <c r="M67" s="10">
        <f>2.01*(('Alternative 2'!G68/213.36)^(2/11.5))</f>
        <v>0</v>
      </c>
      <c r="N67" s="10">
        <f>0.613*(M67*'Alternative 2'!$B$34*'Alternative 2'!$B$35*'Alternative 2'!$B$36)</f>
        <v>0</v>
      </c>
      <c r="O67" s="10">
        <f>N67*'Alternative 2'!$B$32*'Alternative 2'!$B$33*'Alternative 2'!H68</f>
        <v>0</v>
      </c>
      <c r="P67" s="10">
        <f t="shared" si="2"/>
        <v>0</v>
      </c>
      <c r="R67" s="10">
        <f>2.01*(('Alternative 3'!G68/213.36)^(2/11.5))</f>
        <v>0</v>
      </c>
      <c r="S67" s="10">
        <f>0.613*(R67*'Alternative 3'!$B$34*'Alternative 3'!$B$35*'Alternative 3'!$B$36)</f>
        <v>0</v>
      </c>
      <c r="T67" s="10">
        <f>S67*'Alternative 3'!$B$32*'Alternative 3'!$B$33*'Alternative 3'!H68</f>
        <v>0</v>
      </c>
      <c r="U67" s="10">
        <f t="shared" si="3"/>
        <v>0</v>
      </c>
    </row>
    <row r="68" spans="1:21" x14ac:dyDescent="0.25">
      <c r="A68" s="18">
        <f t="shared" si="4"/>
        <v>66</v>
      </c>
      <c r="C68" s="10">
        <f>2.01*(('Baseline Given'!F69/213.36)^(2/11.5))</f>
        <v>1.6368202100325637</v>
      </c>
      <c r="D68" s="10">
        <f>0.613*(C68*'Baseline Given'!$B$33*'Baseline Given'!$B$34*'Baseline Given'!$B$35)</f>
        <v>1904.9247627043303</v>
      </c>
      <c r="E68" s="10">
        <f>D68*'Baseline Given'!$B$31*'Baseline Given'!$B$32*'Baseline Given'!G69</f>
        <v>3055.5756585268177</v>
      </c>
      <c r="F68" s="18">
        <f>E68/4448.2216</f>
        <v>0.68692073671123255</v>
      </c>
      <c r="H68" s="10">
        <f>2.01*(('Alternative 1'!G69/213.36)^(2/11.5))</f>
        <v>0</v>
      </c>
      <c r="I68" s="10">
        <f>0.613*(H68*'Alternative 1'!$B$34*'Alternative 1'!$B$35*'Alternative 1'!$B$36)</f>
        <v>0</v>
      </c>
      <c r="J68" s="10">
        <f>I68*'Alternative 1'!$B$32*'Alternative 1'!$B$33*'Alternative 1'!H69</f>
        <v>0</v>
      </c>
      <c r="K68" s="10">
        <f>J68/4448.2216</f>
        <v>0</v>
      </c>
      <c r="M68" s="10">
        <f>2.01*(('Alternative 2'!G69/213.36)^(2/11.5))</f>
        <v>0</v>
      </c>
      <c r="N68" s="10">
        <f>0.613*(M68*'Alternative 2'!$B$34*'Alternative 2'!$B$35*'Alternative 2'!$B$36)</f>
        <v>0</v>
      </c>
      <c r="O68" s="10">
        <f>N68*'Alternative 2'!$B$32*'Alternative 2'!$B$33*'Alternative 2'!H69</f>
        <v>0</v>
      </c>
      <c r="P68" s="10">
        <f>O68/4448.2216</f>
        <v>0</v>
      </c>
      <c r="R68" s="10">
        <f>2.01*(('Alternative 3'!G69/213.36)^(2/11.5))</f>
        <v>0</v>
      </c>
      <c r="S68" s="10">
        <f>0.613*(R68*'Alternative 3'!$B$34*'Alternative 3'!$B$35*'Alternative 3'!$B$36)</f>
        <v>0</v>
      </c>
      <c r="T68" s="10">
        <f>S68*'Alternative 3'!$B$32*'Alternative 3'!$B$33*'Alternative 3'!H69</f>
        <v>0</v>
      </c>
      <c r="U68" s="10">
        <f>T68/4448.2216</f>
        <v>0</v>
      </c>
    </row>
    <row r="69" spans="1:21" x14ac:dyDescent="0.25">
      <c r="A69" s="18">
        <f>A68+1</f>
        <v>67</v>
      </c>
      <c r="C69" s="10">
        <f>2.01*(('Baseline Given'!F70/213.36)^(2/11.5))</f>
        <v>1.6411390770973069</v>
      </c>
      <c r="D69" s="10">
        <f>0.613*(C69*'Baseline Given'!$B$33*'Baseline Given'!$B$34*'Baseline Given'!$B$35)</f>
        <v>1909.9510427856922</v>
      </c>
      <c r="E69" s="10">
        <f>D69*'Baseline Given'!$B$31*'Baseline Given'!$B$32*'Baseline Given'!G70</f>
        <v>3041.0113648276465</v>
      </c>
      <c r="F69" s="18">
        <f>E69/4448.2216</f>
        <v>0.68364655322649537</v>
      </c>
      <c r="H69" s="10">
        <f>2.01*(('Alternative 1'!G70/213.36)^(2/11.5))</f>
        <v>0</v>
      </c>
      <c r="I69" s="10">
        <f>0.613*(H69*'Alternative 1'!$B$34*'Alternative 1'!$B$35*'Alternative 1'!$B$36)</f>
        <v>0</v>
      </c>
      <c r="J69" s="10">
        <f>I69*'Alternative 1'!$B$32*'Alternative 1'!$B$33*'Alternative 1'!H70</f>
        <v>0</v>
      </c>
      <c r="K69" s="10">
        <f>J69/4448.2216</f>
        <v>0</v>
      </c>
      <c r="M69" s="10">
        <f>2.01*(('Alternative 2'!G70/213.36)^(2/11.5))</f>
        <v>0</v>
      </c>
      <c r="N69" s="10">
        <f>0.613*(M69*'Alternative 2'!$B$34*'Alternative 2'!$B$35*'Alternative 2'!$B$36)</f>
        <v>0</v>
      </c>
      <c r="O69" s="10">
        <f>N69*'Alternative 2'!$B$32*'Alternative 2'!$B$33*'Alternative 2'!H70</f>
        <v>0</v>
      </c>
      <c r="P69" s="10">
        <f>O69/4448.2216</f>
        <v>0</v>
      </c>
      <c r="R69" s="10">
        <f>2.01*(('Alternative 3'!G70/213.36)^(2/11.5))</f>
        <v>0</v>
      </c>
      <c r="S69" s="10">
        <f>0.613*(R69*'Alternative 3'!$B$34*'Alternative 3'!$B$35*'Alternative 3'!$B$36)</f>
        <v>0</v>
      </c>
      <c r="T69" s="10">
        <f>S69*'Alternative 3'!$B$32*'Alternative 3'!$B$33*'Alternative 3'!H70</f>
        <v>0</v>
      </c>
      <c r="U69" s="10">
        <f>T69/4448.2216</f>
        <v>0</v>
      </c>
    </row>
    <row r="70" spans="1:21" x14ac:dyDescent="0.25">
      <c r="A70" s="18">
        <f t="shared" ref="A70:A92" si="5">A69+1</f>
        <v>68</v>
      </c>
      <c r="H70" s="10">
        <f>2.01*(('Alternative 1'!G71/213.36)^(2/11.5))</f>
        <v>0</v>
      </c>
      <c r="I70" s="10">
        <f>0.613*(H70*'Alternative 1'!$B$34*'Alternative 1'!$B$35*'Alternative 1'!$B$36)</f>
        <v>0</v>
      </c>
      <c r="J70" s="10">
        <f>I70*'Alternative 1'!$B$32*'Alternative 1'!$B$33*'Alternative 1'!H71</f>
        <v>0</v>
      </c>
      <c r="M70" s="10">
        <f>2.01*(('Alternative 2'!G71/213.36)^(2/11.5))</f>
        <v>0</v>
      </c>
      <c r="N70" s="10">
        <f>0.613*(M70*'Alternative 2'!$B$34*'Alternative 2'!$B$35*'Alternative 2'!$B$36)</f>
        <v>0</v>
      </c>
      <c r="O70" s="10">
        <f>N70*'Alternative 2'!$B$32*'Alternative 2'!$B$33*'Alternative 2'!H71</f>
        <v>0</v>
      </c>
      <c r="R70" s="10">
        <f>2.01*(('Alternative 3'!G71/213.36)^(2/11.5))</f>
        <v>0</v>
      </c>
      <c r="S70" s="10">
        <f>0.613*(R70*'Alternative 3'!$B$34*'Alternative 3'!$B$35*'Alternative 3'!$B$36)</f>
        <v>0</v>
      </c>
      <c r="T70" s="10">
        <f>S70*'Alternative 3'!$B$32*'Alternative 3'!$B$33*'Alternative 3'!H71</f>
        <v>0</v>
      </c>
    </row>
    <row r="71" spans="1:21" x14ac:dyDescent="0.25">
      <c r="A71" s="18">
        <f t="shared" si="5"/>
        <v>69</v>
      </c>
      <c r="H71" s="10">
        <f>2.01*(('Alternative 1'!G72/213.36)^(2/11.5))</f>
        <v>0</v>
      </c>
      <c r="I71" s="10">
        <f>0.613*(H71*'Alternative 1'!$B$34*'Alternative 1'!$B$35*'Alternative 1'!$B$36)</f>
        <v>0</v>
      </c>
      <c r="J71" s="10">
        <f>I71*'Alternative 1'!$B$32*'Alternative 1'!$B$33*'Alternative 1'!H72</f>
        <v>0</v>
      </c>
      <c r="M71" s="10">
        <f>2.01*(('Alternative 2'!G72/213.36)^(2/11.5))</f>
        <v>0</v>
      </c>
      <c r="N71" s="10">
        <f>0.613*(M71*'Alternative 2'!$B$34*'Alternative 2'!$B$35*'Alternative 2'!$B$36)</f>
        <v>0</v>
      </c>
      <c r="O71" s="10">
        <f>N71*'Alternative 2'!$B$32*'Alternative 2'!$B$33*'Alternative 2'!H72</f>
        <v>0</v>
      </c>
      <c r="R71" s="10">
        <f>2.01*(('Alternative 3'!G72/213.36)^(2/11.5))</f>
        <v>0</v>
      </c>
      <c r="S71" s="10">
        <f>0.613*(R71*'Alternative 3'!$B$34*'Alternative 3'!$B$35*'Alternative 3'!$B$36)</f>
        <v>0</v>
      </c>
      <c r="T71" s="10">
        <f>S71*'Alternative 3'!$B$32*'Alternative 3'!$B$33*'Alternative 3'!H72</f>
        <v>0</v>
      </c>
    </row>
    <row r="72" spans="1:21" x14ac:dyDescent="0.25">
      <c r="A72" s="18">
        <f t="shared" si="5"/>
        <v>70</v>
      </c>
      <c r="H72" s="10">
        <f>2.01*(('Alternative 1'!G73/213.36)^(2/11.5))</f>
        <v>0</v>
      </c>
      <c r="I72" s="10">
        <f>0.613*(H72*'Alternative 1'!$B$34*'Alternative 1'!$B$35*'Alternative 1'!$B$36)</f>
        <v>0</v>
      </c>
      <c r="J72" s="10">
        <f>I72*'Alternative 1'!$B$32*'Alternative 1'!$B$33*'Alternative 1'!H73</f>
        <v>0</v>
      </c>
      <c r="M72" s="10">
        <f>2.01*(('Alternative 2'!G73/213.36)^(2/11.5))</f>
        <v>0</v>
      </c>
      <c r="N72" s="10">
        <f>0.613*(M72*'Alternative 2'!$B$34*'Alternative 2'!$B$35*'Alternative 2'!$B$36)</f>
        <v>0</v>
      </c>
      <c r="O72" s="10">
        <f>N72*'Alternative 2'!$B$32*'Alternative 2'!$B$33*'Alternative 2'!H73</f>
        <v>0</v>
      </c>
      <c r="R72" s="10">
        <f>2.01*(('Alternative 3'!G73/213.36)^(2/11.5))</f>
        <v>0</v>
      </c>
      <c r="S72" s="10">
        <f>0.613*(R72*'Alternative 3'!$B$34*'Alternative 3'!$B$35*'Alternative 3'!$B$36)</f>
        <v>0</v>
      </c>
      <c r="T72" s="10">
        <f>S72*'Alternative 3'!$B$32*'Alternative 3'!$B$33*'Alternative 3'!H73</f>
        <v>0</v>
      </c>
    </row>
    <row r="73" spans="1:21" x14ac:dyDescent="0.25">
      <c r="A73" s="18">
        <f t="shared" si="5"/>
        <v>71</v>
      </c>
      <c r="H73" s="10">
        <f>2.01*(('Alternative 1'!G74/213.36)^(2/11.5))</f>
        <v>0</v>
      </c>
      <c r="I73" s="10">
        <f>0.613*(H73*'Alternative 1'!$B$34*'Alternative 1'!$B$35*'Alternative 1'!$B$36)</f>
        <v>0</v>
      </c>
      <c r="J73" s="10">
        <f>I73*'Alternative 1'!$B$32*'Alternative 1'!$B$33*'Alternative 1'!H74</f>
        <v>0</v>
      </c>
      <c r="M73" s="10">
        <f>2.01*(('Alternative 2'!G74/213.36)^(2/11.5))</f>
        <v>0</v>
      </c>
      <c r="N73" s="10">
        <f>0.613*(M73*'Alternative 2'!$B$34*'Alternative 2'!$B$35*'Alternative 2'!$B$36)</f>
        <v>0</v>
      </c>
      <c r="O73" s="10">
        <f>N73*'Alternative 2'!$B$32*'Alternative 2'!$B$33*'Alternative 2'!H74</f>
        <v>0</v>
      </c>
      <c r="R73" s="10">
        <f>2.01*(('Alternative 3'!G74/213.36)^(2/11.5))</f>
        <v>0</v>
      </c>
      <c r="S73" s="10">
        <f>0.613*(R73*'Alternative 3'!$B$34*'Alternative 3'!$B$35*'Alternative 3'!$B$36)</f>
        <v>0</v>
      </c>
      <c r="T73" s="10">
        <f>S73*'Alternative 3'!$B$32*'Alternative 3'!$B$33*'Alternative 3'!H74</f>
        <v>0</v>
      </c>
    </row>
    <row r="74" spans="1:21" x14ac:dyDescent="0.25">
      <c r="A74" s="18">
        <f t="shared" si="5"/>
        <v>72</v>
      </c>
      <c r="H74" s="10">
        <f>2.01*(('Alternative 1'!G75/213.36)^(2/11.5))</f>
        <v>0</v>
      </c>
      <c r="I74" s="10">
        <f>0.613*(H74*'Alternative 1'!$B$34*'Alternative 1'!$B$35*'Alternative 1'!$B$36)</f>
        <v>0</v>
      </c>
      <c r="J74" s="10">
        <f>I74*'Alternative 1'!$B$32*'Alternative 1'!$B$33*'Alternative 1'!H75</f>
        <v>0</v>
      </c>
      <c r="M74" s="10">
        <f>2.01*(('Alternative 2'!G75/213.36)^(2/11.5))</f>
        <v>0</v>
      </c>
      <c r="N74" s="10">
        <f>0.613*(M74*'Alternative 2'!$B$34*'Alternative 2'!$B$35*'Alternative 2'!$B$36)</f>
        <v>0</v>
      </c>
      <c r="O74" s="10">
        <f>N74*'Alternative 2'!$B$32*'Alternative 2'!$B$33*'Alternative 2'!H75</f>
        <v>0</v>
      </c>
      <c r="R74" s="10">
        <f>2.01*(('Alternative 3'!G75/213.36)^(2/11.5))</f>
        <v>0</v>
      </c>
      <c r="S74" s="10">
        <f>0.613*(R74*'Alternative 3'!$B$34*'Alternative 3'!$B$35*'Alternative 3'!$B$36)</f>
        <v>0</v>
      </c>
      <c r="T74" s="10">
        <f>S74*'Alternative 3'!$B$32*'Alternative 3'!$B$33*'Alternative 3'!H75</f>
        <v>0</v>
      </c>
    </row>
    <row r="75" spans="1:21" x14ac:dyDescent="0.25">
      <c r="A75" s="18">
        <f t="shared" si="5"/>
        <v>73</v>
      </c>
      <c r="H75" s="10">
        <f>2.01*(('Alternative 1'!G76/213.36)^(2/11.5))</f>
        <v>0</v>
      </c>
      <c r="I75" s="10">
        <f>0.613*(H75*'Alternative 1'!$B$34*'Alternative 1'!$B$35*'Alternative 1'!$B$36)</f>
        <v>0</v>
      </c>
      <c r="J75" s="10">
        <f>I75*'Alternative 1'!$B$32*'Alternative 1'!$B$33*'Alternative 1'!H76</f>
        <v>0</v>
      </c>
      <c r="M75" s="10">
        <f>2.01*(('Alternative 2'!G76/213.36)^(2/11.5))</f>
        <v>0</v>
      </c>
      <c r="N75" s="10">
        <f>0.613*(M75*'Alternative 2'!$B$34*'Alternative 2'!$B$35*'Alternative 2'!$B$36)</f>
        <v>0</v>
      </c>
      <c r="O75" s="10">
        <f>N75*'Alternative 2'!$B$32*'Alternative 2'!$B$33*'Alternative 2'!H76</f>
        <v>0</v>
      </c>
      <c r="R75" s="10">
        <f>2.01*(('Alternative 3'!G76/213.36)^(2/11.5))</f>
        <v>0</v>
      </c>
      <c r="S75" s="10">
        <f>0.613*(R75*'Alternative 3'!$B$34*'Alternative 3'!$B$35*'Alternative 3'!$B$36)</f>
        <v>0</v>
      </c>
      <c r="T75" s="10">
        <f>S75*'Alternative 3'!$B$32*'Alternative 3'!$B$33*'Alternative 3'!H76</f>
        <v>0</v>
      </c>
    </row>
    <row r="76" spans="1:21" x14ac:dyDescent="0.25">
      <c r="A76" s="18">
        <f t="shared" si="5"/>
        <v>74</v>
      </c>
      <c r="H76" s="10">
        <f>2.01*(('Alternative 1'!G77/213.36)^(2/11.5))</f>
        <v>0</v>
      </c>
      <c r="I76" s="10">
        <f>0.613*(H76*'Alternative 1'!$B$34*'Alternative 1'!$B$35*'Alternative 1'!$B$36)</f>
        <v>0</v>
      </c>
      <c r="J76" s="10">
        <f>I76*'Alternative 1'!$B$32*'Alternative 1'!$B$33*'Alternative 1'!H77</f>
        <v>0</v>
      </c>
      <c r="M76" s="10">
        <f>2.01*(('Alternative 2'!G77/213.36)^(2/11.5))</f>
        <v>0</v>
      </c>
      <c r="N76" s="10">
        <f>0.613*(M76*'Alternative 2'!$B$34*'Alternative 2'!$B$35*'Alternative 2'!$B$36)</f>
        <v>0</v>
      </c>
      <c r="O76" s="10">
        <f>N76*'Alternative 2'!$B$32*'Alternative 2'!$B$33*'Alternative 2'!H77</f>
        <v>0</v>
      </c>
      <c r="R76" s="10">
        <f>2.01*(('Alternative 3'!G77/213.36)^(2/11.5))</f>
        <v>0</v>
      </c>
      <c r="S76" s="10">
        <f>0.613*(R76*'Alternative 3'!$B$34*'Alternative 3'!$B$35*'Alternative 3'!$B$36)</f>
        <v>0</v>
      </c>
      <c r="T76" s="10">
        <f>S76*'Alternative 3'!$B$32*'Alternative 3'!$B$33*'Alternative 3'!H77</f>
        <v>0</v>
      </c>
    </row>
    <row r="77" spans="1:21" x14ac:dyDescent="0.25">
      <c r="A77" s="18">
        <f t="shared" si="5"/>
        <v>75</v>
      </c>
      <c r="H77" s="10">
        <f>2.01*(('Alternative 1'!G78/213.36)^(2/11.5))</f>
        <v>0</v>
      </c>
      <c r="I77" s="10">
        <f>0.613*(H77*'Alternative 1'!$B$34*'Alternative 1'!$B$35*'Alternative 1'!$B$36)</f>
        <v>0</v>
      </c>
      <c r="J77" s="10">
        <f>I77*'Alternative 1'!$B$32*'Alternative 1'!$B$33*'Alternative 1'!H78</f>
        <v>0</v>
      </c>
      <c r="M77" s="10">
        <f>2.01*(('Alternative 2'!G78/213.36)^(2/11.5))</f>
        <v>0</v>
      </c>
      <c r="N77" s="10">
        <f>0.613*(M77*'Alternative 2'!$B$34*'Alternative 2'!$B$35*'Alternative 2'!$B$36)</f>
        <v>0</v>
      </c>
      <c r="O77" s="10">
        <f>N77*'Alternative 2'!$B$32*'Alternative 2'!$B$33*'Alternative 2'!H78</f>
        <v>0</v>
      </c>
      <c r="R77" s="10">
        <f>2.01*(('Alternative 3'!G78/213.36)^(2/11.5))</f>
        <v>0</v>
      </c>
      <c r="S77" s="10">
        <f>0.613*(R77*'Alternative 3'!$B$34*'Alternative 3'!$B$35*'Alternative 3'!$B$36)</f>
        <v>0</v>
      </c>
      <c r="T77" s="10">
        <f>S77*'Alternative 3'!$B$32*'Alternative 3'!$B$33*'Alternative 3'!H78</f>
        <v>0</v>
      </c>
    </row>
    <row r="78" spans="1:21" x14ac:dyDescent="0.25">
      <c r="A78" s="18">
        <f t="shared" si="5"/>
        <v>76</v>
      </c>
      <c r="H78" s="10">
        <f>2.01*(('Alternative 1'!G79/213.36)^(2/11.5))</f>
        <v>0</v>
      </c>
      <c r="I78" s="10">
        <f>0.613*(H78*'Alternative 1'!$B$34*'Alternative 1'!$B$35*'Alternative 1'!$B$36)</f>
        <v>0</v>
      </c>
      <c r="J78" s="10">
        <f>I78*'Alternative 1'!$B$32*'Alternative 1'!$B$33*'Alternative 1'!H79</f>
        <v>0</v>
      </c>
      <c r="M78" s="10">
        <f>2.01*(('Alternative 2'!G79/213.36)^(2/11.5))</f>
        <v>0</v>
      </c>
      <c r="N78" s="10">
        <f>0.613*(M78*'Alternative 2'!$B$34*'Alternative 2'!$B$35*'Alternative 2'!$B$36)</f>
        <v>0</v>
      </c>
      <c r="O78" s="10">
        <f>N78*'Alternative 2'!$B$32*'Alternative 2'!$B$33*'Alternative 2'!H79</f>
        <v>0</v>
      </c>
      <c r="R78" s="10">
        <f>2.01*(('Alternative 3'!G79/213.36)^(2/11.5))</f>
        <v>0</v>
      </c>
      <c r="S78" s="10">
        <f>0.613*(R78*'Alternative 3'!$B$34*'Alternative 3'!$B$35*'Alternative 3'!$B$36)</f>
        <v>0</v>
      </c>
      <c r="T78" s="10">
        <f>S78*'Alternative 3'!$B$32*'Alternative 3'!$B$33*'Alternative 3'!H79</f>
        <v>0</v>
      </c>
    </row>
    <row r="79" spans="1:21" x14ac:dyDescent="0.25">
      <c r="A79" s="18">
        <f t="shared" si="5"/>
        <v>77</v>
      </c>
      <c r="H79" s="10">
        <f>2.01*(('Alternative 1'!G80/213.36)^(2/11.5))</f>
        <v>0</v>
      </c>
      <c r="I79" s="10">
        <f>0.613*(H79*'Alternative 1'!$B$34*'Alternative 1'!$B$35*'Alternative 1'!$B$36)</f>
        <v>0</v>
      </c>
      <c r="J79" s="10">
        <f>I79*'Alternative 1'!$B$32*'Alternative 1'!$B$33*'Alternative 1'!H80</f>
        <v>0</v>
      </c>
      <c r="M79" s="10">
        <f>2.01*(('Alternative 2'!G80/213.36)^(2/11.5))</f>
        <v>0</v>
      </c>
      <c r="N79" s="10">
        <f>0.613*(M79*'Alternative 2'!$B$34*'Alternative 2'!$B$35*'Alternative 2'!$B$36)</f>
        <v>0</v>
      </c>
      <c r="O79" s="10">
        <f>N79*'Alternative 2'!$B$32*'Alternative 2'!$B$33*'Alternative 2'!H80</f>
        <v>0</v>
      </c>
      <c r="R79" s="10">
        <f>2.01*(('Alternative 3'!G80/213.36)^(2/11.5))</f>
        <v>0</v>
      </c>
      <c r="S79" s="10">
        <f>0.613*(R79*'Alternative 3'!$B$34*'Alternative 3'!$B$35*'Alternative 3'!$B$36)</f>
        <v>0</v>
      </c>
      <c r="T79" s="10">
        <f>S79*'Alternative 3'!$B$32*'Alternative 3'!$B$33*'Alternative 3'!H80</f>
        <v>0</v>
      </c>
    </row>
    <row r="80" spans="1:21" x14ac:dyDescent="0.25">
      <c r="A80" s="18">
        <f t="shared" si="5"/>
        <v>78</v>
      </c>
      <c r="H80" s="10">
        <f>2.01*(('Alternative 1'!G81/213.36)^(2/11.5))</f>
        <v>0</v>
      </c>
      <c r="I80" s="10">
        <f>0.613*(H80*'Alternative 1'!$B$34*'Alternative 1'!$B$35*'Alternative 1'!$B$36)</f>
        <v>0</v>
      </c>
      <c r="J80" s="10">
        <f>I80*'Alternative 1'!$B$32*'Alternative 1'!$B$33*'Alternative 1'!H81</f>
        <v>0</v>
      </c>
      <c r="M80" s="10">
        <f>2.01*(('Alternative 2'!G81/213.36)^(2/11.5))</f>
        <v>0</v>
      </c>
      <c r="N80" s="10">
        <f>0.613*(M80*'Alternative 2'!$B$34*'Alternative 2'!$B$35*'Alternative 2'!$B$36)</f>
        <v>0</v>
      </c>
      <c r="O80" s="10">
        <f>N80*'Alternative 2'!$B$32*'Alternative 2'!$B$33*'Alternative 2'!H81</f>
        <v>0</v>
      </c>
      <c r="R80" s="10">
        <f>2.01*(('Alternative 3'!G81/213.36)^(2/11.5))</f>
        <v>0</v>
      </c>
      <c r="S80" s="10">
        <f>0.613*(R80*'Alternative 3'!$B$34*'Alternative 3'!$B$35*'Alternative 3'!$B$36)</f>
        <v>0</v>
      </c>
      <c r="T80" s="10">
        <f>S80*'Alternative 3'!$B$32*'Alternative 3'!$B$33*'Alternative 3'!H81</f>
        <v>0</v>
      </c>
    </row>
    <row r="81" spans="1:20" x14ac:dyDescent="0.25">
      <c r="A81" s="18">
        <f t="shared" si="5"/>
        <v>79</v>
      </c>
      <c r="H81" s="10">
        <f>2.01*(('Alternative 1'!G82/213.36)^(2/11.5))</f>
        <v>0</v>
      </c>
      <c r="I81" s="10">
        <f>0.613*(H81*'Alternative 1'!$B$34*'Alternative 1'!$B$35*'Alternative 1'!$B$36)</f>
        <v>0</v>
      </c>
      <c r="J81" s="10">
        <f>I81*'Alternative 1'!$B$32*'Alternative 1'!$B$33*'Alternative 1'!H82</f>
        <v>0</v>
      </c>
      <c r="M81" s="10">
        <f>2.01*(('Alternative 2'!G82/213.36)^(2/11.5))</f>
        <v>0</v>
      </c>
      <c r="N81" s="10">
        <f>0.613*(M81*'Alternative 2'!$B$34*'Alternative 2'!$B$35*'Alternative 2'!$B$36)</f>
        <v>0</v>
      </c>
      <c r="O81" s="10">
        <f>N81*'Alternative 2'!$B$32*'Alternative 2'!$B$33*'Alternative 2'!H82</f>
        <v>0</v>
      </c>
      <c r="R81" s="10">
        <f>2.01*(('Alternative 3'!G82/213.36)^(2/11.5))</f>
        <v>0</v>
      </c>
      <c r="S81" s="10">
        <f>0.613*(R81*'Alternative 3'!$B$34*'Alternative 3'!$B$35*'Alternative 3'!$B$36)</f>
        <v>0</v>
      </c>
      <c r="T81" s="10">
        <f>S81*'Alternative 3'!$B$32*'Alternative 3'!$B$33*'Alternative 3'!H82</f>
        <v>0</v>
      </c>
    </row>
    <row r="82" spans="1:20" x14ac:dyDescent="0.25">
      <c r="A82" s="18">
        <f t="shared" si="5"/>
        <v>80</v>
      </c>
      <c r="H82" s="10">
        <f>2.01*(('Alternative 1'!G83/213.36)^(2/11.5))</f>
        <v>0</v>
      </c>
      <c r="I82" s="10">
        <f>0.613*(H82*'Alternative 1'!$B$34*'Alternative 1'!$B$35*'Alternative 1'!$B$36)</f>
        <v>0</v>
      </c>
      <c r="J82" s="10">
        <f>I82*'Alternative 1'!$B$32*'Alternative 1'!$B$33*'Alternative 1'!H83</f>
        <v>0</v>
      </c>
      <c r="M82" s="10">
        <f>2.01*(('Alternative 2'!G83/213.36)^(2/11.5))</f>
        <v>0</v>
      </c>
      <c r="N82" s="10">
        <f>0.613*(M82*'Alternative 2'!$B$34*'Alternative 2'!$B$35*'Alternative 2'!$B$36)</f>
        <v>0</v>
      </c>
      <c r="O82" s="10">
        <f>N82*'Alternative 2'!$B$32*'Alternative 2'!$B$33*'Alternative 2'!H83</f>
        <v>0</v>
      </c>
      <c r="R82" s="10">
        <f>2.01*(('Alternative 3'!G83/213.36)^(2/11.5))</f>
        <v>0</v>
      </c>
      <c r="S82" s="10">
        <f>0.613*(R82*'Alternative 3'!$B$34*'Alternative 3'!$B$35*'Alternative 3'!$B$36)</f>
        <v>0</v>
      </c>
      <c r="T82" s="10">
        <f>S82*'Alternative 3'!$B$32*'Alternative 3'!$B$33*'Alternative 3'!H83</f>
        <v>0</v>
      </c>
    </row>
    <row r="83" spans="1:20" x14ac:dyDescent="0.25">
      <c r="A83" s="18">
        <f t="shared" si="5"/>
        <v>81</v>
      </c>
      <c r="H83" s="10">
        <f>2.01*(('Alternative 1'!G84/213.36)^(2/11.5))</f>
        <v>0</v>
      </c>
      <c r="I83" s="10">
        <f>0.613*(H83*'Alternative 1'!$B$34*'Alternative 1'!$B$35*'Alternative 1'!$B$36)</f>
        <v>0</v>
      </c>
      <c r="J83" s="10">
        <f>I83*'Alternative 1'!$B$32*'Alternative 1'!$B$33*'Alternative 1'!H84</f>
        <v>0</v>
      </c>
      <c r="M83" s="10">
        <f>2.01*(('Alternative 2'!G84/213.36)^(2/11.5))</f>
        <v>0</v>
      </c>
      <c r="N83" s="10">
        <f>0.613*(M83*'Alternative 2'!$B$34*'Alternative 2'!$B$35*'Alternative 2'!$B$36)</f>
        <v>0</v>
      </c>
      <c r="O83" s="10">
        <f>N83*'Alternative 2'!$B$32*'Alternative 2'!$B$33*'Alternative 2'!H84</f>
        <v>0</v>
      </c>
      <c r="R83" s="10">
        <f>2.01*(('Alternative 3'!G84/213.36)^(2/11.5))</f>
        <v>0</v>
      </c>
      <c r="S83" s="10">
        <f>0.613*(R83*'Alternative 3'!$B$34*'Alternative 3'!$B$35*'Alternative 3'!$B$36)</f>
        <v>0</v>
      </c>
      <c r="T83" s="10">
        <f>S83*'Alternative 3'!$B$32*'Alternative 3'!$B$33*'Alternative 3'!H84</f>
        <v>0</v>
      </c>
    </row>
    <row r="84" spans="1:20" x14ac:dyDescent="0.25">
      <c r="A84" s="18">
        <f t="shared" si="5"/>
        <v>82</v>
      </c>
      <c r="H84" s="10">
        <f>2.01*(('Alternative 1'!G85/213.36)^(2/11.5))</f>
        <v>0</v>
      </c>
      <c r="I84" s="10">
        <f>0.613*(H84*'Alternative 1'!$B$34*'Alternative 1'!$B$35*'Alternative 1'!$B$36)</f>
        <v>0</v>
      </c>
      <c r="J84" s="10">
        <f>I84*'Alternative 1'!$B$32*'Alternative 1'!$B$33*'Alternative 1'!H85</f>
        <v>0</v>
      </c>
      <c r="M84" s="10">
        <f>2.01*(('Alternative 2'!G85/213.36)^(2/11.5))</f>
        <v>0</v>
      </c>
      <c r="N84" s="10">
        <f>0.613*(M84*'Alternative 2'!$B$34*'Alternative 2'!$B$35*'Alternative 2'!$B$36)</f>
        <v>0</v>
      </c>
      <c r="O84" s="10">
        <f>N84*'Alternative 2'!$B$32*'Alternative 2'!$B$33*'Alternative 2'!H85</f>
        <v>0</v>
      </c>
      <c r="R84" s="10">
        <f>2.01*(('Alternative 3'!G85/213.36)^(2/11.5))</f>
        <v>0</v>
      </c>
      <c r="S84" s="10">
        <f>0.613*(R84*'Alternative 3'!$B$34*'Alternative 3'!$B$35*'Alternative 3'!$B$36)</f>
        <v>0</v>
      </c>
      <c r="T84" s="10">
        <f>S84*'Alternative 3'!$B$32*'Alternative 3'!$B$33*'Alternative 3'!H85</f>
        <v>0</v>
      </c>
    </row>
    <row r="85" spans="1:20" x14ac:dyDescent="0.25">
      <c r="A85" s="18">
        <f t="shared" si="5"/>
        <v>83</v>
      </c>
      <c r="H85" s="10">
        <f>2.01*(('Alternative 1'!G86/213.36)^(2/11.5))</f>
        <v>0</v>
      </c>
      <c r="I85" s="10">
        <f>0.613*(H85*'Alternative 1'!$B$34*'Alternative 1'!$B$35*'Alternative 1'!$B$36)</f>
        <v>0</v>
      </c>
      <c r="J85" s="10">
        <f>I85*'Alternative 1'!$B$32*'Alternative 1'!$B$33*'Alternative 1'!H86</f>
        <v>0</v>
      </c>
      <c r="M85" s="10">
        <f>2.01*(('Alternative 2'!G86/213.36)^(2/11.5))</f>
        <v>0</v>
      </c>
      <c r="N85" s="10">
        <f>0.613*(M85*'Alternative 2'!$B$34*'Alternative 2'!$B$35*'Alternative 2'!$B$36)</f>
        <v>0</v>
      </c>
      <c r="O85" s="10">
        <f>N85*'Alternative 2'!$B$32*'Alternative 2'!$B$33*'Alternative 2'!H86</f>
        <v>0</v>
      </c>
      <c r="R85" s="10">
        <f>2.01*(('Alternative 3'!G86/213.36)^(2/11.5))</f>
        <v>0</v>
      </c>
      <c r="S85" s="10">
        <f>0.613*(R85*'Alternative 3'!$B$34*'Alternative 3'!$B$35*'Alternative 3'!$B$36)</f>
        <v>0</v>
      </c>
      <c r="T85" s="10">
        <f>S85*'Alternative 3'!$B$32*'Alternative 3'!$B$33*'Alternative 3'!H86</f>
        <v>0</v>
      </c>
    </row>
    <row r="86" spans="1:20" x14ac:dyDescent="0.25">
      <c r="A86" s="18">
        <f t="shared" si="5"/>
        <v>84</v>
      </c>
      <c r="H86" s="10">
        <f>2.01*(('Alternative 1'!G87/213.36)^(2/11.5))</f>
        <v>0</v>
      </c>
      <c r="I86" s="10">
        <f>0.613*(H86*'Alternative 1'!$B$34*'Alternative 1'!$B$35*'Alternative 1'!$B$36)</f>
        <v>0</v>
      </c>
      <c r="J86" s="10">
        <f>I86*'Alternative 1'!$B$32*'Alternative 1'!$B$33*'Alternative 1'!H87</f>
        <v>0</v>
      </c>
      <c r="M86" s="10">
        <f>2.01*(('Alternative 2'!G87/213.36)^(2/11.5))</f>
        <v>0</v>
      </c>
      <c r="N86" s="10">
        <f>0.613*(M86*'Alternative 2'!$B$34*'Alternative 2'!$B$35*'Alternative 2'!$B$36)</f>
        <v>0</v>
      </c>
      <c r="O86" s="10">
        <f>N86*'Alternative 2'!$B$32*'Alternative 2'!$B$33*'Alternative 2'!H87</f>
        <v>0</v>
      </c>
      <c r="R86" s="10">
        <f>2.01*(('Alternative 3'!G87/213.36)^(2/11.5))</f>
        <v>0</v>
      </c>
      <c r="S86" s="10">
        <f>0.613*(R86*'Alternative 3'!$B$34*'Alternative 3'!$B$35*'Alternative 3'!$B$36)</f>
        <v>0</v>
      </c>
      <c r="T86" s="10">
        <f>S86*'Alternative 3'!$B$32*'Alternative 3'!$B$33*'Alternative 3'!H87</f>
        <v>0</v>
      </c>
    </row>
    <row r="87" spans="1:20" x14ac:dyDescent="0.25">
      <c r="A87" s="18">
        <f t="shared" si="5"/>
        <v>85</v>
      </c>
      <c r="H87" s="10">
        <f>2.01*(('Alternative 1'!G88/213.36)^(2/11.5))</f>
        <v>0</v>
      </c>
      <c r="I87" s="10">
        <f>0.613*(H87*'Alternative 1'!$B$34*'Alternative 1'!$B$35*'Alternative 1'!$B$36)</f>
        <v>0</v>
      </c>
      <c r="J87" s="10">
        <f>I87*'Alternative 1'!$B$32*'Alternative 1'!$B$33*'Alternative 1'!H88</f>
        <v>0</v>
      </c>
      <c r="M87" s="10">
        <f>2.01*(('Alternative 2'!G88/213.36)^(2/11.5))</f>
        <v>0</v>
      </c>
      <c r="N87" s="10">
        <f>0.613*(M87*'Alternative 2'!$B$34*'Alternative 2'!$B$35*'Alternative 2'!$B$36)</f>
        <v>0</v>
      </c>
      <c r="O87" s="10">
        <f>N87*'Alternative 2'!$B$32*'Alternative 2'!$B$33*'Alternative 2'!H88</f>
        <v>0</v>
      </c>
      <c r="R87" s="10">
        <f>2.01*(('Alternative 3'!G88/213.36)^(2/11.5))</f>
        <v>0</v>
      </c>
      <c r="S87" s="10">
        <f>0.613*(R87*'Alternative 3'!$B$34*'Alternative 3'!$B$35*'Alternative 3'!$B$36)</f>
        <v>0</v>
      </c>
      <c r="T87" s="10">
        <f>S87*'Alternative 3'!$B$32*'Alternative 3'!$B$33*'Alternative 3'!H88</f>
        <v>0</v>
      </c>
    </row>
    <row r="88" spans="1:20" x14ac:dyDescent="0.25">
      <c r="A88" s="18">
        <f t="shared" si="5"/>
        <v>86</v>
      </c>
      <c r="H88" s="10">
        <f>2.01*(('Alternative 1'!G89/213.36)^(2/11.5))</f>
        <v>0</v>
      </c>
      <c r="I88" s="10">
        <f>0.613*(H88*'Alternative 1'!$B$34*'Alternative 1'!$B$35*'Alternative 1'!$B$36)</f>
        <v>0</v>
      </c>
      <c r="J88" s="10">
        <f>I88*'Alternative 1'!$B$32*'Alternative 1'!$B$33*'Alternative 1'!H89</f>
        <v>0</v>
      </c>
      <c r="M88" s="10">
        <f>2.01*(('Alternative 2'!G89/213.36)^(2/11.5))</f>
        <v>0</v>
      </c>
      <c r="N88" s="10">
        <f>0.613*(M88*'Alternative 2'!$B$34*'Alternative 2'!$B$35*'Alternative 2'!$B$36)</f>
        <v>0</v>
      </c>
      <c r="O88" s="10">
        <f>N88*'Alternative 2'!$B$32*'Alternative 2'!$B$33*'Alternative 2'!H89</f>
        <v>0</v>
      </c>
      <c r="R88" s="10">
        <f>2.01*(('Alternative 3'!G89/213.36)^(2/11.5))</f>
        <v>0</v>
      </c>
      <c r="S88" s="10">
        <f>0.613*(R88*'Alternative 3'!$B$34*'Alternative 3'!$B$35*'Alternative 3'!$B$36)</f>
        <v>0</v>
      </c>
      <c r="T88" s="10">
        <f>S88*'Alternative 3'!$B$32*'Alternative 3'!$B$33*'Alternative 3'!H89</f>
        <v>0</v>
      </c>
    </row>
    <row r="89" spans="1:20" x14ac:dyDescent="0.25">
      <c r="A89" s="18">
        <f t="shared" si="5"/>
        <v>87</v>
      </c>
      <c r="H89" s="10">
        <f>2.01*(('Alternative 1'!G90/213.36)^(2/11.5))</f>
        <v>0</v>
      </c>
      <c r="I89" s="10">
        <f>0.613*(H89*'Alternative 1'!$B$34*'Alternative 1'!$B$35*'Alternative 1'!$B$36)</f>
        <v>0</v>
      </c>
      <c r="J89" s="10">
        <f>I89*'Alternative 1'!$B$32*'Alternative 1'!$B$33*'Alternative 1'!H90</f>
        <v>0</v>
      </c>
      <c r="M89" s="10">
        <f>2.01*(('Alternative 2'!G90/213.36)^(2/11.5))</f>
        <v>0</v>
      </c>
      <c r="N89" s="10">
        <f>0.613*(M89*'Alternative 2'!$B$34*'Alternative 2'!$B$35*'Alternative 2'!$B$36)</f>
        <v>0</v>
      </c>
      <c r="O89" s="10">
        <f>N89*'Alternative 2'!$B$32*'Alternative 2'!$B$33*'Alternative 2'!H90</f>
        <v>0</v>
      </c>
      <c r="R89" s="10">
        <f>2.01*(('Alternative 3'!G90/213.36)^(2/11.5))</f>
        <v>0</v>
      </c>
      <c r="S89" s="10">
        <f>0.613*(R89*'Alternative 3'!$B$34*'Alternative 3'!$B$35*'Alternative 3'!$B$36)</f>
        <v>0</v>
      </c>
      <c r="T89" s="10">
        <f>S89*'Alternative 3'!$B$32*'Alternative 3'!$B$33*'Alternative 3'!H90</f>
        <v>0</v>
      </c>
    </row>
    <row r="90" spans="1:20" x14ac:dyDescent="0.25">
      <c r="A90" s="18">
        <f t="shared" si="5"/>
        <v>88</v>
      </c>
      <c r="H90" s="10">
        <f>2.01*(('Alternative 1'!G91/213.36)^(2/11.5))</f>
        <v>0</v>
      </c>
      <c r="I90" s="10">
        <f>0.613*(H90*'Alternative 1'!$B$34*'Alternative 1'!$B$35*'Alternative 1'!$B$36)</f>
        <v>0</v>
      </c>
      <c r="J90" s="10">
        <f>I90*'Alternative 1'!$B$32*'Alternative 1'!$B$33*'Alternative 1'!H91</f>
        <v>0</v>
      </c>
      <c r="M90" s="10">
        <f>2.01*(('Alternative 2'!G91/213.36)^(2/11.5))</f>
        <v>0</v>
      </c>
      <c r="N90" s="10">
        <f>0.613*(M90*'Alternative 2'!$B$34*'Alternative 2'!$B$35*'Alternative 2'!$B$36)</f>
        <v>0</v>
      </c>
      <c r="O90" s="10">
        <f>N90*'Alternative 2'!$B$32*'Alternative 2'!$B$33*'Alternative 2'!H91</f>
        <v>0</v>
      </c>
      <c r="R90" s="10">
        <f>2.01*(('Alternative 3'!G91/213.36)^(2/11.5))</f>
        <v>0</v>
      </c>
      <c r="S90" s="10">
        <f>0.613*(R90*'Alternative 3'!$B$34*'Alternative 3'!$B$35*'Alternative 3'!$B$36)</f>
        <v>0</v>
      </c>
      <c r="T90" s="10">
        <f>S90*'Alternative 3'!$B$32*'Alternative 3'!$B$33*'Alternative 3'!H91</f>
        <v>0</v>
      </c>
    </row>
    <row r="91" spans="1:20" x14ac:dyDescent="0.25">
      <c r="A91" s="18">
        <f t="shared" si="5"/>
        <v>89</v>
      </c>
      <c r="H91" s="10">
        <f>2.01*(('Alternative 1'!G92/213.36)^(2/11.5))</f>
        <v>0</v>
      </c>
      <c r="I91" s="10">
        <f>0.613*(H91*'Alternative 1'!$B$34*'Alternative 1'!$B$35*'Alternative 1'!$B$36)</f>
        <v>0</v>
      </c>
      <c r="J91" s="10">
        <f>I91*'Alternative 1'!$B$32*'Alternative 1'!$B$33*'Alternative 1'!H92</f>
        <v>0</v>
      </c>
      <c r="M91" s="10">
        <f>2.01*(('Alternative 2'!G92/213.36)^(2/11.5))</f>
        <v>0</v>
      </c>
      <c r="N91" s="10">
        <f>0.613*(M91*'Alternative 2'!$B$34*'Alternative 2'!$B$35*'Alternative 2'!$B$36)</f>
        <v>0</v>
      </c>
      <c r="O91" s="10">
        <f>N91*'Alternative 2'!$B$32*'Alternative 2'!$B$33*'Alternative 2'!H92</f>
        <v>0</v>
      </c>
      <c r="R91" s="10">
        <f>2.01*(('Alternative 3'!G92/213.36)^(2/11.5))</f>
        <v>0</v>
      </c>
      <c r="S91" s="10">
        <f>0.613*(R91*'Alternative 3'!$B$34*'Alternative 3'!$B$35*'Alternative 3'!$B$36)</f>
        <v>0</v>
      </c>
      <c r="T91" s="10">
        <f>S91*'Alternative 3'!$B$32*'Alternative 3'!$B$33*'Alternative 3'!H92</f>
        <v>0</v>
      </c>
    </row>
    <row r="92" spans="1:20" x14ac:dyDescent="0.25">
      <c r="A92" s="18">
        <f t="shared" si="5"/>
        <v>90</v>
      </c>
      <c r="H92" s="10">
        <f>2.01*(('Alternative 1'!G93/213.36)^(2/11.5))</f>
        <v>0</v>
      </c>
      <c r="I92" s="10">
        <f>0.613*(H92*'Alternative 1'!$B$34*'Alternative 1'!$B$35*'Alternative 1'!$B$36)</f>
        <v>0</v>
      </c>
      <c r="J92" s="10">
        <f>I92*'Alternative 1'!$B$32*'Alternative 1'!$B$33*'Alternative 1'!H93</f>
        <v>0</v>
      </c>
      <c r="M92" s="10">
        <f>2.01*(('Alternative 2'!G93/213.36)^(2/11.5))</f>
        <v>0</v>
      </c>
      <c r="N92" s="10">
        <f>0.613*(M92*'Alternative 2'!$B$34*'Alternative 2'!$B$35*'Alternative 2'!$B$36)</f>
        <v>0</v>
      </c>
      <c r="O92" s="10">
        <f>N92*'Alternative 2'!$B$32*'Alternative 2'!$B$33*'Alternative 2'!H93</f>
        <v>0</v>
      </c>
      <c r="R92" s="10">
        <f>2.01*(('Alternative 3'!G93/213.36)^(2/11.5))</f>
        <v>0</v>
      </c>
      <c r="S92" s="10">
        <f>0.613*(R92*'Alternative 3'!$B$34*'Alternative 3'!$B$35*'Alternative 3'!$B$36)</f>
        <v>0</v>
      </c>
      <c r="T92" s="10">
        <f>S92*'Alternative 3'!$B$32*'Alternative 3'!$B$33*'Alternative 3'!H93</f>
        <v>0</v>
      </c>
    </row>
  </sheetData>
  <customSheetViews>
    <customSheetView guid="{73608749-DAD6-470A-871E-DA0A326E9E7B}" hiddenColumns="1" topLeftCell="A48">
      <selection activeCell="U63" sqref="U63"/>
      <pageMargins left="0.7" right="0.7" top="0.75" bottom="0.75" header="0.3" footer="0.3"/>
    </customSheetView>
  </customSheetViews>
  <mergeCells count="8">
    <mergeCell ref="B1:B1048576"/>
    <mergeCell ref="R1:U1"/>
    <mergeCell ref="C1:F1"/>
    <mergeCell ref="H1:K1"/>
    <mergeCell ref="M1:P1"/>
    <mergeCell ref="G1:G1048576"/>
    <mergeCell ref="L1:L1048576"/>
    <mergeCell ref="Q1:Q1048576"/>
  </mergeCells>
  <pageMargins left="0.7" right="0.7" top="0.75" bottom="0.75" header="0.3" footer="0.3"/>
  <pageSetup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9" tint="-0.249977111117893"/>
  </sheetPr>
  <dimension ref="A1:AG113"/>
  <sheetViews>
    <sheetView zoomScale="90" zoomScaleNormal="90" workbookViewId="0">
      <selection activeCell="W9" sqref="W9"/>
    </sheetView>
  </sheetViews>
  <sheetFormatPr defaultColWidth="9.140625" defaultRowHeight="15" x14ac:dyDescent="0.25"/>
  <cols>
    <col min="1" max="1" width="8.28515625" style="8" bestFit="1" customWidth="1"/>
    <col min="2" max="2" width="1.85546875" style="8" customWidth="1"/>
    <col min="3" max="3" width="8.7109375" style="33" customWidth="1"/>
    <col min="4" max="4" width="8.5703125" style="33" customWidth="1"/>
    <col min="5" max="5" width="7.28515625" style="33" customWidth="1"/>
    <col min="6" max="6" width="16" style="33" customWidth="1"/>
    <col min="7" max="7" width="8.140625" style="33" customWidth="1"/>
    <col min="8" max="8" width="9.5703125" style="33" customWidth="1"/>
    <col min="9" max="9" width="7.7109375" style="33" customWidth="1"/>
    <col min="10" max="10" width="2.5703125" style="33" customWidth="1"/>
    <col min="11" max="12" width="9.140625" style="33"/>
    <col min="13" max="13" width="7.7109375" style="33" customWidth="1"/>
    <col min="14" max="14" width="9.140625" style="33"/>
    <col min="15" max="15" width="7.7109375" style="33" customWidth="1"/>
    <col min="16" max="16" width="12.7109375" style="33" bestFit="1" customWidth="1"/>
    <col min="17" max="17" width="7.7109375" style="8" customWidth="1"/>
    <col min="18" max="18" width="2.85546875" style="8" customWidth="1"/>
    <col min="19" max="25" width="9.140625" style="8"/>
    <col min="26" max="26" width="2.28515625" style="8" customWidth="1"/>
    <col min="27" max="28" width="9.140625" style="8"/>
    <col min="29" max="29" width="10.5703125" style="8" customWidth="1"/>
    <col min="30" max="30" width="7.42578125" style="8" customWidth="1"/>
    <col min="31" max="31" width="7.28515625" style="8" customWidth="1"/>
    <col min="32" max="32" width="7.85546875" style="8" customWidth="1"/>
    <col min="33" max="33" width="8.7109375" style="8" customWidth="1"/>
    <col min="34" max="34" width="2.28515625" style="8" customWidth="1"/>
    <col min="35" max="16384" width="9.140625" style="8"/>
  </cols>
  <sheetData>
    <row r="1" spans="1:33" ht="21" x14ac:dyDescent="0.35">
      <c r="A1" s="55"/>
      <c r="B1" s="206"/>
      <c r="C1" s="205" t="s">
        <v>78</v>
      </c>
      <c r="D1" s="205"/>
      <c r="E1" s="205"/>
      <c r="F1" s="205"/>
      <c r="G1" s="205"/>
      <c r="H1" s="205"/>
      <c r="I1" s="205"/>
      <c r="J1" s="206"/>
      <c r="K1" s="205" t="s">
        <v>147</v>
      </c>
      <c r="L1" s="205"/>
      <c r="M1" s="205"/>
      <c r="N1" s="205"/>
      <c r="O1" s="205"/>
      <c r="P1" s="205"/>
      <c r="Q1" s="205"/>
      <c r="R1" s="206"/>
      <c r="S1" s="205" t="s">
        <v>148</v>
      </c>
      <c r="T1" s="205"/>
      <c r="U1" s="205"/>
      <c r="V1" s="205"/>
      <c r="W1" s="205"/>
      <c r="X1" s="205"/>
      <c r="Y1" s="205"/>
      <c r="Z1" s="206"/>
      <c r="AA1" s="205" t="s">
        <v>149</v>
      </c>
      <c r="AB1" s="205"/>
      <c r="AC1" s="205"/>
      <c r="AD1" s="205"/>
      <c r="AE1" s="205"/>
      <c r="AF1" s="205"/>
      <c r="AG1" s="205"/>
    </row>
    <row r="2" spans="1:33" ht="60" x14ac:dyDescent="0.25">
      <c r="A2" s="51" t="s">
        <v>95</v>
      </c>
      <c r="B2" s="206"/>
      <c r="C2" s="29" t="s">
        <v>94</v>
      </c>
      <c r="D2" s="29" t="s">
        <v>100</v>
      </c>
      <c r="E2" s="29" t="s">
        <v>101</v>
      </c>
      <c r="F2" s="29" t="s">
        <v>102</v>
      </c>
      <c r="G2" s="29" t="s">
        <v>103</v>
      </c>
      <c r="H2" s="29" t="s">
        <v>111</v>
      </c>
      <c r="I2" s="29" t="s">
        <v>110</v>
      </c>
      <c r="J2" s="206"/>
      <c r="K2" s="29" t="s">
        <v>94</v>
      </c>
      <c r="L2" s="29" t="s">
        <v>100</v>
      </c>
      <c r="M2" s="29" t="s">
        <v>101</v>
      </c>
      <c r="N2" s="29" t="s">
        <v>102</v>
      </c>
      <c r="O2" s="29" t="s">
        <v>103</v>
      </c>
      <c r="P2" s="29" t="s">
        <v>111</v>
      </c>
      <c r="Q2" s="29" t="s">
        <v>110</v>
      </c>
      <c r="R2" s="206"/>
      <c r="S2" s="29" t="s">
        <v>94</v>
      </c>
      <c r="T2" s="29" t="s">
        <v>100</v>
      </c>
      <c r="U2" s="29" t="s">
        <v>101</v>
      </c>
      <c r="V2" s="29" t="s">
        <v>102</v>
      </c>
      <c r="W2" s="29" t="s">
        <v>103</v>
      </c>
      <c r="X2" s="29" t="s">
        <v>111</v>
      </c>
      <c r="Y2" s="29" t="s">
        <v>110</v>
      </c>
      <c r="Z2" s="206"/>
      <c r="AA2" s="29" t="s">
        <v>94</v>
      </c>
      <c r="AB2" s="29" t="s">
        <v>100</v>
      </c>
      <c r="AC2" s="29" t="s">
        <v>101</v>
      </c>
      <c r="AD2" s="29" t="s">
        <v>102</v>
      </c>
      <c r="AE2" s="29" t="s">
        <v>103</v>
      </c>
      <c r="AF2" s="29" t="s">
        <v>111</v>
      </c>
      <c r="AG2" s="29" t="s">
        <v>110</v>
      </c>
    </row>
    <row r="3" spans="1:33" ht="26.25" customHeight="1" x14ac:dyDescent="0.25">
      <c r="A3" s="37" t="s">
        <v>96</v>
      </c>
      <c r="B3" s="206"/>
      <c r="C3" s="37">
        <f>'Baseline Given'!B41*'Baseline Given'!$B$45</f>
        <v>56.28</v>
      </c>
      <c r="D3" s="37">
        <f>(2*3.14159*'Baseline Given'!$B$9/2)/C3</f>
        <v>4.1865538379530918</v>
      </c>
      <c r="E3" s="37">
        <f>60/D3</f>
        <v>14.331596420920617</v>
      </c>
      <c r="F3" s="37">
        <f>1/D3</f>
        <v>0.23885994034867694</v>
      </c>
      <c r="G3" s="37">
        <f>(0.5*'Baseline Given'!$B$47*'Baseline Given'!B41^3*'Baseline Given'!$B$48*'Baseline Given'!$B$46)/10^6</f>
        <v>3.6460326754947383</v>
      </c>
      <c r="H3" s="13">
        <f>(G3/'Baseline Given'!B41)*1000000</f>
        <v>272091.99070856255</v>
      </c>
      <c r="I3" s="13">
        <f>H3*'Baseline Given'!$B$39</f>
        <v>299301.18977941881</v>
      </c>
      <c r="J3" s="206"/>
      <c r="K3" s="37">
        <f>'Alternative 1'!B42*'Alternative 1'!$B$46</f>
        <v>56.28</v>
      </c>
      <c r="L3" s="37">
        <f>(2*PI()*'Alternative 1'!$B$9/2)/K3</f>
        <v>1.071758687791827</v>
      </c>
      <c r="M3" s="37">
        <f>60/L3</f>
        <v>55.982751232574188</v>
      </c>
      <c r="N3" s="37">
        <f>1/L3</f>
        <v>0.93304585387623651</v>
      </c>
      <c r="O3" s="37">
        <f>(0.5*'Alternative 1'!$B$48*'Alternative 1'!B42^3*'Alternative 1'!$B$49*'Alternative 1'!$B$47)/10^6</f>
        <v>0.23894659925078124</v>
      </c>
      <c r="P3" s="13">
        <f>(O3/'Alternative 1'!B42)*1000000</f>
        <v>17831.835764983673</v>
      </c>
      <c r="Q3" s="13">
        <f>P3*'Alternative 1'!$B$40</f>
        <v>19615.019341482042</v>
      </c>
      <c r="R3" s="206"/>
      <c r="S3" s="37">
        <f>'Alternative 2'!B42*'Alternative 2'!$B$46</f>
        <v>56.28</v>
      </c>
      <c r="T3" s="37">
        <f>(2*PI()*'Alternative 2'!$B$9/2)/S3</f>
        <v>1.1722360647723109</v>
      </c>
      <c r="U3" s="37">
        <f>60/T3</f>
        <v>51.184229698353541</v>
      </c>
      <c r="V3" s="37">
        <f>1/T3</f>
        <v>0.85307049497255905</v>
      </c>
      <c r="W3" s="37">
        <f>(0.5*'Alternative 2'!$B$48*'Alternative 2'!B42^3*'Alternative 2'!$B$49*'Alternative 2'!$B$47)/10^6</f>
        <v>0.28584920320528029</v>
      </c>
      <c r="X3" s="13">
        <f>(W3/'Alternative 2'!B42)*1000000</f>
        <v>21332.030089946289</v>
      </c>
      <c r="Y3" s="13">
        <f>X3*'Alternative 2'!$B$40</f>
        <v>23465.23309894092</v>
      </c>
      <c r="Z3" s="206"/>
      <c r="AA3" s="37">
        <f>'Alternative 3'!B42*'Alternative 3'!$B$46</f>
        <v>56.28</v>
      </c>
      <c r="AB3" s="37">
        <f>(2*PI()*'Alternative 3'!$B$9/2)/AA3</f>
        <v>2.8747693969416193</v>
      </c>
      <c r="AC3" s="37">
        <f>60/AB3</f>
        <v>20.871239294474261</v>
      </c>
      <c r="AD3" s="37">
        <f>1/AB3</f>
        <v>0.3478539882412377</v>
      </c>
      <c r="AE3" s="37">
        <f>(0.5*'Alternative 3'!$B$48*'Alternative 3'!B42^3*'Alternative 3'!$B$49*'Alternative 3'!$B$47)/10^6</f>
        <v>1.719146370070759</v>
      </c>
      <c r="AF3" s="13">
        <f>(AE3/'Alternative 3'!B42)*1000000</f>
        <v>128294.50522916111</v>
      </c>
      <c r="AG3" s="13">
        <f>AF3*'Alternative 3'!$B$40</f>
        <v>141123.95575207722</v>
      </c>
    </row>
    <row r="4" spans="1:33" ht="26.25" customHeight="1" x14ac:dyDescent="0.25">
      <c r="A4" s="37" t="s">
        <v>97</v>
      </c>
      <c r="B4" s="206"/>
      <c r="C4" s="37">
        <f>'Baseline Given'!B42*'Baseline Given'!$B$45</f>
        <v>50.400000000000006</v>
      </c>
      <c r="D4" s="37">
        <f>(2*3.14159*'Baseline Given'!$B$9/2)/C4</f>
        <v>4.6749851190476184</v>
      </c>
      <c r="E4" s="37">
        <f>60/D4</f>
        <v>12.834265451570703</v>
      </c>
      <c r="F4" s="37">
        <f>1/D4</f>
        <v>0.21390442419284506</v>
      </c>
      <c r="G4" s="37">
        <f>(0.5*'Baseline Given'!$B$47*'Baseline Given'!B42^3*'Baseline Given'!$B$48*'Baseline Given'!$B$46)/10^6</f>
        <v>2.6184838491000004</v>
      </c>
      <c r="H4" s="13">
        <f>(G4/'Baseline Given'!B42)*1000000</f>
        <v>218206.98742500003</v>
      </c>
      <c r="I4" s="13">
        <f>H4*'Baseline Given'!$B$39</f>
        <v>240027.68616750004</v>
      </c>
      <c r="J4" s="206"/>
      <c r="K4" s="37">
        <f>'Alternative 1'!B43*'Alternative 1'!$B$46</f>
        <v>50.400000000000006</v>
      </c>
      <c r="L4" s="37">
        <f>(2*PI()*'Alternative 1'!$B$9/2)/K4</f>
        <v>1.1967972013675401</v>
      </c>
      <c r="M4" s="37">
        <f>60/L4</f>
        <v>50.13380707394704</v>
      </c>
      <c r="N4" s="37">
        <f>1/L4</f>
        <v>0.83556345123245068</v>
      </c>
      <c r="O4" s="37">
        <f>(0.5*'Alternative 1'!$B$48*'Alternative 1'!B43^3*'Alternative 1'!$B$49*'Alternative 1'!$B$47)/10^6</f>
        <v>0.17160510248324673</v>
      </c>
      <c r="P4" s="13">
        <f>(O4/'Alternative 1'!B43)*1000000</f>
        <v>14300.425206937229</v>
      </c>
      <c r="Q4" s="13">
        <f>P4*'Alternative 1'!$B$40</f>
        <v>15730.467727630952</v>
      </c>
      <c r="R4" s="206"/>
      <c r="S4" s="37">
        <f>'Alternative 2'!B43*'Alternative 2'!$B$46</f>
        <v>50.400000000000006</v>
      </c>
      <c r="T4" s="37">
        <f>(2*PI()*'Alternative 2'!$B$10/2)/S4</f>
        <v>3.1166593785613025E-3</v>
      </c>
      <c r="U4" s="37">
        <f>60/T4</f>
        <v>19251.381916395661</v>
      </c>
      <c r="V4" s="37">
        <f>1/T4</f>
        <v>320.85636527326102</v>
      </c>
      <c r="W4" s="37">
        <f>(0.5*'Alternative 2'!$B$48*'Alternative 2'!B43^3*'Alternative 2'!$B$49*'Alternative 2'!$B$47)/10^6</f>
        <v>0.20528930716989965</v>
      </c>
      <c r="X4" s="13">
        <f>(W4/'Alternative 2'!B43)*1000000</f>
        <v>17107.442264158304</v>
      </c>
      <c r="Y4" s="13">
        <f>X4*'Alternative 2'!$B$40</f>
        <v>18818.186490574135</v>
      </c>
      <c r="Z4" s="206"/>
      <c r="AA4" s="37">
        <f>'Alternative 3'!B43*'Alternative 3'!$B$46</f>
        <v>50.400000000000006</v>
      </c>
      <c r="AB4" s="37">
        <f>(2*PI()*'Alternative 3'!$B$10/2)/AA4</f>
        <v>5.6099868814103442E-2</v>
      </c>
      <c r="AC4" s="37">
        <f>60/AB4</f>
        <v>1069.5212175775368</v>
      </c>
      <c r="AD4" s="37">
        <f>1/AB4</f>
        <v>17.82535362629228</v>
      </c>
      <c r="AE4" s="37">
        <f>(0.5*'Alternative 3'!$B$48*'Alternative 3'!B43^3*'Alternative 3'!$B$49*'Alternative 3'!$B$47)/10^6</f>
        <v>1.2346452719758876</v>
      </c>
      <c r="AF4" s="13">
        <f>(AE4/'Alternative 3'!B43)*1000000</f>
        <v>102887.10599799063</v>
      </c>
      <c r="AG4" s="13">
        <f>AF4*'Alternative 3'!$B$40</f>
        <v>113175.8165977897</v>
      </c>
    </row>
    <row r="5" spans="1:33" ht="15" customHeight="1" x14ac:dyDescent="0.25">
      <c r="A5" s="37" t="s">
        <v>98</v>
      </c>
      <c r="B5" s="206"/>
      <c r="C5" s="37">
        <f>'Baseline Given'!B43*'Baseline Given'!$B$45</f>
        <v>31.5</v>
      </c>
      <c r="D5" s="37">
        <f>(2*3.14159*'Baseline Given'!$B$9/2)/C5</f>
        <v>7.4799761904761901</v>
      </c>
      <c r="E5" s="37">
        <f>60/D5</f>
        <v>8.0214159072316882</v>
      </c>
      <c r="F5" s="37">
        <f>1/D5</f>
        <v>0.13369026512052815</v>
      </c>
      <c r="G5" s="37">
        <f>(0.5*'Baseline Given'!$B$47*'Baseline Given'!B43^3*'Baseline Given'!$B$48*'Baseline Given'!$B$46)/10^6</f>
        <v>0.63927828347167981</v>
      </c>
      <c r="H5" s="13">
        <f>(G5/'Baseline Given'!B43)*1000000</f>
        <v>85237.104462890638</v>
      </c>
      <c r="I5" s="13">
        <f>H5*'Baseline Given'!$B$39</f>
        <v>93760.81490917971</v>
      </c>
      <c r="J5" s="206"/>
      <c r="K5" s="37">
        <f>'Alternative 1'!B44*'Alternative 1'!$B$46</f>
        <v>31.5</v>
      </c>
      <c r="L5" s="37">
        <f>(2*PI()*'Alternative 1'!$B$9/2)/K5</f>
        <v>1.9148755221880644</v>
      </c>
      <c r="M5" s="37">
        <f>60/L5</f>
        <v>31.333629421216894</v>
      </c>
      <c r="N5" s="37">
        <f>1/L5</f>
        <v>0.52222715702028155</v>
      </c>
      <c r="O5" s="37">
        <f>(0.5*'Alternative 1'!$B$48*'Alternative 1'!B44^3*'Alternative 1'!$B$49*'Alternative 1'!$B$47)/10^6</f>
        <v>4.1895776973448914E-2</v>
      </c>
      <c r="P5" s="13">
        <f>(O5/'Alternative 1'!B44)*1000000</f>
        <v>5586.103596459855</v>
      </c>
      <c r="Q5" s="13">
        <f>P5*'Alternative 1'!$B$40</f>
        <v>6144.7139561058411</v>
      </c>
      <c r="R5" s="206"/>
      <c r="S5" s="37">
        <f>'Alternative 2'!B44*'Alternative 2'!$B$46</f>
        <v>31.5</v>
      </c>
      <c r="T5" s="37">
        <f>(2*PI()*'Alternative 2'!$B$10/2)/S5</f>
        <v>4.9866550056980839E-3</v>
      </c>
      <c r="U5" s="37">
        <f>60/T5</f>
        <v>12032.113697747289</v>
      </c>
      <c r="V5" s="37">
        <f>1/T5</f>
        <v>200.53522829578816</v>
      </c>
      <c r="W5" s="37">
        <f>(0.5*'Alternative 2'!$B$48*'Alternative 2'!B44^3*'Alternative 2'!$B$49*'Alternative 2'!$B$47)/10^6</f>
        <v>5.011945975827628E-2</v>
      </c>
      <c r="X5" s="13">
        <f>(W5/'Alternative 2'!B44)*1000000</f>
        <v>6682.5946344368376</v>
      </c>
      <c r="Y5" s="13">
        <f>X5*'Alternative 2'!$B$40</f>
        <v>7350.8540978805222</v>
      </c>
      <c r="Z5" s="206"/>
      <c r="AA5" s="37">
        <f>'Alternative 3'!B44*'Alternative 3'!$B$46</f>
        <v>31.5</v>
      </c>
      <c r="AB5" s="37">
        <f>(2*PI()*'Alternative 3'!$B$10/2)/AA5</f>
        <v>8.9759790102565518E-2</v>
      </c>
      <c r="AC5" s="37">
        <f>60/AB5</f>
        <v>668.45076098596041</v>
      </c>
      <c r="AD5" s="37">
        <f>1/AB5</f>
        <v>11.140846016432674</v>
      </c>
      <c r="AE5" s="37">
        <f>(0.5*'Alternative 3'!$B$48*'Alternative 3'!B44^3*'Alternative 3'!$B$49*'Alternative 3'!$B$47)/10^6</f>
        <v>0.30142706835348809</v>
      </c>
      <c r="AF5" s="13">
        <f>(AE5/'Alternative 3'!B44)*1000000</f>
        <v>40190.275780465076</v>
      </c>
      <c r="AG5" s="13">
        <f>AF5*'Alternative 3'!$B$40</f>
        <v>44209.303358511585</v>
      </c>
    </row>
    <row r="6" spans="1:33" ht="15" customHeight="1" x14ac:dyDescent="0.25">
      <c r="A6" s="37" t="s">
        <v>99</v>
      </c>
      <c r="B6" s="207"/>
      <c r="C6" s="37">
        <f>'Baseline Given'!B44*'Baseline Given'!$B$45</f>
        <v>12.600000000000001</v>
      </c>
      <c r="D6" s="37">
        <f>(2*3.14159*'Baseline Given'!$B$9/2)/C6</f>
        <v>18.699940476190474</v>
      </c>
      <c r="E6" s="37">
        <f>60/D6</f>
        <v>3.2085663628926757</v>
      </c>
      <c r="F6" s="37">
        <f>1/D6</f>
        <v>5.3476106048211264E-2</v>
      </c>
      <c r="G6" s="37">
        <f>(0.5*'Baseline Given'!$B$47*'Baseline Given'!B44^3*'Baseline Given'!$B$48*'Baseline Given'!$B$46)/10^6</f>
        <v>4.0913810142187507E-2</v>
      </c>
      <c r="H6" s="13">
        <f>(G6/'Baseline Given'!B44)*1000000</f>
        <v>13637.936714062502</v>
      </c>
      <c r="I6" s="13">
        <f>H6*'Baseline Given'!$B$39</f>
        <v>15001.730385468753</v>
      </c>
      <c r="J6" s="207"/>
      <c r="K6" s="37">
        <f>'Alternative 1'!B45*'Alternative 1'!$B$46</f>
        <v>12.600000000000001</v>
      </c>
      <c r="L6" s="37">
        <f>(2*PI()*'Alternative 1'!$B$9/2)/K6</f>
        <v>4.7871888054701603</v>
      </c>
      <c r="M6" s="37">
        <f>60/L6</f>
        <v>12.53345176848676</v>
      </c>
      <c r="N6" s="37">
        <f>1/L6</f>
        <v>0.20889086280811267</v>
      </c>
      <c r="O6" s="37">
        <f>(0.5*'Alternative 1'!$B$48*'Alternative 1'!B45^3*'Alternative 1'!$B$49*'Alternative 1'!$B$47)/10^6</f>
        <v>2.6813297263007302E-3</v>
      </c>
      <c r="P6" s="13">
        <f>(O6/'Alternative 1'!B45)*1000000</f>
        <v>893.7765754335768</v>
      </c>
      <c r="Q6" s="13">
        <f>P6*'Alternative 1'!$B$40</f>
        <v>983.15423297693451</v>
      </c>
      <c r="R6" s="207"/>
      <c r="S6" s="37">
        <f>'Alternative 2'!B45*'Alternative 2'!$B$46</f>
        <v>12.600000000000001</v>
      </c>
      <c r="T6" s="37">
        <f>(2*PI()*'Alternative 2'!$B$10/2)/S6</f>
        <v>1.246663751424521E-2</v>
      </c>
      <c r="U6" s="37">
        <f>60/T6</f>
        <v>4812.8454790989153</v>
      </c>
      <c r="V6" s="37">
        <f>1/T6</f>
        <v>80.214091318315255</v>
      </c>
      <c r="W6" s="37">
        <f>(0.5*'Alternative 2'!$B$48*'Alternative 2'!B45^3*'Alternative 2'!$B$49*'Alternative 2'!$B$47)/10^6</f>
        <v>3.2076454245296821E-3</v>
      </c>
      <c r="X6" s="13">
        <f>(W6/'Alternative 2'!B45)*1000000</f>
        <v>1069.215141509894</v>
      </c>
      <c r="Y6" s="13">
        <f>X6*'Alternative 2'!$B$40</f>
        <v>1176.1366556608834</v>
      </c>
      <c r="Z6" s="207"/>
      <c r="AA6" s="37">
        <f>'Alternative 3'!B45*'Alternative 3'!$B$46</f>
        <v>12.600000000000001</v>
      </c>
      <c r="AB6" s="37">
        <f>(2*PI()*'Alternative 3'!$B$10/2)/AA6</f>
        <v>0.22439947525641377</v>
      </c>
      <c r="AC6" s="37">
        <f>60/AB6</f>
        <v>267.38030439438421</v>
      </c>
      <c r="AD6" s="37">
        <f>1/AB6</f>
        <v>4.45633840657307</v>
      </c>
      <c r="AE6" s="37">
        <f>(0.5*'Alternative 3'!$B$48*'Alternative 3'!B45^3*'Alternative 3'!$B$49*'Alternative 3'!$B$47)/10^6</f>
        <v>1.9291332374623243E-2</v>
      </c>
      <c r="AF6" s="13">
        <f>(AE6/'Alternative 3'!B45)*1000000</f>
        <v>6430.4441248744142</v>
      </c>
      <c r="AG6" s="13">
        <f>AF6*'Alternative 3'!$B$40</f>
        <v>7073.4885373618563</v>
      </c>
    </row>
    <row r="7" spans="1:33" x14ac:dyDescent="0.25">
      <c r="C7" s="32"/>
      <c r="D7" s="32"/>
      <c r="E7" s="32"/>
      <c r="F7" s="32"/>
      <c r="G7" s="32"/>
      <c r="H7" s="31"/>
      <c r="I7" s="31"/>
      <c r="J7" s="31"/>
      <c r="K7" s="31"/>
      <c r="L7" s="31"/>
      <c r="M7" s="31"/>
      <c r="N7" s="34"/>
      <c r="O7" s="34"/>
      <c r="P7" s="8"/>
    </row>
    <row r="8" spans="1:33" x14ac:dyDescent="0.25">
      <c r="C8" s="32"/>
      <c r="D8" s="32"/>
      <c r="E8" s="32"/>
      <c r="F8" s="32"/>
      <c r="G8" s="32"/>
      <c r="H8" s="31"/>
      <c r="I8" s="31"/>
      <c r="J8" s="31"/>
      <c r="K8" s="31"/>
      <c r="L8" s="31"/>
      <c r="M8" s="31"/>
      <c r="N8" s="34"/>
      <c r="O8" s="34"/>
      <c r="P8" s="8"/>
    </row>
    <row r="9" spans="1:33" x14ac:dyDescent="0.25">
      <c r="C9" s="32"/>
      <c r="D9" s="32"/>
      <c r="E9" s="32"/>
      <c r="F9" s="32"/>
      <c r="G9" s="32"/>
      <c r="H9" s="31"/>
      <c r="I9" s="31"/>
      <c r="J9" s="31"/>
      <c r="K9" s="31"/>
      <c r="L9" s="31"/>
      <c r="M9" s="31"/>
      <c r="N9" s="34"/>
      <c r="O9" s="34"/>
      <c r="P9" s="8"/>
    </row>
    <row r="10" spans="1:33" ht="15.75" customHeight="1" x14ac:dyDescent="0.25">
      <c r="C10" s="32"/>
      <c r="D10" s="32"/>
      <c r="E10" s="32"/>
      <c r="F10" s="32"/>
      <c r="G10" s="32"/>
      <c r="H10" s="31"/>
      <c r="I10" s="31"/>
      <c r="J10" s="31"/>
      <c r="K10" s="31"/>
      <c r="L10" s="31"/>
      <c r="M10" s="31"/>
      <c r="N10" s="34"/>
      <c r="O10" s="34"/>
      <c r="P10" s="8"/>
    </row>
    <row r="11" spans="1:33" x14ac:dyDescent="0.25">
      <c r="C11" s="32"/>
      <c r="D11" s="32"/>
      <c r="E11" s="32"/>
      <c r="F11" s="32"/>
      <c r="G11" s="32"/>
      <c r="H11" s="31"/>
      <c r="I11" s="31"/>
      <c r="J11" s="31"/>
      <c r="K11" s="31"/>
      <c r="L11" s="31"/>
      <c r="M11" s="31"/>
      <c r="N11" s="34"/>
      <c r="O11" s="34"/>
      <c r="P11" s="34"/>
    </row>
    <row r="12" spans="1:33" ht="15" customHeight="1" x14ac:dyDescent="0.25">
      <c r="C12" s="32"/>
      <c r="D12" s="32"/>
      <c r="E12" s="32"/>
      <c r="F12" s="32"/>
      <c r="G12" s="32"/>
      <c r="H12" s="31"/>
      <c r="I12" s="31"/>
      <c r="J12" s="31"/>
      <c r="K12" s="31"/>
      <c r="L12" s="31"/>
      <c r="M12" s="31"/>
      <c r="N12" s="34"/>
      <c r="O12" s="34"/>
      <c r="P12" s="34"/>
    </row>
    <row r="13" spans="1:33" x14ac:dyDescent="0.25">
      <c r="C13" s="32"/>
      <c r="D13" s="32"/>
      <c r="E13" s="32"/>
      <c r="F13" s="32"/>
      <c r="G13" s="32"/>
      <c r="H13" s="31"/>
      <c r="I13" s="31"/>
      <c r="J13" s="31"/>
      <c r="K13" s="31"/>
      <c r="L13" s="31"/>
      <c r="M13" s="31"/>
      <c r="N13" s="34"/>
      <c r="O13" s="34"/>
      <c r="P13" s="8"/>
    </row>
    <row r="14" spans="1:33" x14ac:dyDescent="0.25">
      <c r="C14" s="32"/>
      <c r="D14" s="32"/>
      <c r="E14" s="32"/>
      <c r="F14" s="32"/>
      <c r="G14" s="32"/>
      <c r="H14" s="31"/>
      <c r="I14" s="31"/>
      <c r="J14" s="31"/>
      <c r="K14" s="31"/>
      <c r="L14" s="31"/>
      <c r="M14" s="31"/>
      <c r="N14" s="34"/>
      <c r="O14" s="34"/>
      <c r="P14" s="8"/>
    </row>
    <row r="15" spans="1:33" x14ac:dyDescent="0.25">
      <c r="C15" s="32"/>
      <c r="D15" s="32"/>
      <c r="E15" s="32"/>
      <c r="F15" s="32"/>
      <c r="G15" s="32"/>
      <c r="H15" s="31"/>
      <c r="I15" s="31"/>
      <c r="J15" s="31"/>
      <c r="K15" s="31"/>
      <c r="L15" s="31"/>
      <c r="M15" s="31"/>
      <c r="N15" s="34"/>
      <c r="O15" s="34"/>
      <c r="P15" s="8"/>
    </row>
    <row r="16" spans="1:33" x14ac:dyDescent="0.25">
      <c r="C16" s="32"/>
      <c r="D16" s="32"/>
      <c r="E16" s="32"/>
      <c r="F16" s="32"/>
      <c r="G16" s="32"/>
      <c r="H16" s="31"/>
      <c r="I16" s="31"/>
      <c r="J16" s="31"/>
      <c r="K16" s="31"/>
      <c r="L16" s="31"/>
      <c r="M16" s="31"/>
      <c r="N16" s="34"/>
      <c r="O16" s="34"/>
      <c r="P16" s="34"/>
    </row>
    <row r="17" spans="3:16" x14ac:dyDescent="0.25">
      <c r="C17" s="32"/>
      <c r="D17" s="32"/>
      <c r="E17" s="32"/>
      <c r="F17" s="32"/>
      <c r="G17" s="32"/>
      <c r="H17" s="31"/>
      <c r="I17" s="31"/>
      <c r="J17" s="31"/>
      <c r="K17" s="31"/>
      <c r="L17" s="31"/>
      <c r="M17" s="31"/>
      <c r="N17" s="34"/>
      <c r="O17" s="34"/>
      <c r="P17" s="34"/>
    </row>
    <row r="18" spans="3:16" x14ac:dyDescent="0.25">
      <c r="C18" s="32"/>
      <c r="D18" s="32"/>
      <c r="E18" s="31"/>
      <c r="F18" s="31"/>
      <c r="G18" s="31"/>
      <c r="H18" s="31"/>
      <c r="I18" s="31"/>
      <c r="J18" s="31"/>
      <c r="K18" s="31"/>
      <c r="L18" s="31"/>
      <c r="M18" s="31"/>
      <c r="N18" s="34"/>
      <c r="O18" s="34"/>
      <c r="P18" s="34"/>
    </row>
    <row r="19" spans="3:16" x14ac:dyDescent="0.25">
      <c r="C19" s="32"/>
      <c r="D19" s="32"/>
      <c r="E19" s="31"/>
      <c r="F19" s="31"/>
      <c r="G19" s="31"/>
      <c r="H19" s="31"/>
      <c r="I19" s="31"/>
      <c r="J19" s="31"/>
      <c r="K19" s="31"/>
      <c r="L19" s="31"/>
      <c r="M19" s="31"/>
      <c r="N19" s="34"/>
      <c r="O19" s="34"/>
      <c r="P19" s="34"/>
    </row>
    <row r="20" spans="3:16" x14ac:dyDescent="0.25">
      <c r="C20" s="32"/>
      <c r="D20" s="32"/>
      <c r="E20" s="31"/>
      <c r="F20" s="31"/>
      <c r="G20" s="31"/>
      <c r="H20" s="31"/>
      <c r="I20" s="31"/>
      <c r="J20" s="31"/>
      <c r="K20" s="31"/>
      <c r="L20" s="31"/>
      <c r="M20" s="31"/>
      <c r="N20" s="34"/>
      <c r="O20" s="34"/>
      <c r="P20" s="34"/>
    </row>
    <row r="21" spans="3:16" x14ac:dyDescent="0.25">
      <c r="C21" s="32"/>
      <c r="D21" s="32"/>
      <c r="E21" s="31"/>
      <c r="F21" s="31"/>
      <c r="G21" s="31"/>
      <c r="H21" s="31"/>
      <c r="I21" s="31"/>
      <c r="J21" s="31"/>
      <c r="K21" s="31"/>
      <c r="L21" s="31"/>
      <c r="M21" s="31"/>
      <c r="N21" s="34"/>
      <c r="O21" s="34"/>
      <c r="P21" s="34"/>
    </row>
    <row r="22" spans="3:16" x14ac:dyDescent="0.25">
      <c r="C22" s="32"/>
      <c r="D22" s="32"/>
      <c r="E22" s="31"/>
      <c r="F22" s="31"/>
      <c r="G22" s="31"/>
      <c r="H22" s="31"/>
      <c r="I22" s="31"/>
      <c r="J22" s="31"/>
      <c r="K22" s="31"/>
      <c r="L22" s="31"/>
      <c r="M22" s="31"/>
      <c r="N22" s="34"/>
      <c r="O22" s="34"/>
      <c r="P22" s="34"/>
    </row>
    <row r="23" spans="3:16" x14ac:dyDescent="0.25">
      <c r="C23" s="32"/>
      <c r="D23" s="32"/>
      <c r="E23" s="31"/>
      <c r="F23" s="31"/>
      <c r="G23" s="31"/>
      <c r="H23" s="31"/>
      <c r="I23" s="31"/>
      <c r="J23" s="31"/>
      <c r="K23" s="31"/>
      <c r="L23" s="31"/>
      <c r="M23" s="31"/>
      <c r="N23" s="34"/>
      <c r="O23" s="34"/>
      <c r="P23" s="34"/>
    </row>
    <row r="24" spans="3:16" x14ac:dyDescent="0.25">
      <c r="C24" s="32"/>
      <c r="D24" s="32"/>
      <c r="E24" s="35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</row>
    <row r="25" spans="3:16" x14ac:dyDescent="0.25">
      <c r="C25" s="32"/>
      <c r="D25" s="32"/>
      <c r="E25" s="35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</row>
    <row r="26" spans="3:16" x14ac:dyDescent="0.25">
      <c r="C26" s="32"/>
      <c r="D26" s="32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</row>
    <row r="27" spans="3:16" x14ac:dyDescent="0.25">
      <c r="C27" s="32"/>
      <c r="D27" s="32"/>
      <c r="E27" s="35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</row>
    <row r="28" spans="3:16" x14ac:dyDescent="0.25">
      <c r="C28" s="32"/>
      <c r="D28" s="32"/>
      <c r="E28" s="35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</row>
    <row r="29" spans="3:16" x14ac:dyDescent="0.25">
      <c r="C29" s="32"/>
      <c r="D29" s="32"/>
      <c r="E29" s="35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</row>
    <row r="30" spans="3:16" x14ac:dyDescent="0.25">
      <c r="C30" s="32"/>
      <c r="D30" s="32"/>
      <c r="E30" s="35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</row>
    <row r="31" spans="3:16" x14ac:dyDescent="0.25">
      <c r="C31" s="32"/>
      <c r="D31" s="32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</row>
    <row r="32" spans="3:16" x14ac:dyDescent="0.25">
      <c r="C32" s="32"/>
      <c r="D32" s="32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</row>
    <row r="33" spans="3:16" x14ac:dyDescent="0.25">
      <c r="C33" s="32"/>
      <c r="D33" s="32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</row>
    <row r="34" spans="3:16" x14ac:dyDescent="0.25">
      <c r="C34" s="32"/>
      <c r="D34" s="32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</row>
    <row r="35" spans="3:16" x14ac:dyDescent="0.25">
      <c r="C35" s="32"/>
      <c r="D35" s="32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</row>
    <row r="36" spans="3:16" x14ac:dyDescent="0.25">
      <c r="C36" s="32"/>
      <c r="D36" s="32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</row>
    <row r="37" spans="3:16" x14ac:dyDescent="0.25">
      <c r="C37" s="32"/>
      <c r="D37" s="32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</row>
    <row r="38" spans="3:16" x14ac:dyDescent="0.25">
      <c r="C38" s="32"/>
      <c r="D38" s="32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</row>
    <row r="39" spans="3:16" x14ac:dyDescent="0.25">
      <c r="C39" s="32"/>
      <c r="D39" s="32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</row>
    <row r="40" spans="3:16" x14ac:dyDescent="0.25">
      <c r="C40" s="32"/>
      <c r="D40" s="32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</row>
    <row r="41" spans="3:16" x14ac:dyDescent="0.25">
      <c r="C41" s="32"/>
      <c r="D41" s="32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</row>
    <row r="42" spans="3:16" x14ac:dyDescent="0.25">
      <c r="C42" s="32"/>
      <c r="D42" s="32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</row>
    <row r="43" spans="3:16" x14ac:dyDescent="0.25">
      <c r="C43" s="32"/>
      <c r="D43" s="32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</row>
    <row r="44" spans="3:16" x14ac:dyDescent="0.25">
      <c r="C44" s="32"/>
      <c r="D44" s="32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</row>
    <row r="45" spans="3:16" x14ac:dyDescent="0.25">
      <c r="C45" s="32"/>
      <c r="D45" s="32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</row>
    <row r="46" spans="3:16" x14ac:dyDescent="0.25">
      <c r="C46" s="32"/>
      <c r="D46" s="32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</row>
    <row r="47" spans="3:16" x14ac:dyDescent="0.25">
      <c r="C47" s="32"/>
      <c r="D47" s="32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</row>
    <row r="48" spans="3:16" x14ac:dyDescent="0.25">
      <c r="C48" s="32"/>
      <c r="D48" s="32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</row>
    <row r="49" spans="3:16" x14ac:dyDescent="0.25">
      <c r="C49" s="32"/>
      <c r="D49" s="32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</row>
    <row r="50" spans="3:16" x14ac:dyDescent="0.25">
      <c r="C50" s="32"/>
      <c r="D50" s="32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</row>
    <row r="51" spans="3:16" x14ac:dyDescent="0.25">
      <c r="C51" s="32"/>
      <c r="D51" s="32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</row>
    <row r="52" spans="3:16" x14ac:dyDescent="0.25">
      <c r="C52" s="32"/>
      <c r="D52" s="32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</row>
    <row r="53" spans="3:16" x14ac:dyDescent="0.25">
      <c r="C53" s="32"/>
      <c r="D53" s="32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</row>
    <row r="54" spans="3:16" x14ac:dyDescent="0.25">
      <c r="C54" s="32"/>
      <c r="D54" s="32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</row>
    <row r="55" spans="3:16" x14ac:dyDescent="0.25">
      <c r="C55" s="32"/>
      <c r="D55" s="32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</row>
    <row r="56" spans="3:16" x14ac:dyDescent="0.25">
      <c r="C56" s="32"/>
      <c r="D56" s="32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</row>
    <row r="57" spans="3:16" x14ac:dyDescent="0.25">
      <c r="C57" s="32"/>
      <c r="D57" s="32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</row>
    <row r="58" spans="3:16" x14ac:dyDescent="0.25">
      <c r="C58" s="32"/>
      <c r="D58" s="32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</row>
    <row r="59" spans="3:16" x14ac:dyDescent="0.25">
      <c r="C59" s="32"/>
      <c r="D59" s="32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</row>
    <row r="60" spans="3:16" x14ac:dyDescent="0.25">
      <c r="C60" s="32"/>
      <c r="D60" s="32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</row>
    <row r="61" spans="3:16" x14ac:dyDescent="0.25">
      <c r="C61" s="32"/>
      <c r="D61" s="32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</row>
    <row r="62" spans="3:16" x14ac:dyDescent="0.25">
      <c r="C62" s="32"/>
      <c r="D62" s="32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</row>
    <row r="63" spans="3:16" x14ac:dyDescent="0.25">
      <c r="C63" s="32"/>
      <c r="D63" s="32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</row>
    <row r="64" spans="3:16" x14ac:dyDescent="0.25">
      <c r="C64" s="32"/>
      <c r="D64" s="32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</row>
    <row r="65" spans="3:16" x14ac:dyDescent="0.25">
      <c r="C65" s="32"/>
      <c r="D65" s="32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</row>
    <row r="66" spans="3:16" x14ac:dyDescent="0.25">
      <c r="C66" s="32"/>
      <c r="D66" s="32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</row>
    <row r="67" spans="3:16" x14ac:dyDescent="0.25">
      <c r="C67" s="32"/>
      <c r="D67" s="32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</row>
    <row r="68" spans="3:16" x14ac:dyDescent="0.25">
      <c r="C68" s="32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</row>
    <row r="69" spans="3:16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</row>
    <row r="70" spans="3:16" x14ac:dyDescent="0.25"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</row>
    <row r="71" spans="3:16" x14ac:dyDescent="0.25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</row>
    <row r="72" spans="3:16" x14ac:dyDescent="0.25"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</row>
    <row r="73" spans="3:16" x14ac:dyDescent="0.25"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</row>
    <row r="74" spans="3:16" x14ac:dyDescent="0.25"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</row>
    <row r="75" spans="3:16" x14ac:dyDescent="0.25"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</row>
    <row r="76" spans="3:16" x14ac:dyDescent="0.25"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</row>
    <row r="77" spans="3:16" x14ac:dyDescent="0.25"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</row>
    <row r="78" spans="3:16" x14ac:dyDescent="0.25"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</row>
    <row r="79" spans="3:16" x14ac:dyDescent="0.25"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</row>
    <row r="80" spans="3:16" x14ac:dyDescent="0.25"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</row>
    <row r="81" spans="3:16" x14ac:dyDescent="0.25"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</row>
    <row r="82" spans="3:16" x14ac:dyDescent="0.25"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</row>
    <row r="83" spans="3:16" x14ac:dyDescent="0.25"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</row>
    <row r="84" spans="3:16" x14ac:dyDescent="0.25"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</row>
    <row r="85" spans="3:16" x14ac:dyDescent="0.25"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</row>
    <row r="86" spans="3:16" x14ac:dyDescent="0.25"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</row>
    <row r="87" spans="3:16" x14ac:dyDescent="0.25"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</row>
    <row r="88" spans="3:16" x14ac:dyDescent="0.25"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</row>
    <row r="89" spans="3:16" x14ac:dyDescent="0.25"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</row>
    <row r="90" spans="3:16" x14ac:dyDescent="0.25"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</row>
    <row r="91" spans="3:16" x14ac:dyDescent="0.25"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</row>
    <row r="92" spans="3:16" x14ac:dyDescent="0.25"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</row>
    <row r="93" spans="3:16" x14ac:dyDescent="0.25"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</row>
    <row r="94" spans="3:16" x14ac:dyDescent="0.25"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</row>
    <row r="95" spans="3:16" x14ac:dyDescent="0.25"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</row>
    <row r="96" spans="3:16" x14ac:dyDescent="0.25"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</row>
    <row r="97" spans="3:16" x14ac:dyDescent="0.25"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</row>
    <row r="98" spans="3:16" x14ac:dyDescent="0.25"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</row>
    <row r="99" spans="3:16" x14ac:dyDescent="0.25"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</row>
    <row r="100" spans="3:16" x14ac:dyDescent="0.25"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</row>
    <row r="101" spans="3:16" x14ac:dyDescent="0.25"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</row>
    <row r="102" spans="3:16" x14ac:dyDescent="0.25"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</row>
    <row r="103" spans="3:16" x14ac:dyDescent="0.25"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</row>
    <row r="104" spans="3:16" x14ac:dyDescent="0.25"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</row>
    <row r="105" spans="3:16" x14ac:dyDescent="0.25"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</row>
    <row r="106" spans="3:16" x14ac:dyDescent="0.25"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</row>
    <row r="107" spans="3:16" x14ac:dyDescent="0.25"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</row>
    <row r="108" spans="3:16" x14ac:dyDescent="0.25"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</row>
    <row r="109" spans="3:16" x14ac:dyDescent="0.25"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</row>
    <row r="110" spans="3:16" x14ac:dyDescent="0.25"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</row>
    <row r="111" spans="3:16" x14ac:dyDescent="0.25"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</row>
    <row r="112" spans="3:16" x14ac:dyDescent="0.25"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</row>
    <row r="113" spans="3:16" x14ac:dyDescent="0.25"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</row>
  </sheetData>
  <customSheetViews>
    <customSheetView guid="{73608749-DAD6-470A-871E-DA0A326E9E7B}" scale="90">
      <selection activeCell="N2" sqref="N2"/>
      <pageMargins left="0.7" right="0.7" top="0.75" bottom="0.75" header="0.3" footer="0.3"/>
      <pageSetup orientation="portrait" r:id="rId1"/>
    </customSheetView>
  </customSheetViews>
  <mergeCells count="8">
    <mergeCell ref="S1:Y1"/>
    <mergeCell ref="Z1:Z6"/>
    <mergeCell ref="AA1:AG1"/>
    <mergeCell ref="B1:B6"/>
    <mergeCell ref="J1:J6"/>
    <mergeCell ref="C1:I1"/>
    <mergeCell ref="K1:Q1"/>
    <mergeCell ref="R1:R6"/>
  </mergeCells>
  <pageMargins left="0.7" right="0.7" top="0.75" bottom="0.75" header="0.3" footer="0.3"/>
  <pageSetup orientation="portrait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5" tint="-0.249977111117893"/>
  </sheetPr>
  <dimension ref="A1:AR103"/>
  <sheetViews>
    <sheetView zoomScale="80" zoomScaleNormal="80" workbookViewId="0">
      <selection activeCell="AF3" sqref="AF3"/>
    </sheetView>
  </sheetViews>
  <sheetFormatPr defaultColWidth="9.140625" defaultRowHeight="15" x14ac:dyDescent="0.25"/>
  <cols>
    <col min="1" max="1" width="9.140625" style="20"/>
    <col min="2" max="2" width="16.28515625" style="21" bestFit="1" customWidth="1"/>
    <col min="3" max="3" width="9.5703125" style="21" bestFit="1" customWidth="1"/>
    <col min="4" max="4" width="15.140625" style="21" bestFit="1" customWidth="1"/>
    <col min="5" max="5" width="14.42578125" style="21" bestFit="1" customWidth="1"/>
    <col min="6" max="6" width="16.42578125" style="21" bestFit="1" customWidth="1"/>
    <col min="7" max="7" width="12.42578125" style="21" customWidth="1"/>
    <col min="8" max="8" width="6" style="21" bestFit="1" customWidth="1"/>
    <col min="9" max="9" width="6.5703125" style="21" bestFit="1" customWidth="1"/>
    <col min="10" max="10" width="11.5703125" style="21" customWidth="1"/>
    <col min="11" max="11" width="0.28515625" style="20" customWidth="1"/>
    <col min="12" max="12" width="3.28515625" style="86" customWidth="1"/>
    <col min="13" max="13" width="9" style="20" customWidth="1"/>
    <col min="14" max="14" width="12.7109375" style="20" customWidth="1"/>
    <col min="15" max="15" width="11.140625" style="20" customWidth="1"/>
    <col min="16" max="16" width="13.5703125" style="20" bestFit="1" customWidth="1"/>
    <col min="17" max="17" width="14.28515625" style="20" customWidth="1"/>
    <col min="18" max="18" width="10.28515625" style="20" customWidth="1"/>
    <col min="19" max="19" width="12.7109375" style="20" customWidth="1"/>
    <col min="20" max="22" width="9.140625" style="20"/>
    <col min="23" max="23" width="2.7109375" style="86" customWidth="1"/>
    <col min="24" max="26" width="9.140625" style="20"/>
    <col min="27" max="27" width="15.5703125" style="20" customWidth="1"/>
    <col min="28" max="29" width="9.140625" style="20"/>
    <col min="30" max="30" width="10.85546875" style="20" bestFit="1" customWidth="1"/>
    <col min="31" max="33" width="9.140625" style="20"/>
    <col min="34" max="34" width="3.28515625" style="86" customWidth="1"/>
    <col min="35" max="35" width="9.140625" style="20"/>
    <col min="36" max="37" width="9.140625" style="85"/>
    <col min="38" max="38" width="20.7109375" style="85" bestFit="1" customWidth="1"/>
    <col min="39" max="40" width="9.140625" style="85"/>
    <col min="41" max="41" width="12.42578125" style="85" bestFit="1" customWidth="1"/>
    <col min="42" max="43" width="9.140625" style="85"/>
    <col min="44" max="44" width="10" style="85" bestFit="1" customWidth="1"/>
    <col min="45" max="16384" width="9.140625" style="20"/>
  </cols>
  <sheetData>
    <row r="1" spans="1:44" ht="23.25" x14ac:dyDescent="0.25">
      <c r="A1" s="58"/>
      <c r="B1" s="56"/>
      <c r="C1" s="56" t="s">
        <v>78</v>
      </c>
      <c r="D1" s="56"/>
      <c r="E1" s="56"/>
      <c r="F1" s="56"/>
      <c r="G1" s="56"/>
      <c r="H1" s="56"/>
      <c r="I1" s="56"/>
      <c r="J1" s="56"/>
      <c r="M1" s="56"/>
      <c r="N1" s="56"/>
      <c r="O1" s="56" t="s">
        <v>147</v>
      </c>
      <c r="P1" s="56"/>
      <c r="Q1" s="56"/>
      <c r="R1" s="56"/>
      <c r="S1" s="56"/>
      <c r="T1" s="56"/>
      <c r="U1" s="56"/>
      <c r="V1" s="56"/>
      <c r="X1" s="58"/>
      <c r="Y1" s="56"/>
      <c r="Z1" s="56"/>
      <c r="AA1" s="56" t="s">
        <v>148</v>
      </c>
      <c r="AB1" s="56"/>
      <c r="AC1" s="56"/>
      <c r="AD1" s="56"/>
      <c r="AE1" s="56"/>
      <c r="AF1" s="56"/>
      <c r="AG1" s="56"/>
      <c r="AI1" s="208" t="s">
        <v>149</v>
      </c>
      <c r="AJ1" s="208"/>
      <c r="AK1" s="208"/>
      <c r="AL1" s="208"/>
      <c r="AM1" s="208"/>
      <c r="AN1" s="208"/>
      <c r="AO1" s="208"/>
      <c r="AP1" s="208"/>
      <c r="AQ1" s="208"/>
      <c r="AR1" s="208"/>
    </row>
    <row r="2" spans="1:44" s="16" customFormat="1" ht="60" x14ac:dyDescent="0.25">
      <c r="A2" s="49" t="s">
        <v>5</v>
      </c>
      <c r="B2" s="49" t="s">
        <v>42</v>
      </c>
      <c r="C2" s="49" t="s">
        <v>82</v>
      </c>
      <c r="D2" s="49" t="s">
        <v>45</v>
      </c>
      <c r="E2" s="49" t="s">
        <v>104</v>
      </c>
      <c r="F2" s="49" t="s">
        <v>105</v>
      </c>
      <c r="G2" s="49" t="s">
        <v>43</v>
      </c>
      <c r="H2" s="49" t="s">
        <v>44</v>
      </c>
      <c r="I2" s="49" t="s">
        <v>106</v>
      </c>
      <c r="J2" s="49" t="s">
        <v>107</v>
      </c>
      <c r="L2" s="86"/>
      <c r="M2" s="49" t="s">
        <v>5</v>
      </c>
      <c r="N2" s="49" t="s">
        <v>42</v>
      </c>
      <c r="O2" s="49" t="s">
        <v>82</v>
      </c>
      <c r="P2" s="49" t="s">
        <v>45</v>
      </c>
      <c r="Q2" s="49" t="s">
        <v>104</v>
      </c>
      <c r="R2" s="49" t="s">
        <v>105</v>
      </c>
      <c r="S2" s="49" t="s">
        <v>43</v>
      </c>
      <c r="T2" s="49" t="s">
        <v>44</v>
      </c>
      <c r="U2" s="49" t="s">
        <v>106</v>
      </c>
      <c r="V2" s="49" t="s">
        <v>107</v>
      </c>
      <c r="W2" s="86"/>
      <c r="X2" s="49" t="s">
        <v>5</v>
      </c>
      <c r="Y2" s="49" t="s">
        <v>42</v>
      </c>
      <c r="Z2" s="49" t="s">
        <v>82</v>
      </c>
      <c r="AA2" s="49" t="s">
        <v>45</v>
      </c>
      <c r="AB2" s="49" t="s">
        <v>104</v>
      </c>
      <c r="AC2" s="49" t="s">
        <v>105</v>
      </c>
      <c r="AD2" s="49" t="s">
        <v>43</v>
      </c>
      <c r="AE2" s="49" t="s">
        <v>44</v>
      </c>
      <c r="AF2" s="49" t="s">
        <v>106</v>
      </c>
      <c r="AG2" s="49" t="s">
        <v>107</v>
      </c>
      <c r="AH2" s="86"/>
      <c r="AI2" s="49" t="s">
        <v>5</v>
      </c>
      <c r="AJ2" s="49" t="s">
        <v>42</v>
      </c>
      <c r="AK2" s="49" t="s">
        <v>82</v>
      </c>
      <c r="AL2" s="49" t="s">
        <v>45</v>
      </c>
      <c r="AM2" s="49" t="s">
        <v>104</v>
      </c>
      <c r="AN2" s="49" t="s">
        <v>105</v>
      </c>
      <c r="AO2" s="49" t="s">
        <v>43</v>
      </c>
      <c r="AP2" s="49" t="s">
        <v>44</v>
      </c>
      <c r="AQ2" s="49" t="s">
        <v>106</v>
      </c>
      <c r="AR2" s="49" t="s">
        <v>107</v>
      </c>
    </row>
    <row r="3" spans="1:44" ht="14.45" customHeight="1" x14ac:dyDescent="0.25">
      <c r="A3" s="18">
        <f>'Baseline Given'!E4</f>
        <v>1</v>
      </c>
      <c r="B3" s="45">
        <f t="shared" ref="B3:B34" si="0">B4+1</f>
        <v>69.5</v>
      </c>
      <c r="C3" s="45">
        <f t="shared" ref="C3:C34" si="1">C4+1</f>
        <v>66.5</v>
      </c>
      <c r="D3" s="19">
        <f>'Dynamic Loading'!$I$3*'Combined Stress'!B3+'Wind Loading'!$E$69*C3+'Wind Loading'!$E$68*'Combined Stress'!C4+'Wind Loading'!$E$67*'Combined Stress'!C5+'Wind Loading'!$E$66*'Combined Stress'!C6+'Wind Loading'!$E$65*'Combined Stress'!C7+'Wind Loading'!$E$64*'Combined Stress'!C8+'Wind Loading'!$E$63*'Combined Stress'!C9+'Wind Loading'!$E$62*'Combined Stress'!C10+'Wind Loading'!$E$61*'Combined Stress'!C11+'Wind Loading'!$E$60*'Combined Stress'!C12+'Wind Loading'!$E$59*'Combined Stress'!C13+'Wind Loading'!$E$58*'Combined Stress'!C14+'Wind Loading'!$E$57*'Combined Stress'!C15+'Wind Loading'!$E$56*'Combined Stress'!C16+'Wind Loading'!$E$55*'Combined Stress'!C17+'Wind Loading'!$E$54*'Combined Stress'!C18+'Wind Loading'!$E$53*'Combined Stress'!C19+'Wind Loading'!$E$52*'Combined Stress'!C20+'Wind Loading'!$E$51*'Combined Stress'!C21+'Wind Loading'!$E$50*'Combined Stress'!C22+'Wind Loading'!$E$49*'Combined Stress'!C23+'Wind Loading'!$E$48*'Combined Stress'!C24+'Wind Loading'!$E$47*'Combined Stress'!C25+'Wind Loading'!$E$46*'Combined Stress'!C26+'Wind Loading'!$E$45*'Combined Stress'!C27+'Wind Loading'!$E$44*'Combined Stress'!C28+'Wind Loading'!$E$43*'Combined Stress'!C29+'Wind Loading'!$E$42*'Combined Stress'!C30+'Wind Loading'!$E$41*'Combined Stress'!C31+'Wind Loading'!$E$40*'Combined Stress'!C32+'Wind Loading'!$E$39*'Combined Stress'!C33+'Wind Loading'!$E$38*'Combined Stress'!C34+'Wind Loading'!$E$37*'Combined Stress'!C35+'Wind Loading'!$E$36*'Combined Stress'!C36+'Wind Loading'!$E$35*'Combined Stress'!C37+'Wind Loading'!$E$34*'Combined Stress'!C38+'Wind Loading'!$E$33*'Combined Stress'!C39+'Wind Loading'!$E$32*'Combined Stress'!C40+'Wind Loading'!$E$31*'Combined Stress'!C41+'Wind Loading'!$E$30*'Combined Stress'!C42+'Wind Loading'!$E$29*'Combined Stress'!C43+'Wind Loading'!$E$28*'Combined Stress'!C44+'Wind Loading'!$E$27*'Combined Stress'!C45+'Wind Loading'!$E$26*'Combined Stress'!C46+'Wind Loading'!$E$25*'Combined Stress'!C47+'Wind Loading'!$E$24*'Combined Stress'!C48+'Wind Loading'!$E$23*'Combined Stress'!C49+'Wind Loading'!$E$22*'Combined Stress'!C50+'Wind Loading'!$E$21*'Combined Stress'!C51+'Wind Loading'!$E$20*'Combined Stress'!C52+'Wind Loading'!$E$19*'Combined Stress'!C53+'Wind Loading'!$E$18*'Combined Stress'!C54+'Wind Loading'!$E$17*'Combined Stress'!C55+'Wind Loading'!$E$16*'Combined Stress'!C56+'Wind Loading'!$E$15*'Combined Stress'!C57+'Wind Loading'!$E$14*'Combined Stress'!C58+'Wind Loading'!$E$13*'Combined Stress'!C59+'Wind Loading'!$E$12*'Combined Stress'!C60+'Wind Loading'!$E$11*'Combined Stress'!C61+'Wind Loading'!$E$10*'Combined Stress'!C62+'Wind Loading'!$E$9*'Combined Stress'!C63+'Wind Loading'!$E$8*'Combined Stress'!C64+'Wind Loading'!$E$7*'Combined Stress'!C65+'Wind Loading'!$E$6*'Combined Stress'!C66+'Wind Loading'!$E$5*'Combined Stress'!C67+'Wind Loading'!$E$4*'Combined Stress'!C68+'Wind Loading'!$E$3*'Combined Stress'!C69</f>
        <v>28055678.23409288</v>
      </c>
      <c r="E3" s="19">
        <f>((D3*'Baseline Given'!K4)/'Baseline Given'!L4)/1000000</f>
        <v>160.50336608007706</v>
      </c>
      <c r="F3" s="19">
        <f t="shared" ref="F3:F34" si="2">F4+1</f>
        <v>67</v>
      </c>
      <c r="G3" s="19">
        <f>'Baseline Given'!$B$3+'Baseline Given'!$B$5+('Baseline Given'!$B$38*F3)</f>
        <v>2264360</v>
      </c>
      <c r="H3" s="19">
        <f>'Baseline Given'!M4</f>
        <v>12.268262009724685</v>
      </c>
      <c r="I3" s="19">
        <f t="shared" ref="I3:I34" si="3">(G3/H3)/1000000</f>
        <v>0.18457056086714724</v>
      </c>
      <c r="J3" s="19">
        <f>-(I3+E3)</f>
        <v>-160.6879366409442</v>
      </c>
      <c r="M3" s="18">
        <f>IF('Alternative 1'!$F4&gt;0,'Alternative 1'!$F4,"x")</f>
        <v>1</v>
      </c>
      <c r="N3" s="45">
        <f>ROUNDUP('Alternative 1'!$B6,0)-0.5</f>
        <v>36.5</v>
      </c>
      <c r="O3" s="45">
        <f>'Alternative 1'!B12-0.5</f>
        <v>35.5</v>
      </c>
      <c r="P3" s="19">
        <f>'Dynamic Loading'!$Q$3*'Combined Stress'!N3+'Wind Loading'!$J$69*O3+'Wind Loading'!$J$68*'Combined Stress'!O4+'Wind Loading'!$J$67*'Combined Stress'!O5+'Wind Loading'!$J$66*'Combined Stress'!O6+'Wind Loading'!$J$65*'Combined Stress'!O7+'Wind Loading'!$J$64*'Combined Stress'!O8+'Wind Loading'!$J$63*'Combined Stress'!O9+'Wind Loading'!$J$62*'Combined Stress'!O10+'Wind Loading'!$J$61*'Combined Stress'!O11+'Wind Loading'!$J$60*'Combined Stress'!O12+'Wind Loading'!$J$59*'Combined Stress'!O13+'Wind Loading'!$J$58*'Combined Stress'!O14+'Wind Loading'!$J$57*'Combined Stress'!O15+'Wind Loading'!$J$56*'Combined Stress'!O16+'Wind Loading'!$J$55*'Combined Stress'!O17+'Wind Loading'!$J$54*'Combined Stress'!O18+'Wind Loading'!$J$53*'Combined Stress'!O19+'Wind Loading'!$J$52*'Combined Stress'!O20+'Wind Loading'!$J$51*'Combined Stress'!O21+'Wind Loading'!$J$50*'Combined Stress'!O22+'Wind Loading'!$J$49*'Combined Stress'!O23+'Wind Loading'!$J$48*'Combined Stress'!O24+'Wind Loading'!$J$47*'Combined Stress'!O25+'Wind Loading'!$J$46*'Combined Stress'!O26+'Wind Loading'!$J$45*'Combined Stress'!O27+'Wind Loading'!$J$44*'Combined Stress'!O28+'Wind Loading'!$J$43*'Combined Stress'!O29+'Wind Loading'!$J$42*'Combined Stress'!O30+'Wind Loading'!$J$41*'Combined Stress'!O31+'Wind Loading'!$J$40*'Combined Stress'!O32+'Wind Loading'!$J$39*'Combined Stress'!O33+'Wind Loading'!$J$38*'Combined Stress'!O34+'Wind Loading'!$J$37*'Combined Stress'!O35+'Wind Loading'!$J$36*'Combined Stress'!O36+'Wind Loading'!$J$35*'Combined Stress'!O37+'Wind Loading'!$J$34*'Combined Stress'!O38+'Wind Loading'!$J$33*'Combined Stress'!O39+'Wind Loading'!$J$32*'Combined Stress'!O40+'Wind Loading'!$J$31*'Combined Stress'!O41+'Wind Loading'!$J$30*'Combined Stress'!O42+'Wind Loading'!$J$29*'Combined Stress'!O43+'Wind Loading'!$J$28*'Combined Stress'!O44+'Wind Loading'!$J$27*'Combined Stress'!O45+'Wind Loading'!$J$26*'Combined Stress'!O46+'Wind Loading'!$J$25*'Combined Stress'!O47+'Wind Loading'!$J$24*'Combined Stress'!O48+'Wind Loading'!$J$23*'Combined Stress'!O49+'Wind Loading'!$J$22*'Combined Stress'!O50+'Wind Loading'!$J$21*'Combined Stress'!O51+'Wind Loading'!$J$20*'Combined Stress'!O52+'Wind Loading'!$J$19*'Combined Stress'!O53+'Wind Loading'!$J$18*'Combined Stress'!O54+'Wind Loading'!$J$17*'Combined Stress'!O55+'Wind Loading'!$J$16*'Combined Stress'!O56+'Wind Loading'!$J$15*'Combined Stress'!O57+'Wind Loading'!$J$14*'Combined Stress'!O58+'Wind Loading'!$J$13*'Combined Stress'!O59+'Wind Loading'!$J$12*'Combined Stress'!O60+'Wind Loading'!$J$11*'Combined Stress'!O61+'Wind Loading'!$J$10*'Combined Stress'!O62+'Wind Loading'!$J$9*'Combined Stress'!O63+'Wind Loading'!$J$8*'Combined Stress'!O64+'Wind Loading'!$J$7*'Combined Stress'!O65+'Wind Loading'!$J$6*'Combined Stress'!O66+'Wind Loading'!$J$5*'Combined Stress'!O67+'Wind Loading'!$J$4*'Combined Stress'!O68+'Wind Loading'!$J$3*'Combined Stress'!O69</f>
        <v>734350.60375815188</v>
      </c>
      <c r="Q3" s="19">
        <f>((P3*'Alternative 1'!K4)/'Alternative 1'!L4)/1000000</f>
        <v>5.8437813635623366</v>
      </c>
      <c r="R3" s="19">
        <f>'Alternative 1'!$B12</f>
        <v>36</v>
      </c>
      <c r="S3" s="19">
        <f>IF(R3&gt;0,'Alternative 1'!$B$3+'Alternative 1'!$B$5+('Alternative 1'!$B$39*R3),0)</f>
        <v>347229.38342501159</v>
      </c>
      <c r="T3" s="19">
        <f>'Alternative 1'!M4</f>
        <v>3.4507899890198299</v>
      </c>
      <c r="U3" s="19">
        <f t="shared" ref="U3:U34" si="4">(S3/T3)/1000000</f>
        <v>0.10062315716977011</v>
      </c>
      <c r="V3" s="19">
        <f t="shared" ref="V3:V34" si="5">U3+Q3</f>
        <v>5.9444045207321068</v>
      </c>
      <c r="X3" s="18">
        <f>IF('Alternative 2'!$F4&gt;0,'Alternative 2'!$F4,"x")</f>
        <v>1</v>
      </c>
      <c r="Y3" s="45">
        <f>ROUNDUP('Alternative 2'!$B6,0)-0.5</f>
        <v>23.5</v>
      </c>
      <c r="Z3" s="45">
        <f>'Alternative 2'!B12-0.5</f>
        <v>22.5</v>
      </c>
      <c r="AA3" s="19">
        <f>'Dynamic Loading'!$Y$3*'Combined Stress'!Y3+'Wind Loading'!$O$69*Z3+'Wind Loading'!$O$68*'Combined Stress'!Z4+'Wind Loading'!$O$67*'Combined Stress'!Z5+'Wind Loading'!$O$66*'Combined Stress'!Z6+'Wind Loading'!$O$65*'Combined Stress'!Z7+'Wind Loading'!$O$64*'Combined Stress'!Z8+'Wind Loading'!$O$63*'Combined Stress'!Z9+'Wind Loading'!$O$62*'Combined Stress'!Z10+'Wind Loading'!$O$61*'Combined Stress'!Z11+'Wind Loading'!$O$60*'Combined Stress'!Z12+'Wind Loading'!$O$59*'Combined Stress'!Z13+'Wind Loading'!$O$58*'Combined Stress'!Z14+'Wind Loading'!$O$57*'Combined Stress'!Z15+'Wind Loading'!$O$56*'Combined Stress'!Z16+'Wind Loading'!$O$55*'Combined Stress'!Z17+'Wind Loading'!$O$54*'Combined Stress'!Z18+'Wind Loading'!$O$53*'Combined Stress'!Z19+'Wind Loading'!$O$52*'Combined Stress'!Z20+'Wind Loading'!$O$51*'Combined Stress'!Z21+'Wind Loading'!$O$50*'Combined Stress'!Z22+'Wind Loading'!$O$49*'Combined Stress'!Z23+'Wind Loading'!$O$48*'Combined Stress'!Z24+'Wind Loading'!$O$47*'Combined Stress'!Z25+'Wind Loading'!$O$46*'Combined Stress'!Z26+'Wind Loading'!$O$45*'Combined Stress'!Z27+'Wind Loading'!$O$44*'Combined Stress'!Z28+'Wind Loading'!$O$43*'Combined Stress'!Z29+'Wind Loading'!$O$42*'Combined Stress'!Z30+'Wind Loading'!$O$41*'Combined Stress'!Z31+'Wind Loading'!$O$40*'Combined Stress'!Z32+'Wind Loading'!$O$39*'Combined Stress'!Z33+'Wind Loading'!$O$38*'Combined Stress'!Z34+'Wind Loading'!$O$37*'Combined Stress'!Z35+'Wind Loading'!$O$36*'Combined Stress'!Z36+'Wind Loading'!$O$35*'Combined Stress'!Z37+'Wind Loading'!$O$34*'Combined Stress'!Z38+'Wind Loading'!$O$33*'Combined Stress'!Z39+'Wind Loading'!$O$32*'Combined Stress'!Z40+'Wind Loading'!$O$31*'Combined Stress'!Z41+'Wind Loading'!$O$30*'Combined Stress'!Z42+'Wind Loading'!$O$29*'Combined Stress'!Z43+'Wind Loading'!$O$28*'Combined Stress'!Z44+'Wind Loading'!$O$27*'Combined Stress'!Z45+'Wind Loading'!$O$26*'Combined Stress'!Z46+'Wind Loading'!$O$25*'Combined Stress'!Z47+'Wind Loading'!$O$24*'Combined Stress'!Z48+'Wind Loading'!$O$23*'Combined Stress'!Z49+'Wind Loading'!$O$22*'Combined Stress'!Z50+'Wind Loading'!$O$21*'Combined Stress'!Z51+'Wind Loading'!$O$20*'Combined Stress'!Z52+'Wind Loading'!$O$19*'Combined Stress'!Z53+'Wind Loading'!$O$18*'Combined Stress'!Z54+'Wind Loading'!$O$17*'Combined Stress'!Z55+'Wind Loading'!$O$16*'Combined Stress'!Z56+'Wind Loading'!$O$15*'Combined Stress'!Z57+'Wind Loading'!$O$14*'Combined Stress'!Z58+'Wind Loading'!$O$13*'Combined Stress'!Z59+'Wind Loading'!$O$12*'Combined Stress'!Z60+'Wind Loading'!$O$11*'Combined Stress'!Z61+'Wind Loading'!$O$10*'Combined Stress'!Z62+'Wind Loading'!$O$9*'Combined Stress'!Z63+'Wind Loading'!$O$8*'Combined Stress'!Z64+'Wind Loading'!$O$7*'Combined Stress'!Z65+'Wind Loading'!$O$6*'Combined Stress'!Z66+'Wind Loading'!$O$5*'Combined Stress'!Z67+'Wind Loading'!$O$4*'Combined Stress'!Z68+'Wind Loading'!$O$3*'Combined Stress'!Z69</f>
        <v>551432.97782511159</v>
      </c>
      <c r="AB3" s="19">
        <f>((AA3*'Alternative 2'!K4)/'Alternative 2'!L4)/1000000</f>
        <v>8.7763358335287478</v>
      </c>
      <c r="AC3" s="19">
        <f>'Alternative 2'!$B12</f>
        <v>23</v>
      </c>
      <c r="AD3" s="19">
        <f>'Alternative 2'!$B$3+'Alternative 2'!$B$5+('Alternative 2'!$B$39*AC3)</f>
        <v>139069.70927381309</v>
      </c>
      <c r="AE3" s="19">
        <f>'Alternative 2'!M4</f>
        <v>1.3901994430434785</v>
      </c>
      <c r="AF3" s="19">
        <f t="shared" ref="AF3:AF34" si="6">(AD3/AE3)/1000000</f>
        <v>0.10003579700000188</v>
      </c>
      <c r="AG3" s="19">
        <f t="shared" ref="AG3:AG34" si="7">AF3+AB3</f>
        <v>8.8763716305287499</v>
      </c>
      <c r="AI3" s="18">
        <f>'Alternative 3'!F4</f>
        <v>1</v>
      </c>
      <c r="AJ3" s="45">
        <f>ROUNDUP('Alternative 3'!$B6,0)-0.5</f>
        <v>34.5</v>
      </c>
      <c r="AK3" s="45">
        <f>'Alternative 3'!B12-0.5</f>
        <v>34.5</v>
      </c>
      <c r="AL3" s="84">
        <f>'Dynamic Loading'!$AG$3*'Combined Stress'!AJ3+'Wind Loading'!$T$69*AK3+'Wind Loading'!$T$68*'Combined Stress'!AK4+'Wind Loading'!$T$67*'Combined Stress'!AK5+'Wind Loading'!$T$66*'Combined Stress'!AK6+'Wind Loading'!$T$65*'Combined Stress'!AK7+'Wind Loading'!$T$64*'Combined Stress'!AK8+'Wind Loading'!$T$63*'Combined Stress'!AK9+'Wind Loading'!$T$62*'Combined Stress'!AK10+'Wind Loading'!$T$61*'Combined Stress'!AK11+'Wind Loading'!$T$60*'Combined Stress'!AK12+'Wind Loading'!$T$59*'Combined Stress'!AK13+'Wind Loading'!$T$58*'Combined Stress'!AK14+'Wind Loading'!$T$57*'Combined Stress'!AK15+'Wind Loading'!$T$56*'Combined Stress'!AK16+'Wind Loading'!$T$55*'Combined Stress'!AK17+'Wind Loading'!$T$54*'Combined Stress'!AK18+'Wind Loading'!$T$53*'Combined Stress'!AK19+'Wind Loading'!$T$52*'Combined Stress'!AK20+'Wind Loading'!$T$51*'Combined Stress'!AK21+'Wind Loading'!$T$50*'Combined Stress'!AK22+'Wind Loading'!$T$49*'Combined Stress'!AK23+'Wind Loading'!$T$48*'Combined Stress'!AK24+'Wind Loading'!$T$47*'Combined Stress'!AK25+'Wind Loading'!$T$46*'Combined Stress'!AK26+'Wind Loading'!$T$45*'Combined Stress'!AK27+'Wind Loading'!$T$44*'Combined Stress'!AK28+'Wind Loading'!$T$43*'Combined Stress'!AK29+'Wind Loading'!$T$42*'Combined Stress'!AK30+'Wind Loading'!$T$41*'Combined Stress'!AK31+'Wind Loading'!$T$40*'Combined Stress'!AK32+'Wind Loading'!$T$39*'Combined Stress'!AK33+'Wind Loading'!$T$38*'Combined Stress'!AK34+'Wind Loading'!$T$37*'Combined Stress'!AK35+'Wind Loading'!$T$36*'Combined Stress'!AK36+'Wind Loading'!$T$35*'Combined Stress'!AK37+'Wind Loading'!$T$34*'Combined Stress'!AK38+'Wind Loading'!$T$33*'Combined Stress'!AK39+'Wind Loading'!$T$32*'Combined Stress'!AK40+'Wind Loading'!$T$31*'Combined Stress'!AK41+'Wind Loading'!$T$30*'Combined Stress'!AK42+'Wind Loading'!$T$29*'Combined Stress'!AK43+'Wind Loading'!$T$28*'Combined Stress'!AK44+'Wind Loading'!$T$27*'Combined Stress'!AK45+'Wind Loading'!$T$26*'Combined Stress'!AK46+'Wind Loading'!$T$25*'Combined Stress'!AK47+'Wind Loading'!$T$24*'Combined Stress'!AK48+'Wind Loading'!$T$23*'Combined Stress'!AK49+'Wind Loading'!$T$22*'Combined Stress'!AK50+'Wind Loading'!$T$21*'Combined Stress'!AK51+'Wind Loading'!$T$20*'Combined Stress'!AK52+'Wind Loading'!$T$19*'Combined Stress'!AK53+'Wind Loading'!$T$18*'Combined Stress'!AK54+'Wind Loading'!$T$17*'Combined Stress'!AK55+'Wind Loading'!$T$16*'Combined Stress'!AK56+'Wind Loading'!$T$15*'Combined Stress'!AK57+'Wind Loading'!$T$14*'Combined Stress'!AK58+'Wind Loading'!$T$13*'Combined Stress'!AK59+'Wind Loading'!$T$12*'Combined Stress'!AK60+'Wind Loading'!$T$11*'Combined Stress'!AK61+'Wind Loading'!$T$10*'Combined Stress'!AK62+'Wind Loading'!$T$9*'Combined Stress'!AK63+'Wind Loading'!$T$8*'Combined Stress'!AK64+'Wind Loading'!$T$7*'Combined Stress'!AK65+'Wind Loading'!$T$6*'Combined Stress'!AK66+'Wind Loading'!$T$5*'Combined Stress'!AK67+'Wind Loading'!$T$4*'Combined Stress'!AK68+'Wind Loading'!$T$3*'Combined Stress'!AK69</f>
        <v>4875194.4887801418</v>
      </c>
      <c r="AM3" s="84">
        <f>((AL3*'Alternative 3'!K4)/'Alternative 3'!L4)/1000000</f>
        <v>77.59119568085174</v>
      </c>
      <c r="AN3" s="84">
        <f t="shared" ref="AN3:AN34" si="8">AN4+1</f>
        <v>67</v>
      </c>
      <c r="AO3" s="19">
        <f>'Alternative 3'!$B$3+'Alternative 3'!$B$5+('Alternative 2'!$B$39*AN3)</f>
        <v>327713.30843273818</v>
      </c>
      <c r="AP3" s="84">
        <f>'Alternative 3'!M4</f>
        <v>3.301556247689144</v>
      </c>
      <c r="AQ3" s="84">
        <f t="shared" ref="AQ3:AQ34" si="9">(AO3/AP3)/1000000</f>
        <v>9.9260252997995818E-2</v>
      </c>
      <c r="AR3" s="84">
        <f t="shared" ref="AR3:AR34" si="10">AQ3+AM3</f>
        <v>77.690455933849734</v>
      </c>
    </row>
    <row r="4" spans="1:44" ht="14.45" customHeight="1" x14ac:dyDescent="0.25">
      <c r="A4" s="18">
        <f>'Baseline Given'!E5</f>
        <v>2</v>
      </c>
      <c r="B4" s="45">
        <f t="shared" si="0"/>
        <v>68.5</v>
      </c>
      <c r="C4" s="45">
        <f t="shared" si="1"/>
        <v>65.5</v>
      </c>
      <c r="D4" s="19">
        <f>'Dynamic Loading'!$I$3*'Combined Stress'!B4+'Wind Loading'!$E$69*C4+'Wind Loading'!$E$68*'Combined Stress'!C5+'Wind Loading'!$E$67*'Combined Stress'!C6+'Wind Loading'!$E$66*'Combined Stress'!C7+'Wind Loading'!$E$65*'Combined Stress'!C8+'Wind Loading'!$E$64*'Combined Stress'!C9+'Wind Loading'!$E$63*'Combined Stress'!C10+'Wind Loading'!$E$62*'Combined Stress'!C11+'Wind Loading'!$E$61*'Combined Stress'!C12+'Wind Loading'!$E$60*'Combined Stress'!C13+'Wind Loading'!$E$59*'Combined Stress'!C14+'Wind Loading'!$E$58*'Combined Stress'!C15+'Wind Loading'!$E$57*'Combined Stress'!C16+'Wind Loading'!$E$56*'Combined Stress'!C17+'Wind Loading'!$E$55*'Combined Stress'!C18+'Wind Loading'!$E$54*'Combined Stress'!C19+'Wind Loading'!$E$53*'Combined Stress'!C20+'Wind Loading'!$E$52*'Combined Stress'!C21+'Wind Loading'!$E$51*'Combined Stress'!C22+'Wind Loading'!$E$50*'Combined Stress'!C23+'Wind Loading'!$E$49*'Combined Stress'!C24+'Wind Loading'!$E$48*'Combined Stress'!C25+'Wind Loading'!$E$47*'Combined Stress'!C26+'Wind Loading'!$E$46*'Combined Stress'!C27+'Wind Loading'!$E$45*'Combined Stress'!C28+'Wind Loading'!$E$44*'Combined Stress'!C29+'Wind Loading'!$E$43*'Combined Stress'!C30+'Wind Loading'!$E$42*'Combined Stress'!C31+'Wind Loading'!$E$41*'Combined Stress'!C32+'Wind Loading'!$E$40*'Combined Stress'!C33+'Wind Loading'!$E$39*'Combined Stress'!C34+'Wind Loading'!$E$38*'Combined Stress'!C35+'Wind Loading'!$E$37*'Combined Stress'!C36+'Wind Loading'!$E$36*'Combined Stress'!C37+'Wind Loading'!$E$35*'Combined Stress'!C38+'Wind Loading'!$E$34*'Combined Stress'!C39+'Wind Loading'!$E$33*'Combined Stress'!C40+'Wind Loading'!$E$32*'Combined Stress'!C41+'Wind Loading'!$E$31*'Combined Stress'!C42+'Wind Loading'!$E$30*'Combined Stress'!C43+'Wind Loading'!$E$29*'Combined Stress'!C44+'Wind Loading'!$E$28*'Combined Stress'!C45+'Wind Loading'!$E$27*'Combined Stress'!C46+'Wind Loading'!$E$26*'Combined Stress'!C47+'Wind Loading'!$E$25*'Combined Stress'!C48+'Wind Loading'!$E$24*'Combined Stress'!C49+'Wind Loading'!$E$23*'Combined Stress'!C50+'Wind Loading'!$E$22*'Combined Stress'!C51+'Wind Loading'!$E$21*'Combined Stress'!C52+'Wind Loading'!$E$20*'Combined Stress'!C53+'Wind Loading'!$E$19*'Combined Stress'!C54+'Wind Loading'!$E$18*'Combined Stress'!C55+'Wind Loading'!$E$17*'Combined Stress'!C56+'Wind Loading'!$E$16*'Combined Stress'!C57+'Wind Loading'!$E$15*'Combined Stress'!C58+'Wind Loading'!$E$14*'Combined Stress'!C59+'Wind Loading'!$E$13*'Combined Stress'!C60+'Wind Loading'!$E$12*'Combined Stress'!C61+'Wind Loading'!$E$11*'Combined Stress'!C62+'Wind Loading'!$E$10*'Combined Stress'!C63+'Wind Loading'!$E$9*'Combined Stress'!C64+'Wind Loading'!$E$8*'Combined Stress'!C65+'Wind Loading'!$E$7*'Combined Stress'!C66+'Wind Loading'!$E$6*'Combined Stress'!C67+'Wind Loading'!$E$5*'Combined Stress'!C68+'Wind Loading'!$E$4*'Combined Stress'!C69</f>
        <v>27542892.220136702</v>
      </c>
      <c r="E4" s="19">
        <f>((D4*'Baseline Given'!K5)/'Baseline Given'!L5)/1000000</f>
        <v>158.59591702399061</v>
      </c>
      <c r="F4" s="19">
        <f t="shared" si="2"/>
        <v>66</v>
      </c>
      <c r="G4" s="19">
        <f>'Baseline Given'!$B$3+'Baseline Given'!$B$5+('Baseline Given'!$B$38*F4)</f>
        <v>2248201.0447761193</v>
      </c>
      <c r="H4" s="19">
        <f>'Baseline Given'!M5</f>
        <v>12.14607697148441</v>
      </c>
      <c r="I4" s="19">
        <f t="shared" si="3"/>
        <v>0.18509688766622062</v>
      </c>
      <c r="J4" s="19">
        <f t="shared" ref="J4:J67" si="11">-(I4+E4)</f>
        <v>-158.78101391165683</v>
      </c>
      <c r="M4" s="18">
        <f>IF('Alternative 1'!F5&gt;0,'Alternative 1'!F5,"x")</f>
        <v>2</v>
      </c>
      <c r="N4" s="45">
        <f>IF(N3-1&gt;1,N3-1,0)</f>
        <v>35.5</v>
      </c>
      <c r="O4" s="45">
        <f>IF(O3-1&gt;0,O3-1,0)</f>
        <v>34.5</v>
      </c>
      <c r="P4" s="19">
        <f>'Dynamic Loading'!$Q$3*'Combined Stress'!N4+'Wind Loading'!$J$69*O4+'Wind Loading'!$J$68*'Combined Stress'!O5+'Wind Loading'!$J$67*'Combined Stress'!O6+'Wind Loading'!$J$66*'Combined Stress'!O7+'Wind Loading'!$J$65*'Combined Stress'!O8+'Wind Loading'!$J$64*'Combined Stress'!O9+'Wind Loading'!$J$63*'Combined Stress'!O10+'Wind Loading'!$J$62*'Combined Stress'!O11+'Wind Loading'!$J$61*'Combined Stress'!O12+'Wind Loading'!$J$60*'Combined Stress'!O13+'Wind Loading'!$J$59*'Combined Stress'!O14+'Wind Loading'!$J$58*'Combined Stress'!O15+'Wind Loading'!$J$57*'Combined Stress'!O16+'Wind Loading'!$J$56*'Combined Stress'!O17+'Wind Loading'!$J$55*'Combined Stress'!O18+'Wind Loading'!$J$54*'Combined Stress'!O19+'Wind Loading'!$J$53*'Combined Stress'!O20+'Wind Loading'!$J$52*'Combined Stress'!O21+'Wind Loading'!$J$51*'Combined Stress'!O22+'Wind Loading'!$J$50*'Combined Stress'!O23+'Wind Loading'!$J$49*'Combined Stress'!O24+'Wind Loading'!$J$48*'Combined Stress'!O25+'Wind Loading'!$J$47*'Combined Stress'!O26+'Wind Loading'!$J$46*'Combined Stress'!O27+'Wind Loading'!$J$45*'Combined Stress'!O28+'Wind Loading'!$J$44*'Combined Stress'!O29+'Wind Loading'!$J$43*'Combined Stress'!O30+'Wind Loading'!$J$42*'Combined Stress'!O31+'Wind Loading'!$J$41*'Combined Stress'!O32+'Wind Loading'!$J$40*'Combined Stress'!O33+'Wind Loading'!$J$39*'Combined Stress'!O34+'Wind Loading'!$J$38*'Combined Stress'!O35+'Wind Loading'!$J$37*'Combined Stress'!O36+'Wind Loading'!$J$36*'Combined Stress'!O37+'Wind Loading'!$J$35*'Combined Stress'!O38+'Wind Loading'!$J$34*'Combined Stress'!O39+'Wind Loading'!$J$33*'Combined Stress'!O40+'Wind Loading'!$J$32*'Combined Stress'!O41+'Wind Loading'!$J$31*'Combined Stress'!O42+'Wind Loading'!$J$30*'Combined Stress'!O43+'Wind Loading'!$J$29*'Combined Stress'!O44+'Wind Loading'!$J$28*'Combined Stress'!O45+'Wind Loading'!$J$27*'Combined Stress'!O46+'Wind Loading'!$J$26*'Combined Stress'!O47+'Wind Loading'!$J$25*'Combined Stress'!O48+'Wind Loading'!$J$24*'Combined Stress'!O49+'Wind Loading'!$J$23*'Combined Stress'!O50+'Wind Loading'!$J$22*'Combined Stress'!O51+'Wind Loading'!$J$21*'Combined Stress'!O52+'Wind Loading'!$J$20*'Combined Stress'!O53+'Wind Loading'!$J$19*'Combined Stress'!O54+'Wind Loading'!$J$18*'Combined Stress'!O55+'Wind Loading'!$J$17*'Combined Stress'!O56+'Wind Loading'!$J$16*'Combined Stress'!O57+'Wind Loading'!$J$15*'Combined Stress'!O58+'Wind Loading'!$J$14*'Combined Stress'!O59+'Wind Loading'!$J$13*'Combined Stress'!O60+'Wind Loading'!$J$12*'Combined Stress'!O61+'Wind Loading'!$J$11*'Combined Stress'!O62+'Wind Loading'!$J$10*'Combined Stress'!O63+'Wind Loading'!$J$9*'Combined Stress'!O64+'Wind Loading'!$J$8*'Combined Stress'!O65+'Wind Loading'!$J$7*'Combined Stress'!O66+'Wind Loading'!$J$6*'Combined Stress'!O67+'Wind Loading'!$J$5*'Combined Stress'!O68+'Wind Loading'!$J$4*'Combined Stress'!O69</f>
        <v>708078.39697717782</v>
      </c>
      <c r="Q4" s="45">
        <f>IF(Q3-1&gt;0,Q3-1,0)</f>
        <v>4.8437813635623366</v>
      </c>
      <c r="R4" s="45">
        <f>IF(R3-1&gt;0,R3-1,0)</f>
        <v>35</v>
      </c>
      <c r="S4" s="19">
        <f>IF(R4&gt;0,'Alternative 1'!$B$3+'Alternative 1'!$B$5+('Alternative 1'!$B$39*R4),0)</f>
        <v>338726.05268542789</v>
      </c>
      <c r="T4" s="19">
        <f>'Alternative 1'!M5</f>
        <v>3.3856152278624325</v>
      </c>
      <c r="U4" s="19">
        <f t="shared" si="4"/>
        <v>0.10004859675069708</v>
      </c>
      <c r="V4" s="19">
        <f t="shared" si="5"/>
        <v>4.9438299603130336</v>
      </c>
      <c r="X4" s="18">
        <f>IF('Alternative 2'!$F5&gt;0,'Alternative 2'!$F5,"x")</f>
        <v>2</v>
      </c>
      <c r="Y4" s="45">
        <f>IF(Y3-1&gt;1,Y3-1,0)</f>
        <v>22.5</v>
      </c>
      <c r="Z4" s="45">
        <f>IF(Z3-1&gt;0,Z3-1,0)</f>
        <v>21.5</v>
      </c>
      <c r="AA4" s="19">
        <f>'Dynamic Loading'!$Y$3*'Combined Stress'!Y4+'Wind Loading'!$O$69*Z4+'Wind Loading'!$O$68*'Combined Stress'!Z5+'Wind Loading'!$O$67*'Combined Stress'!Z6+'Wind Loading'!$O$66*'Combined Stress'!Z7+'Wind Loading'!$O$65*'Combined Stress'!Z8+'Wind Loading'!$O$64*'Combined Stress'!Z9+'Wind Loading'!$O$63*'Combined Stress'!Z10+'Wind Loading'!$O$62*'Combined Stress'!Z11+'Wind Loading'!$O$61*'Combined Stress'!Z12+'Wind Loading'!$O$60*'Combined Stress'!Z13+'Wind Loading'!$O$59*'Combined Stress'!Z14+'Wind Loading'!$O$58*'Combined Stress'!Z15+'Wind Loading'!$O$57*'Combined Stress'!Z16+'Wind Loading'!$O$56*'Combined Stress'!Z17+'Wind Loading'!$O$55*'Combined Stress'!Z18+'Wind Loading'!$O$54*'Combined Stress'!Z19+'Wind Loading'!$O$53*'Combined Stress'!Z20+'Wind Loading'!$O$52*'Combined Stress'!Z21+'Wind Loading'!$O$51*'Combined Stress'!Z22+'Wind Loading'!$O$50*'Combined Stress'!Z23+'Wind Loading'!$O$49*'Combined Stress'!Z24+'Wind Loading'!$O$48*'Combined Stress'!Z25+'Wind Loading'!$O$47*'Combined Stress'!Z26+'Wind Loading'!$O$46*'Combined Stress'!Z27+'Wind Loading'!$O$45*'Combined Stress'!Z28+'Wind Loading'!$O$44*'Combined Stress'!Z29+'Wind Loading'!$O$43*'Combined Stress'!Z30+'Wind Loading'!$O$42*'Combined Stress'!Z31+'Wind Loading'!$O$41*'Combined Stress'!Z32+'Wind Loading'!$O$40*'Combined Stress'!Z33+'Wind Loading'!$O$39*'Combined Stress'!Z34+'Wind Loading'!$O$38*'Combined Stress'!Z35+'Wind Loading'!$O$37*'Combined Stress'!Z36+'Wind Loading'!$O$36*'Combined Stress'!Z37+'Wind Loading'!$O$35*'Combined Stress'!Z38+'Wind Loading'!$O$34*'Combined Stress'!Z39+'Wind Loading'!$O$33*'Combined Stress'!Z40+'Wind Loading'!$O$32*'Combined Stress'!Z41+'Wind Loading'!$O$31*'Combined Stress'!Z42+'Wind Loading'!$O$30*'Combined Stress'!Z43+'Wind Loading'!$O$29*'Combined Stress'!Z44+'Wind Loading'!$O$28*'Combined Stress'!Z45+'Wind Loading'!$O$27*'Combined Stress'!Z46+'Wind Loading'!$O$26*'Combined Stress'!Z47+'Wind Loading'!$O$25*'Combined Stress'!Z48+'Wind Loading'!$O$24*'Combined Stress'!Z49+'Wind Loading'!$O$23*'Combined Stress'!Z50+'Wind Loading'!$O$22*'Combined Stress'!Z51+'Wind Loading'!$O$21*'Combined Stress'!Z52+'Wind Loading'!$O$20*'Combined Stress'!Z53+'Wind Loading'!$O$19*'Combined Stress'!Z54+'Wind Loading'!$O$18*'Combined Stress'!Z55+'Wind Loading'!$O$17*'Combined Stress'!Z56+'Wind Loading'!$O$16*'Combined Stress'!Z57+'Wind Loading'!$O$15*'Combined Stress'!Z58+'Wind Loading'!$O$14*'Combined Stress'!Z59+'Wind Loading'!$O$13*'Combined Stress'!Z60+'Wind Loading'!$O$12*'Combined Stress'!Z61+'Wind Loading'!$O$11*'Combined Stress'!Z62+'Wind Loading'!$O$10*'Combined Stress'!Z63+'Wind Loading'!$O$9*'Combined Stress'!Z64+'Wind Loading'!$O$8*'Combined Stress'!Z65+'Wind Loading'!$O$7*'Combined Stress'!Z66+'Wind Loading'!$O$6*'Combined Stress'!Z67+'Wind Loading'!$O$5*'Combined Stress'!Z68+'Wind Loading'!$O$4*'Combined Stress'!Z69</f>
        <v>527967.74472617067</v>
      </c>
      <c r="AB4" s="19">
        <f>((AA4*'Alternative 2'!K5)/'Alternative 2'!L5)/1000000</f>
        <v>8.4028747342296519</v>
      </c>
      <c r="AC4" s="45">
        <f>IF(AC3-1&gt;0,AC3-1,0)</f>
        <v>22</v>
      </c>
      <c r="AD4" s="19">
        <f>'Alternative 2'!$B$3+'Alternative 2'!$B$5+('Alternative 2'!$B$39*AC4)</f>
        <v>136348.93365321253</v>
      </c>
      <c r="AE4" s="19">
        <f>'Alternative 2'!M5</f>
        <v>1.349611872798913</v>
      </c>
      <c r="AF4" s="19">
        <f t="shared" si="6"/>
        <v>0.10102825590178251</v>
      </c>
      <c r="AG4" s="19">
        <f t="shared" si="7"/>
        <v>8.5039029901314347</v>
      </c>
      <c r="AI4" s="18">
        <f>'Alternative 3'!F5</f>
        <v>2</v>
      </c>
      <c r="AJ4" s="83">
        <f>IF(AI4&gt;0,AJ3-1,0)</f>
        <v>33.5</v>
      </c>
      <c r="AK4" s="45">
        <f>IF(AK3-1&gt;0,AK3-1,0)</f>
        <v>33.5</v>
      </c>
      <c r="AL4" s="84">
        <f>'Dynamic Loading'!$AG$3*'Combined Stress'!AJ4+'Wind Loading'!$T$69*AK4+'Wind Loading'!$T$68*'Combined Stress'!AK5+'Wind Loading'!$T$67*'Combined Stress'!AK6+'Wind Loading'!$T$66*'Combined Stress'!AK7+'Wind Loading'!$T$65*'Combined Stress'!AK8+'Wind Loading'!$T$64*'Combined Stress'!AK9+'Wind Loading'!$T$63*'Combined Stress'!AK10+'Wind Loading'!$T$62*'Combined Stress'!AK11+'Wind Loading'!$T$61*'Combined Stress'!AK12+'Wind Loading'!$T$60*'Combined Stress'!AK13+'Wind Loading'!$T$59*'Combined Stress'!AK14+'Wind Loading'!$T$58*'Combined Stress'!AK15+'Wind Loading'!$T$57*'Combined Stress'!AK16+'Wind Loading'!$T$56*'Combined Stress'!AK17+'Wind Loading'!$T$55*'Combined Stress'!AK18+'Wind Loading'!$T$54*'Combined Stress'!AK19+'Wind Loading'!$T$53*'Combined Stress'!AK20+'Wind Loading'!$T$52*'Combined Stress'!AK21+'Wind Loading'!$T$51*'Combined Stress'!AK22+'Wind Loading'!$T$50*'Combined Stress'!AK23+'Wind Loading'!$T$49*'Combined Stress'!AK24+'Wind Loading'!$T$48*'Combined Stress'!AK25+'Wind Loading'!$T$47*'Combined Stress'!AK26+'Wind Loading'!$T$46*'Combined Stress'!AK27+'Wind Loading'!$T$45*'Combined Stress'!AK28+'Wind Loading'!$T$44*'Combined Stress'!AK29+'Wind Loading'!$T$43*'Combined Stress'!AK30+'Wind Loading'!$T$42*'Combined Stress'!AK31+'Wind Loading'!$T$41*'Combined Stress'!AK32+'Wind Loading'!$T$40*'Combined Stress'!AK33+'Wind Loading'!$T$39*'Combined Stress'!AK34+'Wind Loading'!$T$38*'Combined Stress'!AK35+'Wind Loading'!$T$37*'Combined Stress'!AK36+'Wind Loading'!$T$36*'Combined Stress'!AK37+'Wind Loading'!$T$35*'Combined Stress'!AK38+'Wind Loading'!$T$34*'Combined Stress'!AK39+'Wind Loading'!$T$33*'Combined Stress'!AK40+'Wind Loading'!$T$32*'Combined Stress'!AK41+'Wind Loading'!$T$31*'Combined Stress'!AK42+'Wind Loading'!$T$30*'Combined Stress'!AK43+'Wind Loading'!$T$29*'Combined Stress'!AK44+'Wind Loading'!$T$28*'Combined Stress'!AK45+'Wind Loading'!$T$27*'Combined Stress'!AK46+'Wind Loading'!$T$26*'Combined Stress'!AK47+'Wind Loading'!$T$25*'Combined Stress'!AK48+'Wind Loading'!$T$24*'Combined Stress'!AK49+'Wind Loading'!$T$23*'Combined Stress'!AK50+'Wind Loading'!$T$22*'Combined Stress'!AK51+'Wind Loading'!$T$21*'Combined Stress'!AK52+'Wind Loading'!$T$20*'Combined Stress'!AK53+'Wind Loading'!$T$19*'Combined Stress'!AK54+'Wind Loading'!$T$18*'Combined Stress'!AK55+'Wind Loading'!$T$17*'Combined Stress'!AK56+'Wind Loading'!$T$16*'Combined Stress'!AK57+'Wind Loading'!$T$15*'Combined Stress'!AK58+'Wind Loading'!$T$14*'Combined Stress'!AK59+'Wind Loading'!$T$13*'Combined Stress'!AK60+'Wind Loading'!$T$12*'Combined Stress'!AK61+'Wind Loading'!$T$11*'Combined Stress'!AK62+'Wind Loading'!$T$10*'Combined Stress'!AK63+'Wind Loading'!$T$9*'Combined Stress'!AK64+'Wind Loading'!$T$8*'Combined Stress'!AK65+'Wind Loading'!$T$7*'Combined Stress'!AK66+'Wind Loading'!$T$6*'Combined Stress'!AK67+'Wind Loading'!$T$5*'Combined Stress'!AK68+'Wind Loading'!$T$4*'Combined Stress'!AK69</f>
        <v>4730497.3288362855</v>
      </c>
      <c r="AM4" s="84">
        <f>((AL4*'Alternative 3'!K5)/'Alternative 3'!L5)/1000000</f>
        <v>75.288266910008716</v>
      </c>
      <c r="AN4" s="84">
        <f t="shared" si="8"/>
        <v>66</v>
      </c>
      <c r="AO4" s="19">
        <f>'Alternative 3'!$B$3+'Alternative 3'!$B$5+('Alternative 2'!$B$39*AN4)</f>
        <v>324992.53281213762</v>
      </c>
      <c r="AP4" s="84">
        <f>'Alternative 3'!M5</f>
        <v>3.2383700288215707</v>
      </c>
      <c r="AQ4" s="84">
        <f t="shared" si="9"/>
        <v>0.10035682455052891</v>
      </c>
      <c r="AR4" s="84">
        <f t="shared" si="10"/>
        <v>75.388623734559246</v>
      </c>
    </row>
    <row r="5" spans="1:44" ht="14.45" customHeight="1" x14ac:dyDescent="0.25">
      <c r="A5" s="18">
        <f>'Baseline Given'!E6</f>
        <v>3</v>
      </c>
      <c r="B5" s="45">
        <f t="shared" si="0"/>
        <v>67.5</v>
      </c>
      <c r="C5" s="45">
        <f t="shared" si="1"/>
        <v>64.5</v>
      </c>
      <c r="D5" s="19">
        <f>'Dynamic Loading'!$I$3*'Combined Stress'!B5+'Wind Loading'!$E$69*C5+'Wind Loading'!$E$68*'Combined Stress'!C6+'Wind Loading'!$E$67*'Combined Stress'!C7+'Wind Loading'!$E$66*'Combined Stress'!C8+'Wind Loading'!$E$65*'Combined Stress'!C9+'Wind Loading'!$E$64*'Combined Stress'!C10+'Wind Loading'!$E$63*'Combined Stress'!C11+'Wind Loading'!$E$62*'Combined Stress'!C12+'Wind Loading'!$E$61*'Combined Stress'!C13+'Wind Loading'!$E$60*'Combined Stress'!C14+'Wind Loading'!$E$59*'Combined Stress'!C15+'Wind Loading'!$E$58*'Combined Stress'!C16+'Wind Loading'!$E$57*'Combined Stress'!C17+'Wind Loading'!$E$56*'Combined Stress'!C18+'Wind Loading'!$E$55*'Combined Stress'!C19+'Wind Loading'!$E$54*'Combined Stress'!C20+'Wind Loading'!$E$53*'Combined Stress'!C21+'Wind Loading'!$E$52*'Combined Stress'!C22+'Wind Loading'!$E$51*'Combined Stress'!C23+'Wind Loading'!$E$50*'Combined Stress'!C24+'Wind Loading'!$E$49*'Combined Stress'!C25+'Wind Loading'!$E$48*'Combined Stress'!C26+'Wind Loading'!$E$47*'Combined Stress'!C27+'Wind Loading'!$E$46*'Combined Stress'!C28+'Wind Loading'!$E$45*'Combined Stress'!C29+'Wind Loading'!$E$44*'Combined Stress'!C30+'Wind Loading'!$E$43*'Combined Stress'!C31+'Wind Loading'!$E$42*'Combined Stress'!C32+'Wind Loading'!$E$41*'Combined Stress'!C33+'Wind Loading'!$E$40*'Combined Stress'!C34+'Wind Loading'!$E$39*'Combined Stress'!C35+'Wind Loading'!$E$38*'Combined Stress'!C36+'Wind Loading'!$E$37*'Combined Stress'!C37+'Wind Loading'!$E$36*'Combined Stress'!C38+'Wind Loading'!$E$35*'Combined Stress'!C39+'Wind Loading'!$E$34*'Combined Stress'!C40+'Wind Loading'!$E$33*'Combined Stress'!C41+'Wind Loading'!$E$32*'Combined Stress'!C42+'Wind Loading'!$E$31*'Combined Stress'!C43+'Wind Loading'!$E$30*'Combined Stress'!C44+'Wind Loading'!$E$29*'Combined Stress'!C45+'Wind Loading'!$E$28*'Combined Stress'!C46+'Wind Loading'!$E$27*'Combined Stress'!C47+'Wind Loading'!$E$26*'Combined Stress'!C48+'Wind Loading'!$E$25*'Combined Stress'!C49+'Wind Loading'!$E$24*'Combined Stress'!C50+'Wind Loading'!$E$23*'Combined Stress'!C51+'Wind Loading'!$E$22*'Combined Stress'!C52+'Wind Loading'!$E$21*'Combined Stress'!C53+'Wind Loading'!$E$20*'Combined Stress'!C54+'Wind Loading'!$E$19*'Combined Stress'!C55+'Wind Loading'!$E$18*'Combined Stress'!C56+'Wind Loading'!$E$17*'Combined Stress'!C57+'Wind Loading'!$E$16*'Combined Stress'!C58+'Wind Loading'!$E$15*'Combined Stress'!C59+'Wind Loading'!$E$14*'Combined Stress'!C60+'Wind Loading'!$E$13*'Combined Stress'!C61+'Wind Loading'!$E$12*'Combined Stress'!C62+'Wind Loading'!$E$11*'Combined Stress'!C63+'Wind Loading'!$E$10*'Combined Stress'!C64+'Wind Loading'!$E$9*'Combined Stress'!C65+'Wind Loading'!$E$8*'Combined Stress'!C66+'Wind Loading'!$E$7*'Combined Stress'!C67+'Wind Loading'!$E$6*'Combined Stress'!C68+'Wind Loading'!$E$5*'Combined Stress'!C69</f>
        <v>27032944.934843685</v>
      </c>
      <c r="E5" s="19">
        <f>((D5*'Baseline Given'!K6)/'Baseline Given'!L6)/1000000</f>
        <v>156.67991430513158</v>
      </c>
      <c r="F5" s="19">
        <f t="shared" si="2"/>
        <v>65</v>
      </c>
      <c r="G5" s="19">
        <f>'Baseline Given'!$B$3+'Baseline Given'!$B$5+('Baseline Given'!$B$38*F5)</f>
        <v>2232042.0895522386</v>
      </c>
      <c r="H5" s="19">
        <f>'Baseline Given'!M6</f>
        <v>12.024503429507185</v>
      </c>
      <c r="I5" s="19">
        <f t="shared" si="3"/>
        <v>0.18562447111745031</v>
      </c>
      <c r="J5" s="19">
        <f t="shared" si="11"/>
        <v>-156.86553877624902</v>
      </c>
      <c r="M5" s="18">
        <f>IF('Alternative 1'!F6&gt;0,'Alternative 1'!F6,"x")</f>
        <v>3</v>
      </c>
      <c r="N5" s="45">
        <f t="shared" ref="N5:N68" si="12">IF(N4-1&gt;1,N4-1,0)</f>
        <v>34.5</v>
      </c>
      <c r="O5" s="45">
        <f t="shared" ref="O5:O68" si="13">IF(O4-1&gt;0,O4-1,0)</f>
        <v>33.5</v>
      </c>
      <c r="P5" s="19">
        <f>'Dynamic Loading'!$Q$3*'Combined Stress'!N5+'Wind Loading'!$J$69*O5+'Wind Loading'!$J$68*'Combined Stress'!O6+'Wind Loading'!$J$67*'Combined Stress'!O7+'Wind Loading'!$J$66*'Combined Stress'!O8+'Wind Loading'!$J$65*'Combined Stress'!O9+'Wind Loading'!$J$64*'Combined Stress'!O10+'Wind Loading'!$J$63*'Combined Stress'!O11+'Wind Loading'!$J$62*'Combined Stress'!O12+'Wind Loading'!$J$61*'Combined Stress'!O13+'Wind Loading'!$J$60*'Combined Stress'!O14+'Wind Loading'!$J$59*'Combined Stress'!O15+'Wind Loading'!$J$58*'Combined Stress'!O16+'Wind Loading'!$J$57*'Combined Stress'!O17+'Wind Loading'!$J$56*'Combined Stress'!O18+'Wind Loading'!$J$55*'Combined Stress'!O19+'Wind Loading'!$J$54*'Combined Stress'!O20+'Wind Loading'!$J$53*'Combined Stress'!O21+'Wind Loading'!$J$52*'Combined Stress'!O22+'Wind Loading'!$J$51*'Combined Stress'!O23+'Wind Loading'!$J$50*'Combined Stress'!O24+'Wind Loading'!$J$49*'Combined Stress'!O25+'Wind Loading'!$J$48*'Combined Stress'!O26+'Wind Loading'!$J$47*'Combined Stress'!O27+'Wind Loading'!$J$46*'Combined Stress'!O28+'Wind Loading'!$J$45*'Combined Stress'!O29+'Wind Loading'!$J$44*'Combined Stress'!O30+'Wind Loading'!$J$43*'Combined Stress'!O31+'Wind Loading'!$J$42*'Combined Stress'!O32+'Wind Loading'!$J$41*'Combined Stress'!O33+'Wind Loading'!$J$40*'Combined Stress'!O34+'Wind Loading'!$J$39*'Combined Stress'!O35+'Wind Loading'!$J$38*'Combined Stress'!O36+'Wind Loading'!$J$37*'Combined Stress'!O37+'Wind Loading'!$J$36*'Combined Stress'!O38+'Wind Loading'!$J$35*'Combined Stress'!O39+'Wind Loading'!$J$34*'Combined Stress'!O40+'Wind Loading'!$J$33*'Combined Stress'!O41+'Wind Loading'!$J$32*'Combined Stress'!O42+'Wind Loading'!$J$31*'Combined Stress'!O43+'Wind Loading'!$J$30*'Combined Stress'!O44+'Wind Loading'!$J$29*'Combined Stress'!O45+'Wind Loading'!$J$28*'Combined Stress'!O46+'Wind Loading'!$J$27*'Combined Stress'!O47+'Wind Loading'!$J$26*'Combined Stress'!O48+'Wind Loading'!$J$25*'Combined Stress'!O49+'Wind Loading'!$J$24*'Combined Stress'!O50+'Wind Loading'!$J$23*'Combined Stress'!O51+'Wind Loading'!$J$22*'Combined Stress'!O52+'Wind Loading'!$J$21*'Combined Stress'!O53+'Wind Loading'!$J$20*'Combined Stress'!O54+'Wind Loading'!$J$19*'Combined Stress'!O55+'Wind Loading'!$J$18*'Combined Stress'!O56+'Wind Loading'!$J$17*'Combined Stress'!O57+'Wind Loading'!$J$16*'Combined Stress'!O58+'Wind Loading'!$J$15*'Combined Stress'!O59+'Wind Loading'!$J$14*'Combined Stress'!O60+'Wind Loading'!$J$13*'Combined Stress'!O61+'Wind Loading'!$J$12*'Combined Stress'!O62+'Wind Loading'!$J$11*'Combined Stress'!O63+'Wind Loading'!$J$10*'Combined Stress'!O64+'Wind Loading'!$J$9*'Combined Stress'!O65+'Wind Loading'!$J$8*'Combined Stress'!O66+'Wind Loading'!$J$7*'Combined Stress'!O67+'Wind Loading'!$J$6*'Combined Stress'!O68+'Wind Loading'!$J$5*'Combined Stress'!O69</f>
        <v>683306.7008054679</v>
      </c>
      <c r="Q5" s="19">
        <f>((P5*'Alternative 1'!K6)/'Alternative 1'!L6)/1000000</f>
        <v>5.4375865469831188</v>
      </c>
      <c r="R5" s="45">
        <f t="shared" ref="R5:R68" si="14">IF(R4-1&gt;0,R4-1,0)</f>
        <v>34</v>
      </c>
      <c r="S5" s="19">
        <f>IF(R5&gt;0,'Alternative 1'!$B$3+'Alternative 1'!$B$5+('Alternative 1'!$B$39*R5),0)</f>
        <v>330222.72194584424</v>
      </c>
      <c r="T5" s="19">
        <f>'Alternative 1'!M6</f>
        <v>3.3210618233798055</v>
      </c>
      <c r="U5" s="19">
        <f t="shared" si="4"/>
        <v>9.9432874034780974E-2</v>
      </c>
      <c r="V5" s="19">
        <f t="shared" si="5"/>
        <v>5.5370194210178996</v>
      </c>
      <c r="X5" s="18">
        <f>IF('Alternative 2'!$F6&gt;0,'Alternative 2'!$F6,"x")</f>
        <v>3</v>
      </c>
      <c r="Y5" s="45">
        <f t="shared" ref="Y5:Y68" si="15">IF(Y4-1&gt;1,Y4-1,0)</f>
        <v>21.5</v>
      </c>
      <c r="Z5" s="45">
        <f t="shared" ref="Z5:Z68" si="16">IF(Z4-1&gt;0,Z4-1,0)</f>
        <v>20.5</v>
      </c>
      <c r="AA5" s="19">
        <f>'Dynamic Loading'!$Y$3*'Combined Stress'!Y5+'Wind Loading'!$O$69*Z5+'Wind Loading'!$O$68*'Combined Stress'!Z6+'Wind Loading'!$O$67*'Combined Stress'!Z7+'Wind Loading'!$O$66*'Combined Stress'!Z8+'Wind Loading'!$O$65*'Combined Stress'!Z9+'Wind Loading'!$O$64*'Combined Stress'!Z10+'Wind Loading'!$O$63*'Combined Stress'!Z11+'Wind Loading'!$O$62*'Combined Stress'!Z12+'Wind Loading'!$O$61*'Combined Stress'!Z13+'Wind Loading'!$O$60*'Combined Stress'!Z14+'Wind Loading'!$O$59*'Combined Stress'!Z15+'Wind Loading'!$O$58*'Combined Stress'!Z16+'Wind Loading'!$O$57*'Combined Stress'!Z17+'Wind Loading'!$O$56*'Combined Stress'!Z18+'Wind Loading'!$O$55*'Combined Stress'!Z19+'Wind Loading'!$O$54*'Combined Stress'!Z20+'Wind Loading'!$O$53*'Combined Stress'!Z21+'Wind Loading'!$O$52*'Combined Stress'!Z22+'Wind Loading'!$O$51*'Combined Stress'!Z23+'Wind Loading'!$O$50*'Combined Stress'!Z24+'Wind Loading'!$O$49*'Combined Stress'!Z25+'Wind Loading'!$O$48*'Combined Stress'!Z26+'Wind Loading'!$O$47*'Combined Stress'!Z27+'Wind Loading'!$O$46*'Combined Stress'!Z28+'Wind Loading'!$O$45*'Combined Stress'!Z29+'Wind Loading'!$O$44*'Combined Stress'!Z30+'Wind Loading'!$O$43*'Combined Stress'!Z31+'Wind Loading'!$O$42*'Combined Stress'!Z32+'Wind Loading'!$O$41*'Combined Stress'!Z33+'Wind Loading'!$O$40*'Combined Stress'!Z34+'Wind Loading'!$O$39*'Combined Stress'!Z35+'Wind Loading'!$O$38*'Combined Stress'!Z36+'Wind Loading'!$O$37*'Combined Stress'!Z37+'Wind Loading'!$O$36*'Combined Stress'!Z38+'Wind Loading'!$O$35*'Combined Stress'!Z39+'Wind Loading'!$O$34*'Combined Stress'!Z40+'Wind Loading'!$O$33*'Combined Stress'!Z41+'Wind Loading'!$O$32*'Combined Stress'!Z42+'Wind Loading'!$O$31*'Combined Stress'!Z43+'Wind Loading'!$O$30*'Combined Stress'!Z44+'Wind Loading'!$O$29*'Combined Stress'!Z45+'Wind Loading'!$O$28*'Combined Stress'!Z46+'Wind Loading'!$O$27*'Combined Stress'!Z47+'Wind Loading'!$O$26*'Combined Stress'!Z48+'Wind Loading'!$O$25*'Combined Stress'!Z49+'Wind Loading'!$O$24*'Combined Stress'!Z50+'Wind Loading'!$O$23*'Combined Stress'!Z51+'Wind Loading'!$O$22*'Combined Stress'!Z52+'Wind Loading'!$O$21*'Combined Stress'!Z53+'Wind Loading'!$O$20*'Combined Stress'!Z54+'Wind Loading'!$O$19*'Combined Stress'!Z55+'Wind Loading'!$O$18*'Combined Stress'!Z56+'Wind Loading'!$O$17*'Combined Stress'!Z57+'Wind Loading'!$O$16*'Combined Stress'!Z58+'Wind Loading'!$O$15*'Combined Stress'!Z59+'Wind Loading'!$O$14*'Combined Stress'!Z60+'Wind Loading'!$O$13*'Combined Stress'!Z61+'Wind Loading'!$O$12*'Combined Stress'!Z62+'Wind Loading'!$O$11*'Combined Stress'!Z63+'Wind Loading'!$O$10*'Combined Stress'!Z64+'Wind Loading'!$O$9*'Combined Stress'!Z65+'Wind Loading'!$O$8*'Combined Stress'!Z66+'Wind Loading'!$O$7*'Combined Stress'!Z67+'Wind Loading'!$O$6*'Combined Stress'!Z68+'Wind Loading'!$O$5*'Combined Stress'!Z69</f>
        <v>504502.5116272298</v>
      </c>
      <c r="AB5" s="19">
        <f>((AA5*'Alternative 2'!K6)/'Alternative 2'!L6)/1000000</f>
        <v>8.0294136349305578</v>
      </c>
      <c r="AC5" s="45">
        <f t="shared" ref="AC5:AC68" si="17">IF(AC4-1&gt;0,AC4-1,0)</f>
        <v>21</v>
      </c>
      <c r="AD5" s="19">
        <f>'Alternative 2'!$B$3+'Alternative 2'!$B$5+('Alternative 2'!$B$39*AC5)</f>
        <v>133628.15803261194</v>
      </c>
      <c r="AE5" s="19">
        <f>'Alternative 2'!M6</f>
        <v>1.3096255998913044</v>
      </c>
      <c r="AF5" s="19">
        <f t="shared" si="6"/>
        <v>0.10203538938434217</v>
      </c>
      <c r="AG5" s="19">
        <f t="shared" si="7"/>
        <v>8.1314490243149002</v>
      </c>
      <c r="AI5" s="18">
        <f>'Alternative 3'!F6</f>
        <v>3</v>
      </c>
      <c r="AJ5" s="83">
        <f t="shared" ref="AJ5:AJ68" si="18">IF(AI5&gt;0,AJ4-1,0)</f>
        <v>32.5</v>
      </c>
      <c r="AK5" s="45">
        <f t="shared" ref="AK5:AK68" si="19">IF(AK4-1&gt;0,AK4-1,0)</f>
        <v>32.5</v>
      </c>
      <c r="AL5" s="84">
        <f>'Dynamic Loading'!$AG$3*'Combined Stress'!AJ5+'Wind Loading'!$T$69*AK5+'Wind Loading'!$T$68*'Combined Stress'!AK6+'Wind Loading'!$T$67*'Combined Stress'!AK7+'Wind Loading'!$T$66*'Combined Stress'!AK8+'Wind Loading'!$T$65*'Combined Stress'!AK9+'Wind Loading'!$T$64*'Combined Stress'!AK10+'Wind Loading'!$T$63*'Combined Stress'!AK11+'Wind Loading'!$T$62*'Combined Stress'!AK12+'Wind Loading'!$T$61*'Combined Stress'!AK13+'Wind Loading'!$T$60*'Combined Stress'!AK14+'Wind Loading'!$T$59*'Combined Stress'!AK15+'Wind Loading'!$T$58*'Combined Stress'!AK16+'Wind Loading'!$T$57*'Combined Stress'!AK17+'Wind Loading'!$T$56*'Combined Stress'!AK18+'Wind Loading'!$T$55*'Combined Stress'!AK19+'Wind Loading'!$T$54*'Combined Stress'!AK20+'Wind Loading'!$T$53*'Combined Stress'!AK21+'Wind Loading'!$T$52*'Combined Stress'!AK22+'Wind Loading'!$T$51*'Combined Stress'!AK23+'Wind Loading'!$T$50*'Combined Stress'!AK24+'Wind Loading'!$T$49*'Combined Stress'!AK25+'Wind Loading'!$T$48*'Combined Stress'!AK26+'Wind Loading'!$T$47*'Combined Stress'!AK27+'Wind Loading'!$T$46*'Combined Stress'!AK28+'Wind Loading'!$T$45*'Combined Stress'!AK29+'Wind Loading'!$T$44*'Combined Stress'!AK30+'Wind Loading'!$T$43*'Combined Stress'!AK31+'Wind Loading'!$T$42*'Combined Stress'!AK32+'Wind Loading'!$T$41*'Combined Stress'!AK33+'Wind Loading'!$T$40*'Combined Stress'!AK34+'Wind Loading'!$T$39*'Combined Stress'!AK35+'Wind Loading'!$T$38*'Combined Stress'!AK36+'Wind Loading'!$T$37*'Combined Stress'!AK37+'Wind Loading'!$T$36*'Combined Stress'!AK38+'Wind Loading'!$T$35*'Combined Stress'!AK39+'Wind Loading'!$T$34*'Combined Stress'!AK40+'Wind Loading'!$T$33*'Combined Stress'!AK41+'Wind Loading'!$T$32*'Combined Stress'!AK42+'Wind Loading'!$T$31*'Combined Stress'!AK43+'Wind Loading'!$T$30*'Combined Stress'!AK44+'Wind Loading'!$T$29*'Combined Stress'!AK45+'Wind Loading'!$T$28*'Combined Stress'!AK46+'Wind Loading'!$T$27*'Combined Stress'!AK47+'Wind Loading'!$T$26*'Combined Stress'!AK48+'Wind Loading'!$T$25*'Combined Stress'!AK49+'Wind Loading'!$T$24*'Combined Stress'!AK50+'Wind Loading'!$T$23*'Combined Stress'!AK51+'Wind Loading'!$T$22*'Combined Stress'!AK52+'Wind Loading'!$T$21*'Combined Stress'!AK53+'Wind Loading'!$T$20*'Combined Stress'!AK54+'Wind Loading'!$T$19*'Combined Stress'!AK55+'Wind Loading'!$T$18*'Combined Stress'!AK56+'Wind Loading'!$T$17*'Combined Stress'!AK57+'Wind Loading'!$T$16*'Combined Stress'!AK58+'Wind Loading'!$T$15*'Combined Stress'!AK59+'Wind Loading'!$T$14*'Combined Stress'!AK60+'Wind Loading'!$T$13*'Combined Stress'!AK61+'Wind Loading'!$T$12*'Combined Stress'!AK62+'Wind Loading'!$T$11*'Combined Stress'!AK63+'Wind Loading'!$T$10*'Combined Stress'!AK64+'Wind Loading'!$T$9*'Combined Stress'!AK65+'Wind Loading'!$T$8*'Combined Stress'!AK66+'Wind Loading'!$T$7*'Combined Stress'!AK67+'Wind Loading'!$T$6*'Combined Stress'!AK68+'Wind Loading'!$T$5*'Combined Stress'!AK69</f>
        <v>4587238.1842543408</v>
      </c>
      <c r="AM5" s="84">
        <f>((AL5*'Alternative 3'!K6)/'Alternative 3'!L6)/1000000</f>
        <v>73.008224883806292</v>
      </c>
      <c r="AN5" s="84">
        <f t="shared" si="8"/>
        <v>65</v>
      </c>
      <c r="AO5" s="19">
        <f>'Alternative 3'!$B$3+'Alternative 3'!$B$5+('Alternative 2'!$B$39*AN5)</f>
        <v>322271.75719153701</v>
      </c>
      <c r="AP5" s="84">
        <f>'Alternative 3'!M6</f>
        <v>3.1757943048222854</v>
      </c>
      <c r="AQ5" s="84">
        <f t="shared" si="9"/>
        <v>0.10147752853583224</v>
      </c>
      <c r="AR5" s="84">
        <f t="shared" si="10"/>
        <v>73.109702412342131</v>
      </c>
    </row>
    <row r="6" spans="1:44" ht="14.45" customHeight="1" x14ac:dyDescent="0.25">
      <c r="A6" s="18">
        <f>'Baseline Given'!E7</f>
        <v>4</v>
      </c>
      <c r="B6" s="45">
        <f t="shared" si="0"/>
        <v>66.5</v>
      </c>
      <c r="C6" s="45">
        <f t="shared" si="1"/>
        <v>63.5</v>
      </c>
      <c r="D6" s="19">
        <f>'Dynamic Loading'!$I$3*'Combined Stress'!B6+'Wind Loading'!$E$69*C6+'Wind Loading'!$E$68*'Combined Stress'!C7+'Wind Loading'!$E$67*'Combined Stress'!C8+'Wind Loading'!$E$66*'Combined Stress'!C9+'Wind Loading'!$E$65*'Combined Stress'!C10+'Wind Loading'!$E$64*'Combined Stress'!C11+'Wind Loading'!$E$63*'Combined Stress'!C12+'Wind Loading'!$E$62*'Combined Stress'!C13+'Wind Loading'!$E$61*'Combined Stress'!C14+'Wind Loading'!$E$60*'Combined Stress'!C15+'Wind Loading'!$E$59*'Combined Stress'!C16+'Wind Loading'!$E$58*'Combined Stress'!C17+'Wind Loading'!$E$57*'Combined Stress'!C18+'Wind Loading'!$E$56*'Combined Stress'!C19+'Wind Loading'!$E$55*'Combined Stress'!C20+'Wind Loading'!$E$54*'Combined Stress'!C21+'Wind Loading'!$E$53*'Combined Stress'!C22+'Wind Loading'!$E$52*'Combined Stress'!C23+'Wind Loading'!$E$51*'Combined Stress'!C24+'Wind Loading'!$E$50*'Combined Stress'!C25+'Wind Loading'!$E$49*'Combined Stress'!C26+'Wind Loading'!$E$48*'Combined Stress'!C27+'Wind Loading'!$E$47*'Combined Stress'!C28+'Wind Loading'!$E$46*'Combined Stress'!C29+'Wind Loading'!$E$45*'Combined Stress'!C30+'Wind Loading'!$E$44*'Combined Stress'!C31+'Wind Loading'!$E$43*'Combined Stress'!C32+'Wind Loading'!$E$42*'Combined Stress'!C33+'Wind Loading'!$E$41*'Combined Stress'!C34+'Wind Loading'!$E$40*'Combined Stress'!C35+'Wind Loading'!$E$39*'Combined Stress'!C36+'Wind Loading'!$E$38*'Combined Stress'!C37+'Wind Loading'!$E$37*'Combined Stress'!C38+'Wind Loading'!$E$36*'Combined Stress'!C39+'Wind Loading'!$E$35*'Combined Stress'!C40+'Wind Loading'!$E$34*'Combined Stress'!C41+'Wind Loading'!$E$33*'Combined Stress'!C42+'Wind Loading'!$E$32*'Combined Stress'!C43+'Wind Loading'!$E$31*'Combined Stress'!C44+'Wind Loading'!$E$30*'Combined Stress'!C45+'Wind Loading'!$E$29*'Combined Stress'!C46+'Wind Loading'!$E$28*'Combined Stress'!C47+'Wind Loading'!$E$27*'Combined Stress'!C48+'Wind Loading'!$E$26*'Combined Stress'!C49+'Wind Loading'!$E$25*'Combined Stress'!C50+'Wind Loading'!$E$24*'Combined Stress'!C51+'Wind Loading'!$E$23*'Combined Stress'!C52+'Wind Loading'!$E$22*'Combined Stress'!C53+'Wind Loading'!$E$21*'Combined Stress'!C54+'Wind Loading'!$E$20*'Combined Stress'!C55+'Wind Loading'!$E$19*'Combined Stress'!C56+'Wind Loading'!$E$18*'Combined Stress'!C57+'Wind Loading'!$E$17*'Combined Stress'!C58+'Wind Loading'!$E$16*'Combined Stress'!C59+'Wind Loading'!$E$15*'Combined Stress'!C60+'Wind Loading'!$E$14*'Combined Stress'!C61+'Wind Loading'!$E$13*'Combined Stress'!C62+'Wind Loading'!$E$12*'Combined Stress'!C63+'Wind Loading'!$E$11*'Combined Stress'!C64+'Wind Loading'!$E$10*'Combined Stress'!C65+'Wind Loading'!$E$9*'Combined Stress'!C66+'Wind Loading'!$E$8*'Combined Stress'!C67+'Wind Loading'!$E$7*'Combined Stress'!C68+'Wind Loading'!$E$6*'Combined Stress'!C69</f>
        <v>26525822.177438278</v>
      </c>
      <c r="E6" s="19">
        <f>((D6*'Baseline Given'!K7)/'Baseline Given'!L7)/1000000</f>
        <v>154.75510575695193</v>
      </c>
      <c r="F6" s="19">
        <f t="shared" si="2"/>
        <v>64</v>
      </c>
      <c r="G6" s="19">
        <f>'Baseline Given'!$B$3+'Baseline Given'!$B$5+('Baseline Given'!$B$38*F6)</f>
        <v>2215883.1343283583</v>
      </c>
      <c r="H6" s="19">
        <f>'Baseline Given'!M7</f>
        <v>11.903541383793</v>
      </c>
      <c r="I6" s="19">
        <f t="shared" si="3"/>
        <v>0.18615326841685487</v>
      </c>
      <c r="J6" s="19">
        <f t="shared" si="11"/>
        <v>-154.94125902536879</v>
      </c>
      <c r="M6" s="18">
        <f>IF('Alternative 1'!F7&gt;0,'Alternative 1'!F7,"x")</f>
        <v>4</v>
      </c>
      <c r="N6" s="45">
        <f t="shared" si="12"/>
        <v>33.5</v>
      </c>
      <c r="O6" s="45">
        <f t="shared" si="13"/>
        <v>32.5</v>
      </c>
      <c r="P6" s="19">
        <f>'Dynamic Loading'!$Q$3*'Combined Stress'!N6+'Wind Loading'!$J$69*O6+'Wind Loading'!$J$68*'Combined Stress'!O7+'Wind Loading'!$J$67*'Combined Stress'!O8+'Wind Loading'!$J$66*'Combined Stress'!O9+'Wind Loading'!$J$65*'Combined Stress'!O10+'Wind Loading'!$J$64*'Combined Stress'!O11+'Wind Loading'!$J$63*'Combined Stress'!O12+'Wind Loading'!$J$62*'Combined Stress'!O13+'Wind Loading'!$J$61*'Combined Stress'!O14+'Wind Loading'!$J$60*'Combined Stress'!O15+'Wind Loading'!$J$59*'Combined Stress'!O16+'Wind Loading'!$J$58*'Combined Stress'!O17+'Wind Loading'!$J$57*'Combined Stress'!O18+'Wind Loading'!$J$56*'Combined Stress'!O19+'Wind Loading'!$J$55*'Combined Stress'!O20+'Wind Loading'!$J$54*'Combined Stress'!O21+'Wind Loading'!$J$53*'Combined Stress'!O22+'Wind Loading'!$J$52*'Combined Stress'!O23+'Wind Loading'!$J$51*'Combined Stress'!O24+'Wind Loading'!$J$50*'Combined Stress'!O25+'Wind Loading'!$J$49*'Combined Stress'!O26+'Wind Loading'!$J$48*'Combined Stress'!O27+'Wind Loading'!$J$47*'Combined Stress'!O28+'Wind Loading'!$J$46*'Combined Stress'!O29+'Wind Loading'!$J$45*'Combined Stress'!O30+'Wind Loading'!$J$44*'Combined Stress'!O31+'Wind Loading'!$J$43*'Combined Stress'!O32+'Wind Loading'!$J$42*'Combined Stress'!O33+'Wind Loading'!$J$41*'Combined Stress'!O34+'Wind Loading'!$J$40*'Combined Stress'!O35+'Wind Loading'!$J$39*'Combined Stress'!O36+'Wind Loading'!$J$38*'Combined Stress'!O37+'Wind Loading'!$J$37*'Combined Stress'!O38+'Wind Loading'!$J$36*'Combined Stress'!O39+'Wind Loading'!$J$35*'Combined Stress'!O40+'Wind Loading'!$J$34*'Combined Stress'!O41+'Wind Loading'!$J$33*'Combined Stress'!O42+'Wind Loading'!$J$32*'Combined Stress'!O43+'Wind Loading'!$J$31*'Combined Stress'!O44+'Wind Loading'!$J$30*'Combined Stress'!O45+'Wind Loading'!$J$29*'Combined Stress'!O46+'Wind Loading'!$J$28*'Combined Stress'!O47+'Wind Loading'!$J$27*'Combined Stress'!O48+'Wind Loading'!$J$26*'Combined Stress'!O49+'Wind Loading'!$J$25*'Combined Stress'!O50+'Wind Loading'!$J$24*'Combined Stress'!O51+'Wind Loading'!$J$23*'Combined Stress'!O52+'Wind Loading'!$J$22*'Combined Stress'!O53+'Wind Loading'!$J$21*'Combined Stress'!O54+'Wind Loading'!$J$20*'Combined Stress'!O55+'Wind Loading'!$J$19*'Combined Stress'!O56+'Wind Loading'!$J$18*'Combined Stress'!O57+'Wind Loading'!$J$17*'Combined Stress'!O58+'Wind Loading'!$J$16*'Combined Stress'!O59+'Wind Loading'!$J$15*'Combined Stress'!O60+'Wind Loading'!$J$14*'Combined Stress'!O61+'Wind Loading'!$J$13*'Combined Stress'!O62+'Wind Loading'!$J$12*'Combined Stress'!O63+'Wind Loading'!$J$11*'Combined Stress'!O64+'Wind Loading'!$J$10*'Combined Stress'!O65+'Wind Loading'!$J$9*'Combined Stress'!O66+'Wind Loading'!$J$8*'Combined Stress'!O67+'Wind Loading'!$J$7*'Combined Stress'!O68+'Wind Loading'!$J$6*'Combined Stress'!O69</f>
        <v>660023.56056562741</v>
      </c>
      <c r="Q6" s="19">
        <f>((P6*'Alternative 1'!K7)/'Alternative 1'!L7)/1000000</f>
        <v>5.2523050474889104</v>
      </c>
      <c r="R6" s="45">
        <f t="shared" si="14"/>
        <v>33</v>
      </c>
      <c r="S6" s="19">
        <f>IF(R6&gt;0,'Alternative 1'!$B$3+'Alternative 1'!$B$5+('Alternative 1'!$B$39*R6),0)</f>
        <v>321719.3912062606</v>
      </c>
      <c r="T6" s="19">
        <f>'Alternative 1'!M7</f>
        <v>3.2571297755719515</v>
      </c>
      <c r="U6" s="19">
        <f t="shared" si="4"/>
        <v>9.877389400296975E-2</v>
      </c>
      <c r="V6" s="19">
        <f t="shared" si="5"/>
        <v>5.3510789414918802</v>
      </c>
      <c r="X6" s="18">
        <f>IF('Alternative 2'!$F7&gt;0,'Alternative 2'!$F7,"x")</f>
        <v>4</v>
      </c>
      <c r="Y6" s="45">
        <f t="shared" si="15"/>
        <v>20.5</v>
      </c>
      <c r="Z6" s="45">
        <f t="shared" si="16"/>
        <v>19.5</v>
      </c>
      <c r="AA6" s="19">
        <f>'Dynamic Loading'!$Y$3*'Combined Stress'!Y6+'Wind Loading'!$O$69*Z6+'Wind Loading'!$O$68*'Combined Stress'!Z7+'Wind Loading'!$O$67*'Combined Stress'!Z8+'Wind Loading'!$O$66*'Combined Stress'!Z9+'Wind Loading'!$O$65*'Combined Stress'!Z10+'Wind Loading'!$O$64*'Combined Stress'!Z11+'Wind Loading'!$O$63*'Combined Stress'!Z12+'Wind Loading'!$O$62*'Combined Stress'!Z13+'Wind Loading'!$O$61*'Combined Stress'!Z14+'Wind Loading'!$O$60*'Combined Stress'!Z15+'Wind Loading'!$O$59*'Combined Stress'!Z16+'Wind Loading'!$O$58*'Combined Stress'!Z17+'Wind Loading'!$O$57*'Combined Stress'!Z18+'Wind Loading'!$O$56*'Combined Stress'!Z19+'Wind Loading'!$O$55*'Combined Stress'!Z20+'Wind Loading'!$O$54*'Combined Stress'!Z21+'Wind Loading'!$O$53*'Combined Stress'!Z22+'Wind Loading'!$O$52*'Combined Stress'!Z23+'Wind Loading'!$O$51*'Combined Stress'!Z24+'Wind Loading'!$O$50*'Combined Stress'!Z25+'Wind Loading'!$O$49*'Combined Stress'!Z26+'Wind Loading'!$O$48*'Combined Stress'!Z27+'Wind Loading'!$O$47*'Combined Stress'!Z28+'Wind Loading'!$O$46*'Combined Stress'!Z29+'Wind Loading'!$O$45*'Combined Stress'!Z30+'Wind Loading'!$O$44*'Combined Stress'!Z31+'Wind Loading'!$O$43*'Combined Stress'!Z32+'Wind Loading'!$O$42*'Combined Stress'!Z33+'Wind Loading'!$O$41*'Combined Stress'!Z34+'Wind Loading'!$O$40*'Combined Stress'!Z35+'Wind Loading'!$O$39*'Combined Stress'!Z36+'Wind Loading'!$O$38*'Combined Stress'!Z37+'Wind Loading'!$O$37*'Combined Stress'!Z38+'Wind Loading'!$O$36*'Combined Stress'!Z39+'Wind Loading'!$O$35*'Combined Stress'!Z40+'Wind Loading'!$O$34*'Combined Stress'!Z41+'Wind Loading'!$O$33*'Combined Stress'!Z42+'Wind Loading'!$O$32*'Combined Stress'!Z43+'Wind Loading'!$O$31*'Combined Stress'!Z44+'Wind Loading'!$O$30*'Combined Stress'!Z45+'Wind Loading'!$O$29*'Combined Stress'!Z46+'Wind Loading'!$O$28*'Combined Stress'!Z47+'Wind Loading'!$O$27*'Combined Stress'!Z48+'Wind Loading'!$O$26*'Combined Stress'!Z49+'Wind Loading'!$O$25*'Combined Stress'!Z50+'Wind Loading'!$O$24*'Combined Stress'!Z51+'Wind Loading'!$O$23*'Combined Stress'!Z52+'Wind Loading'!$O$22*'Combined Stress'!Z53+'Wind Loading'!$O$21*'Combined Stress'!Z54+'Wind Loading'!$O$20*'Combined Stress'!Z55+'Wind Loading'!$O$19*'Combined Stress'!Z56+'Wind Loading'!$O$18*'Combined Stress'!Z57+'Wind Loading'!$O$17*'Combined Stress'!Z58+'Wind Loading'!$O$16*'Combined Stress'!Z59+'Wind Loading'!$O$15*'Combined Stress'!Z60+'Wind Loading'!$O$14*'Combined Stress'!Z61+'Wind Loading'!$O$13*'Combined Stress'!Z62+'Wind Loading'!$O$12*'Combined Stress'!Z63+'Wind Loading'!$O$11*'Combined Stress'!Z64+'Wind Loading'!$O$10*'Combined Stress'!Z65+'Wind Loading'!$O$9*'Combined Stress'!Z66+'Wind Loading'!$O$8*'Combined Stress'!Z67+'Wind Loading'!$O$7*'Combined Stress'!Z68+'Wind Loading'!$O$6*'Combined Stress'!Z69</f>
        <v>481037.27852828888</v>
      </c>
      <c r="AB6" s="19">
        <f>((AA6*'Alternative 2'!K7)/'Alternative 2'!L7)/1000000</f>
        <v>7.6559525356314619</v>
      </c>
      <c r="AC6" s="45">
        <f t="shared" si="17"/>
        <v>20</v>
      </c>
      <c r="AD6" s="19">
        <f>'Alternative 2'!$B$3+'Alternative 2'!$B$5+('Alternative 2'!$B$39*AC6)</f>
        <v>130907.38241201139</v>
      </c>
      <c r="AE6" s="19">
        <f>'Alternative 2'!M7</f>
        <v>1.2702406243206523</v>
      </c>
      <c r="AF6" s="19">
        <f t="shared" si="6"/>
        <v>0.10305715303509759</v>
      </c>
      <c r="AG6" s="19">
        <f t="shared" si="7"/>
        <v>7.7590096886665592</v>
      </c>
      <c r="AI6" s="18">
        <f>'Alternative 3'!F7</f>
        <v>4</v>
      </c>
      <c r="AJ6" s="83">
        <f t="shared" si="18"/>
        <v>31.5</v>
      </c>
      <c r="AK6" s="45">
        <f t="shared" si="19"/>
        <v>31.5</v>
      </c>
      <c r="AL6" s="84">
        <f>'Dynamic Loading'!$AG$3*'Combined Stress'!AJ6+'Wind Loading'!$T$69*AK6+'Wind Loading'!$T$68*'Combined Stress'!AK7+'Wind Loading'!$T$67*'Combined Stress'!AK8+'Wind Loading'!$T$66*'Combined Stress'!AK9+'Wind Loading'!$T$65*'Combined Stress'!AK10+'Wind Loading'!$T$64*'Combined Stress'!AK11+'Wind Loading'!$T$63*'Combined Stress'!AK12+'Wind Loading'!$T$62*'Combined Stress'!AK13+'Wind Loading'!$T$61*'Combined Stress'!AK14+'Wind Loading'!$T$60*'Combined Stress'!AK15+'Wind Loading'!$T$59*'Combined Stress'!AK16+'Wind Loading'!$T$58*'Combined Stress'!AK17+'Wind Loading'!$T$57*'Combined Stress'!AK18+'Wind Loading'!$T$56*'Combined Stress'!AK19+'Wind Loading'!$T$55*'Combined Stress'!AK20+'Wind Loading'!$T$54*'Combined Stress'!AK21+'Wind Loading'!$T$53*'Combined Stress'!AK22+'Wind Loading'!$T$52*'Combined Stress'!AK23+'Wind Loading'!$T$51*'Combined Stress'!AK24+'Wind Loading'!$T$50*'Combined Stress'!AK25+'Wind Loading'!$T$49*'Combined Stress'!AK26+'Wind Loading'!$T$48*'Combined Stress'!AK27+'Wind Loading'!$T$47*'Combined Stress'!AK28+'Wind Loading'!$T$46*'Combined Stress'!AK29+'Wind Loading'!$T$45*'Combined Stress'!AK30+'Wind Loading'!$T$44*'Combined Stress'!AK31+'Wind Loading'!$T$43*'Combined Stress'!AK32+'Wind Loading'!$T$42*'Combined Stress'!AK33+'Wind Loading'!$T$41*'Combined Stress'!AK34+'Wind Loading'!$T$40*'Combined Stress'!AK35+'Wind Loading'!$T$39*'Combined Stress'!AK36+'Wind Loading'!$T$38*'Combined Stress'!AK37+'Wind Loading'!$T$37*'Combined Stress'!AK38+'Wind Loading'!$T$36*'Combined Stress'!AK39+'Wind Loading'!$T$35*'Combined Stress'!AK40+'Wind Loading'!$T$34*'Combined Stress'!AK41+'Wind Loading'!$T$33*'Combined Stress'!AK42+'Wind Loading'!$T$32*'Combined Stress'!AK43+'Wind Loading'!$T$31*'Combined Stress'!AK44+'Wind Loading'!$T$30*'Combined Stress'!AK45+'Wind Loading'!$T$29*'Combined Stress'!AK46+'Wind Loading'!$T$28*'Combined Stress'!AK47+'Wind Loading'!$T$27*'Combined Stress'!AK48+'Wind Loading'!$T$26*'Combined Stress'!AK49+'Wind Loading'!$T$25*'Combined Stress'!AK50+'Wind Loading'!$T$24*'Combined Stress'!AK51+'Wind Loading'!$T$23*'Combined Stress'!AK52+'Wind Loading'!$T$22*'Combined Stress'!AK53+'Wind Loading'!$T$21*'Combined Stress'!AK54+'Wind Loading'!$T$20*'Combined Stress'!AK55+'Wind Loading'!$T$19*'Combined Stress'!AK56+'Wind Loading'!$T$18*'Combined Stress'!AK57+'Wind Loading'!$T$17*'Combined Stress'!AK58+'Wind Loading'!$T$16*'Combined Stress'!AK59+'Wind Loading'!$T$15*'Combined Stress'!AK60+'Wind Loading'!$T$14*'Combined Stress'!AK61+'Wind Loading'!$T$13*'Combined Stress'!AK62+'Wind Loading'!$T$12*'Combined Stress'!AK63+'Wind Loading'!$T$11*'Combined Stress'!AK64+'Wind Loading'!$T$10*'Combined Stress'!AK65+'Wind Loading'!$T$9*'Combined Stress'!AK66+'Wind Loading'!$T$8*'Combined Stress'!AK67+'Wind Loading'!$T$7*'Combined Stress'!AK68+'Wind Loading'!$T$6*'Combined Stress'!AK69</f>
        <v>4445404.6061904328</v>
      </c>
      <c r="AM6" s="84">
        <f>((AL6*'Alternative 3'!K7)/'Alternative 3'!L7)/1000000</f>
        <v>70.750871472573323</v>
      </c>
      <c r="AN6" s="84">
        <f t="shared" si="8"/>
        <v>64</v>
      </c>
      <c r="AO6" s="19">
        <f>'Alternative 3'!$B$3+'Alternative 3'!$B$5+('Alternative 2'!$B$39*AN6)</f>
        <v>319550.98157093645</v>
      </c>
      <c r="AP6" s="84">
        <f>'Alternative 3'!M7</f>
        <v>3.1138290756912861</v>
      </c>
      <c r="AQ6" s="84">
        <f t="shared" si="9"/>
        <v>0.10262316068199552</v>
      </c>
      <c r="AR6" s="84">
        <f t="shared" si="10"/>
        <v>70.853494633255323</v>
      </c>
    </row>
    <row r="7" spans="1:44" ht="14.45" customHeight="1" x14ac:dyDescent="0.25">
      <c r="A7" s="18">
        <f>'Baseline Given'!E8</f>
        <v>5</v>
      </c>
      <c r="B7" s="45">
        <f t="shared" si="0"/>
        <v>65.5</v>
      </c>
      <c r="C7" s="45">
        <f t="shared" si="1"/>
        <v>62.5</v>
      </c>
      <c r="D7" s="19">
        <f>'Dynamic Loading'!$I$3*'Combined Stress'!B7+'Wind Loading'!$E$69*C7+'Wind Loading'!$E$68*'Combined Stress'!C8+'Wind Loading'!$E$67*'Combined Stress'!C9+'Wind Loading'!$E$66*'Combined Stress'!C10+'Wind Loading'!$E$65*'Combined Stress'!C11+'Wind Loading'!$E$64*'Combined Stress'!C12+'Wind Loading'!$E$63*'Combined Stress'!C13+'Wind Loading'!$E$62*'Combined Stress'!C14+'Wind Loading'!$E$61*'Combined Stress'!C15+'Wind Loading'!$E$60*'Combined Stress'!C16+'Wind Loading'!$E$59*'Combined Stress'!C17+'Wind Loading'!$E$58*'Combined Stress'!C18+'Wind Loading'!$E$57*'Combined Stress'!C19+'Wind Loading'!$E$56*'Combined Stress'!C20+'Wind Loading'!$E$55*'Combined Stress'!C21+'Wind Loading'!$E$54*'Combined Stress'!C22+'Wind Loading'!$E$53*'Combined Stress'!C23+'Wind Loading'!$E$52*'Combined Stress'!C24+'Wind Loading'!$E$51*'Combined Stress'!C25+'Wind Loading'!$E$50*'Combined Stress'!C26+'Wind Loading'!$E$49*'Combined Stress'!C27+'Wind Loading'!$E$48*'Combined Stress'!C28+'Wind Loading'!$E$47*'Combined Stress'!C29+'Wind Loading'!$E$46*'Combined Stress'!C30+'Wind Loading'!$E$45*'Combined Stress'!C31+'Wind Loading'!$E$44*'Combined Stress'!C32+'Wind Loading'!$E$43*'Combined Stress'!C33+'Wind Loading'!$E$42*'Combined Stress'!C34+'Wind Loading'!$E$41*'Combined Stress'!C35+'Wind Loading'!$E$40*'Combined Stress'!C36+'Wind Loading'!$E$39*'Combined Stress'!C37+'Wind Loading'!$E$38*'Combined Stress'!C38+'Wind Loading'!$E$37*'Combined Stress'!C39+'Wind Loading'!$E$36*'Combined Stress'!C40+'Wind Loading'!$E$35*'Combined Stress'!C41+'Wind Loading'!$E$34*'Combined Stress'!C42+'Wind Loading'!$E$33*'Combined Stress'!C43+'Wind Loading'!$E$32*'Combined Stress'!C44+'Wind Loading'!$E$31*'Combined Stress'!C45+'Wind Loading'!$E$30*'Combined Stress'!C46+'Wind Loading'!$E$29*'Combined Stress'!C47+'Wind Loading'!$E$28*'Combined Stress'!C48+'Wind Loading'!$E$27*'Combined Stress'!C49+'Wind Loading'!$E$26*'Combined Stress'!C50+'Wind Loading'!$E$25*'Combined Stress'!C51+'Wind Loading'!$E$24*'Combined Stress'!C52+'Wind Loading'!$E$23*'Combined Stress'!C53+'Wind Loading'!$E$22*'Combined Stress'!C54+'Wind Loading'!$E$21*'Combined Stress'!C55+'Wind Loading'!$E$20*'Combined Stress'!C56+'Wind Loading'!$E$19*'Combined Stress'!C57+'Wind Loading'!$E$18*'Combined Stress'!C58+'Wind Loading'!$E$17*'Combined Stress'!C59+'Wind Loading'!$E$16*'Combined Stress'!C60+'Wind Loading'!$E$15*'Combined Stress'!C61+'Wind Loading'!$E$14*'Combined Stress'!C62+'Wind Loading'!$E$13*'Combined Stress'!C63+'Wind Loading'!$E$12*'Combined Stress'!C64+'Wind Loading'!$E$11*'Combined Stress'!C65+'Wind Loading'!$E$10*'Combined Stress'!C66+'Wind Loading'!$E$9*'Combined Stress'!C67+'Wind Loading'!$E$8*'Combined Stress'!C68+'Wind Loading'!$E$7*'Combined Stress'!C69</f>
        <v>26021509.747144759</v>
      </c>
      <c r="E7" s="19">
        <f>((D7*'Baseline Given'!K8)/'Baseline Given'!L8)/1000000</f>
        <v>152.82123251327477</v>
      </c>
      <c r="F7" s="19">
        <f t="shared" si="2"/>
        <v>63</v>
      </c>
      <c r="G7" s="19">
        <f>'Baseline Given'!$B$3+'Baseline Given'!$B$5+('Baseline Given'!$B$38*F7)</f>
        <v>2199724.1791044776</v>
      </c>
      <c r="H7" s="19">
        <f>'Baseline Given'!M8</f>
        <v>11.783190834341857</v>
      </c>
      <c r="I7" s="19">
        <f t="shared" si="3"/>
        <v>0.18668323462040762</v>
      </c>
      <c r="J7" s="19">
        <f t="shared" si="11"/>
        <v>-153.00791574789517</v>
      </c>
      <c r="M7" s="18">
        <f>IF('Alternative 1'!F8&gt;0,'Alternative 1'!F8,"x")</f>
        <v>5</v>
      </c>
      <c r="N7" s="45">
        <f t="shared" si="12"/>
        <v>32.5</v>
      </c>
      <c r="O7" s="45">
        <f t="shared" si="13"/>
        <v>31.5</v>
      </c>
      <c r="P7" s="19">
        <f>'Dynamic Loading'!$Q$3*'Combined Stress'!N7+'Wind Loading'!$J$69*O7+'Wind Loading'!$J$68*'Combined Stress'!O8+'Wind Loading'!$J$67*'Combined Stress'!O9+'Wind Loading'!$J$66*'Combined Stress'!O10+'Wind Loading'!$J$65*'Combined Stress'!O11+'Wind Loading'!$J$64*'Combined Stress'!O12+'Wind Loading'!$J$63*'Combined Stress'!O13+'Wind Loading'!$J$62*'Combined Stress'!O14+'Wind Loading'!$J$61*'Combined Stress'!O15+'Wind Loading'!$J$60*'Combined Stress'!O16+'Wind Loading'!$J$59*'Combined Stress'!O17+'Wind Loading'!$J$58*'Combined Stress'!O18+'Wind Loading'!$J$57*'Combined Stress'!O19+'Wind Loading'!$J$56*'Combined Stress'!O20+'Wind Loading'!$J$55*'Combined Stress'!O21+'Wind Loading'!$J$54*'Combined Stress'!O22+'Wind Loading'!$J$53*'Combined Stress'!O23+'Wind Loading'!$J$52*'Combined Stress'!O24+'Wind Loading'!$J$51*'Combined Stress'!O25+'Wind Loading'!$J$50*'Combined Stress'!O26+'Wind Loading'!$J$49*'Combined Stress'!O27+'Wind Loading'!$J$48*'Combined Stress'!O28+'Wind Loading'!$J$47*'Combined Stress'!O29+'Wind Loading'!$J$46*'Combined Stress'!O30+'Wind Loading'!$J$45*'Combined Stress'!O31+'Wind Loading'!$J$44*'Combined Stress'!O32+'Wind Loading'!$J$43*'Combined Stress'!O33+'Wind Loading'!$J$42*'Combined Stress'!O34+'Wind Loading'!$J$41*'Combined Stress'!O35+'Wind Loading'!$J$40*'Combined Stress'!O36+'Wind Loading'!$J$39*'Combined Stress'!O37+'Wind Loading'!$J$38*'Combined Stress'!O38+'Wind Loading'!$J$37*'Combined Stress'!O39+'Wind Loading'!$J$36*'Combined Stress'!O40+'Wind Loading'!$J$35*'Combined Stress'!O41+'Wind Loading'!$J$34*'Combined Stress'!O42+'Wind Loading'!$J$33*'Combined Stress'!O43+'Wind Loading'!$J$32*'Combined Stress'!O44+'Wind Loading'!$J$31*'Combined Stress'!O45+'Wind Loading'!$J$30*'Combined Stress'!O46+'Wind Loading'!$J$29*'Combined Stress'!O47+'Wind Loading'!$J$28*'Combined Stress'!O48+'Wind Loading'!$J$27*'Combined Stress'!O49+'Wind Loading'!$J$26*'Combined Stress'!O50+'Wind Loading'!$J$25*'Combined Stress'!O51+'Wind Loading'!$J$24*'Combined Stress'!O52+'Wind Loading'!$J$23*'Combined Stress'!O53+'Wind Loading'!$J$22*'Combined Stress'!O54+'Wind Loading'!$J$21*'Combined Stress'!O55+'Wind Loading'!$J$20*'Combined Stress'!O56+'Wind Loading'!$J$19*'Combined Stress'!O57+'Wind Loading'!$J$18*'Combined Stress'!O58+'Wind Loading'!$J$17*'Combined Stress'!O59+'Wind Loading'!$J$16*'Combined Stress'!O60+'Wind Loading'!$J$15*'Combined Stress'!O61+'Wind Loading'!$J$14*'Combined Stress'!O62+'Wind Loading'!$J$13*'Combined Stress'!O63+'Wind Loading'!$J$12*'Combined Stress'!O64+'Wind Loading'!$J$11*'Combined Stress'!O65+'Wind Loading'!$J$10*'Combined Stress'!O66+'Wind Loading'!$J$9*'Combined Stress'!O67+'Wind Loading'!$J$8*'Combined Stress'!O68+'Wind Loading'!$J$7*'Combined Stress'!O69</f>
        <v>638216.61397931329</v>
      </c>
      <c r="Q7" s="19">
        <f>((P7*'Alternative 1'!K8)/'Alternative 1'!L8)/1000000</f>
        <v>5.0787707337631041</v>
      </c>
      <c r="R7" s="45">
        <f t="shared" si="14"/>
        <v>32</v>
      </c>
      <c r="S7" s="19">
        <f>IF(R7&gt;0,'Alternative 1'!$B$3+'Alternative 1'!$B$5+('Alternative 1'!$B$39*R7),0)</f>
        <v>313216.06046667695</v>
      </c>
      <c r="T7" s="19">
        <f>'Alternative 1'!M8</f>
        <v>3.1938190844388674</v>
      </c>
      <c r="U7" s="19">
        <f t="shared" si="4"/>
        <v>9.8069443567654957E-2</v>
      </c>
      <c r="V7" s="19">
        <f t="shared" si="5"/>
        <v>5.1768401773307593</v>
      </c>
      <c r="X7" s="18">
        <f>IF('Alternative 2'!$F8&gt;0,'Alternative 2'!$F8,"x")</f>
        <v>5</v>
      </c>
      <c r="Y7" s="45">
        <f t="shared" si="15"/>
        <v>19.5</v>
      </c>
      <c r="Z7" s="45">
        <f t="shared" si="16"/>
        <v>18.5</v>
      </c>
      <c r="AA7" s="19">
        <f>'Dynamic Loading'!$Y$3*'Combined Stress'!Y7+'Wind Loading'!$O$69*Z7+'Wind Loading'!$O$68*'Combined Stress'!Z8+'Wind Loading'!$O$67*'Combined Stress'!Z9+'Wind Loading'!$O$66*'Combined Stress'!Z10+'Wind Loading'!$O$65*'Combined Stress'!Z11+'Wind Loading'!$O$64*'Combined Stress'!Z12+'Wind Loading'!$O$63*'Combined Stress'!Z13+'Wind Loading'!$O$62*'Combined Stress'!Z14+'Wind Loading'!$O$61*'Combined Stress'!Z15+'Wind Loading'!$O$60*'Combined Stress'!Z16+'Wind Loading'!$O$59*'Combined Stress'!Z17+'Wind Loading'!$O$58*'Combined Stress'!Z18+'Wind Loading'!$O$57*'Combined Stress'!Z19+'Wind Loading'!$O$56*'Combined Stress'!Z20+'Wind Loading'!$O$55*'Combined Stress'!Z21+'Wind Loading'!$O$54*'Combined Stress'!Z22+'Wind Loading'!$O$53*'Combined Stress'!Z23+'Wind Loading'!$O$52*'Combined Stress'!Z24+'Wind Loading'!$O$51*'Combined Stress'!Z25+'Wind Loading'!$O$50*'Combined Stress'!Z26+'Wind Loading'!$O$49*'Combined Stress'!Z27+'Wind Loading'!$O$48*'Combined Stress'!Z28+'Wind Loading'!$O$47*'Combined Stress'!Z29+'Wind Loading'!$O$46*'Combined Stress'!Z30+'Wind Loading'!$O$45*'Combined Stress'!Z31+'Wind Loading'!$O$44*'Combined Stress'!Z32+'Wind Loading'!$O$43*'Combined Stress'!Z33+'Wind Loading'!$O$42*'Combined Stress'!Z34+'Wind Loading'!$O$41*'Combined Stress'!Z35+'Wind Loading'!$O$40*'Combined Stress'!Z36+'Wind Loading'!$O$39*'Combined Stress'!Z37+'Wind Loading'!$O$38*'Combined Stress'!Z38+'Wind Loading'!$O$37*'Combined Stress'!Z39+'Wind Loading'!$O$36*'Combined Stress'!Z40+'Wind Loading'!$O$35*'Combined Stress'!Z41+'Wind Loading'!$O$34*'Combined Stress'!Z42+'Wind Loading'!$O$33*'Combined Stress'!Z43+'Wind Loading'!$O$32*'Combined Stress'!Z44+'Wind Loading'!$O$31*'Combined Stress'!Z45+'Wind Loading'!$O$30*'Combined Stress'!Z46+'Wind Loading'!$O$29*'Combined Stress'!Z47+'Wind Loading'!$O$28*'Combined Stress'!Z48+'Wind Loading'!$O$27*'Combined Stress'!Z49+'Wind Loading'!$O$26*'Combined Stress'!Z50+'Wind Loading'!$O$25*'Combined Stress'!Z51+'Wind Loading'!$O$24*'Combined Stress'!Z52+'Wind Loading'!$O$23*'Combined Stress'!Z53+'Wind Loading'!$O$22*'Combined Stress'!Z54+'Wind Loading'!$O$21*'Combined Stress'!Z55+'Wind Loading'!$O$20*'Combined Stress'!Z56+'Wind Loading'!$O$19*'Combined Stress'!Z57+'Wind Loading'!$O$18*'Combined Stress'!Z58+'Wind Loading'!$O$17*'Combined Stress'!Z59+'Wind Loading'!$O$16*'Combined Stress'!Z60+'Wind Loading'!$O$15*'Combined Stress'!Z61+'Wind Loading'!$O$14*'Combined Stress'!Z62+'Wind Loading'!$O$13*'Combined Stress'!Z63+'Wind Loading'!$O$12*'Combined Stress'!Z64+'Wind Loading'!$O$11*'Combined Stress'!Z65+'Wind Loading'!$O$10*'Combined Stress'!Z66+'Wind Loading'!$O$9*'Combined Stress'!Z67+'Wind Loading'!$O$8*'Combined Stress'!Z68+'Wind Loading'!$O$7*'Combined Stress'!Z69</f>
        <v>457572.04542934796</v>
      </c>
      <c r="AB7" s="19">
        <f>((AA7*'Alternative 2'!K8)/'Alternative 2'!L8)/1000000</f>
        <v>7.2824914363323661</v>
      </c>
      <c r="AC7" s="45">
        <f t="shared" si="17"/>
        <v>19</v>
      </c>
      <c r="AD7" s="19">
        <f>'Alternative 2'!$B$3+'Alternative 2'!$B$5+('Alternative 2'!$B$39*AC7)</f>
        <v>128186.60679141083</v>
      </c>
      <c r="AE7" s="19">
        <f>'Alternative 2'!M8</f>
        <v>1.2314569460869567</v>
      </c>
      <c r="AF7" s="19">
        <f t="shared" si="6"/>
        <v>0.10409345385458502</v>
      </c>
      <c r="AG7" s="19">
        <f t="shared" si="7"/>
        <v>7.3865848901869509</v>
      </c>
      <c r="AI7" s="18">
        <f>'Alternative 3'!F8</f>
        <v>5</v>
      </c>
      <c r="AJ7" s="83">
        <f t="shared" si="18"/>
        <v>30.5</v>
      </c>
      <c r="AK7" s="45">
        <f t="shared" si="19"/>
        <v>30.5</v>
      </c>
      <c r="AL7" s="84">
        <f>'Dynamic Loading'!$AG$3*'Combined Stress'!AJ7+'Wind Loading'!$T$69*AK7+'Wind Loading'!$T$68*'Combined Stress'!AK8+'Wind Loading'!$T$67*'Combined Stress'!AK9+'Wind Loading'!$T$66*'Combined Stress'!AK10+'Wind Loading'!$T$65*'Combined Stress'!AK11+'Wind Loading'!$T$64*'Combined Stress'!AK12+'Wind Loading'!$T$63*'Combined Stress'!AK13+'Wind Loading'!$T$62*'Combined Stress'!AK14+'Wind Loading'!$T$61*'Combined Stress'!AK15+'Wind Loading'!$T$60*'Combined Stress'!AK16+'Wind Loading'!$T$59*'Combined Stress'!AK17+'Wind Loading'!$T$58*'Combined Stress'!AK18+'Wind Loading'!$T$57*'Combined Stress'!AK19+'Wind Loading'!$T$56*'Combined Stress'!AK20+'Wind Loading'!$T$55*'Combined Stress'!AK21+'Wind Loading'!$T$54*'Combined Stress'!AK22+'Wind Loading'!$T$53*'Combined Stress'!AK23+'Wind Loading'!$T$52*'Combined Stress'!AK24+'Wind Loading'!$T$51*'Combined Stress'!AK25+'Wind Loading'!$T$50*'Combined Stress'!AK26+'Wind Loading'!$T$49*'Combined Stress'!AK27+'Wind Loading'!$T$48*'Combined Stress'!AK28+'Wind Loading'!$T$47*'Combined Stress'!AK29+'Wind Loading'!$T$46*'Combined Stress'!AK30+'Wind Loading'!$T$45*'Combined Stress'!AK31+'Wind Loading'!$T$44*'Combined Stress'!AK32+'Wind Loading'!$T$43*'Combined Stress'!AK33+'Wind Loading'!$T$42*'Combined Stress'!AK34+'Wind Loading'!$T$41*'Combined Stress'!AK35+'Wind Loading'!$T$40*'Combined Stress'!AK36+'Wind Loading'!$T$39*'Combined Stress'!AK37+'Wind Loading'!$T$38*'Combined Stress'!AK38+'Wind Loading'!$T$37*'Combined Stress'!AK39+'Wind Loading'!$T$36*'Combined Stress'!AK40+'Wind Loading'!$T$35*'Combined Stress'!AK41+'Wind Loading'!$T$34*'Combined Stress'!AK42+'Wind Loading'!$T$33*'Combined Stress'!AK43+'Wind Loading'!$T$32*'Combined Stress'!AK44+'Wind Loading'!$T$31*'Combined Stress'!AK45+'Wind Loading'!$T$30*'Combined Stress'!AK46+'Wind Loading'!$T$29*'Combined Stress'!AK47+'Wind Loading'!$T$28*'Combined Stress'!AK48+'Wind Loading'!$T$27*'Combined Stress'!AK49+'Wind Loading'!$T$26*'Combined Stress'!AK50+'Wind Loading'!$T$25*'Combined Stress'!AK51+'Wind Loading'!$T$24*'Combined Stress'!AK52+'Wind Loading'!$T$23*'Combined Stress'!AK53+'Wind Loading'!$T$22*'Combined Stress'!AK54+'Wind Loading'!$T$21*'Combined Stress'!AK55+'Wind Loading'!$T$20*'Combined Stress'!AK56+'Wind Loading'!$T$19*'Combined Stress'!AK57+'Wind Loading'!$T$18*'Combined Stress'!AK58+'Wind Loading'!$T$17*'Combined Stress'!AK59+'Wind Loading'!$T$16*'Combined Stress'!AK60+'Wind Loading'!$T$15*'Combined Stress'!AK61+'Wind Loading'!$T$14*'Combined Stress'!AK62+'Wind Loading'!$T$13*'Combined Stress'!AK63+'Wind Loading'!$T$12*'Combined Stress'!AK64+'Wind Loading'!$T$11*'Combined Stress'!AK65+'Wind Loading'!$T$10*'Combined Stress'!AK66+'Wind Loading'!$T$9*'Combined Stress'!AK67+'Wind Loading'!$T$8*'Combined Stress'!AK68+'Wind Loading'!$T$7*'Combined Stress'!AK69</f>
        <v>4304280.6504383553</v>
      </c>
      <c r="AM7" s="84">
        <f>((AL7*'Alternative 3'!K8)/'Alternative 3'!L8)/1000000</f>
        <v>68.504812060745607</v>
      </c>
      <c r="AN7" s="84">
        <f t="shared" si="8"/>
        <v>63</v>
      </c>
      <c r="AO7" s="19">
        <f>'Alternative 3'!$B$3+'Alternative 3'!$B$5+('Alternative 2'!$B$39*AN7)</f>
        <v>316830.20595033589</v>
      </c>
      <c r="AP7" s="84">
        <f>'Alternative 3'!M8</f>
        <v>3.0524743414285718</v>
      </c>
      <c r="AQ7" s="84">
        <f t="shared" si="9"/>
        <v>0.10379455173472742</v>
      </c>
      <c r="AR7" s="84">
        <f t="shared" si="10"/>
        <v>68.60860661248033</v>
      </c>
    </row>
    <row r="8" spans="1:44" ht="14.45" customHeight="1" x14ac:dyDescent="0.25">
      <c r="A8" s="18">
        <f>'Baseline Given'!E9</f>
        <v>6</v>
      </c>
      <c r="B8" s="45">
        <f t="shared" si="0"/>
        <v>64.5</v>
      </c>
      <c r="C8" s="45">
        <f t="shared" si="1"/>
        <v>61.5</v>
      </c>
      <c r="D8" s="19">
        <f>'Dynamic Loading'!$I$3*'Combined Stress'!B8+'Wind Loading'!$E$69*C8+'Wind Loading'!$E$68*'Combined Stress'!C9+'Wind Loading'!$E$67*'Combined Stress'!C10+'Wind Loading'!$E$66*'Combined Stress'!C11+'Wind Loading'!$E$65*'Combined Stress'!C12+'Wind Loading'!$E$64*'Combined Stress'!C13+'Wind Loading'!$E$63*'Combined Stress'!C14+'Wind Loading'!$E$62*'Combined Stress'!C15+'Wind Loading'!$E$61*'Combined Stress'!C16+'Wind Loading'!$E$60*'Combined Stress'!C17+'Wind Loading'!$E$59*'Combined Stress'!C18+'Wind Loading'!$E$58*'Combined Stress'!C19+'Wind Loading'!$E$57*'Combined Stress'!C20+'Wind Loading'!$E$56*'Combined Stress'!C21+'Wind Loading'!$E$55*'Combined Stress'!C22+'Wind Loading'!$E$54*'Combined Stress'!C23+'Wind Loading'!$E$53*'Combined Stress'!C24+'Wind Loading'!$E$52*'Combined Stress'!C25+'Wind Loading'!$E$51*'Combined Stress'!C26+'Wind Loading'!$E$50*'Combined Stress'!C27+'Wind Loading'!$E$49*'Combined Stress'!C28+'Wind Loading'!$E$48*'Combined Stress'!C29+'Wind Loading'!$E$47*'Combined Stress'!C30+'Wind Loading'!$E$46*'Combined Stress'!C31+'Wind Loading'!$E$45*'Combined Stress'!C32+'Wind Loading'!$E$44*'Combined Stress'!C33+'Wind Loading'!$E$43*'Combined Stress'!C34+'Wind Loading'!$E$42*'Combined Stress'!C35+'Wind Loading'!$E$41*'Combined Stress'!C36+'Wind Loading'!$E$40*'Combined Stress'!C37+'Wind Loading'!$E$39*'Combined Stress'!C38+'Wind Loading'!$E$38*'Combined Stress'!C39+'Wind Loading'!$E$37*'Combined Stress'!C40+'Wind Loading'!$E$36*'Combined Stress'!C41+'Wind Loading'!$E$35*'Combined Stress'!C42+'Wind Loading'!$E$34*'Combined Stress'!C43+'Wind Loading'!$E$33*'Combined Stress'!C44+'Wind Loading'!$E$32*'Combined Stress'!C45+'Wind Loading'!$E$31*'Combined Stress'!C46+'Wind Loading'!$E$30*'Combined Stress'!C47+'Wind Loading'!$E$29*'Combined Stress'!C48+'Wind Loading'!$E$28*'Combined Stress'!C49+'Wind Loading'!$E$27*'Combined Stress'!C50+'Wind Loading'!$E$26*'Combined Stress'!C51+'Wind Loading'!$E$25*'Combined Stress'!C52+'Wind Loading'!$E$24*'Combined Stress'!C53+'Wind Loading'!$E$23*'Combined Stress'!C54+'Wind Loading'!$E$22*'Combined Stress'!C55+'Wind Loading'!$E$21*'Combined Stress'!C56+'Wind Loading'!$E$20*'Combined Stress'!C57+'Wind Loading'!$E$19*'Combined Stress'!C58+'Wind Loading'!$E$18*'Combined Stress'!C59+'Wind Loading'!$E$17*'Combined Stress'!C60+'Wind Loading'!$E$16*'Combined Stress'!C61+'Wind Loading'!$E$15*'Combined Stress'!C62+'Wind Loading'!$E$14*'Combined Stress'!C63+'Wind Loading'!$E$13*'Combined Stress'!C64+'Wind Loading'!$E$12*'Combined Stress'!C65+'Wind Loading'!$E$11*'Combined Stress'!C66+'Wind Loading'!$E$10*'Combined Stress'!C67+'Wind Loading'!$E$9*'Combined Stress'!C68+'Wind Loading'!$E$8*'Combined Stress'!C69</f>
        <v>25519993.443187546</v>
      </c>
      <c r="E8" s="19">
        <f>((D8*'Baseline Given'!K9)/'Baseline Given'!L9)/1000000</f>
        <v>150.87802878431151</v>
      </c>
      <c r="F8" s="19">
        <f t="shared" si="2"/>
        <v>62</v>
      </c>
      <c r="G8" s="19">
        <f>'Baseline Given'!$B$3+'Baseline Given'!$B$5+('Baseline Given'!$B$38*F8)</f>
        <v>2183565.2238805969</v>
      </c>
      <c r="H8" s="19">
        <f>'Baseline Given'!M9</f>
        <v>11.663451781153762</v>
      </c>
      <c r="I8" s="19">
        <f t="shared" si="3"/>
        <v>0.18721432255662793</v>
      </c>
      <c r="J8" s="19">
        <f t="shared" si="11"/>
        <v>-151.06524310686814</v>
      </c>
      <c r="M8" s="18">
        <f>IF('Alternative 1'!F9&gt;0,'Alternative 1'!F9,"x")</f>
        <v>6</v>
      </c>
      <c r="N8" s="45">
        <f t="shared" si="12"/>
        <v>31.5</v>
      </c>
      <c r="O8" s="45">
        <f t="shared" si="13"/>
        <v>30.5</v>
      </c>
      <c r="P8" s="19">
        <f>'Dynamic Loading'!$Q$3*'Combined Stress'!N8+'Wind Loading'!$J$69*O8+'Wind Loading'!$J$68*'Combined Stress'!O9+'Wind Loading'!$J$67*'Combined Stress'!O10+'Wind Loading'!$J$66*'Combined Stress'!O11+'Wind Loading'!$J$65*'Combined Stress'!O12+'Wind Loading'!$J$64*'Combined Stress'!O13+'Wind Loading'!$J$63*'Combined Stress'!O14+'Wind Loading'!$J$62*'Combined Stress'!O15+'Wind Loading'!$J$61*'Combined Stress'!O16+'Wind Loading'!$J$60*'Combined Stress'!O17+'Wind Loading'!$J$59*'Combined Stress'!O18+'Wind Loading'!$J$58*'Combined Stress'!O19+'Wind Loading'!$J$57*'Combined Stress'!O20+'Wind Loading'!$J$56*'Combined Stress'!O21+'Wind Loading'!$J$55*'Combined Stress'!O22+'Wind Loading'!$J$54*'Combined Stress'!O23+'Wind Loading'!$J$53*'Combined Stress'!O24+'Wind Loading'!$J$52*'Combined Stress'!O25+'Wind Loading'!$J$51*'Combined Stress'!O26+'Wind Loading'!$J$50*'Combined Stress'!O27+'Wind Loading'!$J$49*'Combined Stress'!O28+'Wind Loading'!$J$48*'Combined Stress'!O29+'Wind Loading'!$J$47*'Combined Stress'!O30+'Wind Loading'!$J$46*'Combined Stress'!O31+'Wind Loading'!$J$45*'Combined Stress'!O32+'Wind Loading'!$J$44*'Combined Stress'!O33+'Wind Loading'!$J$43*'Combined Stress'!O34+'Wind Loading'!$J$42*'Combined Stress'!O35+'Wind Loading'!$J$41*'Combined Stress'!O36+'Wind Loading'!$J$40*'Combined Stress'!O37+'Wind Loading'!$J$39*'Combined Stress'!O38+'Wind Loading'!$J$38*'Combined Stress'!O39+'Wind Loading'!$J$37*'Combined Stress'!O40+'Wind Loading'!$J$36*'Combined Stress'!O41+'Wind Loading'!$J$35*'Combined Stress'!O42+'Wind Loading'!$J$34*'Combined Stress'!O43+'Wind Loading'!$J$33*'Combined Stress'!O44+'Wind Loading'!$J$32*'Combined Stress'!O45+'Wind Loading'!$J$31*'Combined Stress'!O46+'Wind Loading'!$J$30*'Combined Stress'!O47+'Wind Loading'!$J$29*'Combined Stress'!O48+'Wind Loading'!$J$28*'Combined Stress'!O49+'Wind Loading'!$J$27*'Combined Stress'!O50+'Wind Loading'!$J$26*'Combined Stress'!O51+'Wind Loading'!$J$25*'Combined Stress'!O52+'Wind Loading'!$J$24*'Combined Stress'!O53+'Wind Loading'!$J$23*'Combined Stress'!O54+'Wind Loading'!$J$22*'Combined Stress'!O55+'Wind Loading'!$J$21*'Combined Stress'!O56+'Wind Loading'!$J$20*'Combined Stress'!O57+'Wind Loading'!$J$19*'Combined Stress'!O58+'Wind Loading'!$J$18*'Combined Stress'!O59+'Wind Loading'!$J$17*'Combined Stress'!O60+'Wind Loading'!$J$16*'Combined Stress'!O61+'Wind Loading'!$J$15*'Combined Stress'!O62+'Wind Loading'!$J$14*'Combined Stress'!O63+'Wind Loading'!$J$13*'Combined Stress'!O64+'Wind Loading'!$J$12*'Combined Stress'!O65+'Wind Loading'!$J$11*'Combined Stress'!O66+'Wind Loading'!$J$10*'Combined Stress'!O67+'Wind Loading'!$J$9*'Combined Stress'!O68+'Wind Loading'!$J$8*'Combined Stress'!O69</f>
        <v>617873.10925668431</v>
      </c>
      <c r="Q8" s="19">
        <f>((P8*'Alternative 1'!K9)/'Alternative 1'!L9)/1000000</f>
        <v>4.9168821302006647</v>
      </c>
      <c r="R8" s="45">
        <f t="shared" si="14"/>
        <v>31</v>
      </c>
      <c r="S8" s="19">
        <f>IF(R8&gt;0,'Alternative 1'!$B$3+'Alternative 1'!$B$5+('Alternative 1'!$B$39*R8),0)</f>
        <v>304712.7297270933</v>
      </c>
      <c r="T8" s="19">
        <f>'Alternative 1'!M9</f>
        <v>3.131129749980555</v>
      </c>
      <c r="U8" s="19">
        <f t="shared" si="4"/>
        <v>9.7317183910690899E-2</v>
      </c>
      <c r="V8" s="19">
        <f t="shared" si="5"/>
        <v>5.0141993141113552</v>
      </c>
      <c r="X8" s="18">
        <f>IF('Alternative 2'!$F9&gt;0,'Alternative 2'!$F9,"x")</f>
        <v>6</v>
      </c>
      <c r="Y8" s="45">
        <f t="shared" si="15"/>
        <v>18.5</v>
      </c>
      <c r="Z8" s="45">
        <f t="shared" si="16"/>
        <v>17.5</v>
      </c>
      <c r="AA8" s="19">
        <f>'Dynamic Loading'!$Y$3*'Combined Stress'!Y8+'Wind Loading'!$O$69*Z8+'Wind Loading'!$O$68*'Combined Stress'!Z9+'Wind Loading'!$O$67*'Combined Stress'!Z10+'Wind Loading'!$O$66*'Combined Stress'!Z11+'Wind Loading'!$O$65*'Combined Stress'!Z12+'Wind Loading'!$O$64*'Combined Stress'!Z13+'Wind Loading'!$O$63*'Combined Stress'!Z14+'Wind Loading'!$O$62*'Combined Stress'!Z15+'Wind Loading'!$O$61*'Combined Stress'!Z16+'Wind Loading'!$O$60*'Combined Stress'!Z17+'Wind Loading'!$O$59*'Combined Stress'!Z18+'Wind Loading'!$O$58*'Combined Stress'!Z19+'Wind Loading'!$O$57*'Combined Stress'!Z20+'Wind Loading'!$O$56*'Combined Stress'!Z21+'Wind Loading'!$O$55*'Combined Stress'!Z22+'Wind Loading'!$O$54*'Combined Stress'!Z23+'Wind Loading'!$O$53*'Combined Stress'!Z24+'Wind Loading'!$O$52*'Combined Stress'!Z25+'Wind Loading'!$O$51*'Combined Stress'!Z26+'Wind Loading'!$O$50*'Combined Stress'!Z27+'Wind Loading'!$O$49*'Combined Stress'!Z28+'Wind Loading'!$O$48*'Combined Stress'!Z29+'Wind Loading'!$O$47*'Combined Stress'!Z30+'Wind Loading'!$O$46*'Combined Stress'!Z31+'Wind Loading'!$O$45*'Combined Stress'!Z32+'Wind Loading'!$O$44*'Combined Stress'!Z33+'Wind Loading'!$O$43*'Combined Stress'!Z34+'Wind Loading'!$O$42*'Combined Stress'!Z35+'Wind Loading'!$O$41*'Combined Stress'!Z36+'Wind Loading'!$O$40*'Combined Stress'!Z37+'Wind Loading'!$O$39*'Combined Stress'!Z38+'Wind Loading'!$O$38*'Combined Stress'!Z39+'Wind Loading'!$O$37*'Combined Stress'!Z40+'Wind Loading'!$O$36*'Combined Stress'!Z41+'Wind Loading'!$O$35*'Combined Stress'!Z42+'Wind Loading'!$O$34*'Combined Stress'!Z43+'Wind Loading'!$O$33*'Combined Stress'!Z44+'Wind Loading'!$O$32*'Combined Stress'!Z45+'Wind Loading'!$O$31*'Combined Stress'!Z46+'Wind Loading'!$O$30*'Combined Stress'!Z47+'Wind Loading'!$O$29*'Combined Stress'!Z48+'Wind Loading'!$O$28*'Combined Stress'!Z49+'Wind Loading'!$O$27*'Combined Stress'!Z50+'Wind Loading'!$O$26*'Combined Stress'!Z51+'Wind Loading'!$O$25*'Combined Stress'!Z52+'Wind Loading'!$O$24*'Combined Stress'!Z53+'Wind Loading'!$O$23*'Combined Stress'!Z54+'Wind Loading'!$O$22*'Combined Stress'!Z55+'Wind Loading'!$O$21*'Combined Stress'!Z56+'Wind Loading'!$O$20*'Combined Stress'!Z57+'Wind Loading'!$O$19*'Combined Stress'!Z58+'Wind Loading'!$O$18*'Combined Stress'!Z59+'Wind Loading'!$O$17*'Combined Stress'!Z60+'Wind Loading'!$O$16*'Combined Stress'!Z61+'Wind Loading'!$O$15*'Combined Stress'!Z62+'Wind Loading'!$O$14*'Combined Stress'!Z63+'Wind Loading'!$O$13*'Combined Stress'!Z64+'Wind Loading'!$O$12*'Combined Stress'!Z65+'Wind Loading'!$O$11*'Combined Stress'!Z66+'Wind Loading'!$O$10*'Combined Stress'!Z67+'Wind Loading'!$O$9*'Combined Stress'!Z68+'Wind Loading'!$O$8*'Combined Stress'!Z69</f>
        <v>434106.81233040703</v>
      </c>
      <c r="AB8" s="19">
        <f>((AA8*'Alternative 2'!K9)/'Alternative 2'!L9)/1000000</f>
        <v>6.9090303370332702</v>
      </c>
      <c r="AC8" s="45">
        <f t="shared" si="17"/>
        <v>18</v>
      </c>
      <c r="AD8" s="19">
        <f>'Alternative 2'!$B$3+'Alternative 2'!$B$5+('Alternative 2'!$B$39*AC8)</f>
        <v>125465.83117081024</v>
      </c>
      <c r="AE8" s="19">
        <f>'Alternative 2'!M9</f>
        <v>1.1932745651902177</v>
      </c>
      <c r="AF8" s="19">
        <f t="shared" si="6"/>
        <v>0.10514414270684633</v>
      </c>
      <c r="AG8" s="19">
        <f t="shared" si="7"/>
        <v>7.0141744797401167</v>
      </c>
      <c r="AI8" s="18">
        <f>'Alternative 3'!F9</f>
        <v>6</v>
      </c>
      <c r="AJ8" s="83">
        <f t="shared" si="18"/>
        <v>29.5</v>
      </c>
      <c r="AK8" s="45">
        <f t="shared" si="19"/>
        <v>29.5</v>
      </c>
      <c r="AL8" s="84">
        <f>'Dynamic Loading'!$AG$3*'Combined Stress'!AJ8+'Wind Loading'!$T$69*AK8+'Wind Loading'!$T$68*'Combined Stress'!AK9+'Wind Loading'!$T$67*'Combined Stress'!AK10+'Wind Loading'!$T$66*'Combined Stress'!AK11+'Wind Loading'!$T$65*'Combined Stress'!AK12+'Wind Loading'!$T$64*'Combined Stress'!AK13+'Wind Loading'!$T$63*'Combined Stress'!AK14+'Wind Loading'!$T$62*'Combined Stress'!AK15+'Wind Loading'!$T$61*'Combined Stress'!AK16+'Wind Loading'!$T$60*'Combined Stress'!AK17+'Wind Loading'!$T$59*'Combined Stress'!AK18+'Wind Loading'!$T$58*'Combined Stress'!AK19+'Wind Loading'!$T$57*'Combined Stress'!AK20+'Wind Loading'!$T$56*'Combined Stress'!AK21+'Wind Loading'!$T$55*'Combined Stress'!AK22+'Wind Loading'!$T$54*'Combined Stress'!AK23+'Wind Loading'!$T$53*'Combined Stress'!AK24+'Wind Loading'!$T$52*'Combined Stress'!AK25+'Wind Loading'!$T$51*'Combined Stress'!AK26+'Wind Loading'!$T$50*'Combined Stress'!AK27+'Wind Loading'!$T$49*'Combined Stress'!AK28+'Wind Loading'!$T$48*'Combined Stress'!AK29+'Wind Loading'!$T$47*'Combined Stress'!AK30+'Wind Loading'!$T$46*'Combined Stress'!AK31+'Wind Loading'!$T$45*'Combined Stress'!AK32+'Wind Loading'!$T$44*'Combined Stress'!AK33+'Wind Loading'!$T$43*'Combined Stress'!AK34+'Wind Loading'!$T$42*'Combined Stress'!AK35+'Wind Loading'!$T$41*'Combined Stress'!AK36+'Wind Loading'!$T$40*'Combined Stress'!AK37+'Wind Loading'!$T$39*'Combined Stress'!AK38+'Wind Loading'!$T$38*'Combined Stress'!AK39+'Wind Loading'!$T$37*'Combined Stress'!AK40+'Wind Loading'!$T$36*'Combined Stress'!AK41+'Wind Loading'!$T$35*'Combined Stress'!AK42+'Wind Loading'!$T$34*'Combined Stress'!AK43+'Wind Loading'!$T$33*'Combined Stress'!AK44+'Wind Loading'!$T$32*'Combined Stress'!AK45+'Wind Loading'!$T$31*'Combined Stress'!AK46+'Wind Loading'!$T$30*'Combined Stress'!AK47+'Wind Loading'!$T$29*'Combined Stress'!AK48+'Wind Loading'!$T$28*'Combined Stress'!AK49+'Wind Loading'!$T$27*'Combined Stress'!AK50+'Wind Loading'!$T$26*'Combined Stress'!AK51+'Wind Loading'!$T$25*'Combined Stress'!AK52+'Wind Loading'!$T$24*'Combined Stress'!AK53+'Wind Loading'!$T$23*'Combined Stress'!AK54+'Wind Loading'!$T$22*'Combined Stress'!AK55+'Wind Loading'!$T$21*'Combined Stress'!AK56+'Wind Loading'!$T$20*'Combined Stress'!AK57+'Wind Loading'!$T$19*'Combined Stress'!AK58+'Wind Loading'!$T$18*'Combined Stress'!AK59+'Wind Loading'!$T$17*'Combined Stress'!AK60+'Wind Loading'!$T$16*'Combined Stress'!AK61+'Wind Loading'!$T$15*'Combined Stress'!AK62+'Wind Loading'!$T$14*'Combined Stress'!AK63+'Wind Loading'!$T$13*'Combined Stress'!AK64+'Wind Loading'!$T$12*'Combined Stress'!AK65+'Wind Loading'!$T$11*'Combined Stress'!AK66+'Wind Loading'!$T$10*'Combined Stress'!AK67+'Wind Loading'!$T$9*'Combined Stress'!AK68+'Wind Loading'!$T$8*'Combined Stress'!AK69</f>
        <v>4163156.6946862782</v>
      </c>
      <c r="AM8" s="84">
        <f>((AL8*'Alternative 3'!K9)/'Alternative 3'!L9)/1000000</f>
        <v>66.258752648917877</v>
      </c>
      <c r="AN8" s="84">
        <f t="shared" si="8"/>
        <v>62</v>
      </c>
      <c r="AO8" s="19">
        <f>'Alternative 3'!$B$3+'Alternative 3'!$B$5+('Alternative 2'!$B$39*AN8)</f>
        <v>314109.43032973527</v>
      </c>
      <c r="AP8" s="84">
        <f>'Alternative 3'!M9</f>
        <v>2.9917301020341425</v>
      </c>
      <c r="AQ8" s="84">
        <f t="shared" si="9"/>
        <v>0.10499256938858403</v>
      </c>
      <c r="AR8" s="84">
        <f t="shared" si="10"/>
        <v>66.363745218306462</v>
      </c>
    </row>
    <row r="9" spans="1:44" ht="14.45" customHeight="1" x14ac:dyDescent="0.25">
      <c r="A9" s="18">
        <f>'Baseline Given'!E10</f>
        <v>7</v>
      </c>
      <c r="B9" s="45">
        <f t="shared" si="0"/>
        <v>63.5</v>
      </c>
      <c r="C9" s="45">
        <f t="shared" si="1"/>
        <v>60.5</v>
      </c>
      <c r="D9" s="19">
        <f>'Dynamic Loading'!$I$3*'Combined Stress'!B9+'Wind Loading'!$E$69*C9+'Wind Loading'!$E$68*'Combined Stress'!C10+'Wind Loading'!$E$67*'Combined Stress'!C11+'Wind Loading'!$E$66*'Combined Stress'!C12+'Wind Loading'!$E$65*'Combined Stress'!C13+'Wind Loading'!$E$64*'Combined Stress'!C14+'Wind Loading'!$E$63*'Combined Stress'!C15+'Wind Loading'!$E$62*'Combined Stress'!C16+'Wind Loading'!$E$61*'Combined Stress'!C17+'Wind Loading'!$E$60*'Combined Stress'!C18+'Wind Loading'!$E$59*'Combined Stress'!C19+'Wind Loading'!$E$58*'Combined Stress'!C20+'Wind Loading'!$E$57*'Combined Stress'!C21+'Wind Loading'!$E$56*'Combined Stress'!C22+'Wind Loading'!$E$55*'Combined Stress'!C23+'Wind Loading'!$E$54*'Combined Stress'!C24+'Wind Loading'!$E$53*'Combined Stress'!C25+'Wind Loading'!$E$52*'Combined Stress'!C26+'Wind Loading'!$E$51*'Combined Stress'!C27+'Wind Loading'!$E$50*'Combined Stress'!C28+'Wind Loading'!$E$49*'Combined Stress'!C29+'Wind Loading'!$E$48*'Combined Stress'!C30+'Wind Loading'!$E$47*'Combined Stress'!C31+'Wind Loading'!$E$46*'Combined Stress'!C32+'Wind Loading'!$E$45*'Combined Stress'!C33+'Wind Loading'!$E$44*'Combined Stress'!C34+'Wind Loading'!$E$43*'Combined Stress'!C35+'Wind Loading'!$E$42*'Combined Stress'!C36+'Wind Loading'!$E$41*'Combined Stress'!C37+'Wind Loading'!$E$40*'Combined Stress'!C38+'Wind Loading'!$E$39*'Combined Stress'!C39+'Wind Loading'!$E$38*'Combined Stress'!C40+'Wind Loading'!$E$37*'Combined Stress'!C41+'Wind Loading'!$E$36*'Combined Stress'!C42+'Wind Loading'!$E$35*'Combined Stress'!C43+'Wind Loading'!$E$34*'Combined Stress'!C44+'Wind Loading'!$E$33*'Combined Stress'!C45+'Wind Loading'!$E$32*'Combined Stress'!C46+'Wind Loading'!$E$31*'Combined Stress'!C47+'Wind Loading'!$E$30*'Combined Stress'!C48+'Wind Loading'!$E$29*'Combined Stress'!C49+'Wind Loading'!$E$28*'Combined Stress'!C50+'Wind Loading'!$E$27*'Combined Stress'!C51+'Wind Loading'!$E$26*'Combined Stress'!C52+'Wind Loading'!$E$25*'Combined Stress'!C53+'Wind Loading'!$E$24*'Combined Stress'!C54+'Wind Loading'!$E$23*'Combined Stress'!C55+'Wind Loading'!$E$22*'Combined Stress'!C56+'Wind Loading'!$E$21*'Combined Stress'!C57+'Wind Loading'!$E$20*'Combined Stress'!C58+'Wind Loading'!$E$19*'Combined Stress'!C59+'Wind Loading'!$E$18*'Combined Stress'!C60+'Wind Loading'!$E$17*'Combined Stress'!C61+'Wind Loading'!$E$16*'Combined Stress'!C62+'Wind Loading'!$E$15*'Combined Stress'!C63+'Wind Loading'!$E$14*'Combined Stress'!C64+'Wind Loading'!$E$13*'Combined Stress'!C65+'Wind Loading'!$E$12*'Combined Stress'!C66+'Wind Loading'!$E$11*'Combined Stress'!C67+'Wind Loading'!$E$10*'Combined Stress'!C68+'Wind Loading'!$E$9*'Combined Stress'!C69</f>
        <v>25021304.697971012</v>
      </c>
      <c r="E9" s="19">
        <f>((D9*'Baseline Given'!K10)/'Baseline Given'!L10)/1000000</f>
        <v>148.92549322992383</v>
      </c>
      <c r="F9" s="19">
        <f t="shared" si="2"/>
        <v>61</v>
      </c>
      <c r="G9" s="19">
        <f>'Baseline Given'!$B$3+'Baseline Given'!$B$5+('Baseline Given'!$B$38*F9)</f>
        <v>2167406.2686567167</v>
      </c>
      <c r="H9" s="19">
        <f>'Baseline Given'!M10</f>
        <v>11.544324224228712</v>
      </c>
      <c r="I9" s="19">
        <f t="shared" si="3"/>
        <v>0.18774648273546071</v>
      </c>
      <c r="J9" s="19">
        <f t="shared" si="11"/>
        <v>-149.11323971265929</v>
      </c>
      <c r="M9" s="18">
        <f>IF('Alternative 1'!F10&gt;0,'Alternative 1'!F10,"x")</f>
        <v>7</v>
      </c>
      <c r="N9" s="45">
        <f t="shared" si="12"/>
        <v>30.5</v>
      </c>
      <c r="O9" s="45">
        <f t="shared" si="13"/>
        <v>29.5</v>
      </c>
      <c r="P9" s="19">
        <f>'Dynamic Loading'!$Q$3*'Combined Stress'!N9+'Wind Loading'!$J$69*O9+'Wind Loading'!$J$68*'Combined Stress'!O10+'Wind Loading'!$J$67*'Combined Stress'!O11+'Wind Loading'!$J$66*'Combined Stress'!O12+'Wind Loading'!$J$65*'Combined Stress'!O13+'Wind Loading'!$J$64*'Combined Stress'!O14+'Wind Loading'!$J$63*'Combined Stress'!O15+'Wind Loading'!$J$62*'Combined Stress'!O16+'Wind Loading'!$J$61*'Combined Stress'!O17+'Wind Loading'!$J$60*'Combined Stress'!O18+'Wind Loading'!$J$59*'Combined Stress'!O19+'Wind Loading'!$J$58*'Combined Stress'!O20+'Wind Loading'!$J$57*'Combined Stress'!O21+'Wind Loading'!$J$56*'Combined Stress'!O22+'Wind Loading'!$J$55*'Combined Stress'!O23+'Wind Loading'!$J$54*'Combined Stress'!O24+'Wind Loading'!$J$53*'Combined Stress'!O25+'Wind Loading'!$J$52*'Combined Stress'!O26+'Wind Loading'!$J$51*'Combined Stress'!O27+'Wind Loading'!$J$50*'Combined Stress'!O28+'Wind Loading'!$J$49*'Combined Stress'!O29+'Wind Loading'!$J$48*'Combined Stress'!O30+'Wind Loading'!$J$47*'Combined Stress'!O31+'Wind Loading'!$J$46*'Combined Stress'!O32+'Wind Loading'!$J$45*'Combined Stress'!O33+'Wind Loading'!$J$44*'Combined Stress'!O34+'Wind Loading'!$J$43*'Combined Stress'!O35+'Wind Loading'!$J$42*'Combined Stress'!O36+'Wind Loading'!$J$41*'Combined Stress'!O37+'Wind Loading'!$J$40*'Combined Stress'!O38+'Wind Loading'!$J$39*'Combined Stress'!O39+'Wind Loading'!$J$38*'Combined Stress'!O40+'Wind Loading'!$J$37*'Combined Stress'!O41+'Wind Loading'!$J$36*'Combined Stress'!O42+'Wind Loading'!$J$35*'Combined Stress'!O43+'Wind Loading'!$J$34*'Combined Stress'!O44+'Wind Loading'!$J$33*'Combined Stress'!O45+'Wind Loading'!$J$32*'Combined Stress'!O46+'Wind Loading'!$J$31*'Combined Stress'!O47+'Wind Loading'!$J$30*'Combined Stress'!O48+'Wind Loading'!$J$29*'Combined Stress'!O49+'Wind Loading'!$J$28*'Combined Stress'!O50+'Wind Loading'!$J$27*'Combined Stress'!O51+'Wind Loading'!$J$26*'Combined Stress'!O52+'Wind Loading'!$J$25*'Combined Stress'!O53+'Wind Loading'!$J$24*'Combined Stress'!O54+'Wind Loading'!$J$23*'Combined Stress'!O55+'Wind Loading'!$J$22*'Combined Stress'!O56+'Wind Loading'!$J$21*'Combined Stress'!O57+'Wind Loading'!$J$20*'Combined Stress'!O58+'Wind Loading'!$J$19*'Combined Stress'!O59+'Wind Loading'!$J$18*'Combined Stress'!O60+'Wind Loading'!$J$17*'Combined Stress'!O61+'Wind Loading'!$J$16*'Combined Stress'!O62+'Wind Loading'!$J$15*'Combined Stress'!O63+'Wind Loading'!$J$14*'Combined Stress'!O64+'Wind Loading'!$J$13*'Combined Stress'!O65+'Wind Loading'!$J$12*'Combined Stress'!O66+'Wind Loading'!$J$11*'Combined Stress'!O67+'Wind Loading'!$J$10*'Combined Stress'!O68+'Wind Loading'!$J$9*'Combined Stress'!O69</f>
        <v>598258.08991520235</v>
      </c>
      <c r="Q9" s="19">
        <f>((P9*'Alternative 1'!K10)/'Alternative 1'!L10)/1000000</f>
        <v>4.7607906340038202</v>
      </c>
      <c r="R9" s="45">
        <f t="shared" si="14"/>
        <v>30</v>
      </c>
      <c r="S9" s="19">
        <f>IF(R9&gt;0,'Alternative 1'!$B$3+'Alternative 1'!$B$5+('Alternative 1'!$B$39*R9),0)</f>
        <v>296209.39898750966</v>
      </c>
      <c r="T9" s="19">
        <f>'Alternative 1'!M10</f>
        <v>3.0690617721970161</v>
      </c>
      <c r="U9" s="19">
        <f t="shared" si="4"/>
        <v>9.6514642250248833E-2</v>
      </c>
      <c r="V9" s="19">
        <f t="shared" si="5"/>
        <v>4.8573052762540687</v>
      </c>
      <c r="X9" s="18">
        <f>IF('Alternative 2'!$F10&gt;0,'Alternative 2'!$F10,"x")</f>
        <v>7</v>
      </c>
      <c r="Y9" s="45">
        <f t="shared" si="15"/>
        <v>17.5</v>
      </c>
      <c r="Z9" s="45">
        <f t="shared" si="16"/>
        <v>16.5</v>
      </c>
      <c r="AA9" s="19">
        <f>'Dynamic Loading'!$Y$3*'Combined Stress'!Y9+'Wind Loading'!$O$69*Z9+'Wind Loading'!$O$68*'Combined Stress'!Z10+'Wind Loading'!$O$67*'Combined Stress'!Z11+'Wind Loading'!$O$66*'Combined Stress'!Z12+'Wind Loading'!$O$65*'Combined Stress'!Z13+'Wind Loading'!$O$64*'Combined Stress'!Z14+'Wind Loading'!$O$63*'Combined Stress'!Z15+'Wind Loading'!$O$62*'Combined Stress'!Z16+'Wind Loading'!$O$61*'Combined Stress'!Z17+'Wind Loading'!$O$60*'Combined Stress'!Z18+'Wind Loading'!$O$59*'Combined Stress'!Z19+'Wind Loading'!$O$58*'Combined Stress'!Z20+'Wind Loading'!$O$57*'Combined Stress'!Z21+'Wind Loading'!$O$56*'Combined Stress'!Z22+'Wind Loading'!$O$55*'Combined Stress'!Z23+'Wind Loading'!$O$54*'Combined Stress'!Z24+'Wind Loading'!$O$53*'Combined Stress'!Z25+'Wind Loading'!$O$52*'Combined Stress'!Z26+'Wind Loading'!$O$51*'Combined Stress'!Z27+'Wind Loading'!$O$50*'Combined Stress'!Z28+'Wind Loading'!$O$49*'Combined Stress'!Z29+'Wind Loading'!$O$48*'Combined Stress'!Z30+'Wind Loading'!$O$47*'Combined Stress'!Z31+'Wind Loading'!$O$46*'Combined Stress'!Z32+'Wind Loading'!$O$45*'Combined Stress'!Z33+'Wind Loading'!$O$44*'Combined Stress'!Z34+'Wind Loading'!$O$43*'Combined Stress'!Z35+'Wind Loading'!$O$42*'Combined Stress'!Z36+'Wind Loading'!$O$41*'Combined Stress'!Z37+'Wind Loading'!$O$40*'Combined Stress'!Z38+'Wind Loading'!$O$39*'Combined Stress'!Z39+'Wind Loading'!$O$38*'Combined Stress'!Z40+'Wind Loading'!$O$37*'Combined Stress'!Z41+'Wind Loading'!$O$36*'Combined Stress'!Z42+'Wind Loading'!$O$35*'Combined Stress'!Z43+'Wind Loading'!$O$34*'Combined Stress'!Z44+'Wind Loading'!$O$33*'Combined Stress'!Z45+'Wind Loading'!$O$32*'Combined Stress'!Z46+'Wind Loading'!$O$31*'Combined Stress'!Z47+'Wind Loading'!$O$30*'Combined Stress'!Z48+'Wind Loading'!$O$29*'Combined Stress'!Z49+'Wind Loading'!$O$28*'Combined Stress'!Z50+'Wind Loading'!$O$27*'Combined Stress'!Z51+'Wind Loading'!$O$26*'Combined Stress'!Z52+'Wind Loading'!$O$25*'Combined Stress'!Z53+'Wind Loading'!$O$24*'Combined Stress'!Z54+'Wind Loading'!$O$23*'Combined Stress'!Z55+'Wind Loading'!$O$22*'Combined Stress'!Z56+'Wind Loading'!$O$21*'Combined Stress'!Z57+'Wind Loading'!$O$20*'Combined Stress'!Z58+'Wind Loading'!$O$19*'Combined Stress'!Z59+'Wind Loading'!$O$18*'Combined Stress'!Z60+'Wind Loading'!$O$17*'Combined Stress'!Z61+'Wind Loading'!$O$16*'Combined Stress'!Z62+'Wind Loading'!$O$15*'Combined Stress'!Z63+'Wind Loading'!$O$14*'Combined Stress'!Z64+'Wind Loading'!$O$13*'Combined Stress'!Z65+'Wind Loading'!$O$12*'Combined Stress'!Z66+'Wind Loading'!$O$11*'Combined Stress'!Z67+'Wind Loading'!$O$10*'Combined Stress'!Z68+'Wind Loading'!$O$9*'Combined Stress'!Z69</f>
        <v>410641.57923146611</v>
      </c>
      <c r="AB9" s="19">
        <f>((AA9*'Alternative 2'!K10)/'Alternative 2'!L10)/1000000</f>
        <v>6.5355692377341743</v>
      </c>
      <c r="AC9" s="45">
        <f t="shared" si="17"/>
        <v>17</v>
      </c>
      <c r="AD9" s="19">
        <f>'Alternative 2'!$B$3+'Alternative 2'!$B$5+('Alternative 2'!$B$39*AC9)</f>
        <v>122745.05555020968</v>
      </c>
      <c r="AE9" s="19">
        <f>'Alternative 2'!M10</f>
        <v>1.1556934816304349</v>
      </c>
      <c r="AF9" s="19">
        <f t="shared" si="6"/>
        <v>0.10620900567600572</v>
      </c>
      <c r="AG9" s="19">
        <f t="shared" si="7"/>
        <v>6.6417782434101804</v>
      </c>
      <c r="AI9" s="18">
        <f>'Alternative 3'!F10</f>
        <v>7</v>
      </c>
      <c r="AJ9" s="83">
        <f t="shared" si="18"/>
        <v>28.5</v>
      </c>
      <c r="AK9" s="45">
        <f t="shared" si="19"/>
        <v>28.5</v>
      </c>
      <c r="AL9" s="84">
        <f>'Dynamic Loading'!$AG$3*'Combined Stress'!AJ9+'Wind Loading'!$T$69*AK9+'Wind Loading'!$T$68*'Combined Stress'!AK10+'Wind Loading'!$T$67*'Combined Stress'!AK11+'Wind Loading'!$T$66*'Combined Stress'!AK12+'Wind Loading'!$T$65*'Combined Stress'!AK13+'Wind Loading'!$T$64*'Combined Stress'!AK14+'Wind Loading'!$T$63*'Combined Stress'!AK15+'Wind Loading'!$T$62*'Combined Stress'!AK16+'Wind Loading'!$T$61*'Combined Stress'!AK17+'Wind Loading'!$T$60*'Combined Stress'!AK18+'Wind Loading'!$T$59*'Combined Stress'!AK19+'Wind Loading'!$T$58*'Combined Stress'!AK20+'Wind Loading'!$T$57*'Combined Stress'!AK21+'Wind Loading'!$T$56*'Combined Stress'!AK22+'Wind Loading'!$T$55*'Combined Stress'!AK23+'Wind Loading'!$T$54*'Combined Stress'!AK24+'Wind Loading'!$T$53*'Combined Stress'!AK25+'Wind Loading'!$T$52*'Combined Stress'!AK26+'Wind Loading'!$T$51*'Combined Stress'!AK27+'Wind Loading'!$T$50*'Combined Stress'!AK28+'Wind Loading'!$T$49*'Combined Stress'!AK29+'Wind Loading'!$T$48*'Combined Stress'!AK30+'Wind Loading'!$T$47*'Combined Stress'!AK31+'Wind Loading'!$T$46*'Combined Stress'!AK32+'Wind Loading'!$T$45*'Combined Stress'!AK33+'Wind Loading'!$T$44*'Combined Stress'!AK34+'Wind Loading'!$T$43*'Combined Stress'!AK35+'Wind Loading'!$T$42*'Combined Stress'!AK36+'Wind Loading'!$T$41*'Combined Stress'!AK37+'Wind Loading'!$T$40*'Combined Stress'!AK38+'Wind Loading'!$T$39*'Combined Stress'!AK39+'Wind Loading'!$T$38*'Combined Stress'!AK40+'Wind Loading'!$T$37*'Combined Stress'!AK41+'Wind Loading'!$T$36*'Combined Stress'!AK42+'Wind Loading'!$T$35*'Combined Stress'!AK43+'Wind Loading'!$T$34*'Combined Stress'!AK44+'Wind Loading'!$T$33*'Combined Stress'!AK45+'Wind Loading'!$T$32*'Combined Stress'!AK46+'Wind Loading'!$T$31*'Combined Stress'!AK47+'Wind Loading'!$T$30*'Combined Stress'!AK48+'Wind Loading'!$T$29*'Combined Stress'!AK49+'Wind Loading'!$T$28*'Combined Stress'!AK50+'Wind Loading'!$T$27*'Combined Stress'!AK51+'Wind Loading'!$T$26*'Combined Stress'!AK52+'Wind Loading'!$T$25*'Combined Stress'!AK53+'Wind Loading'!$T$24*'Combined Stress'!AK54+'Wind Loading'!$T$23*'Combined Stress'!AK55+'Wind Loading'!$T$22*'Combined Stress'!AK56+'Wind Loading'!$T$21*'Combined Stress'!AK57+'Wind Loading'!$T$20*'Combined Stress'!AK58+'Wind Loading'!$T$19*'Combined Stress'!AK59+'Wind Loading'!$T$18*'Combined Stress'!AK60+'Wind Loading'!$T$17*'Combined Stress'!AK61+'Wind Loading'!$T$16*'Combined Stress'!AK62+'Wind Loading'!$T$15*'Combined Stress'!AK63+'Wind Loading'!$T$14*'Combined Stress'!AK64+'Wind Loading'!$T$13*'Combined Stress'!AK65+'Wind Loading'!$T$12*'Combined Stress'!AK66+'Wind Loading'!$T$11*'Combined Stress'!AK67+'Wind Loading'!$T$10*'Combined Stress'!AK68+'Wind Loading'!$T$9*'Combined Stress'!AK69</f>
        <v>4022032.7389342007</v>
      </c>
      <c r="AM9" s="84">
        <f>((AL9*'Alternative 3'!K10)/'Alternative 3'!L10)/1000000</f>
        <v>64.012693237090147</v>
      </c>
      <c r="AN9" s="84">
        <f t="shared" si="8"/>
        <v>61</v>
      </c>
      <c r="AO9" s="19">
        <f>'Alternative 3'!$B$3+'Alternative 3'!$B$5+('Alternative 2'!$B$39*AN9)</f>
        <v>311388.65470913472</v>
      </c>
      <c r="AP9" s="84">
        <f>'Alternative 3'!M10</f>
        <v>2.931596357508</v>
      </c>
      <c r="AQ9" s="84">
        <f t="shared" si="9"/>
        <v>0.10621812034649623</v>
      </c>
      <c r="AR9" s="84">
        <f t="shared" si="10"/>
        <v>64.118911357436644</v>
      </c>
    </row>
    <row r="10" spans="1:44" ht="14.45" customHeight="1" x14ac:dyDescent="0.25">
      <c r="A10" s="18">
        <f>'Baseline Given'!E11</f>
        <v>8</v>
      </c>
      <c r="B10" s="45">
        <f t="shared" si="0"/>
        <v>62.5</v>
      </c>
      <c r="C10" s="45">
        <f t="shared" si="1"/>
        <v>59.5</v>
      </c>
      <c r="D10" s="19">
        <f>'Dynamic Loading'!$I$3*'Combined Stress'!B10+'Wind Loading'!$E$69*C10+'Wind Loading'!$E$68*'Combined Stress'!C11+'Wind Loading'!$E$67*'Combined Stress'!C12+'Wind Loading'!$E$66*'Combined Stress'!C13+'Wind Loading'!$E$65*'Combined Stress'!C14+'Wind Loading'!$E$64*'Combined Stress'!C15+'Wind Loading'!$E$63*'Combined Stress'!C16+'Wind Loading'!$E$62*'Combined Stress'!C17+'Wind Loading'!$E$61*'Combined Stress'!C18+'Wind Loading'!$E$60*'Combined Stress'!C19+'Wind Loading'!$E$59*'Combined Stress'!C20+'Wind Loading'!$E$58*'Combined Stress'!C21+'Wind Loading'!$E$57*'Combined Stress'!C22+'Wind Loading'!$E$56*'Combined Stress'!C23+'Wind Loading'!$E$55*'Combined Stress'!C24+'Wind Loading'!$E$54*'Combined Stress'!C25+'Wind Loading'!$E$53*'Combined Stress'!C26+'Wind Loading'!$E$52*'Combined Stress'!C27+'Wind Loading'!$E$51*'Combined Stress'!C28+'Wind Loading'!$E$50*'Combined Stress'!C29+'Wind Loading'!$E$49*'Combined Stress'!C30+'Wind Loading'!$E$48*'Combined Stress'!C31+'Wind Loading'!$E$47*'Combined Stress'!C32+'Wind Loading'!$E$46*'Combined Stress'!C33+'Wind Loading'!$E$45*'Combined Stress'!C34+'Wind Loading'!$E$44*'Combined Stress'!C35+'Wind Loading'!$E$43*'Combined Stress'!C36+'Wind Loading'!$E$42*'Combined Stress'!C37+'Wind Loading'!$E$41*'Combined Stress'!C38+'Wind Loading'!$E$40*'Combined Stress'!C39+'Wind Loading'!$E$39*'Combined Stress'!C40+'Wind Loading'!$E$38*'Combined Stress'!C41+'Wind Loading'!$E$37*'Combined Stress'!C42+'Wind Loading'!$E$36*'Combined Stress'!C43+'Wind Loading'!$E$35*'Combined Stress'!C44+'Wind Loading'!$E$34*'Combined Stress'!C45+'Wind Loading'!$E$33*'Combined Stress'!C46+'Wind Loading'!$E$32*'Combined Stress'!C47+'Wind Loading'!$E$31*'Combined Stress'!C48+'Wind Loading'!$E$30*'Combined Stress'!C49+'Wind Loading'!$E$29*'Combined Stress'!C50+'Wind Loading'!$E$28*'Combined Stress'!C51+'Wind Loading'!$E$27*'Combined Stress'!C52+'Wind Loading'!$E$26*'Combined Stress'!C53+'Wind Loading'!$E$25*'Combined Stress'!C54+'Wind Loading'!$E$24*'Combined Stress'!C55+'Wind Loading'!$E$23*'Combined Stress'!C56+'Wind Loading'!$E$22*'Combined Stress'!C57+'Wind Loading'!$E$21*'Combined Stress'!C58+'Wind Loading'!$E$20*'Combined Stress'!C59+'Wind Loading'!$E$19*'Combined Stress'!C60+'Wind Loading'!$E$18*'Combined Stress'!C61+'Wind Loading'!$E$17*'Combined Stress'!C62+'Wind Loading'!$E$16*'Combined Stress'!C63+'Wind Loading'!$E$15*'Combined Stress'!C64+'Wind Loading'!$E$14*'Combined Stress'!C65+'Wind Loading'!$E$13*'Combined Stress'!C66+'Wind Loading'!$E$12*'Combined Stress'!C67+'Wind Loading'!$E$11*'Combined Stress'!C68+'Wind Loading'!$E$10*'Combined Stress'!C69</f>
        <v>24525516.738972884</v>
      </c>
      <c r="E10" s="19">
        <f>((D10*'Baseline Given'!K11)/'Baseline Given'!L11)/1000000</f>
        <v>146.96387492161651</v>
      </c>
      <c r="F10" s="19">
        <f t="shared" si="2"/>
        <v>60</v>
      </c>
      <c r="G10" s="19">
        <f>'Baseline Given'!$B$3+'Baseline Given'!$B$5+('Baseline Given'!$B$38*F10)</f>
        <v>2151247.313432836</v>
      </c>
      <c r="H10" s="19">
        <f>'Baseline Given'!M11</f>
        <v>11.4258081635667</v>
      </c>
      <c r="I10" s="19">
        <f t="shared" si="3"/>
        <v>0.188279663253273</v>
      </c>
      <c r="J10" s="19">
        <f t="shared" si="11"/>
        <v>-147.15215458486978</v>
      </c>
      <c r="M10" s="18">
        <f>IF('Alternative 1'!F11&gt;0,'Alternative 1'!F11,"x")</f>
        <v>8</v>
      </c>
      <c r="N10" s="45">
        <f t="shared" si="12"/>
        <v>29.5</v>
      </c>
      <c r="O10" s="45">
        <f t="shared" si="13"/>
        <v>28.5</v>
      </c>
      <c r="P10" s="19">
        <f>'Dynamic Loading'!$Q$3*'Combined Stress'!N10+'Wind Loading'!$J$69*O10+'Wind Loading'!$J$68*'Combined Stress'!O11+'Wind Loading'!$J$67*'Combined Stress'!O12+'Wind Loading'!$J$66*'Combined Stress'!O13+'Wind Loading'!$J$65*'Combined Stress'!O14+'Wind Loading'!$J$64*'Combined Stress'!O15+'Wind Loading'!$J$63*'Combined Stress'!O16+'Wind Loading'!$J$62*'Combined Stress'!O17+'Wind Loading'!$J$61*'Combined Stress'!O18+'Wind Loading'!$J$60*'Combined Stress'!O19+'Wind Loading'!$J$59*'Combined Stress'!O20+'Wind Loading'!$J$58*'Combined Stress'!O21+'Wind Loading'!$J$57*'Combined Stress'!O22+'Wind Loading'!$J$56*'Combined Stress'!O23+'Wind Loading'!$J$55*'Combined Stress'!O24+'Wind Loading'!$J$54*'Combined Stress'!O25+'Wind Loading'!$J$53*'Combined Stress'!O26+'Wind Loading'!$J$52*'Combined Stress'!O27+'Wind Loading'!$J$51*'Combined Stress'!O28+'Wind Loading'!$J$50*'Combined Stress'!O29+'Wind Loading'!$J$49*'Combined Stress'!O30+'Wind Loading'!$J$48*'Combined Stress'!O31+'Wind Loading'!$J$47*'Combined Stress'!O32+'Wind Loading'!$J$46*'Combined Stress'!O33+'Wind Loading'!$J$45*'Combined Stress'!O34+'Wind Loading'!$J$44*'Combined Stress'!O35+'Wind Loading'!$J$43*'Combined Stress'!O36+'Wind Loading'!$J$42*'Combined Stress'!O37+'Wind Loading'!$J$41*'Combined Stress'!O38+'Wind Loading'!$J$40*'Combined Stress'!O39+'Wind Loading'!$J$39*'Combined Stress'!O40+'Wind Loading'!$J$38*'Combined Stress'!O41+'Wind Loading'!$J$37*'Combined Stress'!O42+'Wind Loading'!$J$36*'Combined Stress'!O43+'Wind Loading'!$J$35*'Combined Stress'!O44+'Wind Loading'!$J$34*'Combined Stress'!O45+'Wind Loading'!$J$33*'Combined Stress'!O46+'Wind Loading'!$J$32*'Combined Stress'!O47+'Wind Loading'!$J$31*'Combined Stress'!O48+'Wind Loading'!$J$30*'Combined Stress'!O49+'Wind Loading'!$J$29*'Combined Stress'!O50+'Wind Loading'!$J$28*'Combined Stress'!O51+'Wind Loading'!$J$27*'Combined Stress'!O52+'Wind Loading'!$J$26*'Combined Stress'!O53+'Wind Loading'!$J$25*'Combined Stress'!O54+'Wind Loading'!$J$24*'Combined Stress'!O55+'Wind Loading'!$J$23*'Combined Stress'!O56+'Wind Loading'!$J$22*'Combined Stress'!O57+'Wind Loading'!$J$21*'Combined Stress'!O58+'Wind Loading'!$J$20*'Combined Stress'!O59+'Wind Loading'!$J$19*'Combined Stress'!O60+'Wind Loading'!$J$18*'Combined Stress'!O61+'Wind Loading'!$J$17*'Combined Stress'!O62+'Wind Loading'!$J$16*'Combined Stress'!O63+'Wind Loading'!$J$15*'Combined Stress'!O64+'Wind Loading'!$J$14*'Combined Stress'!O65+'Wind Loading'!$J$13*'Combined Stress'!O66+'Wind Loading'!$J$12*'Combined Stress'!O67+'Wind Loading'!$J$11*'Combined Stress'!O68+'Wind Loading'!$J$10*'Combined Stress'!O69</f>
        <v>578643.07057372027</v>
      </c>
      <c r="Q10" s="19">
        <f>((P10*'Alternative 1'!K11)/'Alternative 1'!L11)/1000000</f>
        <v>4.6046991378069722</v>
      </c>
      <c r="R10" s="45">
        <f t="shared" si="14"/>
        <v>29</v>
      </c>
      <c r="S10" s="19">
        <f>IF(R10&gt;0,'Alternative 1'!$B$3+'Alternative 1'!$B$5+('Alternative 1'!$B$39*R10),0)</f>
        <v>287706.06824792596</v>
      </c>
      <c r="T10" s="19">
        <f>'Alternative 1'!M11</f>
        <v>3.0076151510882467</v>
      </c>
      <c r="U10" s="19">
        <f t="shared" si="4"/>
        <v>9.5659202988063519E-2</v>
      </c>
      <c r="V10" s="19">
        <f t="shared" si="5"/>
        <v>4.7003583407950353</v>
      </c>
      <c r="X10" s="18">
        <f>IF('Alternative 2'!$F11&gt;0,'Alternative 2'!$F11,"x")</f>
        <v>8</v>
      </c>
      <c r="Y10" s="45">
        <f t="shared" si="15"/>
        <v>16.5</v>
      </c>
      <c r="Z10" s="45">
        <f t="shared" si="16"/>
        <v>15.5</v>
      </c>
      <c r="AA10" s="19">
        <f>'Dynamic Loading'!$Y$3*'Combined Stress'!Y10+'Wind Loading'!$O$69*Z10+'Wind Loading'!$O$68*'Combined Stress'!Z11+'Wind Loading'!$O$67*'Combined Stress'!Z12+'Wind Loading'!$O$66*'Combined Stress'!Z13+'Wind Loading'!$O$65*'Combined Stress'!Z14+'Wind Loading'!$O$64*'Combined Stress'!Z15+'Wind Loading'!$O$63*'Combined Stress'!Z16+'Wind Loading'!$O$62*'Combined Stress'!Z17+'Wind Loading'!$O$61*'Combined Stress'!Z18+'Wind Loading'!$O$60*'Combined Stress'!Z19+'Wind Loading'!$O$59*'Combined Stress'!Z20+'Wind Loading'!$O$58*'Combined Stress'!Z21+'Wind Loading'!$O$57*'Combined Stress'!Z22+'Wind Loading'!$O$56*'Combined Stress'!Z23+'Wind Loading'!$O$55*'Combined Stress'!Z24+'Wind Loading'!$O$54*'Combined Stress'!Z25+'Wind Loading'!$O$53*'Combined Stress'!Z26+'Wind Loading'!$O$52*'Combined Stress'!Z27+'Wind Loading'!$O$51*'Combined Stress'!Z28+'Wind Loading'!$O$50*'Combined Stress'!Z29+'Wind Loading'!$O$49*'Combined Stress'!Z30+'Wind Loading'!$O$48*'Combined Stress'!Z31+'Wind Loading'!$O$47*'Combined Stress'!Z32+'Wind Loading'!$O$46*'Combined Stress'!Z33+'Wind Loading'!$O$45*'Combined Stress'!Z34+'Wind Loading'!$O$44*'Combined Stress'!Z35+'Wind Loading'!$O$43*'Combined Stress'!Z36+'Wind Loading'!$O$42*'Combined Stress'!Z37+'Wind Loading'!$O$41*'Combined Stress'!Z38+'Wind Loading'!$O$40*'Combined Stress'!Z39+'Wind Loading'!$O$39*'Combined Stress'!Z40+'Wind Loading'!$O$38*'Combined Stress'!Z41+'Wind Loading'!$O$37*'Combined Stress'!Z42+'Wind Loading'!$O$36*'Combined Stress'!Z43+'Wind Loading'!$O$35*'Combined Stress'!Z44+'Wind Loading'!$O$34*'Combined Stress'!Z45+'Wind Loading'!$O$33*'Combined Stress'!Z46+'Wind Loading'!$O$32*'Combined Stress'!Z47+'Wind Loading'!$O$31*'Combined Stress'!Z48+'Wind Loading'!$O$30*'Combined Stress'!Z49+'Wind Loading'!$O$29*'Combined Stress'!Z50+'Wind Loading'!$O$28*'Combined Stress'!Z51+'Wind Loading'!$O$27*'Combined Stress'!Z52+'Wind Loading'!$O$26*'Combined Stress'!Z53+'Wind Loading'!$O$25*'Combined Stress'!Z54+'Wind Loading'!$O$24*'Combined Stress'!Z55+'Wind Loading'!$O$23*'Combined Stress'!Z56+'Wind Loading'!$O$22*'Combined Stress'!Z57+'Wind Loading'!$O$21*'Combined Stress'!Z58+'Wind Loading'!$O$20*'Combined Stress'!Z59+'Wind Loading'!$O$19*'Combined Stress'!Z60+'Wind Loading'!$O$18*'Combined Stress'!Z61+'Wind Loading'!$O$17*'Combined Stress'!Z62+'Wind Loading'!$O$16*'Combined Stress'!Z63+'Wind Loading'!$O$15*'Combined Stress'!Z64+'Wind Loading'!$O$14*'Combined Stress'!Z65+'Wind Loading'!$O$13*'Combined Stress'!Z66+'Wind Loading'!$O$12*'Combined Stress'!Z67+'Wind Loading'!$O$11*'Combined Stress'!Z68+'Wind Loading'!$O$10*'Combined Stress'!Z69</f>
        <v>387176.34613252518</v>
      </c>
      <c r="AB10" s="19">
        <f>((AA10*'Alternative 2'!K11)/'Alternative 2'!L11)/1000000</f>
        <v>6.1621081384350784</v>
      </c>
      <c r="AC10" s="45">
        <f t="shared" si="17"/>
        <v>16</v>
      </c>
      <c r="AD10" s="19">
        <f>'Alternative 2'!$B$3+'Alternative 2'!$B$5+('Alternative 2'!$B$39*AC10)</f>
        <v>120024.27992960911</v>
      </c>
      <c r="AE10" s="19">
        <f>'Alternative 2'!M11</f>
        <v>1.1187136954076089</v>
      </c>
      <c r="AF10" s="19">
        <f t="shared" si="6"/>
        <v>0.1072877541611553</v>
      </c>
      <c r="AG10" s="19">
        <f t="shared" si="7"/>
        <v>6.2693958925962336</v>
      </c>
      <c r="AI10" s="18">
        <f>'Alternative 3'!F11</f>
        <v>8</v>
      </c>
      <c r="AJ10" s="83">
        <f t="shared" si="18"/>
        <v>27.5</v>
      </c>
      <c r="AK10" s="45">
        <f t="shared" si="19"/>
        <v>27.5</v>
      </c>
      <c r="AL10" s="84">
        <f>'Dynamic Loading'!$AG$3*'Combined Stress'!AJ10+'Wind Loading'!$T$69*AK10+'Wind Loading'!$T$68*'Combined Stress'!AK11+'Wind Loading'!$T$67*'Combined Stress'!AK12+'Wind Loading'!$T$66*'Combined Stress'!AK13+'Wind Loading'!$T$65*'Combined Stress'!AK14+'Wind Loading'!$T$64*'Combined Stress'!AK15+'Wind Loading'!$T$63*'Combined Stress'!AK16+'Wind Loading'!$T$62*'Combined Stress'!AK17+'Wind Loading'!$T$61*'Combined Stress'!AK18+'Wind Loading'!$T$60*'Combined Stress'!AK19+'Wind Loading'!$T$59*'Combined Stress'!AK20+'Wind Loading'!$T$58*'Combined Stress'!AK21+'Wind Loading'!$T$57*'Combined Stress'!AK22+'Wind Loading'!$T$56*'Combined Stress'!AK23+'Wind Loading'!$T$55*'Combined Stress'!AK24+'Wind Loading'!$T$54*'Combined Stress'!AK25+'Wind Loading'!$T$53*'Combined Stress'!AK26+'Wind Loading'!$T$52*'Combined Stress'!AK27+'Wind Loading'!$T$51*'Combined Stress'!AK28+'Wind Loading'!$T$50*'Combined Stress'!AK29+'Wind Loading'!$T$49*'Combined Stress'!AK30+'Wind Loading'!$T$48*'Combined Stress'!AK31+'Wind Loading'!$T$47*'Combined Stress'!AK32+'Wind Loading'!$T$46*'Combined Stress'!AK33+'Wind Loading'!$T$45*'Combined Stress'!AK34+'Wind Loading'!$T$44*'Combined Stress'!AK35+'Wind Loading'!$T$43*'Combined Stress'!AK36+'Wind Loading'!$T$42*'Combined Stress'!AK37+'Wind Loading'!$T$41*'Combined Stress'!AK38+'Wind Loading'!$T$40*'Combined Stress'!AK39+'Wind Loading'!$T$39*'Combined Stress'!AK40+'Wind Loading'!$T$38*'Combined Stress'!AK41+'Wind Loading'!$T$37*'Combined Stress'!AK42+'Wind Loading'!$T$36*'Combined Stress'!AK43+'Wind Loading'!$T$35*'Combined Stress'!AK44+'Wind Loading'!$T$34*'Combined Stress'!AK45+'Wind Loading'!$T$33*'Combined Stress'!AK46+'Wind Loading'!$T$32*'Combined Stress'!AK47+'Wind Loading'!$T$31*'Combined Stress'!AK48+'Wind Loading'!$T$30*'Combined Stress'!AK49+'Wind Loading'!$T$29*'Combined Stress'!AK50+'Wind Loading'!$T$28*'Combined Stress'!AK51+'Wind Loading'!$T$27*'Combined Stress'!AK52+'Wind Loading'!$T$26*'Combined Stress'!AK53+'Wind Loading'!$T$25*'Combined Stress'!AK54+'Wind Loading'!$T$24*'Combined Stress'!AK55+'Wind Loading'!$T$23*'Combined Stress'!AK56+'Wind Loading'!$T$22*'Combined Stress'!AK57+'Wind Loading'!$T$21*'Combined Stress'!AK58+'Wind Loading'!$T$20*'Combined Stress'!AK59+'Wind Loading'!$T$19*'Combined Stress'!AK60+'Wind Loading'!$T$18*'Combined Stress'!AK61+'Wind Loading'!$T$17*'Combined Stress'!AK62+'Wind Loading'!$T$16*'Combined Stress'!AK63+'Wind Loading'!$T$15*'Combined Stress'!AK64+'Wind Loading'!$T$14*'Combined Stress'!AK65+'Wind Loading'!$T$13*'Combined Stress'!AK66+'Wind Loading'!$T$12*'Combined Stress'!AK67+'Wind Loading'!$T$11*'Combined Stress'!AK68+'Wind Loading'!$T$10*'Combined Stress'!AK69</f>
        <v>3880908.7831821237</v>
      </c>
      <c r="AM10" s="84">
        <f>((AL10*'Alternative 3'!K11)/'Alternative 3'!L11)/1000000</f>
        <v>61.766633825262424</v>
      </c>
      <c r="AN10" s="84">
        <f t="shared" si="8"/>
        <v>60</v>
      </c>
      <c r="AO10" s="19">
        <f>'Alternative 3'!$B$3+'Alternative 3'!$B$5+('Alternative 2'!$B$39*AN10)</f>
        <v>308667.87908853416</v>
      </c>
      <c r="AP10" s="84">
        <f>'Alternative 3'!M11</f>
        <v>2.8720731078501429</v>
      </c>
      <c r="AQ10" s="84">
        <f t="shared" si="9"/>
        <v>0.10747215251758821</v>
      </c>
      <c r="AR10" s="84">
        <f t="shared" si="10"/>
        <v>61.874105977780012</v>
      </c>
    </row>
    <row r="11" spans="1:44" ht="14.45" customHeight="1" x14ac:dyDescent="0.25">
      <c r="A11" s="18">
        <f>'Baseline Given'!E12</f>
        <v>9</v>
      </c>
      <c r="B11" s="45">
        <f t="shared" si="0"/>
        <v>61.5</v>
      </c>
      <c r="C11" s="45">
        <f t="shared" si="1"/>
        <v>58.5</v>
      </c>
      <c r="D11" s="19">
        <f>'Dynamic Loading'!$I$3*'Combined Stress'!B11+'Wind Loading'!$E$69*C11+'Wind Loading'!$E$68*'Combined Stress'!C12+'Wind Loading'!$E$67*'Combined Stress'!C13+'Wind Loading'!$E$66*'Combined Stress'!C14+'Wind Loading'!$E$65*'Combined Stress'!C15+'Wind Loading'!$E$64*'Combined Stress'!C16+'Wind Loading'!$E$63*'Combined Stress'!C17+'Wind Loading'!$E$62*'Combined Stress'!C18+'Wind Loading'!$E$61*'Combined Stress'!C19+'Wind Loading'!$E$60*'Combined Stress'!C20+'Wind Loading'!$E$59*'Combined Stress'!C21+'Wind Loading'!$E$58*'Combined Stress'!C22+'Wind Loading'!$E$57*'Combined Stress'!C23+'Wind Loading'!$E$56*'Combined Stress'!C24+'Wind Loading'!$E$55*'Combined Stress'!C25+'Wind Loading'!$E$54*'Combined Stress'!C26+'Wind Loading'!$E$53*'Combined Stress'!C27+'Wind Loading'!$E$52*'Combined Stress'!C28+'Wind Loading'!$E$51*'Combined Stress'!C29+'Wind Loading'!$E$50*'Combined Stress'!C30+'Wind Loading'!$E$49*'Combined Stress'!C31+'Wind Loading'!$E$48*'Combined Stress'!C32+'Wind Loading'!$E$47*'Combined Stress'!C33+'Wind Loading'!$E$46*'Combined Stress'!C34+'Wind Loading'!$E$45*'Combined Stress'!C35+'Wind Loading'!$E$44*'Combined Stress'!C36+'Wind Loading'!$E$43*'Combined Stress'!C37+'Wind Loading'!$E$42*'Combined Stress'!C38+'Wind Loading'!$E$41*'Combined Stress'!C39+'Wind Loading'!$E$40*'Combined Stress'!C40+'Wind Loading'!$E$39*'Combined Stress'!C41+'Wind Loading'!$E$38*'Combined Stress'!C42+'Wind Loading'!$E$37*'Combined Stress'!C43+'Wind Loading'!$E$36*'Combined Stress'!C44+'Wind Loading'!$E$35*'Combined Stress'!C45+'Wind Loading'!$E$34*'Combined Stress'!C46+'Wind Loading'!$E$33*'Combined Stress'!C47+'Wind Loading'!$E$32*'Combined Stress'!C48+'Wind Loading'!$E$31*'Combined Stress'!C49+'Wind Loading'!$E$30*'Combined Stress'!C50+'Wind Loading'!$E$29*'Combined Stress'!C51+'Wind Loading'!$E$28*'Combined Stress'!C52+'Wind Loading'!$E$27*'Combined Stress'!C53+'Wind Loading'!$E$26*'Combined Stress'!C54+'Wind Loading'!$E$25*'Combined Stress'!C55+'Wind Loading'!$E$24*'Combined Stress'!C56+'Wind Loading'!$E$23*'Combined Stress'!C57+'Wind Loading'!$E$22*'Combined Stress'!C58+'Wind Loading'!$E$21*'Combined Stress'!C59+'Wind Loading'!$E$20*'Combined Stress'!C60+'Wind Loading'!$E$19*'Combined Stress'!C61+'Wind Loading'!$E$18*'Combined Stress'!C62+'Wind Loading'!$E$17*'Combined Stress'!C63+'Wind Loading'!$E$16*'Combined Stress'!C64+'Wind Loading'!$E$15*'Combined Stress'!C65+'Wind Loading'!$E$14*'Combined Stress'!C66+'Wind Loading'!$E$13*'Combined Stress'!C67+'Wind Loading'!$E$12*'Combined Stress'!C68+'Wind Loading'!$E$11*'Combined Stress'!C69</f>
        <v>24032693.506635744</v>
      </c>
      <c r="E11" s="19">
        <f>((D11*'Baseline Given'!K12)/'Baseline Given'!L12)/1000000</f>
        <v>144.99337369862292</v>
      </c>
      <c r="F11" s="19">
        <f t="shared" si="2"/>
        <v>59</v>
      </c>
      <c r="G11" s="19">
        <f>'Baseline Given'!$B$3+'Baseline Given'!$B$5+('Baseline Given'!$B$38*F11)</f>
        <v>2135088.3582089553</v>
      </c>
      <c r="H11" s="19">
        <f>'Baseline Given'!M12</f>
        <v>11.307903599167739</v>
      </c>
      <c r="I11" s="19">
        <f t="shared" si="3"/>
        <v>0.18881380969378778</v>
      </c>
      <c r="J11" s="19">
        <f t="shared" si="11"/>
        <v>-145.1821875083167</v>
      </c>
      <c r="M11" s="18">
        <f>IF('Alternative 1'!F12&gt;0,'Alternative 1'!F12,"x")</f>
        <v>9</v>
      </c>
      <c r="N11" s="45">
        <f t="shared" si="12"/>
        <v>28.5</v>
      </c>
      <c r="O11" s="45">
        <f t="shared" si="13"/>
        <v>27.5</v>
      </c>
      <c r="P11" s="19">
        <f>'Dynamic Loading'!$Q$3*'Combined Stress'!N11+'Wind Loading'!$J$69*O11+'Wind Loading'!$J$68*'Combined Stress'!O12+'Wind Loading'!$J$67*'Combined Stress'!O13+'Wind Loading'!$J$66*'Combined Stress'!O14+'Wind Loading'!$J$65*'Combined Stress'!O15+'Wind Loading'!$J$64*'Combined Stress'!O16+'Wind Loading'!$J$63*'Combined Stress'!O17+'Wind Loading'!$J$62*'Combined Stress'!O18+'Wind Loading'!$J$61*'Combined Stress'!O19+'Wind Loading'!$J$60*'Combined Stress'!O20+'Wind Loading'!$J$59*'Combined Stress'!O21+'Wind Loading'!$J$58*'Combined Stress'!O22+'Wind Loading'!$J$57*'Combined Stress'!O23+'Wind Loading'!$J$56*'Combined Stress'!O24+'Wind Loading'!$J$55*'Combined Stress'!O25+'Wind Loading'!$J$54*'Combined Stress'!O26+'Wind Loading'!$J$53*'Combined Stress'!O27+'Wind Loading'!$J$52*'Combined Stress'!O28+'Wind Loading'!$J$51*'Combined Stress'!O29+'Wind Loading'!$J$50*'Combined Stress'!O30+'Wind Loading'!$J$49*'Combined Stress'!O31+'Wind Loading'!$J$48*'Combined Stress'!O32+'Wind Loading'!$J$47*'Combined Stress'!O33+'Wind Loading'!$J$46*'Combined Stress'!O34+'Wind Loading'!$J$45*'Combined Stress'!O35+'Wind Loading'!$J$44*'Combined Stress'!O36+'Wind Loading'!$J$43*'Combined Stress'!O37+'Wind Loading'!$J$42*'Combined Stress'!O38+'Wind Loading'!$J$41*'Combined Stress'!O39+'Wind Loading'!$J$40*'Combined Stress'!O40+'Wind Loading'!$J$39*'Combined Stress'!O41+'Wind Loading'!$J$38*'Combined Stress'!O42+'Wind Loading'!$J$37*'Combined Stress'!O43+'Wind Loading'!$J$36*'Combined Stress'!O44+'Wind Loading'!$J$35*'Combined Stress'!O45+'Wind Loading'!$J$34*'Combined Stress'!O46+'Wind Loading'!$J$33*'Combined Stress'!O47+'Wind Loading'!$J$32*'Combined Stress'!O48+'Wind Loading'!$J$31*'Combined Stress'!O49+'Wind Loading'!$J$30*'Combined Stress'!O50+'Wind Loading'!$J$29*'Combined Stress'!O51+'Wind Loading'!$J$28*'Combined Stress'!O52+'Wind Loading'!$J$27*'Combined Stress'!O53+'Wind Loading'!$J$26*'Combined Stress'!O54+'Wind Loading'!$J$25*'Combined Stress'!O55+'Wind Loading'!$J$24*'Combined Stress'!O56+'Wind Loading'!$J$23*'Combined Stress'!O57+'Wind Loading'!$J$22*'Combined Stress'!O58+'Wind Loading'!$J$21*'Combined Stress'!O59+'Wind Loading'!$J$20*'Combined Stress'!O60+'Wind Loading'!$J$19*'Combined Stress'!O61+'Wind Loading'!$J$18*'Combined Stress'!O62+'Wind Loading'!$J$17*'Combined Stress'!O63+'Wind Loading'!$J$16*'Combined Stress'!O64+'Wind Loading'!$J$15*'Combined Stress'!O65+'Wind Loading'!$J$14*'Combined Stress'!O66+'Wind Loading'!$J$13*'Combined Stress'!O67+'Wind Loading'!$J$12*'Combined Stress'!O68+'Wind Loading'!$J$11*'Combined Stress'!O69</f>
        <v>559028.05123223818</v>
      </c>
      <c r="Q11" s="19">
        <f>((P11*'Alternative 1'!K12)/'Alternative 1'!L12)/1000000</f>
        <v>4.448607641610125</v>
      </c>
      <c r="R11" s="45">
        <f t="shared" si="14"/>
        <v>28</v>
      </c>
      <c r="S11" s="19">
        <f>IF(R11&gt;0,'Alternative 1'!$B$3+'Alternative 1'!$B$5+('Alternative 1'!$B$39*R11),0)</f>
        <v>279202.73750834237</v>
      </c>
      <c r="T11" s="19">
        <f>'Alternative 1'!M12</f>
        <v>2.9467898866542503</v>
      </c>
      <c r="U11" s="19">
        <f t="shared" si="4"/>
        <v>9.4748098184002441E-2</v>
      </c>
      <c r="V11" s="19">
        <f t="shared" si="5"/>
        <v>4.5433557397941273</v>
      </c>
      <c r="X11" s="18">
        <f>IF('Alternative 2'!$F12&gt;0,'Alternative 2'!$F12,"x")</f>
        <v>9</v>
      </c>
      <c r="Y11" s="45">
        <f t="shared" si="15"/>
        <v>15.5</v>
      </c>
      <c r="Z11" s="45">
        <f t="shared" si="16"/>
        <v>14.5</v>
      </c>
      <c r="AA11" s="19">
        <f>'Dynamic Loading'!$Y$3*'Combined Stress'!Y11+'Wind Loading'!$O$69*Z11+'Wind Loading'!$O$68*'Combined Stress'!Z12+'Wind Loading'!$O$67*'Combined Stress'!Z13+'Wind Loading'!$O$66*'Combined Stress'!Z14+'Wind Loading'!$O$65*'Combined Stress'!Z15+'Wind Loading'!$O$64*'Combined Stress'!Z16+'Wind Loading'!$O$63*'Combined Stress'!Z17+'Wind Loading'!$O$62*'Combined Stress'!Z18+'Wind Loading'!$O$61*'Combined Stress'!Z19+'Wind Loading'!$O$60*'Combined Stress'!Z20+'Wind Loading'!$O$59*'Combined Stress'!Z21+'Wind Loading'!$O$58*'Combined Stress'!Z22+'Wind Loading'!$O$57*'Combined Stress'!Z23+'Wind Loading'!$O$56*'Combined Stress'!Z24+'Wind Loading'!$O$55*'Combined Stress'!Z25+'Wind Loading'!$O$54*'Combined Stress'!Z26+'Wind Loading'!$O$53*'Combined Stress'!Z27+'Wind Loading'!$O$52*'Combined Stress'!Z28+'Wind Loading'!$O$51*'Combined Stress'!Z29+'Wind Loading'!$O$50*'Combined Stress'!Z30+'Wind Loading'!$O$49*'Combined Stress'!Z31+'Wind Loading'!$O$48*'Combined Stress'!Z32+'Wind Loading'!$O$47*'Combined Stress'!Z33+'Wind Loading'!$O$46*'Combined Stress'!Z34+'Wind Loading'!$O$45*'Combined Stress'!Z35+'Wind Loading'!$O$44*'Combined Stress'!Z36+'Wind Loading'!$O$43*'Combined Stress'!Z37+'Wind Loading'!$O$42*'Combined Stress'!Z38+'Wind Loading'!$O$41*'Combined Stress'!Z39+'Wind Loading'!$O$40*'Combined Stress'!Z40+'Wind Loading'!$O$39*'Combined Stress'!Z41+'Wind Loading'!$O$38*'Combined Stress'!Z42+'Wind Loading'!$O$37*'Combined Stress'!Z43+'Wind Loading'!$O$36*'Combined Stress'!Z44+'Wind Loading'!$O$35*'Combined Stress'!Z45+'Wind Loading'!$O$34*'Combined Stress'!Z46+'Wind Loading'!$O$33*'Combined Stress'!Z47+'Wind Loading'!$O$32*'Combined Stress'!Z48+'Wind Loading'!$O$31*'Combined Stress'!Z49+'Wind Loading'!$O$30*'Combined Stress'!Z50+'Wind Loading'!$O$29*'Combined Stress'!Z51+'Wind Loading'!$O$28*'Combined Stress'!Z52+'Wind Loading'!$O$27*'Combined Stress'!Z53+'Wind Loading'!$O$26*'Combined Stress'!Z54+'Wind Loading'!$O$25*'Combined Stress'!Z55+'Wind Loading'!$O$24*'Combined Stress'!Z56+'Wind Loading'!$O$23*'Combined Stress'!Z57+'Wind Loading'!$O$22*'Combined Stress'!Z58+'Wind Loading'!$O$21*'Combined Stress'!Z59+'Wind Loading'!$O$20*'Combined Stress'!Z60+'Wind Loading'!$O$19*'Combined Stress'!Z61+'Wind Loading'!$O$18*'Combined Stress'!Z62+'Wind Loading'!$O$17*'Combined Stress'!Z63+'Wind Loading'!$O$16*'Combined Stress'!Z64+'Wind Loading'!$O$15*'Combined Stress'!Z65+'Wind Loading'!$O$14*'Combined Stress'!Z66+'Wind Loading'!$O$13*'Combined Stress'!Z67+'Wind Loading'!$O$12*'Combined Stress'!Z68+'Wind Loading'!$O$11*'Combined Stress'!Z69</f>
        <v>363711.11303358426</v>
      </c>
      <c r="AB11" s="19">
        <f>((AA11*'Alternative 2'!K12)/'Alternative 2'!L12)/1000000</f>
        <v>5.7886470391359834</v>
      </c>
      <c r="AC11" s="45">
        <f t="shared" si="17"/>
        <v>15</v>
      </c>
      <c r="AD11" s="19">
        <f>'Alternative 2'!$B$3+'Alternative 2'!$B$5+('Alternative 2'!$B$39*AC11)</f>
        <v>117303.50430900854</v>
      </c>
      <c r="AE11" s="19">
        <f>'Alternative 2'!M12</f>
        <v>1.0823352065217393</v>
      </c>
      <c r="AF11" s="19">
        <f t="shared" si="6"/>
        <v>0.10838001351354215</v>
      </c>
      <c r="AG11" s="19">
        <f t="shared" si="7"/>
        <v>5.8970270526495252</v>
      </c>
      <c r="AI11" s="18">
        <f>'Alternative 3'!F12</f>
        <v>9</v>
      </c>
      <c r="AJ11" s="83">
        <f t="shared" si="18"/>
        <v>26.5</v>
      </c>
      <c r="AK11" s="45">
        <f t="shared" si="19"/>
        <v>26.5</v>
      </c>
      <c r="AL11" s="84">
        <f>'Dynamic Loading'!$AG$3*'Combined Stress'!AJ11+'Wind Loading'!$T$69*AK11+'Wind Loading'!$T$68*'Combined Stress'!AK12+'Wind Loading'!$T$67*'Combined Stress'!AK13+'Wind Loading'!$T$66*'Combined Stress'!AK14+'Wind Loading'!$T$65*'Combined Stress'!AK15+'Wind Loading'!$T$64*'Combined Stress'!AK16+'Wind Loading'!$T$63*'Combined Stress'!AK17+'Wind Loading'!$T$62*'Combined Stress'!AK18+'Wind Loading'!$T$61*'Combined Stress'!AK19+'Wind Loading'!$T$60*'Combined Stress'!AK20+'Wind Loading'!$T$59*'Combined Stress'!AK21+'Wind Loading'!$T$58*'Combined Stress'!AK22+'Wind Loading'!$T$57*'Combined Stress'!AK23+'Wind Loading'!$T$56*'Combined Stress'!AK24+'Wind Loading'!$T$55*'Combined Stress'!AK25+'Wind Loading'!$T$54*'Combined Stress'!AK26+'Wind Loading'!$T$53*'Combined Stress'!AK27+'Wind Loading'!$T$52*'Combined Stress'!AK28+'Wind Loading'!$T$51*'Combined Stress'!AK29+'Wind Loading'!$T$50*'Combined Stress'!AK30+'Wind Loading'!$T$49*'Combined Stress'!AK31+'Wind Loading'!$T$48*'Combined Stress'!AK32+'Wind Loading'!$T$47*'Combined Stress'!AK33+'Wind Loading'!$T$46*'Combined Stress'!AK34+'Wind Loading'!$T$45*'Combined Stress'!AK35+'Wind Loading'!$T$44*'Combined Stress'!AK36+'Wind Loading'!$T$43*'Combined Stress'!AK37+'Wind Loading'!$T$42*'Combined Stress'!AK38+'Wind Loading'!$T$41*'Combined Stress'!AK39+'Wind Loading'!$T$40*'Combined Stress'!AK40+'Wind Loading'!$T$39*'Combined Stress'!AK41+'Wind Loading'!$T$38*'Combined Stress'!AK42+'Wind Loading'!$T$37*'Combined Stress'!AK43+'Wind Loading'!$T$36*'Combined Stress'!AK44+'Wind Loading'!$T$35*'Combined Stress'!AK45+'Wind Loading'!$T$34*'Combined Stress'!AK46+'Wind Loading'!$T$33*'Combined Stress'!AK47+'Wind Loading'!$T$32*'Combined Stress'!AK48+'Wind Loading'!$T$31*'Combined Stress'!AK49+'Wind Loading'!$T$30*'Combined Stress'!AK50+'Wind Loading'!$T$29*'Combined Stress'!AK51+'Wind Loading'!$T$28*'Combined Stress'!AK52+'Wind Loading'!$T$27*'Combined Stress'!AK53+'Wind Loading'!$T$26*'Combined Stress'!AK54+'Wind Loading'!$T$25*'Combined Stress'!AK55+'Wind Loading'!$T$24*'Combined Stress'!AK56+'Wind Loading'!$T$23*'Combined Stress'!AK57+'Wind Loading'!$T$22*'Combined Stress'!AK58+'Wind Loading'!$T$21*'Combined Stress'!AK59+'Wind Loading'!$T$20*'Combined Stress'!AK60+'Wind Loading'!$T$19*'Combined Stress'!AK61+'Wind Loading'!$T$18*'Combined Stress'!AK62+'Wind Loading'!$T$17*'Combined Stress'!AK63+'Wind Loading'!$T$16*'Combined Stress'!AK64+'Wind Loading'!$T$15*'Combined Stress'!AK65+'Wind Loading'!$T$14*'Combined Stress'!AK66+'Wind Loading'!$T$13*'Combined Stress'!AK67+'Wind Loading'!$T$12*'Combined Stress'!AK68+'Wind Loading'!$T$11*'Combined Stress'!AK69</f>
        <v>3739784.8274300462</v>
      </c>
      <c r="AM11" s="84">
        <f>((AL11*'Alternative 3'!K12)/'Alternative 3'!L12)/1000000</f>
        <v>59.520574413434709</v>
      </c>
      <c r="AN11" s="84">
        <f t="shared" si="8"/>
        <v>59</v>
      </c>
      <c r="AO11" s="19">
        <f>'Alternative 3'!$B$3+'Alternative 3'!$B$5+('Alternative 2'!$B$39*AN11)</f>
        <v>305947.1034679336</v>
      </c>
      <c r="AP11" s="84">
        <f>'Alternative 3'!M12</f>
        <v>2.8131603530605713</v>
      </c>
      <c r="AQ11" s="84">
        <f t="shared" si="9"/>
        <v>0.10875565736417377</v>
      </c>
      <c r="AR11" s="84">
        <f t="shared" si="10"/>
        <v>59.629330070798879</v>
      </c>
    </row>
    <row r="12" spans="1:44" ht="14.45" customHeight="1" x14ac:dyDescent="0.25">
      <c r="A12" s="18">
        <f>'Baseline Given'!E13</f>
        <v>10</v>
      </c>
      <c r="B12" s="45">
        <f t="shared" si="0"/>
        <v>60.5</v>
      </c>
      <c r="C12" s="45">
        <f t="shared" si="1"/>
        <v>57.5</v>
      </c>
      <c r="D12" s="19">
        <f>'Dynamic Loading'!$I$3*'Combined Stress'!B12+'Wind Loading'!$E$69*C12+'Wind Loading'!$E$68*'Combined Stress'!C13+'Wind Loading'!$E$67*'Combined Stress'!C14+'Wind Loading'!$E$66*'Combined Stress'!C15+'Wind Loading'!$E$65*'Combined Stress'!C16+'Wind Loading'!$E$64*'Combined Stress'!C17+'Wind Loading'!$E$63*'Combined Stress'!C18+'Wind Loading'!$E$62*'Combined Stress'!C19+'Wind Loading'!$E$61*'Combined Stress'!C20+'Wind Loading'!$E$60*'Combined Stress'!C21+'Wind Loading'!$E$59*'Combined Stress'!C22+'Wind Loading'!$E$58*'Combined Stress'!C23+'Wind Loading'!$E$57*'Combined Stress'!C24+'Wind Loading'!$E$56*'Combined Stress'!C25+'Wind Loading'!$E$55*'Combined Stress'!C26+'Wind Loading'!$E$54*'Combined Stress'!C27+'Wind Loading'!$E$53*'Combined Stress'!C28+'Wind Loading'!$E$52*'Combined Stress'!C29+'Wind Loading'!$E$51*'Combined Stress'!C30+'Wind Loading'!$E$50*'Combined Stress'!C31+'Wind Loading'!$E$49*'Combined Stress'!C32+'Wind Loading'!$E$48*'Combined Stress'!C33+'Wind Loading'!$E$47*'Combined Stress'!C34+'Wind Loading'!$E$46*'Combined Stress'!C35+'Wind Loading'!$E$45*'Combined Stress'!C36+'Wind Loading'!$E$44*'Combined Stress'!C37+'Wind Loading'!$E$43*'Combined Stress'!C38+'Wind Loading'!$E$42*'Combined Stress'!C39+'Wind Loading'!$E$41*'Combined Stress'!C40+'Wind Loading'!$E$40*'Combined Stress'!C41+'Wind Loading'!$E$39*'Combined Stress'!C42+'Wind Loading'!$E$38*'Combined Stress'!C43+'Wind Loading'!$E$37*'Combined Stress'!C44+'Wind Loading'!$E$36*'Combined Stress'!C45+'Wind Loading'!$E$35*'Combined Stress'!C46+'Wind Loading'!$E$34*'Combined Stress'!C47+'Wind Loading'!$E$33*'Combined Stress'!C48+'Wind Loading'!$E$32*'Combined Stress'!C49+'Wind Loading'!$E$31*'Combined Stress'!C50+'Wind Loading'!$E$30*'Combined Stress'!C51+'Wind Loading'!$E$29*'Combined Stress'!C52+'Wind Loading'!$E$28*'Combined Stress'!C53+'Wind Loading'!$E$27*'Combined Stress'!C54+'Wind Loading'!$E$26*'Combined Stress'!C55+'Wind Loading'!$E$25*'Combined Stress'!C56+'Wind Loading'!$E$24*'Combined Stress'!C57+'Wind Loading'!$E$23*'Combined Stress'!C58+'Wind Loading'!$E$22*'Combined Stress'!C59+'Wind Loading'!$E$21*'Combined Stress'!C60+'Wind Loading'!$E$20*'Combined Stress'!C61+'Wind Loading'!$E$19*'Combined Stress'!C62+'Wind Loading'!$E$18*'Combined Stress'!C63+'Wind Loading'!$E$17*'Combined Stress'!C64+'Wind Loading'!$E$16*'Combined Stress'!C65+'Wind Loading'!$E$15*'Combined Stress'!C66+'Wind Loading'!$E$14*'Combined Stress'!C67+'Wind Loading'!$E$13*'Combined Stress'!C68+'Wind Loading'!$E$12*'Combined Stress'!C69</f>
        <v>23542889.278893195</v>
      </c>
      <c r="E12" s="19">
        <f>((D12*'Baseline Given'!K13)/'Baseline Given'!L13)/1000000</f>
        <v>143.01413619585912</v>
      </c>
      <c r="F12" s="19">
        <f t="shared" si="2"/>
        <v>58</v>
      </c>
      <c r="G12" s="19">
        <f>'Baseline Given'!$B$3+'Baseline Given'!$B$5+('Baseline Given'!$B$38*F12)</f>
        <v>2118929.4029850746</v>
      </c>
      <c r="H12" s="19">
        <f>'Baseline Given'!M13</f>
        <v>11.190610531031817</v>
      </c>
      <c r="I12" s="19">
        <f t="shared" si="3"/>
        <v>0.18934886502476653</v>
      </c>
      <c r="J12" s="19">
        <f t="shared" si="11"/>
        <v>-143.20348506088388</v>
      </c>
      <c r="M12" s="18">
        <f>IF('Alternative 1'!F13&gt;0,'Alternative 1'!F13,"x")</f>
        <v>10</v>
      </c>
      <c r="N12" s="45">
        <f t="shared" si="12"/>
        <v>27.5</v>
      </c>
      <c r="O12" s="45">
        <f t="shared" si="13"/>
        <v>26.5</v>
      </c>
      <c r="P12" s="19">
        <f>'Dynamic Loading'!$Q$3*'Combined Stress'!N12+'Wind Loading'!$J$69*O12+'Wind Loading'!$J$68*'Combined Stress'!O13+'Wind Loading'!$J$67*'Combined Stress'!O14+'Wind Loading'!$J$66*'Combined Stress'!O15+'Wind Loading'!$J$65*'Combined Stress'!O16+'Wind Loading'!$J$64*'Combined Stress'!O17+'Wind Loading'!$J$63*'Combined Stress'!O18+'Wind Loading'!$J$62*'Combined Stress'!O19+'Wind Loading'!$J$61*'Combined Stress'!O20+'Wind Loading'!$J$60*'Combined Stress'!O21+'Wind Loading'!$J$59*'Combined Stress'!O22+'Wind Loading'!$J$58*'Combined Stress'!O23+'Wind Loading'!$J$57*'Combined Stress'!O24+'Wind Loading'!$J$56*'Combined Stress'!O25+'Wind Loading'!$J$55*'Combined Stress'!O26+'Wind Loading'!$J$54*'Combined Stress'!O27+'Wind Loading'!$J$53*'Combined Stress'!O28+'Wind Loading'!$J$52*'Combined Stress'!O29+'Wind Loading'!$J$51*'Combined Stress'!O30+'Wind Loading'!$J$50*'Combined Stress'!O31+'Wind Loading'!$J$49*'Combined Stress'!O32+'Wind Loading'!$J$48*'Combined Stress'!O33+'Wind Loading'!$J$47*'Combined Stress'!O34+'Wind Loading'!$J$46*'Combined Stress'!O35+'Wind Loading'!$J$45*'Combined Stress'!O36+'Wind Loading'!$J$44*'Combined Stress'!O37+'Wind Loading'!$J$43*'Combined Stress'!O38+'Wind Loading'!$J$42*'Combined Stress'!O39+'Wind Loading'!$J$41*'Combined Stress'!O40+'Wind Loading'!$J$40*'Combined Stress'!O41+'Wind Loading'!$J$39*'Combined Stress'!O42+'Wind Loading'!$J$38*'Combined Stress'!O43+'Wind Loading'!$J$37*'Combined Stress'!O44+'Wind Loading'!$J$36*'Combined Stress'!O45+'Wind Loading'!$J$35*'Combined Stress'!O46+'Wind Loading'!$J$34*'Combined Stress'!O47+'Wind Loading'!$J$33*'Combined Stress'!O48+'Wind Loading'!$J$32*'Combined Stress'!O49+'Wind Loading'!$J$31*'Combined Stress'!O50+'Wind Loading'!$J$30*'Combined Stress'!O51+'Wind Loading'!$J$29*'Combined Stress'!O52+'Wind Loading'!$J$28*'Combined Stress'!O53+'Wind Loading'!$J$27*'Combined Stress'!O54+'Wind Loading'!$J$26*'Combined Stress'!O55+'Wind Loading'!$J$25*'Combined Stress'!O56+'Wind Loading'!$J$24*'Combined Stress'!O57+'Wind Loading'!$J$23*'Combined Stress'!O58+'Wind Loading'!$J$22*'Combined Stress'!O59+'Wind Loading'!$J$21*'Combined Stress'!O60+'Wind Loading'!$J$20*'Combined Stress'!O61+'Wind Loading'!$J$19*'Combined Stress'!O62+'Wind Loading'!$J$18*'Combined Stress'!O63+'Wind Loading'!$J$17*'Combined Stress'!O64+'Wind Loading'!$J$16*'Combined Stress'!O65+'Wind Loading'!$J$15*'Combined Stress'!O66+'Wind Loading'!$J$14*'Combined Stress'!O67+'Wind Loading'!$J$13*'Combined Stress'!O68+'Wind Loading'!$J$12*'Combined Stress'!O69</f>
        <v>539413.03189075622</v>
      </c>
      <c r="Q12" s="19">
        <f>((P12*'Alternative 1'!K13)/'Alternative 1'!L13)/1000000</f>
        <v>4.2925161454132796</v>
      </c>
      <c r="R12" s="45">
        <f t="shared" si="14"/>
        <v>27</v>
      </c>
      <c r="S12" s="19">
        <f>IF(R12&gt;0,'Alternative 1'!$B$3+'Alternative 1'!$B$5+('Alternative 1'!$B$39*R12),0)</f>
        <v>270699.40676875866</v>
      </c>
      <c r="T12" s="19">
        <f>'Alternative 1'!M13</f>
        <v>2.8865859788950248</v>
      </c>
      <c r="U12" s="19">
        <f t="shared" si="4"/>
        <v>9.3778397299768446E-2</v>
      </c>
      <c r="V12" s="19">
        <f t="shared" si="5"/>
        <v>4.3862945427130482</v>
      </c>
      <c r="X12" s="18">
        <f>IF('Alternative 2'!$F13&gt;0,'Alternative 2'!$F13,"x")</f>
        <v>10</v>
      </c>
      <c r="Y12" s="45">
        <f t="shared" si="15"/>
        <v>14.5</v>
      </c>
      <c r="Z12" s="45">
        <f t="shared" si="16"/>
        <v>13.5</v>
      </c>
      <c r="AA12" s="19">
        <f>'Dynamic Loading'!$Y$3*'Combined Stress'!Y12+'Wind Loading'!$O$69*Z12+'Wind Loading'!$O$68*'Combined Stress'!Z13+'Wind Loading'!$O$67*'Combined Stress'!Z14+'Wind Loading'!$O$66*'Combined Stress'!Z15+'Wind Loading'!$O$65*'Combined Stress'!Z16+'Wind Loading'!$O$64*'Combined Stress'!Z17+'Wind Loading'!$O$63*'Combined Stress'!Z18+'Wind Loading'!$O$62*'Combined Stress'!Z19+'Wind Loading'!$O$61*'Combined Stress'!Z20+'Wind Loading'!$O$60*'Combined Stress'!Z21+'Wind Loading'!$O$59*'Combined Stress'!Z22+'Wind Loading'!$O$58*'Combined Stress'!Z23+'Wind Loading'!$O$57*'Combined Stress'!Z24+'Wind Loading'!$O$56*'Combined Stress'!Z25+'Wind Loading'!$O$55*'Combined Stress'!Z26+'Wind Loading'!$O$54*'Combined Stress'!Z27+'Wind Loading'!$O$53*'Combined Stress'!Z28+'Wind Loading'!$O$52*'Combined Stress'!Z29+'Wind Loading'!$O$51*'Combined Stress'!Z30+'Wind Loading'!$O$50*'Combined Stress'!Z31+'Wind Loading'!$O$49*'Combined Stress'!Z32+'Wind Loading'!$O$48*'Combined Stress'!Z33+'Wind Loading'!$O$47*'Combined Stress'!Z34+'Wind Loading'!$O$46*'Combined Stress'!Z35+'Wind Loading'!$O$45*'Combined Stress'!Z36+'Wind Loading'!$O$44*'Combined Stress'!Z37+'Wind Loading'!$O$43*'Combined Stress'!Z38+'Wind Loading'!$O$42*'Combined Stress'!Z39+'Wind Loading'!$O$41*'Combined Stress'!Z40+'Wind Loading'!$O$40*'Combined Stress'!Z41+'Wind Loading'!$O$39*'Combined Stress'!Z42+'Wind Loading'!$O$38*'Combined Stress'!Z43+'Wind Loading'!$O$37*'Combined Stress'!Z44+'Wind Loading'!$O$36*'Combined Stress'!Z45+'Wind Loading'!$O$35*'Combined Stress'!Z46+'Wind Loading'!$O$34*'Combined Stress'!Z47+'Wind Loading'!$O$33*'Combined Stress'!Z48+'Wind Loading'!$O$32*'Combined Stress'!Z49+'Wind Loading'!$O$31*'Combined Stress'!Z50+'Wind Loading'!$O$30*'Combined Stress'!Z51+'Wind Loading'!$O$29*'Combined Stress'!Z52+'Wind Loading'!$O$28*'Combined Stress'!Z53+'Wind Loading'!$O$27*'Combined Stress'!Z54+'Wind Loading'!$O$26*'Combined Stress'!Z55+'Wind Loading'!$O$25*'Combined Stress'!Z56+'Wind Loading'!$O$24*'Combined Stress'!Z57+'Wind Loading'!$O$23*'Combined Stress'!Z58+'Wind Loading'!$O$22*'Combined Stress'!Z59+'Wind Loading'!$O$21*'Combined Stress'!Z60+'Wind Loading'!$O$20*'Combined Stress'!Z61+'Wind Loading'!$O$19*'Combined Stress'!Z62+'Wind Loading'!$O$18*'Combined Stress'!Z63+'Wind Loading'!$O$17*'Combined Stress'!Z64+'Wind Loading'!$O$16*'Combined Stress'!Z65+'Wind Loading'!$O$15*'Combined Stress'!Z66+'Wind Loading'!$O$14*'Combined Stress'!Z67+'Wind Loading'!$O$13*'Combined Stress'!Z68+'Wind Loading'!$O$12*'Combined Stress'!Z69</f>
        <v>340245.87993464334</v>
      </c>
      <c r="AB12" s="19">
        <f>((AA12*'Alternative 2'!K13)/'Alternative 2'!L13)/1000000</f>
        <v>5.4151859398368867</v>
      </c>
      <c r="AC12" s="45">
        <f t="shared" si="17"/>
        <v>14</v>
      </c>
      <c r="AD12" s="19">
        <f>'Alternative 2'!$B$3+'Alternative 2'!$B$5+('Alternative 2'!$B$39*AC12)</f>
        <v>114582.72868840798</v>
      </c>
      <c r="AE12" s="19">
        <f>'Alternative 2'!M13</f>
        <v>1.0465580149728262</v>
      </c>
      <c r="AF12" s="19">
        <f t="shared" si="6"/>
        <v>0.10948530998674079</v>
      </c>
      <c r="AG12" s="19">
        <f t="shared" si="7"/>
        <v>5.5246712498236272</v>
      </c>
      <c r="AI12" s="18">
        <f>'Alternative 3'!F13</f>
        <v>10</v>
      </c>
      <c r="AJ12" s="83">
        <f t="shared" si="18"/>
        <v>25.5</v>
      </c>
      <c r="AK12" s="45">
        <f t="shared" si="19"/>
        <v>25.5</v>
      </c>
      <c r="AL12" s="84">
        <f>'Dynamic Loading'!$AG$3*'Combined Stress'!AJ12+'Wind Loading'!$T$69*AK12+'Wind Loading'!$T$68*'Combined Stress'!AK13+'Wind Loading'!$T$67*'Combined Stress'!AK14+'Wind Loading'!$T$66*'Combined Stress'!AK15+'Wind Loading'!$T$65*'Combined Stress'!AK16+'Wind Loading'!$T$64*'Combined Stress'!AK17+'Wind Loading'!$T$63*'Combined Stress'!AK18+'Wind Loading'!$T$62*'Combined Stress'!AK19+'Wind Loading'!$T$61*'Combined Stress'!AK20+'Wind Loading'!$T$60*'Combined Stress'!AK21+'Wind Loading'!$T$59*'Combined Stress'!AK22+'Wind Loading'!$T$58*'Combined Stress'!AK23+'Wind Loading'!$T$57*'Combined Stress'!AK24+'Wind Loading'!$T$56*'Combined Stress'!AK25+'Wind Loading'!$T$55*'Combined Stress'!AK26+'Wind Loading'!$T$54*'Combined Stress'!AK27+'Wind Loading'!$T$53*'Combined Stress'!AK28+'Wind Loading'!$T$52*'Combined Stress'!AK29+'Wind Loading'!$T$51*'Combined Stress'!AK30+'Wind Loading'!$T$50*'Combined Stress'!AK31+'Wind Loading'!$T$49*'Combined Stress'!AK32+'Wind Loading'!$T$48*'Combined Stress'!AK33+'Wind Loading'!$T$47*'Combined Stress'!AK34+'Wind Loading'!$T$46*'Combined Stress'!AK35+'Wind Loading'!$T$45*'Combined Stress'!AK36+'Wind Loading'!$T$44*'Combined Stress'!AK37+'Wind Loading'!$T$43*'Combined Stress'!AK38+'Wind Loading'!$T$42*'Combined Stress'!AK39+'Wind Loading'!$T$41*'Combined Stress'!AK40+'Wind Loading'!$T$40*'Combined Stress'!AK41+'Wind Loading'!$T$39*'Combined Stress'!AK42+'Wind Loading'!$T$38*'Combined Stress'!AK43+'Wind Loading'!$T$37*'Combined Stress'!AK44+'Wind Loading'!$T$36*'Combined Stress'!AK45+'Wind Loading'!$T$35*'Combined Stress'!AK46+'Wind Loading'!$T$34*'Combined Stress'!AK47+'Wind Loading'!$T$33*'Combined Stress'!AK48+'Wind Loading'!$T$32*'Combined Stress'!AK49+'Wind Loading'!$T$31*'Combined Stress'!AK50+'Wind Loading'!$T$30*'Combined Stress'!AK51+'Wind Loading'!$T$29*'Combined Stress'!AK52+'Wind Loading'!$T$28*'Combined Stress'!AK53+'Wind Loading'!$T$27*'Combined Stress'!AK54+'Wind Loading'!$T$26*'Combined Stress'!AK55+'Wind Loading'!$T$25*'Combined Stress'!AK56+'Wind Loading'!$T$24*'Combined Stress'!AK57+'Wind Loading'!$T$23*'Combined Stress'!AK58+'Wind Loading'!$T$22*'Combined Stress'!AK59+'Wind Loading'!$T$21*'Combined Stress'!AK60+'Wind Loading'!$T$20*'Combined Stress'!AK61+'Wind Loading'!$T$19*'Combined Stress'!AK62+'Wind Loading'!$T$18*'Combined Stress'!AK63+'Wind Loading'!$T$17*'Combined Stress'!AK64+'Wind Loading'!$T$16*'Combined Stress'!AK65+'Wind Loading'!$T$15*'Combined Stress'!AK66+'Wind Loading'!$T$14*'Combined Stress'!AK67+'Wind Loading'!$T$13*'Combined Stress'!AK68+'Wind Loading'!$T$12*'Combined Stress'!AK69</f>
        <v>3598660.8716779691</v>
      </c>
      <c r="AM12" s="84">
        <f>((AL12*'Alternative 3'!K13)/'Alternative 3'!L13)/1000000</f>
        <v>57.274515001606972</v>
      </c>
      <c r="AN12" s="84">
        <f t="shared" si="8"/>
        <v>58</v>
      </c>
      <c r="AO12" s="19">
        <f>'Alternative 3'!$B$3+'Alternative 3'!$B$5+('Alternative 2'!$B$39*AN12)</f>
        <v>303226.32784733304</v>
      </c>
      <c r="AP12" s="84">
        <f>'Alternative 3'!M13</f>
        <v>2.7548580931392861</v>
      </c>
      <c r="AQ12" s="84">
        <f t="shared" si="9"/>
        <v>0.11006967240980201</v>
      </c>
      <c r="AR12" s="84">
        <f t="shared" si="10"/>
        <v>57.384584674016772</v>
      </c>
    </row>
    <row r="13" spans="1:44" ht="14.45" customHeight="1" x14ac:dyDescent="0.25">
      <c r="A13" s="18">
        <f>'Baseline Given'!E14</f>
        <v>11</v>
      </c>
      <c r="B13" s="45">
        <f t="shared" si="0"/>
        <v>59.5</v>
      </c>
      <c r="C13" s="45">
        <f t="shared" si="1"/>
        <v>56.5</v>
      </c>
      <c r="D13" s="19">
        <f>'Dynamic Loading'!$I$3*'Combined Stress'!B13+'Wind Loading'!$E$69*C13+'Wind Loading'!$E$68*'Combined Stress'!C14+'Wind Loading'!$E$67*'Combined Stress'!C15+'Wind Loading'!$E$66*'Combined Stress'!C16+'Wind Loading'!$E$65*'Combined Stress'!C17+'Wind Loading'!$E$64*'Combined Stress'!C18+'Wind Loading'!$E$63*'Combined Stress'!C19+'Wind Loading'!$E$62*'Combined Stress'!C20+'Wind Loading'!$E$61*'Combined Stress'!C21+'Wind Loading'!$E$60*'Combined Stress'!C22+'Wind Loading'!$E$59*'Combined Stress'!C23+'Wind Loading'!$E$58*'Combined Stress'!C24+'Wind Loading'!$E$57*'Combined Stress'!C25+'Wind Loading'!$E$56*'Combined Stress'!C26+'Wind Loading'!$E$55*'Combined Stress'!C27+'Wind Loading'!$E$54*'Combined Stress'!C28+'Wind Loading'!$E$53*'Combined Stress'!C29+'Wind Loading'!$E$52*'Combined Stress'!C30+'Wind Loading'!$E$51*'Combined Stress'!C31+'Wind Loading'!$E$50*'Combined Stress'!C32+'Wind Loading'!$E$49*'Combined Stress'!C33+'Wind Loading'!$E$48*'Combined Stress'!C34+'Wind Loading'!$E$47*'Combined Stress'!C35+'Wind Loading'!$E$46*'Combined Stress'!C36+'Wind Loading'!$E$45*'Combined Stress'!C37+'Wind Loading'!$E$44*'Combined Stress'!C38+'Wind Loading'!$E$43*'Combined Stress'!C39+'Wind Loading'!$E$42*'Combined Stress'!C40+'Wind Loading'!$E$41*'Combined Stress'!C41+'Wind Loading'!$E$40*'Combined Stress'!C42+'Wind Loading'!$E$39*'Combined Stress'!C43+'Wind Loading'!$E$38*'Combined Stress'!C44+'Wind Loading'!$E$37*'Combined Stress'!C45+'Wind Loading'!$E$36*'Combined Stress'!C46+'Wind Loading'!$E$35*'Combined Stress'!C47+'Wind Loading'!$E$34*'Combined Stress'!C48+'Wind Loading'!$E$33*'Combined Stress'!C49+'Wind Loading'!$E$32*'Combined Stress'!C50+'Wind Loading'!$E$31*'Combined Stress'!C51+'Wind Loading'!$E$30*'Combined Stress'!C52+'Wind Loading'!$E$29*'Combined Stress'!C53+'Wind Loading'!$E$28*'Combined Stress'!C54+'Wind Loading'!$E$27*'Combined Stress'!C55+'Wind Loading'!$E$26*'Combined Stress'!C56+'Wind Loading'!$E$25*'Combined Stress'!C57+'Wind Loading'!$E$24*'Combined Stress'!C58+'Wind Loading'!$E$23*'Combined Stress'!C59+'Wind Loading'!$E$22*'Combined Stress'!C60+'Wind Loading'!$E$21*'Combined Stress'!C61+'Wind Loading'!$E$20*'Combined Stress'!C62+'Wind Loading'!$E$19*'Combined Stress'!C63+'Wind Loading'!$E$18*'Combined Stress'!C64+'Wind Loading'!$E$17*'Combined Stress'!C65+'Wind Loading'!$E$16*'Combined Stress'!C66+'Wind Loading'!$E$15*'Combined Stress'!C67+'Wind Loading'!$E$14*'Combined Stress'!C68+'Wind Loading'!$E$13*'Combined Stress'!C69</f>
        <v>23056150.750586335</v>
      </c>
      <c r="E13" s="19">
        <f>((D13*'Baseline Given'!K14)/'Baseline Given'!L14)/1000000</f>
        <v>141.02626672270176</v>
      </c>
      <c r="F13" s="19">
        <f t="shared" si="2"/>
        <v>57</v>
      </c>
      <c r="G13" s="19">
        <f>'Baseline Given'!$B$3+'Baseline Given'!$B$5+('Baseline Given'!$B$38*F13)</f>
        <v>2102770.4477611938</v>
      </c>
      <c r="H13" s="19">
        <f>'Baseline Given'!M14</f>
        <v>11.073928959158943</v>
      </c>
      <c r="I13" s="19">
        <f t="shared" si="3"/>
        <v>0.18988476949024041</v>
      </c>
      <c r="J13" s="19">
        <f t="shared" si="11"/>
        <v>-141.21615149219201</v>
      </c>
      <c r="M13" s="18">
        <f>IF('Alternative 1'!F14&gt;0,'Alternative 1'!F14,"x")</f>
        <v>11</v>
      </c>
      <c r="N13" s="45">
        <f t="shared" si="12"/>
        <v>26.5</v>
      </c>
      <c r="O13" s="45">
        <f t="shared" si="13"/>
        <v>25.5</v>
      </c>
      <c r="P13" s="19">
        <f>'Dynamic Loading'!$Q$3*'Combined Stress'!N13+'Wind Loading'!$J$69*O13+'Wind Loading'!$J$68*'Combined Stress'!O14+'Wind Loading'!$J$67*'Combined Stress'!O15+'Wind Loading'!$J$66*'Combined Stress'!O16+'Wind Loading'!$J$65*'Combined Stress'!O17+'Wind Loading'!$J$64*'Combined Stress'!O18+'Wind Loading'!$J$63*'Combined Stress'!O19+'Wind Loading'!$J$62*'Combined Stress'!O20+'Wind Loading'!$J$61*'Combined Stress'!O21+'Wind Loading'!$J$60*'Combined Stress'!O22+'Wind Loading'!$J$59*'Combined Stress'!O23+'Wind Loading'!$J$58*'Combined Stress'!O24+'Wind Loading'!$J$57*'Combined Stress'!O25+'Wind Loading'!$J$56*'Combined Stress'!O26+'Wind Loading'!$J$55*'Combined Stress'!O27+'Wind Loading'!$J$54*'Combined Stress'!O28+'Wind Loading'!$J$53*'Combined Stress'!O29+'Wind Loading'!$J$52*'Combined Stress'!O30+'Wind Loading'!$J$51*'Combined Stress'!O31+'Wind Loading'!$J$50*'Combined Stress'!O32+'Wind Loading'!$J$49*'Combined Stress'!O33+'Wind Loading'!$J$48*'Combined Stress'!O34+'Wind Loading'!$J$47*'Combined Stress'!O35+'Wind Loading'!$J$46*'Combined Stress'!O36+'Wind Loading'!$J$45*'Combined Stress'!O37+'Wind Loading'!$J$44*'Combined Stress'!O38+'Wind Loading'!$J$43*'Combined Stress'!O39+'Wind Loading'!$J$42*'Combined Stress'!O40+'Wind Loading'!$J$41*'Combined Stress'!O41+'Wind Loading'!$J$40*'Combined Stress'!O42+'Wind Loading'!$J$39*'Combined Stress'!O43+'Wind Loading'!$J$38*'Combined Stress'!O44+'Wind Loading'!$J$37*'Combined Stress'!O45+'Wind Loading'!$J$36*'Combined Stress'!O46+'Wind Loading'!$J$35*'Combined Stress'!O47+'Wind Loading'!$J$34*'Combined Stress'!O48+'Wind Loading'!$J$33*'Combined Stress'!O49+'Wind Loading'!$J$32*'Combined Stress'!O50+'Wind Loading'!$J$31*'Combined Stress'!O51+'Wind Loading'!$J$30*'Combined Stress'!O52+'Wind Loading'!$J$29*'Combined Stress'!O53+'Wind Loading'!$J$28*'Combined Stress'!O54+'Wind Loading'!$J$27*'Combined Stress'!O55+'Wind Loading'!$J$26*'Combined Stress'!O56+'Wind Loading'!$J$25*'Combined Stress'!O57+'Wind Loading'!$J$24*'Combined Stress'!O58+'Wind Loading'!$J$23*'Combined Stress'!O59+'Wind Loading'!$J$22*'Combined Stress'!O60+'Wind Loading'!$J$21*'Combined Stress'!O61+'Wind Loading'!$J$20*'Combined Stress'!O62+'Wind Loading'!$J$19*'Combined Stress'!O63+'Wind Loading'!$J$18*'Combined Stress'!O64+'Wind Loading'!$J$17*'Combined Stress'!O65+'Wind Loading'!$J$16*'Combined Stress'!O66+'Wind Loading'!$J$15*'Combined Stress'!O67+'Wind Loading'!$J$14*'Combined Stress'!O68+'Wind Loading'!$J$13*'Combined Stress'!O69</f>
        <v>519798.01254927414</v>
      </c>
      <c r="Q13" s="19">
        <f>((P13*'Alternative 1'!K14)/'Alternative 1'!L14)/1000000</f>
        <v>4.1364246492164334</v>
      </c>
      <c r="R13" s="45">
        <f t="shared" si="14"/>
        <v>26</v>
      </c>
      <c r="S13" s="19">
        <f>IF(R13&gt;0,'Alternative 1'!$B$3+'Alternative 1'!$B$5+('Alternative 1'!$B$39*R13),0)</f>
        <v>262196.07602917502</v>
      </c>
      <c r="T13" s="19">
        <f>'Alternative 1'!M14</f>
        <v>2.8270034278105713</v>
      </c>
      <c r="U13" s="19">
        <f t="shared" si="4"/>
        <v>9.2746996147874475E-2</v>
      </c>
      <c r="V13" s="19">
        <f t="shared" si="5"/>
        <v>4.2291716453643078</v>
      </c>
      <c r="X13" s="18">
        <f>IF('Alternative 2'!$F14&gt;0,'Alternative 2'!$F14,"x")</f>
        <v>11</v>
      </c>
      <c r="Y13" s="45">
        <f t="shared" si="15"/>
        <v>13.5</v>
      </c>
      <c r="Z13" s="45">
        <f t="shared" si="16"/>
        <v>12.5</v>
      </c>
      <c r="AA13" s="19">
        <f>'Dynamic Loading'!$Y$3*'Combined Stress'!Y13+'Wind Loading'!$O$69*Z13+'Wind Loading'!$O$68*'Combined Stress'!Z14+'Wind Loading'!$O$67*'Combined Stress'!Z15+'Wind Loading'!$O$66*'Combined Stress'!Z16+'Wind Loading'!$O$65*'Combined Stress'!Z17+'Wind Loading'!$O$64*'Combined Stress'!Z18+'Wind Loading'!$O$63*'Combined Stress'!Z19+'Wind Loading'!$O$62*'Combined Stress'!Z20+'Wind Loading'!$O$61*'Combined Stress'!Z21+'Wind Loading'!$O$60*'Combined Stress'!Z22+'Wind Loading'!$O$59*'Combined Stress'!Z23+'Wind Loading'!$O$58*'Combined Stress'!Z24+'Wind Loading'!$O$57*'Combined Stress'!Z25+'Wind Loading'!$O$56*'Combined Stress'!Z26+'Wind Loading'!$O$55*'Combined Stress'!Z27+'Wind Loading'!$O$54*'Combined Stress'!Z28+'Wind Loading'!$O$53*'Combined Stress'!Z29+'Wind Loading'!$O$52*'Combined Stress'!Z30+'Wind Loading'!$O$51*'Combined Stress'!Z31+'Wind Loading'!$O$50*'Combined Stress'!Z32+'Wind Loading'!$O$49*'Combined Stress'!Z33+'Wind Loading'!$O$48*'Combined Stress'!Z34+'Wind Loading'!$O$47*'Combined Stress'!Z35+'Wind Loading'!$O$46*'Combined Stress'!Z36+'Wind Loading'!$O$45*'Combined Stress'!Z37+'Wind Loading'!$O$44*'Combined Stress'!Z38+'Wind Loading'!$O$43*'Combined Stress'!Z39+'Wind Loading'!$O$42*'Combined Stress'!Z40+'Wind Loading'!$O$41*'Combined Stress'!Z41+'Wind Loading'!$O$40*'Combined Stress'!Z42+'Wind Loading'!$O$39*'Combined Stress'!Z43+'Wind Loading'!$O$38*'Combined Stress'!Z44+'Wind Loading'!$O$37*'Combined Stress'!Z45+'Wind Loading'!$O$36*'Combined Stress'!Z46+'Wind Loading'!$O$35*'Combined Stress'!Z47+'Wind Loading'!$O$34*'Combined Stress'!Z48+'Wind Loading'!$O$33*'Combined Stress'!Z49+'Wind Loading'!$O$32*'Combined Stress'!Z50+'Wind Loading'!$O$31*'Combined Stress'!Z51+'Wind Loading'!$O$30*'Combined Stress'!Z52+'Wind Loading'!$O$29*'Combined Stress'!Z53+'Wind Loading'!$O$28*'Combined Stress'!Z54+'Wind Loading'!$O$27*'Combined Stress'!Z55+'Wind Loading'!$O$26*'Combined Stress'!Z56+'Wind Loading'!$O$25*'Combined Stress'!Z57+'Wind Loading'!$O$24*'Combined Stress'!Z58+'Wind Loading'!$O$23*'Combined Stress'!Z59+'Wind Loading'!$O$22*'Combined Stress'!Z60+'Wind Loading'!$O$21*'Combined Stress'!Z61+'Wind Loading'!$O$20*'Combined Stress'!Z62+'Wind Loading'!$O$19*'Combined Stress'!Z63+'Wind Loading'!$O$18*'Combined Stress'!Z64+'Wind Loading'!$O$17*'Combined Stress'!Z65+'Wind Loading'!$O$16*'Combined Stress'!Z66+'Wind Loading'!$O$15*'Combined Stress'!Z67+'Wind Loading'!$O$14*'Combined Stress'!Z68+'Wind Loading'!$O$13*'Combined Stress'!Z69</f>
        <v>316780.64683570241</v>
      </c>
      <c r="AB13" s="19">
        <f>((AA13*'Alternative 2'!K14)/'Alternative 2'!L14)/1000000</f>
        <v>5.0417248405377917</v>
      </c>
      <c r="AC13" s="45">
        <f t="shared" si="17"/>
        <v>13</v>
      </c>
      <c r="AD13" s="19">
        <f>'Alternative 2'!$B$3+'Alternative 2'!$B$5+('Alternative 2'!$B$39*AC13)</f>
        <v>111861.95306780739</v>
      </c>
      <c r="AE13" s="19">
        <f>'Alternative 2'!M14</f>
        <v>1.0113821207608698</v>
      </c>
      <c r="AF13" s="19">
        <f t="shared" si="6"/>
        <v>0.11060305573095644</v>
      </c>
      <c r="AG13" s="19">
        <f t="shared" si="7"/>
        <v>5.1523278962687478</v>
      </c>
      <c r="AI13" s="18">
        <f>'Alternative 3'!F14</f>
        <v>11</v>
      </c>
      <c r="AJ13" s="83">
        <f t="shared" si="18"/>
        <v>24.5</v>
      </c>
      <c r="AK13" s="45">
        <f t="shared" si="19"/>
        <v>24.5</v>
      </c>
      <c r="AL13" s="84">
        <f>'Dynamic Loading'!$AG$3*'Combined Stress'!AJ13+'Wind Loading'!$T$69*AK13+'Wind Loading'!$T$68*'Combined Stress'!AK14+'Wind Loading'!$T$67*'Combined Stress'!AK15+'Wind Loading'!$T$66*'Combined Stress'!AK16+'Wind Loading'!$T$65*'Combined Stress'!AK17+'Wind Loading'!$T$64*'Combined Stress'!AK18+'Wind Loading'!$T$63*'Combined Stress'!AK19+'Wind Loading'!$T$62*'Combined Stress'!AK20+'Wind Loading'!$T$61*'Combined Stress'!AK21+'Wind Loading'!$T$60*'Combined Stress'!AK22+'Wind Loading'!$T$59*'Combined Stress'!AK23+'Wind Loading'!$T$58*'Combined Stress'!AK24+'Wind Loading'!$T$57*'Combined Stress'!AK25+'Wind Loading'!$T$56*'Combined Stress'!AK26+'Wind Loading'!$T$55*'Combined Stress'!AK27+'Wind Loading'!$T$54*'Combined Stress'!AK28+'Wind Loading'!$T$53*'Combined Stress'!AK29+'Wind Loading'!$T$52*'Combined Stress'!AK30+'Wind Loading'!$T$51*'Combined Stress'!AK31+'Wind Loading'!$T$50*'Combined Stress'!AK32+'Wind Loading'!$T$49*'Combined Stress'!AK33+'Wind Loading'!$T$48*'Combined Stress'!AK34+'Wind Loading'!$T$47*'Combined Stress'!AK35+'Wind Loading'!$T$46*'Combined Stress'!AK36+'Wind Loading'!$T$45*'Combined Stress'!AK37+'Wind Loading'!$T$44*'Combined Stress'!AK38+'Wind Loading'!$T$43*'Combined Stress'!AK39+'Wind Loading'!$T$42*'Combined Stress'!AK40+'Wind Loading'!$T$41*'Combined Stress'!AK41+'Wind Loading'!$T$40*'Combined Stress'!AK42+'Wind Loading'!$T$39*'Combined Stress'!AK43+'Wind Loading'!$T$38*'Combined Stress'!AK44+'Wind Loading'!$T$37*'Combined Stress'!AK45+'Wind Loading'!$T$36*'Combined Stress'!AK46+'Wind Loading'!$T$35*'Combined Stress'!AK47+'Wind Loading'!$T$34*'Combined Stress'!AK48+'Wind Loading'!$T$33*'Combined Stress'!AK49+'Wind Loading'!$T$32*'Combined Stress'!AK50+'Wind Loading'!$T$31*'Combined Stress'!AK51+'Wind Loading'!$T$30*'Combined Stress'!AK52+'Wind Loading'!$T$29*'Combined Stress'!AK53+'Wind Loading'!$T$28*'Combined Stress'!AK54+'Wind Loading'!$T$27*'Combined Stress'!AK55+'Wind Loading'!$T$26*'Combined Stress'!AK56+'Wind Loading'!$T$25*'Combined Stress'!AK57+'Wind Loading'!$T$24*'Combined Stress'!AK58+'Wind Loading'!$T$23*'Combined Stress'!AK59+'Wind Loading'!$T$22*'Combined Stress'!AK60+'Wind Loading'!$T$21*'Combined Stress'!AK61+'Wind Loading'!$T$20*'Combined Stress'!AK62+'Wind Loading'!$T$19*'Combined Stress'!AK63+'Wind Loading'!$T$18*'Combined Stress'!AK64+'Wind Loading'!$T$17*'Combined Stress'!AK65+'Wind Loading'!$T$16*'Combined Stress'!AK66+'Wind Loading'!$T$15*'Combined Stress'!AK67+'Wind Loading'!$T$14*'Combined Stress'!AK68+'Wind Loading'!$T$13*'Combined Stress'!AK69</f>
        <v>3457536.9159258921</v>
      </c>
      <c r="AM13" s="84">
        <f>((AL13*'Alternative 3'!K14)/'Alternative 3'!L14)/1000000</f>
        <v>55.028455589779249</v>
      </c>
      <c r="AN13" s="84">
        <f t="shared" si="8"/>
        <v>57</v>
      </c>
      <c r="AO13" s="19">
        <f>'Alternative 3'!$B$3+'Alternative 3'!$B$5+('Alternative 2'!$B$39*AN13)</f>
        <v>300505.55222673248</v>
      </c>
      <c r="AP13" s="84">
        <f>'Alternative 3'!M14</f>
        <v>2.6971663280862859</v>
      </c>
      <c r="AQ13" s="84">
        <f t="shared" si="9"/>
        <v>0.11141528392131067</v>
      </c>
      <c r="AR13" s="84">
        <f t="shared" si="10"/>
        <v>55.139870873700559</v>
      </c>
    </row>
    <row r="14" spans="1:44" ht="14.45" customHeight="1" x14ac:dyDescent="0.25">
      <c r="A14" s="18">
        <f>'Baseline Given'!E15</f>
        <v>12</v>
      </c>
      <c r="B14" s="45">
        <f t="shared" si="0"/>
        <v>58.5</v>
      </c>
      <c r="C14" s="45">
        <f t="shared" si="1"/>
        <v>55.5</v>
      </c>
      <c r="D14" s="19">
        <f>'Dynamic Loading'!$I$3*'Combined Stress'!B14+'Wind Loading'!$E$69*C14+'Wind Loading'!$E$68*'Combined Stress'!C15+'Wind Loading'!$E$67*'Combined Stress'!C16+'Wind Loading'!$E$66*'Combined Stress'!C17+'Wind Loading'!$E$65*'Combined Stress'!C18+'Wind Loading'!$E$64*'Combined Stress'!C19+'Wind Loading'!$E$63*'Combined Stress'!C20+'Wind Loading'!$E$62*'Combined Stress'!C21+'Wind Loading'!$E$61*'Combined Stress'!C22+'Wind Loading'!$E$60*'Combined Stress'!C23+'Wind Loading'!$E$59*'Combined Stress'!C24+'Wind Loading'!$E$58*'Combined Stress'!C25+'Wind Loading'!$E$57*'Combined Stress'!C26+'Wind Loading'!$E$56*'Combined Stress'!C27+'Wind Loading'!$E$55*'Combined Stress'!C28+'Wind Loading'!$E$54*'Combined Stress'!C29+'Wind Loading'!$E$53*'Combined Stress'!C30+'Wind Loading'!$E$52*'Combined Stress'!C31+'Wind Loading'!$E$51*'Combined Stress'!C32+'Wind Loading'!$E$50*'Combined Stress'!C33+'Wind Loading'!$E$49*'Combined Stress'!C34+'Wind Loading'!$E$48*'Combined Stress'!C35+'Wind Loading'!$E$47*'Combined Stress'!C36+'Wind Loading'!$E$46*'Combined Stress'!C37+'Wind Loading'!$E$45*'Combined Stress'!C38+'Wind Loading'!$E$44*'Combined Stress'!C39+'Wind Loading'!$E$43*'Combined Stress'!C40+'Wind Loading'!$E$42*'Combined Stress'!C41+'Wind Loading'!$E$41*'Combined Stress'!C42+'Wind Loading'!$E$40*'Combined Stress'!C43+'Wind Loading'!$E$39*'Combined Stress'!C44+'Wind Loading'!$E$38*'Combined Stress'!C45+'Wind Loading'!$E$37*'Combined Stress'!C46+'Wind Loading'!$E$36*'Combined Stress'!C47+'Wind Loading'!$E$35*'Combined Stress'!C48+'Wind Loading'!$E$34*'Combined Stress'!C49+'Wind Loading'!$E$33*'Combined Stress'!C50+'Wind Loading'!$E$32*'Combined Stress'!C51+'Wind Loading'!$E$31*'Combined Stress'!C52+'Wind Loading'!$E$30*'Combined Stress'!C53+'Wind Loading'!$E$29*'Combined Stress'!C54+'Wind Loading'!$E$28*'Combined Stress'!C55+'Wind Loading'!$E$27*'Combined Stress'!C56+'Wind Loading'!$E$26*'Combined Stress'!C57+'Wind Loading'!$E$25*'Combined Stress'!C58+'Wind Loading'!$E$24*'Combined Stress'!C59+'Wind Loading'!$E$23*'Combined Stress'!C60+'Wind Loading'!$E$22*'Combined Stress'!C61+'Wind Loading'!$E$21*'Combined Stress'!C62+'Wind Loading'!$E$20*'Combined Stress'!C63+'Wind Loading'!$E$19*'Combined Stress'!C64+'Wind Loading'!$E$18*'Combined Stress'!C65+'Wind Loading'!$E$17*'Combined Stress'!C66+'Wind Loading'!$E$16*'Combined Stress'!C67+'Wind Loading'!$E$15*'Combined Stress'!C68+'Wind Loading'!$E$14*'Combined Stress'!C69</f>
        <v>22572518.48177499</v>
      </c>
      <c r="E14" s="19">
        <f>((D14*'Baseline Given'!K15)/'Baseline Given'!L15)/1000000</f>
        <v>139.02983470931542</v>
      </c>
      <c r="F14" s="19">
        <f t="shared" si="2"/>
        <v>56</v>
      </c>
      <c r="G14" s="19">
        <f>'Baseline Given'!$B$3+'Baseline Given'!$B$5+('Baseline Given'!$B$38*F14)</f>
        <v>2086611.4925373136</v>
      </c>
      <c r="H14" s="19">
        <f>'Baseline Given'!M15</f>
        <v>10.957858883549109</v>
      </c>
      <c r="I14" s="19">
        <f t="shared" si="3"/>
        <v>0.19042146049808292</v>
      </c>
      <c r="J14" s="19">
        <f t="shared" si="11"/>
        <v>-139.2202561698135</v>
      </c>
      <c r="M14" s="18">
        <f>IF('Alternative 1'!F15&gt;0,'Alternative 1'!F15,"x")</f>
        <v>12</v>
      </c>
      <c r="N14" s="45">
        <f t="shared" si="12"/>
        <v>25.5</v>
      </c>
      <c r="O14" s="45">
        <f t="shared" si="13"/>
        <v>24.5</v>
      </c>
      <c r="P14" s="19">
        <f>'Dynamic Loading'!$Q$3*'Combined Stress'!N14+'Wind Loading'!$J$69*O14+'Wind Loading'!$J$68*'Combined Stress'!O15+'Wind Loading'!$J$67*'Combined Stress'!O16+'Wind Loading'!$J$66*'Combined Stress'!O17+'Wind Loading'!$J$65*'Combined Stress'!O18+'Wind Loading'!$J$64*'Combined Stress'!O19+'Wind Loading'!$J$63*'Combined Stress'!O20+'Wind Loading'!$J$62*'Combined Stress'!O21+'Wind Loading'!$J$61*'Combined Stress'!O22+'Wind Loading'!$J$60*'Combined Stress'!O23+'Wind Loading'!$J$59*'Combined Stress'!O24+'Wind Loading'!$J$58*'Combined Stress'!O25+'Wind Loading'!$J$57*'Combined Stress'!O26+'Wind Loading'!$J$56*'Combined Stress'!O27+'Wind Loading'!$J$55*'Combined Stress'!O28+'Wind Loading'!$J$54*'Combined Stress'!O29+'Wind Loading'!$J$53*'Combined Stress'!O30+'Wind Loading'!$J$52*'Combined Stress'!O31+'Wind Loading'!$J$51*'Combined Stress'!O32+'Wind Loading'!$J$50*'Combined Stress'!O33+'Wind Loading'!$J$49*'Combined Stress'!O34+'Wind Loading'!$J$48*'Combined Stress'!O35+'Wind Loading'!$J$47*'Combined Stress'!O36+'Wind Loading'!$J$46*'Combined Stress'!O37+'Wind Loading'!$J$45*'Combined Stress'!O38+'Wind Loading'!$J$44*'Combined Stress'!O39+'Wind Loading'!$J$43*'Combined Stress'!O40+'Wind Loading'!$J$42*'Combined Stress'!O41+'Wind Loading'!$J$41*'Combined Stress'!O42+'Wind Loading'!$J$40*'Combined Stress'!O43+'Wind Loading'!$J$39*'Combined Stress'!O44+'Wind Loading'!$J$38*'Combined Stress'!O45+'Wind Loading'!$J$37*'Combined Stress'!O46+'Wind Loading'!$J$36*'Combined Stress'!O47+'Wind Loading'!$J$35*'Combined Stress'!O48+'Wind Loading'!$J$34*'Combined Stress'!O49+'Wind Loading'!$J$33*'Combined Stress'!O50+'Wind Loading'!$J$32*'Combined Stress'!O51+'Wind Loading'!$J$31*'Combined Stress'!O52+'Wind Loading'!$J$30*'Combined Stress'!O53+'Wind Loading'!$J$29*'Combined Stress'!O54+'Wind Loading'!$J$28*'Combined Stress'!O55+'Wind Loading'!$J$27*'Combined Stress'!O56+'Wind Loading'!$J$26*'Combined Stress'!O57+'Wind Loading'!$J$25*'Combined Stress'!O58+'Wind Loading'!$J$24*'Combined Stress'!O59+'Wind Loading'!$J$23*'Combined Stress'!O60+'Wind Loading'!$J$22*'Combined Stress'!O61+'Wind Loading'!$J$21*'Combined Stress'!O62+'Wind Loading'!$J$20*'Combined Stress'!O63+'Wind Loading'!$J$19*'Combined Stress'!O64+'Wind Loading'!$J$18*'Combined Stress'!O65+'Wind Loading'!$J$17*'Combined Stress'!O66+'Wind Loading'!$J$16*'Combined Stress'!O67+'Wind Loading'!$J$15*'Combined Stress'!O68+'Wind Loading'!$J$14*'Combined Stress'!O69</f>
        <v>500182.99320779205</v>
      </c>
      <c r="Q14" s="19">
        <f>((P14*'Alternative 1'!K15)/'Alternative 1'!L15)/1000000</f>
        <v>3.9803331530195867</v>
      </c>
      <c r="R14" s="45">
        <f t="shared" si="14"/>
        <v>25</v>
      </c>
      <c r="S14" s="19">
        <f>IF(R14&gt;0,'Alternative 1'!$B$3+'Alternative 1'!$B$5+('Alternative 1'!$B$39*R14),0)</f>
        <v>253692.74528959137</v>
      </c>
      <c r="T14" s="19">
        <f>'Alternative 1'!M15</f>
        <v>2.7680422334008887</v>
      </c>
      <c r="U14" s="19">
        <f t="shared" si="4"/>
        <v>9.1650604975740513E-2</v>
      </c>
      <c r="V14" s="19">
        <f t="shared" si="5"/>
        <v>4.0719837579953273</v>
      </c>
      <c r="X14" s="18">
        <f>IF('Alternative 2'!$F15&gt;0,'Alternative 2'!$F15,"x")</f>
        <v>12</v>
      </c>
      <c r="Y14" s="45">
        <f t="shared" si="15"/>
        <v>12.5</v>
      </c>
      <c r="Z14" s="45">
        <f t="shared" si="16"/>
        <v>11.5</v>
      </c>
      <c r="AA14" s="19">
        <f>'Dynamic Loading'!$Y$3*'Combined Stress'!Y14+'Wind Loading'!$O$69*Z14+'Wind Loading'!$O$68*'Combined Stress'!Z15+'Wind Loading'!$O$67*'Combined Stress'!Z16+'Wind Loading'!$O$66*'Combined Stress'!Z17+'Wind Loading'!$O$65*'Combined Stress'!Z18+'Wind Loading'!$O$64*'Combined Stress'!Z19+'Wind Loading'!$O$63*'Combined Stress'!Z20+'Wind Loading'!$O$62*'Combined Stress'!Z21+'Wind Loading'!$O$61*'Combined Stress'!Z22+'Wind Loading'!$O$60*'Combined Stress'!Z23+'Wind Loading'!$O$59*'Combined Stress'!Z24+'Wind Loading'!$O$58*'Combined Stress'!Z25+'Wind Loading'!$O$57*'Combined Stress'!Z26+'Wind Loading'!$O$56*'Combined Stress'!Z27+'Wind Loading'!$O$55*'Combined Stress'!Z28+'Wind Loading'!$O$54*'Combined Stress'!Z29+'Wind Loading'!$O$53*'Combined Stress'!Z30+'Wind Loading'!$O$52*'Combined Stress'!Z31+'Wind Loading'!$O$51*'Combined Stress'!Z32+'Wind Loading'!$O$50*'Combined Stress'!Z33+'Wind Loading'!$O$49*'Combined Stress'!Z34+'Wind Loading'!$O$48*'Combined Stress'!Z35+'Wind Loading'!$O$47*'Combined Stress'!Z36+'Wind Loading'!$O$46*'Combined Stress'!Z37+'Wind Loading'!$O$45*'Combined Stress'!Z38+'Wind Loading'!$O$44*'Combined Stress'!Z39+'Wind Loading'!$O$43*'Combined Stress'!Z40+'Wind Loading'!$O$42*'Combined Stress'!Z41+'Wind Loading'!$O$41*'Combined Stress'!Z42+'Wind Loading'!$O$40*'Combined Stress'!Z43+'Wind Loading'!$O$39*'Combined Stress'!Z44+'Wind Loading'!$O$38*'Combined Stress'!Z45+'Wind Loading'!$O$37*'Combined Stress'!Z46+'Wind Loading'!$O$36*'Combined Stress'!Z47+'Wind Loading'!$O$35*'Combined Stress'!Z48+'Wind Loading'!$O$34*'Combined Stress'!Z49+'Wind Loading'!$O$33*'Combined Stress'!Z50+'Wind Loading'!$O$32*'Combined Stress'!Z51+'Wind Loading'!$O$31*'Combined Stress'!Z52+'Wind Loading'!$O$30*'Combined Stress'!Z53+'Wind Loading'!$O$29*'Combined Stress'!Z54+'Wind Loading'!$O$28*'Combined Stress'!Z55+'Wind Loading'!$O$27*'Combined Stress'!Z56+'Wind Loading'!$O$26*'Combined Stress'!Z57+'Wind Loading'!$O$25*'Combined Stress'!Z58+'Wind Loading'!$O$24*'Combined Stress'!Z59+'Wind Loading'!$O$23*'Combined Stress'!Z60+'Wind Loading'!$O$22*'Combined Stress'!Z61+'Wind Loading'!$O$21*'Combined Stress'!Z62+'Wind Loading'!$O$20*'Combined Stress'!Z63+'Wind Loading'!$O$19*'Combined Stress'!Z64+'Wind Loading'!$O$18*'Combined Stress'!Z65+'Wind Loading'!$O$17*'Combined Stress'!Z66+'Wind Loading'!$O$16*'Combined Stress'!Z67+'Wind Loading'!$O$15*'Combined Stress'!Z68+'Wind Loading'!$O$14*'Combined Stress'!Z69</f>
        <v>293315.41373676149</v>
      </c>
      <c r="AB14" s="19">
        <f>((AA14*'Alternative 2'!K15)/'Alternative 2'!L15)/1000000</f>
        <v>4.6682637412386967</v>
      </c>
      <c r="AC14" s="45">
        <f t="shared" si="17"/>
        <v>12</v>
      </c>
      <c r="AD14" s="19">
        <f>'Alternative 2'!$B$3+'Alternative 2'!$B$5+('Alternative 2'!$B$39*AC14)</f>
        <v>109141.17744720684</v>
      </c>
      <c r="AE14" s="19">
        <f>'Alternative 2'!M15</f>
        <v>0.97680752388586978</v>
      </c>
      <c r="AF14" s="19">
        <f t="shared" si="6"/>
        <v>0.11173253151555258</v>
      </c>
      <c r="AG14" s="19">
        <f t="shared" si="7"/>
        <v>4.7799962727542491</v>
      </c>
      <c r="AI14" s="18">
        <f>'Alternative 3'!F15</f>
        <v>12</v>
      </c>
      <c r="AJ14" s="83">
        <f t="shared" si="18"/>
        <v>23.5</v>
      </c>
      <c r="AK14" s="45">
        <f t="shared" si="19"/>
        <v>23.5</v>
      </c>
      <c r="AL14" s="84">
        <f>'Dynamic Loading'!$AG$3*'Combined Stress'!AJ14+'Wind Loading'!$T$69*AK14+'Wind Loading'!$T$68*'Combined Stress'!AK15+'Wind Loading'!$T$67*'Combined Stress'!AK16+'Wind Loading'!$T$66*'Combined Stress'!AK17+'Wind Loading'!$T$65*'Combined Stress'!AK18+'Wind Loading'!$T$64*'Combined Stress'!AK19+'Wind Loading'!$T$63*'Combined Stress'!AK20+'Wind Loading'!$T$62*'Combined Stress'!AK21+'Wind Loading'!$T$61*'Combined Stress'!AK22+'Wind Loading'!$T$60*'Combined Stress'!AK23+'Wind Loading'!$T$59*'Combined Stress'!AK24+'Wind Loading'!$T$58*'Combined Stress'!AK25+'Wind Loading'!$T$57*'Combined Stress'!AK26+'Wind Loading'!$T$56*'Combined Stress'!AK27+'Wind Loading'!$T$55*'Combined Stress'!AK28+'Wind Loading'!$T$54*'Combined Stress'!AK29+'Wind Loading'!$T$53*'Combined Stress'!AK30+'Wind Loading'!$T$52*'Combined Stress'!AK31+'Wind Loading'!$T$51*'Combined Stress'!AK32+'Wind Loading'!$T$50*'Combined Stress'!AK33+'Wind Loading'!$T$49*'Combined Stress'!AK34+'Wind Loading'!$T$48*'Combined Stress'!AK35+'Wind Loading'!$T$47*'Combined Stress'!AK36+'Wind Loading'!$T$46*'Combined Stress'!AK37+'Wind Loading'!$T$45*'Combined Stress'!AK38+'Wind Loading'!$T$44*'Combined Stress'!AK39+'Wind Loading'!$T$43*'Combined Stress'!AK40+'Wind Loading'!$T$42*'Combined Stress'!AK41+'Wind Loading'!$T$41*'Combined Stress'!AK42+'Wind Loading'!$T$40*'Combined Stress'!AK43+'Wind Loading'!$T$39*'Combined Stress'!AK44+'Wind Loading'!$T$38*'Combined Stress'!AK45+'Wind Loading'!$T$37*'Combined Stress'!AK46+'Wind Loading'!$T$36*'Combined Stress'!AK47+'Wind Loading'!$T$35*'Combined Stress'!AK48+'Wind Loading'!$T$34*'Combined Stress'!AK49+'Wind Loading'!$T$33*'Combined Stress'!AK50+'Wind Loading'!$T$32*'Combined Stress'!AK51+'Wind Loading'!$T$31*'Combined Stress'!AK52+'Wind Loading'!$T$30*'Combined Stress'!AK53+'Wind Loading'!$T$29*'Combined Stress'!AK54+'Wind Loading'!$T$28*'Combined Stress'!AK55+'Wind Loading'!$T$27*'Combined Stress'!AK56+'Wind Loading'!$T$26*'Combined Stress'!AK57+'Wind Loading'!$T$25*'Combined Stress'!AK58+'Wind Loading'!$T$24*'Combined Stress'!AK59+'Wind Loading'!$T$23*'Combined Stress'!AK60+'Wind Loading'!$T$22*'Combined Stress'!AK61+'Wind Loading'!$T$21*'Combined Stress'!AK62+'Wind Loading'!$T$20*'Combined Stress'!AK63+'Wind Loading'!$T$19*'Combined Stress'!AK64+'Wind Loading'!$T$18*'Combined Stress'!AK65+'Wind Loading'!$T$17*'Combined Stress'!AK66+'Wind Loading'!$T$16*'Combined Stress'!AK67+'Wind Loading'!$T$15*'Combined Stress'!AK68+'Wind Loading'!$T$14*'Combined Stress'!AK69</f>
        <v>3316412.9601738146</v>
      </c>
      <c r="AM14" s="84">
        <f>((AL14*'Alternative 3'!K15)/'Alternative 3'!L15)/1000000</f>
        <v>52.78239617795154</v>
      </c>
      <c r="AN14" s="84">
        <f t="shared" si="8"/>
        <v>56</v>
      </c>
      <c r="AO14" s="19">
        <f>'Alternative 3'!$B$3+'Alternative 3'!$B$5+('Alternative 2'!$B$39*AN14)</f>
        <v>297784.77660613193</v>
      </c>
      <c r="AP14" s="84">
        <f>'Alternative 3'!M15</f>
        <v>2.6400850579015711</v>
      </c>
      <c r="AQ14" s="84">
        <f t="shared" si="9"/>
        <v>0.11279362977904255</v>
      </c>
      <c r="AR14" s="84">
        <f t="shared" si="10"/>
        <v>52.895189807730581</v>
      </c>
    </row>
    <row r="15" spans="1:44" ht="14.45" customHeight="1" x14ac:dyDescent="0.25">
      <c r="A15" s="18">
        <f>'Baseline Given'!E16</f>
        <v>13</v>
      </c>
      <c r="B15" s="45">
        <f t="shared" si="0"/>
        <v>57.5</v>
      </c>
      <c r="C15" s="45">
        <f t="shared" si="1"/>
        <v>54.5</v>
      </c>
      <c r="D15" s="19">
        <f>'Dynamic Loading'!$I$3*'Combined Stress'!B15+'Wind Loading'!$E$69*C15+'Wind Loading'!$E$68*'Combined Stress'!C16+'Wind Loading'!$E$67*'Combined Stress'!C17+'Wind Loading'!$E$66*'Combined Stress'!C18+'Wind Loading'!$E$65*'Combined Stress'!C19+'Wind Loading'!$E$64*'Combined Stress'!C20+'Wind Loading'!$E$63*'Combined Stress'!C21+'Wind Loading'!$E$62*'Combined Stress'!C22+'Wind Loading'!$E$61*'Combined Stress'!C23+'Wind Loading'!$E$60*'Combined Stress'!C24+'Wind Loading'!$E$59*'Combined Stress'!C25+'Wind Loading'!$E$58*'Combined Stress'!C26+'Wind Loading'!$E$57*'Combined Stress'!C27+'Wind Loading'!$E$56*'Combined Stress'!C28+'Wind Loading'!$E$55*'Combined Stress'!C29+'Wind Loading'!$E$54*'Combined Stress'!C30+'Wind Loading'!$E$53*'Combined Stress'!C31+'Wind Loading'!$E$52*'Combined Stress'!C32+'Wind Loading'!$E$51*'Combined Stress'!C33+'Wind Loading'!$E$50*'Combined Stress'!C34+'Wind Loading'!$E$49*'Combined Stress'!C35+'Wind Loading'!$E$48*'Combined Stress'!C36+'Wind Loading'!$E$47*'Combined Stress'!C37+'Wind Loading'!$E$46*'Combined Stress'!C38+'Wind Loading'!$E$45*'Combined Stress'!C39+'Wind Loading'!$E$44*'Combined Stress'!C40+'Wind Loading'!$E$43*'Combined Stress'!C41+'Wind Loading'!$E$42*'Combined Stress'!C42+'Wind Loading'!$E$41*'Combined Stress'!C43+'Wind Loading'!$E$40*'Combined Stress'!C44+'Wind Loading'!$E$39*'Combined Stress'!C45+'Wind Loading'!$E$38*'Combined Stress'!C46+'Wind Loading'!$E$37*'Combined Stress'!C47+'Wind Loading'!$E$36*'Combined Stress'!C48+'Wind Loading'!$E$35*'Combined Stress'!C49+'Wind Loading'!$E$34*'Combined Stress'!C50+'Wind Loading'!$E$33*'Combined Stress'!C51+'Wind Loading'!$E$32*'Combined Stress'!C52+'Wind Loading'!$E$31*'Combined Stress'!C53+'Wind Loading'!$E$30*'Combined Stress'!C54+'Wind Loading'!$E$29*'Combined Stress'!C55+'Wind Loading'!$E$28*'Combined Stress'!C56+'Wind Loading'!$E$27*'Combined Stress'!C57+'Wind Loading'!$E$26*'Combined Stress'!C58+'Wind Loading'!$E$25*'Combined Stress'!C59+'Wind Loading'!$E$24*'Combined Stress'!C60+'Wind Loading'!$E$23*'Combined Stress'!C61+'Wind Loading'!$E$22*'Combined Stress'!C62+'Wind Loading'!$E$21*'Combined Stress'!C63+'Wind Loading'!$E$20*'Combined Stress'!C64+'Wind Loading'!$E$19*'Combined Stress'!C65+'Wind Loading'!$E$18*'Combined Stress'!C66+'Wind Loading'!$E$17*'Combined Stress'!C67+'Wind Loading'!$E$16*'Combined Stress'!C68+'Wind Loading'!$E$15*'Combined Stress'!C69</f>
        <v>22092027.950573713</v>
      </c>
      <c r="E15" s="19">
        <f>((D15*'Baseline Given'!K16)/'Baseline Given'!L16)/1000000</f>
        <v>137.02488001346893</v>
      </c>
      <c r="F15" s="19">
        <f t="shared" si="2"/>
        <v>55</v>
      </c>
      <c r="G15" s="19">
        <f>'Baseline Given'!$B$3+'Baseline Given'!$B$5+('Baseline Given'!$B$38*F15)</f>
        <v>2070452.5373134329</v>
      </c>
      <c r="H15" s="19">
        <f>'Baseline Given'!M16</f>
        <v>10.842400304202318</v>
      </c>
      <c r="I15" s="19">
        <f t="shared" si="3"/>
        <v>0.19095887250270246</v>
      </c>
      <c r="J15" s="19">
        <f t="shared" si="11"/>
        <v>-137.21583888597164</v>
      </c>
      <c r="M15" s="18">
        <f>IF('Alternative 1'!F16&gt;0,'Alternative 1'!F16,"x")</f>
        <v>13</v>
      </c>
      <c r="N15" s="45">
        <f t="shared" si="12"/>
        <v>24.5</v>
      </c>
      <c r="O15" s="45">
        <f t="shared" si="13"/>
        <v>23.5</v>
      </c>
      <c r="P15" s="19">
        <f>'Dynamic Loading'!$Q$3*'Combined Stress'!N15+'Wind Loading'!$J$69*O15+'Wind Loading'!$J$68*'Combined Stress'!O16+'Wind Loading'!$J$67*'Combined Stress'!O17+'Wind Loading'!$J$66*'Combined Stress'!O18+'Wind Loading'!$J$65*'Combined Stress'!O19+'Wind Loading'!$J$64*'Combined Stress'!O20+'Wind Loading'!$J$63*'Combined Stress'!O21+'Wind Loading'!$J$62*'Combined Stress'!O22+'Wind Loading'!$J$61*'Combined Stress'!O23+'Wind Loading'!$J$60*'Combined Stress'!O24+'Wind Loading'!$J$59*'Combined Stress'!O25+'Wind Loading'!$J$58*'Combined Stress'!O26+'Wind Loading'!$J$57*'Combined Stress'!O27+'Wind Loading'!$J$56*'Combined Stress'!O28+'Wind Loading'!$J$55*'Combined Stress'!O29+'Wind Loading'!$J$54*'Combined Stress'!O30+'Wind Loading'!$J$53*'Combined Stress'!O31+'Wind Loading'!$J$52*'Combined Stress'!O32+'Wind Loading'!$J$51*'Combined Stress'!O33+'Wind Loading'!$J$50*'Combined Stress'!O34+'Wind Loading'!$J$49*'Combined Stress'!O35+'Wind Loading'!$J$48*'Combined Stress'!O36+'Wind Loading'!$J$47*'Combined Stress'!O37+'Wind Loading'!$J$46*'Combined Stress'!O38+'Wind Loading'!$J$45*'Combined Stress'!O39+'Wind Loading'!$J$44*'Combined Stress'!O40+'Wind Loading'!$J$43*'Combined Stress'!O41+'Wind Loading'!$J$42*'Combined Stress'!O42+'Wind Loading'!$J$41*'Combined Stress'!O43+'Wind Loading'!$J$40*'Combined Stress'!O44+'Wind Loading'!$J$39*'Combined Stress'!O45+'Wind Loading'!$J$38*'Combined Stress'!O46+'Wind Loading'!$J$37*'Combined Stress'!O47+'Wind Loading'!$J$36*'Combined Stress'!O48+'Wind Loading'!$J$35*'Combined Stress'!O49+'Wind Loading'!$J$34*'Combined Stress'!O50+'Wind Loading'!$J$33*'Combined Stress'!O51+'Wind Loading'!$J$32*'Combined Stress'!O52+'Wind Loading'!$J$31*'Combined Stress'!O53+'Wind Loading'!$J$30*'Combined Stress'!O54+'Wind Loading'!$J$29*'Combined Stress'!O55+'Wind Loading'!$J$28*'Combined Stress'!O56+'Wind Loading'!$J$27*'Combined Stress'!O57+'Wind Loading'!$J$26*'Combined Stress'!O58+'Wind Loading'!$J$25*'Combined Stress'!O59+'Wind Loading'!$J$24*'Combined Stress'!O60+'Wind Loading'!$J$23*'Combined Stress'!O61+'Wind Loading'!$J$22*'Combined Stress'!O62+'Wind Loading'!$J$21*'Combined Stress'!O63+'Wind Loading'!$J$20*'Combined Stress'!O64+'Wind Loading'!$J$19*'Combined Stress'!O65+'Wind Loading'!$J$18*'Combined Stress'!O66+'Wind Loading'!$J$17*'Combined Stress'!O67+'Wind Loading'!$J$16*'Combined Stress'!O68+'Wind Loading'!$J$15*'Combined Stress'!O69</f>
        <v>480567.97386631003</v>
      </c>
      <c r="Q15" s="19">
        <f>((P15*'Alternative 1'!K16)/'Alternative 1'!L16)/1000000</f>
        <v>3.8242416568227395</v>
      </c>
      <c r="R15" s="45">
        <f t="shared" si="14"/>
        <v>24</v>
      </c>
      <c r="S15" s="19">
        <f>IF(R15&gt;0,'Alternative 1'!$B$3+'Alternative 1'!$B$5+('Alternative 1'!$B$39*R15),0)</f>
        <v>245189.41455000773</v>
      </c>
      <c r="T15" s="19">
        <f>'Alternative 1'!M16</f>
        <v>2.7097023956659783</v>
      </c>
      <c r="U15" s="19">
        <f t="shared" si="4"/>
        <v>9.0485735607782933E-2</v>
      </c>
      <c r="V15" s="19">
        <f t="shared" si="5"/>
        <v>3.9147273924305224</v>
      </c>
      <c r="X15" s="18">
        <f>IF('Alternative 2'!$F16&gt;0,'Alternative 2'!$F16,"x")</f>
        <v>13</v>
      </c>
      <c r="Y15" s="45">
        <f t="shared" si="15"/>
        <v>11.5</v>
      </c>
      <c r="Z15" s="45">
        <f t="shared" si="16"/>
        <v>10.5</v>
      </c>
      <c r="AA15" s="19">
        <f>'Dynamic Loading'!$Y$3*'Combined Stress'!Y15+'Wind Loading'!$O$69*Z15+'Wind Loading'!$O$68*'Combined Stress'!Z16+'Wind Loading'!$O$67*'Combined Stress'!Z17+'Wind Loading'!$O$66*'Combined Stress'!Z18+'Wind Loading'!$O$65*'Combined Stress'!Z19+'Wind Loading'!$O$64*'Combined Stress'!Z20+'Wind Loading'!$O$63*'Combined Stress'!Z21+'Wind Loading'!$O$62*'Combined Stress'!Z22+'Wind Loading'!$O$61*'Combined Stress'!Z23+'Wind Loading'!$O$60*'Combined Stress'!Z24+'Wind Loading'!$O$59*'Combined Stress'!Z25+'Wind Loading'!$O$58*'Combined Stress'!Z26+'Wind Loading'!$O$57*'Combined Stress'!Z27+'Wind Loading'!$O$56*'Combined Stress'!Z28+'Wind Loading'!$O$55*'Combined Stress'!Z29+'Wind Loading'!$O$54*'Combined Stress'!Z30+'Wind Loading'!$O$53*'Combined Stress'!Z31+'Wind Loading'!$O$52*'Combined Stress'!Z32+'Wind Loading'!$O$51*'Combined Stress'!Z33+'Wind Loading'!$O$50*'Combined Stress'!Z34+'Wind Loading'!$O$49*'Combined Stress'!Z35+'Wind Loading'!$O$48*'Combined Stress'!Z36+'Wind Loading'!$O$47*'Combined Stress'!Z37+'Wind Loading'!$O$46*'Combined Stress'!Z38+'Wind Loading'!$O$45*'Combined Stress'!Z39+'Wind Loading'!$O$44*'Combined Stress'!Z40+'Wind Loading'!$O$43*'Combined Stress'!Z41+'Wind Loading'!$O$42*'Combined Stress'!Z42+'Wind Loading'!$O$41*'Combined Stress'!Z43+'Wind Loading'!$O$40*'Combined Stress'!Z44+'Wind Loading'!$O$39*'Combined Stress'!Z45+'Wind Loading'!$O$38*'Combined Stress'!Z46+'Wind Loading'!$O$37*'Combined Stress'!Z47+'Wind Loading'!$O$36*'Combined Stress'!Z48+'Wind Loading'!$O$35*'Combined Stress'!Z49+'Wind Loading'!$O$34*'Combined Stress'!Z50+'Wind Loading'!$O$33*'Combined Stress'!Z51+'Wind Loading'!$O$32*'Combined Stress'!Z52+'Wind Loading'!$O$31*'Combined Stress'!Z53+'Wind Loading'!$O$30*'Combined Stress'!Z54+'Wind Loading'!$O$29*'Combined Stress'!Z55+'Wind Loading'!$O$28*'Combined Stress'!Z56+'Wind Loading'!$O$27*'Combined Stress'!Z57+'Wind Loading'!$O$26*'Combined Stress'!Z58+'Wind Loading'!$O$25*'Combined Stress'!Z59+'Wind Loading'!$O$24*'Combined Stress'!Z60+'Wind Loading'!$O$23*'Combined Stress'!Z61+'Wind Loading'!$O$22*'Combined Stress'!Z62+'Wind Loading'!$O$21*'Combined Stress'!Z63+'Wind Loading'!$O$20*'Combined Stress'!Z64+'Wind Loading'!$O$19*'Combined Stress'!Z65+'Wind Loading'!$O$18*'Combined Stress'!Z66+'Wind Loading'!$O$17*'Combined Stress'!Z67+'Wind Loading'!$O$16*'Combined Stress'!Z68+'Wind Loading'!$O$15*'Combined Stress'!Z69</f>
        <v>269850.18063782057</v>
      </c>
      <c r="AB15" s="19">
        <f>((AA15*'Alternative 2'!K16)/'Alternative 2'!L16)/1000000</f>
        <v>4.2948026419395999</v>
      </c>
      <c r="AC15" s="45">
        <f t="shared" si="17"/>
        <v>11</v>
      </c>
      <c r="AD15" s="19">
        <f>'Alternative 2'!$B$3+'Alternative 2'!$B$5+('Alternative 2'!$B$39*AC15)</f>
        <v>106420.40182660626</v>
      </c>
      <c r="AE15" s="19">
        <f>'Alternative 2'!M16</f>
        <v>0.94283422434782627</v>
      </c>
      <c r="AF15" s="19">
        <f t="shared" si="6"/>
        <v>0.11287286680775613</v>
      </c>
      <c r="AG15" s="19">
        <f t="shared" si="7"/>
        <v>4.4076755087473565</v>
      </c>
      <c r="AI15" s="18">
        <f>'Alternative 3'!F16</f>
        <v>13</v>
      </c>
      <c r="AJ15" s="83">
        <f t="shared" si="18"/>
        <v>22.5</v>
      </c>
      <c r="AK15" s="45">
        <f t="shared" si="19"/>
        <v>22.5</v>
      </c>
      <c r="AL15" s="84">
        <f>'Dynamic Loading'!$AG$3*'Combined Stress'!AJ15+'Wind Loading'!$T$69*AK15+'Wind Loading'!$T$68*'Combined Stress'!AK16+'Wind Loading'!$T$67*'Combined Stress'!AK17+'Wind Loading'!$T$66*'Combined Stress'!AK18+'Wind Loading'!$T$65*'Combined Stress'!AK19+'Wind Loading'!$T$64*'Combined Stress'!AK20+'Wind Loading'!$T$63*'Combined Stress'!AK21+'Wind Loading'!$T$62*'Combined Stress'!AK22+'Wind Loading'!$T$61*'Combined Stress'!AK23+'Wind Loading'!$T$60*'Combined Stress'!AK24+'Wind Loading'!$T$59*'Combined Stress'!AK25+'Wind Loading'!$T$58*'Combined Stress'!AK26+'Wind Loading'!$T$57*'Combined Stress'!AK27+'Wind Loading'!$T$56*'Combined Stress'!AK28+'Wind Loading'!$T$55*'Combined Stress'!AK29+'Wind Loading'!$T$54*'Combined Stress'!AK30+'Wind Loading'!$T$53*'Combined Stress'!AK31+'Wind Loading'!$T$52*'Combined Stress'!AK32+'Wind Loading'!$T$51*'Combined Stress'!AK33+'Wind Loading'!$T$50*'Combined Stress'!AK34+'Wind Loading'!$T$49*'Combined Stress'!AK35+'Wind Loading'!$T$48*'Combined Stress'!AK36+'Wind Loading'!$T$47*'Combined Stress'!AK37+'Wind Loading'!$T$46*'Combined Stress'!AK38+'Wind Loading'!$T$45*'Combined Stress'!AK39+'Wind Loading'!$T$44*'Combined Stress'!AK40+'Wind Loading'!$T$43*'Combined Stress'!AK41+'Wind Loading'!$T$42*'Combined Stress'!AK42+'Wind Loading'!$T$41*'Combined Stress'!AK43+'Wind Loading'!$T$40*'Combined Stress'!AK44+'Wind Loading'!$T$39*'Combined Stress'!AK45+'Wind Loading'!$T$38*'Combined Stress'!AK46+'Wind Loading'!$T$37*'Combined Stress'!AK47+'Wind Loading'!$T$36*'Combined Stress'!AK48+'Wind Loading'!$T$35*'Combined Stress'!AK49+'Wind Loading'!$T$34*'Combined Stress'!AK50+'Wind Loading'!$T$33*'Combined Stress'!AK51+'Wind Loading'!$T$32*'Combined Stress'!AK52+'Wind Loading'!$T$31*'Combined Stress'!AK53+'Wind Loading'!$T$30*'Combined Stress'!AK54+'Wind Loading'!$T$29*'Combined Stress'!AK55+'Wind Loading'!$T$28*'Combined Stress'!AK56+'Wind Loading'!$T$27*'Combined Stress'!AK57+'Wind Loading'!$T$26*'Combined Stress'!AK58+'Wind Loading'!$T$25*'Combined Stress'!AK59+'Wind Loading'!$T$24*'Combined Stress'!AK60+'Wind Loading'!$T$23*'Combined Stress'!AK61+'Wind Loading'!$T$22*'Combined Stress'!AK62+'Wind Loading'!$T$21*'Combined Stress'!AK63+'Wind Loading'!$T$20*'Combined Stress'!AK64+'Wind Loading'!$T$19*'Combined Stress'!AK65+'Wind Loading'!$T$18*'Combined Stress'!AK66+'Wind Loading'!$T$17*'Combined Stress'!AK67+'Wind Loading'!$T$16*'Combined Stress'!AK68+'Wind Loading'!$T$15*'Combined Stress'!AK69</f>
        <v>3175289.0044217375</v>
      </c>
      <c r="AM15" s="84">
        <f>((AL15*'Alternative 3'!K16)/'Alternative 3'!L16)/1000000</f>
        <v>50.536336766123796</v>
      </c>
      <c r="AN15" s="84">
        <f t="shared" si="8"/>
        <v>55</v>
      </c>
      <c r="AO15" s="19">
        <f>'Alternative 3'!$B$3+'Alternative 3'!$B$5+('Alternative 2'!$B$39*AN15)</f>
        <v>295064.00098553131</v>
      </c>
      <c r="AP15" s="84">
        <f>'Alternative 3'!M16</f>
        <v>2.5836142825851431</v>
      </c>
      <c r="AQ15" s="84">
        <f t="shared" si="9"/>
        <v>0.1142059025507061</v>
      </c>
      <c r="AR15" s="84">
        <f t="shared" si="10"/>
        <v>50.650542668674504</v>
      </c>
    </row>
    <row r="16" spans="1:44" ht="14.45" customHeight="1" x14ac:dyDescent="0.25">
      <c r="A16" s="18">
        <f>'Baseline Given'!E17</f>
        <v>14</v>
      </c>
      <c r="B16" s="45">
        <f t="shared" si="0"/>
        <v>56.5</v>
      </c>
      <c r="C16" s="45">
        <f t="shared" si="1"/>
        <v>53.5</v>
      </c>
      <c r="D16" s="19">
        <f>'Dynamic Loading'!$I$3*'Combined Stress'!B16+'Wind Loading'!$E$69*C16+'Wind Loading'!$E$68*'Combined Stress'!C17+'Wind Loading'!$E$67*'Combined Stress'!C18+'Wind Loading'!$E$66*'Combined Stress'!C19+'Wind Loading'!$E$65*'Combined Stress'!C20+'Wind Loading'!$E$64*'Combined Stress'!C21+'Wind Loading'!$E$63*'Combined Stress'!C22+'Wind Loading'!$E$62*'Combined Stress'!C23+'Wind Loading'!$E$61*'Combined Stress'!C24+'Wind Loading'!$E$60*'Combined Stress'!C25+'Wind Loading'!$E$59*'Combined Stress'!C26+'Wind Loading'!$E$58*'Combined Stress'!C27+'Wind Loading'!$E$57*'Combined Stress'!C28+'Wind Loading'!$E$56*'Combined Stress'!C29+'Wind Loading'!$E$55*'Combined Stress'!C30+'Wind Loading'!$E$54*'Combined Stress'!C31+'Wind Loading'!$E$53*'Combined Stress'!C32+'Wind Loading'!$E$52*'Combined Stress'!C33+'Wind Loading'!$E$51*'Combined Stress'!C34+'Wind Loading'!$E$50*'Combined Stress'!C35+'Wind Loading'!$E$49*'Combined Stress'!C36+'Wind Loading'!$E$48*'Combined Stress'!C37+'Wind Loading'!$E$47*'Combined Stress'!C38+'Wind Loading'!$E$46*'Combined Stress'!C39+'Wind Loading'!$E$45*'Combined Stress'!C40+'Wind Loading'!$E$44*'Combined Stress'!C41+'Wind Loading'!$E$43*'Combined Stress'!C42+'Wind Loading'!$E$42*'Combined Stress'!C43+'Wind Loading'!$E$41*'Combined Stress'!C44+'Wind Loading'!$E$40*'Combined Stress'!C45+'Wind Loading'!$E$39*'Combined Stress'!C46+'Wind Loading'!$E$38*'Combined Stress'!C47+'Wind Loading'!$E$37*'Combined Stress'!C48+'Wind Loading'!$E$36*'Combined Stress'!C49+'Wind Loading'!$E$35*'Combined Stress'!C50+'Wind Loading'!$E$34*'Combined Stress'!C51+'Wind Loading'!$E$33*'Combined Stress'!C52+'Wind Loading'!$E$32*'Combined Stress'!C53+'Wind Loading'!$E$31*'Combined Stress'!C54+'Wind Loading'!$E$30*'Combined Stress'!C55+'Wind Loading'!$E$29*'Combined Stress'!C56+'Wind Loading'!$E$28*'Combined Stress'!C57+'Wind Loading'!$E$27*'Combined Stress'!C58+'Wind Loading'!$E$26*'Combined Stress'!C59+'Wind Loading'!$E$25*'Combined Stress'!C60+'Wind Loading'!$E$24*'Combined Stress'!C61+'Wind Loading'!$E$23*'Combined Stress'!C62+'Wind Loading'!$E$22*'Combined Stress'!C63+'Wind Loading'!$E$21*'Combined Stress'!C64+'Wind Loading'!$E$20*'Combined Stress'!C65+'Wind Loading'!$E$19*'Combined Stress'!C66+'Wind Loading'!$E$18*'Combined Stress'!C67+'Wind Loading'!$E$17*'Combined Stress'!C68+'Wind Loading'!$E$16*'Combined Stress'!C69</f>
        <v>21614710.344664954</v>
      </c>
      <c r="E16" s="19">
        <f>((D16*'Baseline Given'!K17)/'Baseline Given'!L17)/1000000</f>
        <v>135.01141681999312</v>
      </c>
      <c r="F16" s="19">
        <f t="shared" si="2"/>
        <v>54</v>
      </c>
      <c r="G16" s="19">
        <f>'Baseline Given'!$B$3+'Baseline Given'!$B$5+('Baseline Given'!$B$38*F16)</f>
        <v>2054293.5820895522</v>
      </c>
      <c r="H16" s="19">
        <f>'Baseline Given'!M17</f>
        <v>10.727553221118578</v>
      </c>
      <c r="I16" s="19">
        <f t="shared" si="3"/>
        <v>0.19149693688262567</v>
      </c>
      <c r="J16" s="19">
        <f t="shared" si="11"/>
        <v>-135.20291375687574</v>
      </c>
      <c r="M16" s="18">
        <f>IF('Alternative 1'!F17&gt;0,'Alternative 1'!F17,"x")</f>
        <v>14</v>
      </c>
      <c r="N16" s="45">
        <f t="shared" si="12"/>
        <v>23.5</v>
      </c>
      <c r="O16" s="45">
        <f t="shared" si="13"/>
        <v>22.5</v>
      </c>
      <c r="P16" s="19">
        <f>'Dynamic Loading'!$Q$3*'Combined Stress'!N16+'Wind Loading'!$J$69*O16+'Wind Loading'!$J$68*'Combined Stress'!O17+'Wind Loading'!$J$67*'Combined Stress'!O18+'Wind Loading'!$J$66*'Combined Stress'!O19+'Wind Loading'!$J$65*'Combined Stress'!O20+'Wind Loading'!$J$64*'Combined Stress'!O21+'Wind Loading'!$J$63*'Combined Stress'!O22+'Wind Loading'!$J$62*'Combined Stress'!O23+'Wind Loading'!$J$61*'Combined Stress'!O24+'Wind Loading'!$J$60*'Combined Stress'!O25+'Wind Loading'!$J$59*'Combined Stress'!O26+'Wind Loading'!$J$58*'Combined Stress'!O27+'Wind Loading'!$J$57*'Combined Stress'!O28+'Wind Loading'!$J$56*'Combined Stress'!O29+'Wind Loading'!$J$55*'Combined Stress'!O30+'Wind Loading'!$J$54*'Combined Stress'!O31+'Wind Loading'!$J$53*'Combined Stress'!O32+'Wind Loading'!$J$52*'Combined Stress'!O33+'Wind Loading'!$J$51*'Combined Stress'!O34+'Wind Loading'!$J$50*'Combined Stress'!O35+'Wind Loading'!$J$49*'Combined Stress'!O36+'Wind Loading'!$J$48*'Combined Stress'!O37+'Wind Loading'!$J$47*'Combined Stress'!O38+'Wind Loading'!$J$46*'Combined Stress'!O39+'Wind Loading'!$J$45*'Combined Stress'!O40+'Wind Loading'!$J$44*'Combined Stress'!O41+'Wind Loading'!$J$43*'Combined Stress'!O42+'Wind Loading'!$J$42*'Combined Stress'!O43+'Wind Loading'!$J$41*'Combined Stress'!O44+'Wind Loading'!$J$40*'Combined Stress'!O45+'Wind Loading'!$J$39*'Combined Stress'!O46+'Wind Loading'!$J$38*'Combined Stress'!O47+'Wind Loading'!$J$37*'Combined Stress'!O48+'Wind Loading'!$J$36*'Combined Stress'!O49+'Wind Loading'!$J$35*'Combined Stress'!O50+'Wind Loading'!$J$34*'Combined Stress'!O51+'Wind Loading'!$J$33*'Combined Stress'!O52+'Wind Loading'!$J$32*'Combined Stress'!O53+'Wind Loading'!$J$31*'Combined Stress'!O54+'Wind Loading'!$J$30*'Combined Stress'!O55+'Wind Loading'!$J$29*'Combined Stress'!O56+'Wind Loading'!$J$28*'Combined Stress'!O57+'Wind Loading'!$J$27*'Combined Stress'!O58+'Wind Loading'!$J$26*'Combined Stress'!O59+'Wind Loading'!$J$25*'Combined Stress'!O60+'Wind Loading'!$J$24*'Combined Stress'!O61+'Wind Loading'!$J$23*'Combined Stress'!O62+'Wind Loading'!$J$22*'Combined Stress'!O63+'Wind Loading'!$J$21*'Combined Stress'!O64+'Wind Loading'!$J$20*'Combined Stress'!O65+'Wind Loading'!$J$19*'Combined Stress'!O66+'Wind Loading'!$J$18*'Combined Stress'!O67+'Wind Loading'!$J$17*'Combined Stress'!O68+'Wind Loading'!$J$16*'Combined Stress'!O69</f>
        <v>460952.954524828</v>
      </c>
      <c r="Q16" s="19">
        <f>((P16*'Alternative 1'!K17)/'Alternative 1'!L17)/1000000</f>
        <v>3.6681501606258937</v>
      </c>
      <c r="R16" s="45">
        <f t="shared" si="14"/>
        <v>23</v>
      </c>
      <c r="S16" s="19">
        <f>IF(R16&gt;0,'Alternative 1'!$B$3+'Alternative 1'!$B$5+('Alternative 1'!$B$39*R16),0)</f>
        <v>236686.08381042405</v>
      </c>
      <c r="T16" s="19">
        <f>'Alternative 1'!M17</f>
        <v>2.6519839146058395</v>
      </c>
      <c r="U16" s="19">
        <f t="shared" si="4"/>
        <v>8.9248687560611537E-2</v>
      </c>
      <c r="V16" s="19">
        <f t="shared" si="5"/>
        <v>3.7573988481865053</v>
      </c>
      <c r="X16" s="18">
        <f>IF('Alternative 2'!$F17&gt;0,'Alternative 2'!$F17,"x")</f>
        <v>14</v>
      </c>
      <c r="Y16" s="45">
        <f t="shared" si="15"/>
        <v>10.5</v>
      </c>
      <c r="Z16" s="45">
        <f t="shared" si="16"/>
        <v>9.5</v>
      </c>
      <c r="AA16" s="19">
        <f>'Dynamic Loading'!$Y$3*'Combined Stress'!Y16+'Wind Loading'!$O$69*Z16+'Wind Loading'!$O$68*'Combined Stress'!Z17+'Wind Loading'!$O$67*'Combined Stress'!Z18+'Wind Loading'!$O$66*'Combined Stress'!Z19+'Wind Loading'!$O$65*'Combined Stress'!Z20+'Wind Loading'!$O$64*'Combined Stress'!Z21+'Wind Loading'!$O$63*'Combined Stress'!Z22+'Wind Loading'!$O$62*'Combined Stress'!Z23+'Wind Loading'!$O$61*'Combined Stress'!Z24+'Wind Loading'!$O$60*'Combined Stress'!Z25+'Wind Loading'!$O$59*'Combined Stress'!Z26+'Wind Loading'!$O$58*'Combined Stress'!Z27+'Wind Loading'!$O$57*'Combined Stress'!Z28+'Wind Loading'!$O$56*'Combined Stress'!Z29+'Wind Loading'!$O$55*'Combined Stress'!Z30+'Wind Loading'!$O$54*'Combined Stress'!Z31+'Wind Loading'!$O$53*'Combined Stress'!Z32+'Wind Loading'!$O$52*'Combined Stress'!Z33+'Wind Loading'!$O$51*'Combined Stress'!Z34+'Wind Loading'!$O$50*'Combined Stress'!Z35+'Wind Loading'!$O$49*'Combined Stress'!Z36+'Wind Loading'!$O$48*'Combined Stress'!Z37+'Wind Loading'!$O$47*'Combined Stress'!Z38+'Wind Loading'!$O$46*'Combined Stress'!Z39+'Wind Loading'!$O$45*'Combined Stress'!Z40+'Wind Loading'!$O$44*'Combined Stress'!Z41+'Wind Loading'!$O$43*'Combined Stress'!Z42+'Wind Loading'!$O$42*'Combined Stress'!Z43+'Wind Loading'!$O$41*'Combined Stress'!Z44+'Wind Loading'!$O$40*'Combined Stress'!Z45+'Wind Loading'!$O$39*'Combined Stress'!Z46+'Wind Loading'!$O$38*'Combined Stress'!Z47+'Wind Loading'!$O$37*'Combined Stress'!Z48+'Wind Loading'!$O$36*'Combined Stress'!Z49+'Wind Loading'!$O$35*'Combined Stress'!Z50+'Wind Loading'!$O$34*'Combined Stress'!Z51+'Wind Loading'!$O$33*'Combined Stress'!Z52+'Wind Loading'!$O$32*'Combined Stress'!Z53+'Wind Loading'!$O$31*'Combined Stress'!Z54+'Wind Loading'!$O$30*'Combined Stress'!Z55+'Wind Loading'!$O$29*'Combined Stress'!Z56+'Wind Loading'!$O$28*'Combined Stress'!Z57+'Wind Loading'!$O$27*'Combined Stress'!Z58+'Wind Loading'!$O$26*'Combined Stress'!Z59+'Wind Loading'!$O$25*'Combined Stress'!Z60+'Wind Loading'!$O$24*'Combined Stress'!Z61+'Wind Loading'!$O$23*'Combined Stress'!Z62+'Wind Loading'!$O$22*'Combined Stress'!Z63+'Wind Loading'!$O$21*'Combined Stress'!Z64+'Wind Loading'!$O$20*'Combined Stress'!Z65+'Wind Loading'!$O$19*'Combined Stress'!Z66+'Wind Loading'!$O$18*'Combined Stress'!Z67+'Wind Loading'!$O$17*'Combined Stress'!Z68+'Wind Loading'!$O$16*'Combined Stress'!Z69</f>
        <v>246384.94753887967</v>
      </c>
      <c r="AB16" s="19">
        <f>((AA16*'Alternative 2'!K17)/'Alternative 2'!L17)/1000000</f>
        <v>3.9213415426405049</v>
      </c>
      <c r="AC16" s="45">
        <f t="shared" si="17"/>
        <v>10</v>
      </c>
      <c r="AD16" s="19">
        <f>'Alternative 2'!$B$3+'Alternative 2'!$B$5+('Alternative 2'!$B$39*AC16)</f>
        <v>103699.62620600569</v>
      </c>
      <c r="AE16" s="19">
        <f>'Alternative 2'!M17</f>
        <v>0.90946222214673933</v>
      </c>
      <c r="AF16" s="19">
        <f t="shared" si="6"/>
        <v>0.1140230167683359</v>
      </c>
      <c r="AG16" s="19">
        <f t="shared" si="7"/>
        <v>4.0353645594088405</v>
      </c>
      <c r="AI16" s="18">
        <f>'Alternative 3'!F17</f>
        <v>14</v>
      </c>
      <c r="AJ16" s="83">
        <f t="shared" si="18"/>
        <v>21.5</v>
      </c>
      <c r="AK16" s="45">
        <f t="shared" si="19"/>
        <v>21.5</v>
      </c>
      <c r="AL16" s="84">
        <f>'Dynamic Loading'!$AG$3*'Combined Stress'!AJ16+'Wind Loading'!$T$69*AK16+'Wind Loading'!$T$68*'Combined Stress'!AK17+'Wind Loading'!$T$67*'Combined Stress'!AK18+'Wind Loading'!$T$66*'Combined Stress'!AK19+'Wind Loading'!$T$65*'Combined Stress'!AK20+'Wind Loading'!$T$64*'Combined Stress'!AK21+'Wind Loading'!$T$63*'Combined Stress'!AK22+'Wind Loading'!$T$62*'Combined Stress'!AK23+'Wind Loading'!$T$61*'Combined Stress'!AK24+'Wind Loading'!$T$60*'Combined Stress'!AK25+'Wind Loading'!$T$59*'Combined Stress'!AK26+'Wind Loading'!$T$58*'Combined Stress'!AK27+'Wind Loading'!$T$57*'Combined Stress'!AK28+'Wind Loading'!$T$56*'Combined Stress'!AK29+'Wind Loading'!$T$55*'Combined Stress'!AK30+'Wind Loading'!$T$54*'Combined Stress'!AK31+'Wind Loading'!$T$53*'Combined Stress'!AK32+'Wind Loading'!$T$52*'Combined Stress'!AK33+'Wind Loading'!$T$51*'Combined Stress'!AK34+'Wind Loading'!$T$50*'Combined Stress'!AK35+'Wind Loading'!$T$49*'Combined Stress'!AK36+'Wind Loading'!$T$48*'Combined Stress'!AK37+'Wind Loading'!$T$47*'Combined Stress'!AK38+'Wind Loading'!$T$46*'Combined Stress'!AK39+'Wind Loading'!$T$45*'Combined Stress'!AK40+'Wind Loading'!$T$44*'Combined Stress'!AK41+'Wind Loading'!$T$43*'Combined Stress'!AK42+'Wind Loading'!$T$42*'Combined Stress'!AK43+'Wind Loading'!$T$41*'Combined Stress'!AK44+'Wind Loading'!$T$40*'Combined Stress'!AK45+'Wind Loading'!$T$39*'Combined Stress'!AK46+'Wind Loading'!$T$38*'Combined Stress'!AK47+'Wind Loading'!$T$37*'Combined Stress'!AK48+'Wind Loading'!$T$36*'Combined Stress'!AK49+'Wind Loading'!$T$35*'Combined Stress'!AK50+'Wind Loading'!$T$34*'Combined Stress'!AK51+'Wind Loading'!$T$33*'Combined Stress'!AK52+'Wind Loading'!$T$32*'Combined Stress'!AK53+'Wind Loading'!$T$31*'Combined Stress'!AK54+'Wind Loading'!$T$30*'Combined Stress'!AK55+'Wind Loading'!$T$29*'Combined Stress'!AK56+'Wind Loading'!$T$28*'Combined Stress'!AK57+'Wind Loading'!$T$27*'Combined Stress'!AK58+'Wind Loading'!$T$26*'Combined Stress'!AK59+'Wind Loading'!$T$25*'Combined Stress'!AK60+'Wind Loading'!$T$24*'Combined Stress'!AK61+'Wind Loading'!$T$23*'Combined Stress'!AK62+'Wind Loading'!$T$22*'Combined Stress'!AK63+'Wind Loading'!$T$21*'Combined Stress'!AK64+'Wind Loading'!$T$20*'Combined Stress'!AK65+'Wind Loading'!$T$19*'Combined Stress'!AK66+'Wind Loading'!$T$18*'Combined Stress'!AK67+'Wind Loading'!$T$17*'Combined Stress'!AK68+'Wind Loading'!$T$16*'Combined Stress'!AK69</f>
        <v>3034165.0486696605</v>
      </c>
      <c r="AM16" s="84">
        <f>((AL16*'Alternative 3'!K17)/'Alternative 3'!L17)/1000000</f>
        <v>48.29027735429608</v>
      </c>
      <c r="AN16" s="84">
        <f t="shared" si="8"/>
        <v>54</v>
      </c>
      <c r="AO16" s="19">
        <f>'Alternative 3'!$B$3+'Alternative 3'!$B$5+('Alternative 2'!$B$39*AN16)</f>
        <v>292343.22536493075</v>
      </c>
      <c r="AP16" s="84">
        <f>'Alternative 3'!M17</f>
        <v>2.5277540021369997</v>
      </c>
      <c r="AQ16" s="84">
        <f t="shared" si="9"/>
        <v>0.11565335278582471</v>
      </c>
      <c r="AR16" s="84">
        <f t="shared" si="10"/>
        <v>48.405930707081907</v>
      </c>
    </row>
    <row r="17" spans="1:44" ht="14.45" customHeight="1" x14ac:dyDescent="0.25">
      <c r="A17" s="18">
        <f>'Baseline Given'!E18</f>
        <v>15</v>
      </c>
      <c r="B17" s="45">
        <f t="shared" si="0"/>
        <v>55.5</v>
      </c>
      <c r="C17" s="45">
        <f t="shared" si="1"/>
        <v>52.5</v>
      </c>
      <c r="D17" s="19">
        <f>'Dynamic Loading'!$I$3*'Combined Stress'!B17+'Wind Loading'!$E$69*C17+'Wind Loading'!$E$68*'Combined Stress'!C18+'Wind Loading'!$E$67*'Combined Stress'!C19+'Wind Loading'!$E$66*'Combined Stress'!C20+'Wind Loading'!$E$65*'Combined Stress'!C21+'Wind Loading'!$E$64*'Combined Stress'!C22+'Wind Loading'!$E$63*'Combined Stress'!C23+'Wind Loading'!$E$62*'Combined Stress'!C24+'Wind Loading'!$E$61*'Combined Stress'!C25+'Wind Loading'!$E$60*'Combined Stress'!C26+'Wind Loading'!$E$59*'Combined Stress'!C27+'Wind Loading'!$E$58*'Combined Stress'!C28+'Wind Loading'!$E$57*'Combined Stress'!C29+'Wind Loading'!$E$56*'Combined Stress'!C30+'Wind Loading'!$E$55*'Combined Stress'!C31+'Wind Loading'!$E$54*'Combined Stress'!C32+'Wind Loading'!$E$53*'Combined Stress'!C33+'Wind Loading'!$E$52*'Combined Stress'!C34+'Wind Loading'!$E$51*'Combined Stress'!C35+'Wind Loading'!$E$50*'Combined Stress'!C36+'Wind Loading'!$E$49*'Combined Stress'!C37+'Wind Loading'!$E$48*'Combined Stress'!C38+'Wind Loading'!$E$47*'Combined Stress'!C39+'Wind Loading'!$E$46*'Combined Stress'!C40+'Wind Loading'!$E$45*'Combined Stress'!C41+'Wind Loading'!$E$44*'Combined Stress'!C42+'Wind Loading'!$E$43*'Combined Stress'!C43+'Wind Loading'!$E$42*'Combined Stress'!C44+'Wind Loading'!$E$41*'Combined Stress'!C45+'Wind Loading'!$E$40*'Combined Stress'!C46+'Wind Loading'!$E$39*'Combined Stress'!C47+'Wind Loading'!$E$38*'Combined Stress'!C48+'Wind Loading'!$E$37*'Combined Stress'!C49+'Wind Loading'!$E$36*'Combined Stress'!C50+'Wind Loading'!$E$35*'Combined Stress'!C51+'Wind Loading'!$E$34*'Combined Stress'!C52+'Wind Loading'!$E$33*'Combined Stress'!C53+'Wind Loading'!$E$32*'Combined Stress'!C54+'Wind Loading'!$E$31*'Combined Stress'!C55+'Wind Loading'!$E$30*'Combined Stress'!C56+'Wind Loading'!$E$29*'Combined Stress'!C57+'Wind Loading'!$E$28*'Combined Stress'!C58+'Wind Loading'!$E$27*'Combined Stress'!C59+'Wind Loading'!$E$26*'Combined Stress'!C60+'Wind Loading'!$E$25*'Combined Stress'!C61+'Wind Loading'!$E$24*'Combined Stress'!C62+'Wind Loading'!$E$23*'Combined Stress'!C63+'Wind Loading'!$E$22*'Combined Stress'!C64+'Wind Loading'!$E$21*'Combined Stress'!C65+'Wind Loading'!$E$20*'Combined Stress'!C66+'Wind Loading'!$E$19*'Combined Stress'!C67+'Wind Loading'!$E$18*'Combined Stress'!C68+'Wind Loading'!$E$17*'Combined Stress'!C69</f>
        <v>21140593.172729585</v>
      </c>
      <c r="E17" s="19">
        <f>((D17*'Baseline Given'!K18)/'Baseline Given'!L18)/1000000</f>
        <v>132.98943657384913</v>
      </c>
      <c r="F17" s="19">
        <f t="shared" si="2"/>
        <v>53</v>
      </c>
      <c r="G17" s="19">
        <f>'Baseline Given'!$B$3+'Baseline Given'!$B$5+('Baseline Given'!$B$38*F17)</f>
        <v>2038134.6268656715</v>
      </c>
      <c r="H17" s="19">
        <f>'Baseline Given'!M18</f>
        <v>10.613317634297873</v>
      </c>
      <c r="I17" s="19">
        <f t="shared" si="3"/>
        <v>0.19203558181272737</v>
      </c>
      <c r="J17" s="19">
        <f t="shared" si="11"/>
        <v>-133.18147215566185</v>
      </c>
      <c r="M17" s="18">
        <f>IF('Alternative 1'!F18&gt;0,'Alternative 1'!F18,"x")</f>
        <v>15</v>
      </c>
      <c r="N17" s="45">
        <f t="shared" si="12"/>
        <v>22.5</v>
      </c>
      <c r="O17" s="45">
        <f t="shared" si="13"/>
        <v>21.5</v>
      </c>
      <c r="P17" s="19">
        <f>'Dynamic Loading'!$Q$3*'Combined Stress'!N17+'Wind Loading'!$J$69*O17+'Wind Loading'!$J$68*'Combined Stress'!O18+'Wind Loading'!$J$67*'Combined Stress'!O19+'Wind Loading'!$J$66*'Combined Stress'!O20+'Wind Loading'!$J$65*'Combined Stress'!O21+'Wind Loading'!$J$64*'Combined Stress'!O22+'Wind Loading'!$J$63*'Combined Stress'!O23+'Wind Loading'!$J$62*'Combined Stress'!O24+'Wind Loading'!$J$61*'Combined Stress'!O25+'Wind Loading'!$J$60*'Combined Stress'!O26+'Wind Loading'!$J$59*'Combined Stress'!O27+'Wind Loading'!$J$58*'Combined Stress'!O28+'Wind Loading'!$J$57*'Combined Stress'!O29+'Wind Loading'!$J$56*'Combined Stress'!O30+'Wind Loading'!$J$55*'Combined Stress'!O31+'Wind Loading'!$J$54*'Combined Stress'!O32+'Wind Loading'!$J$53*'Combined Stress'!O33+'Wind Loading'!$J$52*'Combined Stress'!O34+'Wind Loading'!$J$51*'Combined Stress'!O35+'Wind Loading'!$J$50*'Combined Stress'!O36+'Wind Loading'!$J$49*'Combined Stress'!O37+'Wind Loading'!$J$48*'Combined Stress'!O38+'Wind Loading'!$J$47*'Combined Stress'!O39+'Wind Loading'!$J$46*'Combined Stress'!O40+'Wind Loading'!$J$45*'Combined Stress'!O41+'Wind Loading'!$J$44*'Combined Stress'!O42+'Wind Loading'!$J$43*'Combined Stress'!O43+'Wind Loading'!$J$42*'Combined Stress'!O44+'Wind Loading'!$J$41*'Combined Stress'!O45+'Wind Loading'!$J$40*'Combined Stress'!O46+'Wind Loading'!$J$39*'Combined Stress'!O47+'Wind Loading'!$J$38*'Combined Stress'!O48+'Wind Loading'!$J$37*'Combined Stress'!O49+'Wind Loading'!$J$36*'Combined Stress'!O50+'Wind Loading'!$J$35*'Combined Stress'!O51+'Wind Loading'!$J$34*'Combined Stress'!O52+'Wind Loading'!$J$33*'Combined Stress'!O53+'Wind Loading'!$J$32*'Combined Stress'!O54+'Wind Loading'!$J$31*'Combined Stress'!O55+'Wind Loading'!$J$30*'Combined Stress'!O56+'Wind Loading'!$J$29*'Combined Stress'!O57+'Wind Loading'!$J$28*'Combined Stress'!O58+'Wind Loading'!$J$27*'Combined Stress'!O59+'Wind Loading'!$J$26*'Combined Stress'!O60+'Wind Loading'!$J$25*'Combined Stress'!O61+'Wind Loading'!$J$24*'Combined Stress'!O62+'Wind Loading'!$J$23*'Combined Stress'!O63+'Wind Loading'!$J$22*'Combined Stress'!O64+'Wind Loading'!$J$21*'Combined Stress'!O65+'Wind Loading'!$J$20*'Combined Stress'!O66+'Wind Loading'!$J$19*'Combined Stress'!O67+'Wind Loading'!$J$18*'Combined Stress'!O68+'Wind Loading'!$J$17*'Combined Stress'!O69</f>
        <v>441337.93518334598</v>
      </c>
      <c r="Q17" s="19">
        <f>((P17*'Alternative 1'!K18)/'Alternative 1'!L18)/1000000</f>
        <v>3.5120586644290466</v>
      </c>
      <c r="R17" s="45">
        <f t="shared" si="14"/>
        <v>22</v>
      </c>
      <c r="S17" s="19">
        <f>IF(R17&gt;0,'Alternative 1'!$B$3+'Alternative 1'!$B$5+('Alternative 1'!$B$39*R17),0)</f>
        <v>228182.75307084041</v>
      </c>
      <c r="T17" s="19">
        <f>'Alternative 1'!M18</f>
        <v>2.5948867902204724</v>
      </c>
      <c r="U17" s="19">
        <f t="shared" si="4"/>
        <v>8.7935533037822061E-2</v>
      </c>
      <c r="V17" s="19">
        <f t="shared" si="5"/>
        <v>3.5999941974668688</v>
      </c>
      <c r="X17" s="18">
        <f>IF('Alternative 2'!$F18&gt;0,'Alternative 2'!$F18,"x")</f>
        <v>15</v>
      </c>
      <c r="Y17" s="45">
        <f t="shared" si="15"/>
        <v>9.5</v>
      </c>
      <c r="Z17" s="45">
        <f t="shared" si="16"/>
        <v>8.5</v>
      </c>
      <c r="AA17" s="19">
        <f>'Dynamic Loading'!$Y$3*'Combined Stress'!Y17+'Wind Loading'!$O$69*Z17+'Wind Loading'!$O$68*'Combined Stress'!Z18+'Wind Loading'!$O$67*'Combined Stress'!Z19+'Wind Loading'!$O$66*'Combined Stress'!Z20+'Wind Loading'!$O$65*'Combined Stress'!Z21+'Wind Loading'!$O$64*'Combined Stress'!Z22+'Wind Loading'!$O$63*'Combined Stress'!Z23+'Wind Loading'!$O$62*'Combined Stress'!Z24+'Wind Loading'!$O$61*'Combined Stress'!Z25+'Wind Loading'!$O$60*'Combined Stress'!Z26+'Wind Loading'!$O$59*'Combined Stress'!Z27+'Wind Loading'!$O$58*'Combined Stress'!Z28+'Wind Loading'!$O$57*'Combined Stress'!Z29+'Wind Loading'!$O$56*'Combined Stress'!Z30+'Wind Loading'!$O$55*'Combined Stress'!Z31+'Wind Loading'!$O$54*'Combined Stress'!Z32+'Wind Loading'!$O$53*'Combined Stress'!Z33+'Wind Loading'!$O$52*'Combined Stress'!Z34+'Wind Loading'!$O$51*'Combined Stress'!Z35+'Wind Loading'!$O$50*'Combined Stress'!Z36+'Wind Loading'!$O$49*'Combined Stress'!Z37+'Wind Loading'!$O$48*'Combined Stress'!Z38+'Wind Loading'!$O$47*'Combined Stress'!Z39+'Wind Loading'!$O$46*'Combined Stress'!Z40+'Wind Loading'!$O$45*'Combined Stress'!Z41+'Wind Loading'!$O$44*'Combined Stress'!Z42+'Wind Loading'!$O$43*'Combined Stress'!Z43+'Wind Loading'!$O$42*'Combined Stress'!Z44+'Wind Loading'!$O$41*'Combined Stress'!Z45+'Wind Loading'!$O$40*'Combined Stress'!Z46+'Wind Loading'!$O$39*'Combined Stress'!Z47+'Wind Loading'!$O$38*'Combined Stress'!Z48+'Wind Loading'!$O$37*'Combined Stress'!Z49+'Wind Loading'!$O$36*'Combined Stress'!Z50+'Wind Loading'!$O$35*'Combined Stress'!Z51+'Wind Loading'!$O$34*'Combined Stress'!Z52+'Wind Loading'!$O$33*'Combined Stress'!Z53+'Wind Loading'!$O$32*'Combined Stress'!Z54+'Wind Loading'!$O$31*'Combined Stress'!Z55+'Wind Loading'!$O$30*'Combined Stress'!Z56+'Wind Loading'!$O$29*'Combined Stress'!Z57+'Wind Loading'!$O$28*'Combined Stress'!Z58+'Wind Loading'!$O$27*'Combined Stress'!Z59+'Wind Loading'!$O$26*'Combined Stress'!Z60+'Wind Loading'!$O$25*'Combined Stress'!Z61+'Wind Loading'!$O$24*'Combined Stress'!Z62+'Wind Loading'!$O$23*'Combined Stress'!Z63+'Wind Loading'!$O$22*'Combined Stress'!Z64+'Wind Loading'!$O$21*'Combined Stress'!Z65+'Wind Loading'!$O$20*'Combined Stress'!Z66+'Wind Loading'!$O$19*'Combined Stress'!Z67+'Wind Loading'!$O$18*'Combined Stress'!Z68+'Wind Loading'!$O$17*'Combined Stress'!Z69</f>
        <v>222919.71443993875</v>
      </c>
      <c r="AB17" s="19">
        <f>((AA17*'Alternative 2'!K18)/'Alternative 2'!L18)/1000000</f>
        <v>3.5478804433414095</v>
      </c>
      <c r="AC17" s="45">
        <f t="shared" si="17"/>
        <v>9</v>
      </c>
      <c r="AD17" s="19">
        <f>'Alternative 2'!$B$3+'Alternative 2'!$B$5+('Alternative 2'!$B$39*AC17)</f>
        <v>100978.85058540512</v>
      </c>
      <c r="AE17" s="19">
        <f>'Alternative 2'!M18</f>
        <v>0.87669151728260886</v>
      </c>
      <c r="AF17" s="19">
        <f t="shared" si="6"/>
        <v>0.11518173564448181</v>
      </c>
      <c r="AG17" s="19">
        <f t="shared" si="7"/>
        <v>3.6630621789858915</v>
      </c>
      <c r="AI17" s="18">
        <f>'Alternative 3'!F18</f>
        <v>15</v>
      </c>
      <c r="AJ17" s="83">
        <f t="shared" si="18"/>
        <v>20.5</v>
      </c>
      <c r="AK17" s="45">
        <f t="shared" si="19"/>
        <v>20.5</v>
      </c>
      <c r="AL17" s="84">
        <f>'Dynamic Loading'!$AG$3*'Combined Stress'!AJ17+'Wind Loading'!$T$69*AK17+'Wind Loading'!$T$68*'Combined Stress'!AK18+'Wind Loading'!$T$67*'Combined Stress'!AK19+'Wind Loading'!$T$66*'Combined Stress'!AK20+'Wind Loading'!$T$65*'Combined Stress'!AK21+'Wind Loading'!$T$64*'Combined Stress'!AK22+'Wind Loading'!$T$63*'Combined Stress'!AK23+'Wind Loading'!$T$62*'Combined Stress'!AK24+'Wind Loading'!$T$61*'Combined Stress'!AK25+'Wind Loading'!$T$60*'Combined Stress'!AK26+'Wind Loading'!$T$59*'Combined Stress'!AK27+'Wind Loading'!$T$58*'Combined Stress'!AK28+'Wind Loading'!$T$57*'Combined Stress'!AK29+'Wind Loading'!$T$56*'Combined Stress'!AK30+'Wind Loading'!$T$55*'Combined Stress'!AK31+'Wind Loading'!$T$54*'Combined Stress'!AK32+'Wind Loading'!$T$53*'Combined Stress'!AK33+'Wind Loading'!$T$52*'Combined Stress'!AK34+'Wind Loading'!$T$51*'Combined Stress'!AK35+'Wind Loading'!$T$50*'Combined Stress'!AK36+'Wind Loading'!$T$49*'Combined Stress'!AK37+'Wind Loading'!$T$48*'Combined Stress'!AK38+'Wind Loading'!$T$47*'Combined Stress'!AK39+'Wind Loading'!$T$46*'Combined Stress'!AK40+'Wind Loading'!$T$45*'Combined Stress'!AK41+'Wind Loading'!$T$44*'Combined Stress'!AK42+'Wind Loading'!$T$43*'Combined Stress'!AK43+'Wind Loading'!$T$42*'Combined Stress'!AK44+'Wind Loading'!$T$41*'Combined Stress'!AK45+'Wind Loading'!$T$40*'Combined Stress'!AK46+'Wind Loading'!$T$39*'Combined Stress'!AK47+'Wind Loading'!$T$38*'Combined Stress'!AK48+'Wind Loading'!$T$37*'Combined Stress'!AK49+'Wind Loading'!$T$36*'Combined Stress'!AK50+'Wind Loading'!$T$35*'Combined Stress'!AK51+'Wind Loading'!$T$34*'Combined Stress'!AK52+'Wind Loading'!$T$33*'Combined Stress'!AK53+'Wind Loading'!$T$32*'Combined Stress'!AK54+'Wind Loading'!$T$31*'Combined Stress'!AK55+'Wind Loading'!$T$30*'Combined Stress'!AK56+'Wind Loading'!$T$29*'Combined Stress'!AK57+'Wind Loading'!$T$28*'Combined Stress'!AK58+'Wind Loading'!$T$27*'Combined Stress'!AK59+'Wind Loading'!$T$26*'Combined Stress'!AK60+'Wind Loading'!$T$25*'Combined Stress'!AK61+'Wind Loading'!$T$24*'Combined Stress'!AK62+'Wind Loading'!$T$23*'Combined Stress'!AK63+'Wind Loading'!$T$22*'Combined Stress'!AK64+'Wind Loading'!$T$21*'Combined Stress'!AK65+'Wind Loading'!$T$20*'Combined Stress'!AK66+'Wind Loading'!$T$19*'Combined Stress'!AK67+'Wind Loading'!$T$18*'Combined Stress'!AK68+'Wind Loading'!$T$17*'Combined Stress'!AK69</f>
        <v>2893041.092917583</v>
      </c>
      <c r="AM17" s="84">
        <f>((AL17*'Alternative 3'!K18)/'Alternative 3'!L18)/1000000</f>
        <v>46.04421794246835</v>
      </c>
      <c r="AN17" s="84">
        <f t="shared" si="8"/>
        <v>53</v>
      </c>
      <c r="AO17" s="19">
        <f>'Alternative 3'!$B$3+'Alternative 3'!$B$5+('Alternative 2'!$B$39*AN17)</f>
        <v>289622.4497443302</v>
      </c>
      <c r="AP17" s="84">
        <f>'Alternative 3'!M18</f>
        <v>2.4725042165571427</v>
      </c>
      <c r="AQ17" s="84">
        <f t="shared" si="9"/>
        <v>0.11713729254933979</v>
      </c>
      <c r="AR17" s="84">
        <f t="shared" si="10"/>
        <v>46.161355235017687</v>
      </c>
    </row>
    <row r="18" spans="1:44" ht="14.45" customHeight="1" x14ac:dyDescent="0.25">
      <c r="A18" s="18">
        <f>'Baseline Given'!E19</f>
        <v>16</v>
      </c>
      <c r="B18" s="45">
        <f t="shared" si="0"/>
        <v>54.5</v>
      </c>
      <c r="C18" s="45">
        <f t="shared" si="1"/>
        <v>51.5</v>
      </c>
      <c r="D18" s="19">
        <f>'Dynamic Loading'!$I$3*'Combined Stress'!B18+'Wind Loading'!$E$69*C18+'Wind Loading'!$E$68*'Combined Stress'!C19+'Wind Loading'!$E$67*'Combined Stress'!C20+'Wind Loading'!$E$66*'Combined Stress'!C21+'Wind Loading'!$E$65*'Combined Stress'!C22+'Wind Loading'!$E$64*'Combined Stress'!C23+'Wind Loading'!$E$63*'Combined Stress'!C24+'Wind Loading'!$E$62*'Combined Stress'!C25+'Wind Loading'!$E$61*'Combined Stress'!C26+'Wind Loading'!$E$60*'Combined Stress'!C27+'Wind Loading'!$E$59*'Combined Stress'!C28+'Wind Loading'!$E$58*'Combined Stress'!C29+'Wind Loading'!$E$57*'Combined Stress'!C30+'Wind Loading'!$E$56*'Combined Stress'!C31+'Wind Loading'!$E$55*'Combined Stress'!C32+'Wind Loading'!$E$54*'Combined Stress'!C33+'Wind Loading'!$E$53*'Combined Stress'!C34+'Wind Loading'!$E$52*'Combined Stress'!C35+'Wind Loading'!$E$51*'Combined Stress'!C36+'Wind Loading'!$E$50*'Combined Stress'!C37+'Wind Loading'!$E$49*'Combined Stress'!C38+'Wind Loading'!$E$48*'Combined Stress'!C39+'Wind Loading'!$E$47*'Combined Stress'!C40+'Wind Loading'!$E$46*'Combined Stress'!C41+'Wind Loading'!$E$45*'Combined Stress'!C42+'Wind Loading'!$E$44*'Combined Stress'!C43+'Wind Loading'!$E$43*'Combined Stress'!C44+'Wind Loading'!$E$42*'Combined Stress'!C45+'Wind Loading'!$E$41*'Combined Stress'!C46+'Wind Loading'!$E$40*'Combined Stress'!C47+'Wind Loading'!$E$39*'Combined Stress'!C48+'Wind Loading'!$E$38*'Combined Stress'!C49+'Wind Loading'!$E$37*'Combined Stress'!C50+'Wind Loading'!$E$36*'Combined Stress'!C51+'Wind Loading'!$E$35*'Combined Stress'!C52+'Wind Loading'!$E$34*'Combined Stress'!C53+'Wind Loading'!$E$33*'Combined Stress'!C54+'Wind Loading'!$E$32*'Combined Stress'!C55+'Wind Loading'!$E$31*'Combined Stress'!C56+'Wind Loading'!$E$30*'Combined Stress'!C57+'Wind Loading'!$E$29*'Combined Stress'!C58+'Wind Loading'!$E$28*'Combined Stress'!C59+'Wind Loading'!$E$27*'Combined Stress'!C60+'Wind Loading'!$E$26*'Combined Stress'!C61+'Wind Loading'!$E$25*'Combined Stress'!C62+'Wind Loading'!$E$24*'Combined Stress'!C63+'Wind Loading'!$E$23*'Combined Stress'!C64+'Wind Loading'!$E$22*'Combined Stress'!C65+'Wind Loading'!$E$21*'Combined Stress'!C66+'Wind Loading'!$E$20*'Combined Stress'!C67+'Wind Loading'!$E$19*'Combined Stress'!C68+'Wind Loading'!$E$18*'Combined Stress'!C69</f>
        <v>20669700.747470558</v>
      </c>
      <c r="E18" s="19">
        <f>((D18*'Baseline Given'!K19)/'Baseline Given'!L19)/1000000</f>
        <v>130.95891022574096</v>
      </c>
      <c r="F18" s="19">
        <f t="shared" si="2"/>
        <v>52</v>
      </c>
      <c r="G18" s="19">
        <f>'Baseline Given'!$B$3+'Baseline Given'!$B$5+('Baseline Given'!$B$38*F18)</f>
        <v>2021975.671641791</v>
      </c>
      <c r="H18" s="19">
        <f>'Baseline Given'!M19</f>
        <v>10.49969354374022</v>
      </c>
      <c r="I18" s="19">
        <f t="shared" si="3"/>
        <v>0.19257473213085027</v>
      </c>
      <c r="J18" s="19">
        <f t="shared" si="11"/>
        <v>-131.15148495787182</v>
      </c>
      <c r="M18" s="18">
        <f>IF('Alternative 1'!F19&gt;0,'Alternative 1'!F19,"x")</f>
        <v>16</v>
      </c>
      <c r="N18" s="45">
        <f t="shared" si="12"/>
        <v>21.5</v>
      </c>
      <c r="O18" s="45">
        <f t="shared" si="13"/>
        <v>20.5</v>
      </c>
      <c r="P18" s="19">
        <f>'Dynamic Loading'!$Q$3*'Combined Stress'!N18+'Wind Loading'!$J$69*O18+'Wind Loading'!$J$68*'Combined Stress'!O19+'Wind Loading'!$J$67*'Combined Stress'!O20+'Wind Loading'!$J$66*'Combined Stress'!O21+'Wind Loading'!$J$65*'Combined Stress'!O22+'Wind Loading'!$J$64*'Combined Stress'!O23+'Wind Loading'!$J$63*'Combined Stress'!O24+'Wind Loading'!$J$62*'Combined Stress'!O25+'Wind Loading'!$J$61*'Combined Stress'!O26+'Wind Loading'!$J$60*'Combined Stress'!O27+'Wind Loading'!$J$59*'Combined Stress'!O28+'Wind Loading'!$J$58*'Combined Stress'!O29+'Wind Loading'!$J$57*'Combined Stress'!O30+'Wind Loading'!$J$56*'Combined Stress'!O31+'Wind Loading'!$J$55*'Combined Stress'!O32+'Wind Loading'!$J$54*'Combined Stress'!O33+'Wind Loading'!$J$53*'Combined Stress'!O34+'Wind Loading'!$J$52*'Combined Stress'!O35+'Wind Loading'!$J$51*'Combined Stress'!O36+'Wind Loading'!$J$50*'Combined Stress'!O37+'Wind Loading'!$J$49*'Combined Stress'!O38+'Wind Loading'!$J$48*'Combined Stress'!O39+'Wind Loading'!$J$47*'Combined Stress'!O40+'Wind Loading'!$J$46*'Combined Stress'!O41+'Wind Loading'!$J$45*'Combined Stress'!O42+'Wind Loading'!$J$44*'Combined Stress'!O43+'Wind Loading'!$J$43*'Combined Stress'!O44+'Wind Loading'!$J$42*'Combined Stress'!O45+'Wind Loading'!$J$41*'Combined Stress'!O46+'Wind Loading'!$J$40*'Combined Stress'!O47+'Wind Loading'!$J$39*'Combined Stress'!O48+'Wind Loading'!$J$38*'Combined Stress'!O49+'Wind Loading'!$J$37*'Combined Stress'!O50+'Wind Loading'!$J$36*'Combined Stress'!O51+'Wind Loading'!$J$35*'Combined Stress'!O52+'Wind Loading'!$J$34*'Combined Stress'!O53+'Wind Loading'!$J$33*'Combined Stress'!O54+'Wind Loading'!$J$32*'Combined Stress'!O55+'Wind Loading'!$J$31*'Combined Stress'!O56+'Wind Loading'!$J$30*'Combined Stress'!O57+'Wind Loading'!$J$29*'Combined Stress'!O58+'Wind Loading'!$J$28*'Combined Stress'!O59+'Wind Loading'!$J$27*'Combined Stress'!O60+'Wind Loading'!$J$26*'Combined Stress'!O61+'Wind Loading'!$J$25*'Combined Stress'!O62+'Wind Loading'!$J$24*'Combined Stress'!O63+'Wind Loading'!$J$23*'Combined Stress'!O64+'Wind Loading'!$J$22*'Combined Stress'!O65+'Wind Loading'!$J$21*'Combined Stress'!O66+'Wind Loading'!$J$20*'Combined Stress'!O67+'Wind Loading'!$J$19*'Combined Stress'!O68+'Wind Loading'!$J$18*'Combined Stress'!O69</f>
        <v>421722.9158418639</v>
      </c>
      <c r="Q18" s="19">
        <f>((P18*'Alternative 1'!K19)/'Alternative 1'!L19)/1000000</f>
        <v>3.3559671682321999</v>
      </c>
      <c r="R18" s="45">
        <f t="shared" si="14"/>
        <v>21</v>
      </c>
      <c r="S18" s="19">
        <f>IF(R18&gt;0,'Alternative 1'!$B$3+'Alternative 1'!$B$5+('Alternative 1'!$B$39*R18),0)</f>
        <v>219679.42233125676</v>
      </c>
      <c r="T18" s="19">
        <f>'Alternative 1'!M19</f>
        <v>2.5384110225098762</v>
      </c>
      <c r="U18" s="19">
        <f t="shared" si="4"/>
        <v>8.654210070126736E-2</v>
      </c>
      <c r="V18" s="19">
        <f t="shared" si="5"/>
        <v>3.4425092689334673</v>
      </c>
      <c r="X18" s="18">
        <f>IF('Alternative 2'!$F19&gt;0,'Alternative 2'!$F19,"x")</f>
        <v>16</v>
      </c>
      <c r="Y18" s="45">
        <f t="shared" si="15"/>
        <v>8.5</v>
      </c>
      <c r="Z18" s="45">
        <f t="shared" si="16"/>
        <v>7.5</v>
      </c>
      <c r="AA18" s="19">
        <f>'Dynamic Loading'!$Y$3*'Combined Stress'!Y18+'Wind Loading'!$O$69*Z18+'Wind Loading'!$O$68*'Combined Stress'!Z19+'Wind Loading'!$O$67*'Combined Stress'!Z20+'Wind Loading'!$O$66*'Combined Stress'!Z21+'Wind Loading'!$O$65*'Combined Stress'!Z22+'Wind Loading'!$O$64*'Combined Stress'!Z23+'Wind Loading'!$O$63*'Combined Stress'!Z24+'Wind Loading'!$O$62*'Combined Stress'!Z25+'Wind Loading'!$O$61*'Combined Stress'!Z26+'Wind Loading'!$O$60*'Combined Stress'!Z27+'Wind Loading'!$O$59*'Combined Stress'!Z28+'Wind Loading'!$O$58*'Combined Stress'!Z29+'Wind Loading'!$O$57*'Combined Stress'!Z30+'Wind Loading'!$O$56*'Combined Stress'!Z31+'Wind Loading'!$O$55*'Combined Stress'!Z32+'Wind Loading'!$O$54*'Combined Stress'!Z33+'Wind Loading'!$O$53*'Combined Stress'!Z34+'Wind Loading'!$O$52*'Combined Stress'!Z35+'Wind Loading'!$O$51*'Combined Stress'!Z36+'Wind Loading'!$O$50*'Combined Stress'!Z37+'Wind Loading'!$O$49*'Combined Stress'!Z38+'Wind Loading'!$O$48*'Combined Stress'!Z39+'Wind Loading'!$O$47*'Combined Stress'!Z40+'Wind Loading'!$O$46*'Combined Stress'!Z41+'Wind Loading'!$O$45*'Combined Stress'!Z42+'Wind Loading'!$O$44*'Combined Stress'!Z43+'Wind Loading'!$O$43*'Combined Stress'!Z44+'Wind Loading'!$O$42*'Combined Stress'!Z45+'Wind Loading'!$O$41*'Combined Stress'!Z46+'Wind Loading'!$O$40*'Combined Stress'!Z47+'Wind Loading'!$O$39*'Combined Stress'!Z48+'Wind Loading'!$O$38*'Combined Stress'!Z49+'Wind Loading'!$O$37*'Combined Stress'!Z50+'Wind Loading'!$O$36*'Combined Stress'!Z51+'Wind Loading'!$O$35*'Combined Stress'!Z52+'Wind Loading'!$O$34*'Combined Stress'!Z53+'Wind Loading'!$O$33*'Combined Stress'!Z54+'Wind Loading'!$O$32*'Combined Stress'!Z55+'Wind Loading'!$O$31*'Combined Stress'!Z56+'Wind Loading'!$O$30*'Combined Stress'!Z57+'Wind Loading'!$O$29*'Combined Stress'!Z58+'Wind Loading'!$O$28*'Combined Stress'!Z59+'Wind Loading'!$O$27*'Combined Stress'!Z60+'Wind Loading'!$O$26*'Combined Stress'!Z61+'Wind Loading'!$O$25*'Combined Stress'!Z62+'Wind Loading'!$O$24*'Combined Stress'!Z63+'Wind Loading'!$O$23*'Combined Stress'!Z64+'Wind Loading'!$O$22*'Combined Stress'!Z65+'Wind Loading'!$O$21*'Combined Stress'!Z66+'Wind Loading'!$O$20*'Combined Stress'!Z67+'Wind Loading'!$O$19*'Combined Stress'!Z68+'Wind Loading'!$O$18*'Combined Stress'!Z69</f>
        <v>199454.48134099782</v>
      </c>
      <c r="AB18" s="19">
        <f>((AA18*'Alternative 2'!K19)/'Alternative 2'!L19)/1000000</f>
        <v>3.1744193440423132</v>
      </c>
      <c r="AC18" s="45">
        <f t="shared" si="17"/>
        <v>8</v>
      </c>
      <c r="AD18" s="19">
        <f>'Alternative 2'!$B$3+'Alternative 2'!$B$5+('Alternative 2'!$B$39*AC18)</f>
        <v>98258.074964804546</v>
      </c>
      <c r="AE18" s="19">
        <f>'Alternative 2'!M19</f>
        <v>0.84452210975543496</v>
      </c>
      <c r="AF18" s="19">
        <f t="shared" si="6"/>
        <v>0.11634754594318329</v>
      </c>
      <c r="AG18" s="19">
        <f t="shared" si="7"/>
        <v>3.2907668899854965</v>
      </c>
      <c r="AI18" s="18">
        <f>'Alternative 3'!F19</f>
        <v>16</v>
      </c>
      <c r="AJ18" s="83">
        <f t="shared" si="18"/>
        <v>19.5</v>
      </c>
      <c r="AK18" s="45">
        <f t="shared" si="19"/>
        <v>19.5</v>
      </c>
      <c r="AL18" s="84">
        <f>'Dynamic Loading'!$AG$3*'Combined Stress'!AJ18+'Wind Loading'!$T$69*AK18+'Wind Loading'!$T$68*'Combined Stress'!AK19+'Wind Loading'!$T$67*'Combined Stress'!AK20+'Wind Loading'!$T$66*'Combined Stress'!AK21+'Wind Loading'!$T$65*'Combined Stress'!AK22+'Wind Loading'!$T$64*'Combined Stress'!AK23+'Wind Loading'!$T$63*'Combined Stress'!AK24+'Wind Loading'!$T$62*'Combined Stress'!AK25+'Wind Loading'!$T$61*'Combined Stress'!AK26+'Wind Loading'!$T$60*'Combined Stress'!AK27+'Wind Loading'!$T$59*'Combined Stress'!AK28+'Wind Loading'!$T$58*'Combined Stress'!AK29+'Wind Loading'!$T$57*'Combined Stress'!AK30+'Wind Loading'!$T$56*'Combined Stress'!AK31+'Wind Loading'!$T$55*'Combined Stress'!AK32+'Wind Loading'!$T$54*'Combined Stress'!AK33+'Wind Loading'!$T$53*'Combined Stress'!AK34+'Wind Loading'!$T$52*'Combined Stress'!AK35+'Wind Loading'!$T$51*'Combined Stress'!AK36+'Wind Loading'!$T$50*'Combined Stress'!AK37+'Wind Loading'!$T$49*'Combined Stress'!AK38+'Wind Loading'!$T$48*'Combined Stress'!AK39+'Wind Loading'!$T$47*'Combined Stress'!AK40+'Wind Loading'!$T$46*'Combined Stress'!AK41+'Wind Loading'!$T$45*'Combined Stress'!AK42+'Wind Loading'!$T$44*'Combined Stress'!AK43+'Wind Loading'!$T$43*'Combined Stress'!AK44+'Wind Loading'!$T$42*'Combined Stress'!AK45+'Wind Loading'!$T$41*'Combined Stress'!AK46+'Wind Loading'!$T$40*'Combined Stress'!AK47+'Wind Loading'!$T$39*'Combined Stress'!AK48+'Wind Loading'!$T$38*'Combined Stress'!AK49+'Wind Loading'!$T$37*'Combined Stress'!AK50+'Wind Loading'!$T$36*'Combined Stress'!AK51+'Wind Loading'!$T$35*'Combined Stress'!AK52+'Wind Loading'!$T$34*'Combined Stress'!AK53+'Wind Loading'!$T$33*'Combined Stress'!AK54+'Wind Loading'!$T$32*'Combined Stress'!AK55+'Wind Loading'!$T$31*'Combined Stress'!AK56+'Wind Loading'!$T$30*'Combined Stress'!AK57+'Wind Loading'!$T$29*'Combined Stress'!AK58+'Wind Loading'!$T$28*'Combined Stress'!AK59+'Wind Loading'!$T$27*'Combined Stress'!AK60+'Wind Loading'!$T$26*'Combined Stress'!AK61+'Wind Loading'!$T$25*'Combined Stress'!AK62+'Wind Loading'!$T$24*'Combined Stress'!AK63+'Wind Loading'!$T$23*'Combined Stress'!AK64+'Wind Loading'!$T$22*'Combined Stress'!AK65+'Wind Loading'!$T$21*'Combined Stress'!AK66+'Wind Loading'!$T$20*'Combined Stress'!AK67+'Wind Loading'!$T$19*'Combined Stress'!AK68+'Wind Loading'!$T$18*'Combined Stress'!AK69</f>
        <v>2751917.1371655059</v>
      </c>
      <c r="AM18" s="84">
        <f>((AL18*'Alternative 3'!K19)/'Alternative 3'!L19)/1000000</f>
        <v>43.798158530640627</v>
      </c>
      <c r="AN18" s="84">
        <f t="shared" si="8"/>
        <v>52</v>
      </c>
      <c r="AO18" s="19">
        <f>'Alternative 3'!$B$3+'Alternative 3'!$B$5+('Alternative 2'!$B$39*AN18)</f>
        <v>286901.67412372958</v>
      </c>
      <c r="AP18" s="84">
        <f>'Alternative 3'!M19</f>
        <v>2.4178649258455716</v>
      </c>
      <c r="AQ18" s="84">
        <f t="shared" si="9"/>
        <v>0.11865909921473169</v>
      </c>
      <c r="AR18" s="84">
        <f t="shared" si="10"/>
        <v>43.916817629855359</v>
      </c>
    </row>
    <row r="19" spans="1:44" ht="14.45" customHeight="1" x14ac:dyDescent="0.25">
      <c r="A19" s="18">
        <f>'Baseline Given'!E20</f>
        <v>17</v>
      </c>
      <c r="B19" s="45">
        <f t="shared" si="0"/>
        <v>53.5</v>
      </c>
      <c r="C19" s="45">
        <f t="shared" si="1"/>
        <v>50.5</v>
      </c>
      <c r="D19" s="19">
        <f>'Dynamic Loading'!$I$3*'Combined Stress'!B19+'Wind Loading'!$E$69*C19+'Wind Loading'!$E$68*'Combined Stress'!C20+'Wind Loading'!$E$67*'Combined Stress'!C21+'Wind Loading'!$E$66*'Combined Stress'!C22+'Wind Loading'!$E$65*'Combined Stress'!C23+'Wind Loading'!$E$64*'Combined Stress'!C24+'Wind Loading'!$E$63*'Combined Stress'!C25+'Wind Loading'!$E$62*'Combined Stress'!C26+'Wind Loading'!$E$61*'Combined Stress'!C27+'Wind Loading'!$E$60*'Combined Stress'!C28+'Wind Loading'!$E$59*'Combined Stress'!C29+'Wind Loading'!$E$58*'Combined Stress'!C30+'Wind Loading'!$E$57*'Combined Stress'!C31+'Wind Loading'!$E$56*'Combined Stress'!C32+'Wind Loading'!$E$55*'Combined Stress'!C33+'Wind Loading'!$E$54*'Combined Stress'!C34+'Wind Loading'!$E$53*'Combined Stress'!C35+'Wind Loading'!$E$52*'Combined Stress'!C36+'Wind Loading'!$E$51*'Combined Stress'!C37+'Wind Loading'!$E$50*'Combined Stress'!C38+'Wind Loading'!$E$49*'Combined Stress'!C39+'Wind Loading'!$E$48*'Combined Stress'!C40+'Wind Loading'!$E$47*'Combined Stress'!C41+'Wind Loading'!$E$46*'Combined Stress'!C42+'Wind Loading'!$E$45*'Combined Stress'!C43+'Wind Loading'!$E$44*'Combined Stress'!C44+'Wind Loading'!$E$43*'Combined Stress'!C45+'Wind Loading'!$E$42*'Combined Stress'!C46+'Wind Loading'!$E$41*'Combined Stress'!C47+'Wind Loading'!$E$40*'Combined Stress'!C48+'Wind Loading'!$E$39*'Combined Stress'!C49+'Wind Loading'!$E$38*'Combined Stress'!C50+'Wind Loading'!$E$37*'Combined Stress'!C51+'Wind Loading'!$E$36*'Combined Stress'!C52+'Wind Loading'!$E$35*'Combined Stress'!C53+'Wind Loading'!$E$34*'Combined Stress'!C54+'Wind Loading'!$E$33*'Combined Stress'!C55+'Wind Loading'!$E$32*'Combined Stress'!C56+'Wind Loading'!$E$31*'Combined Stress'!C57+'Wind Loading'!$E$30*'Combined Stress'!C58+'Wind Loading'!$E$29*'Combined Stress'!C59+'Wind Loading'!$E$28*'Combined Stress'!C60+'Wind Loading'!$E$27*'Combined Stress'!C61+'Wind Loading'!$E$26*'Combined Stress'!C62+'Wind Loading'!$E$25*'Combined Stress'!C63+'Wind Loading'!$E$24*'Combined Stress'!C64+'Wind Loading'!$E$23*'Combined Stress'!C65+'Wind Loading'!$E$22*'Combined Stress'!C66+'Wind Loading'!$E$21*'Combined Stress'!C67+'Wind Loading'!$E$20*'Combined Stress'!C68+'Wind Loading'!$E$19*'Combined Stress'!C69</f>
        <v>20202054.574447908</v>
      </c>
      <c r="E19" s="19">
        <f>((D19*'Baseline Given'!K20)/'Baseline Given'!L20)/1000000</f>
        <v>128.91978997390481</v>
      </c>
      <c r="F19" s="19">
        <f t="shared" si="2"/>
        <v>51</v>
      </c>
      <c r="G19" s="19">
        <f>'Baseline Given'!$B$3+'Baseline Given'!$B$5+('Baseline Given'!$B$38*F19)</f>
        <v>2005816.7164179105</v>
      </c>
      <c r="H19" s="19">
        <f>'Baseline Given'!M20</f>
        <v>10.386680949445605</v>
      </c>
      <c r="I19" s="19">
        <f t="shared" si="3"/>
        <v>0.19311430919854838</v>
      </c>
      <c r="J19" s="19">
        <f t="shared" si="11"/>
        <v>-129.11290428310335</v>
      </c>
      <c r="M19" s="18">
        <f>IF('Alternative 1'!F20&gt;0,'Alternative 1'!F20,"x")</f>
        <v>17</v>
      </c>
      <c r="N19" s="45">
        <f t="shared" si="12"/>
        <v>20.5</v>
      </c>
      <c r="O19" s="45">
        <f t="shared" si="13"/>
        <v>19.5</v>
      </c>
      <c r="P19" s="19">
        <f>'Dynamic Loading'!$Q$3*'Combined Stress'!N19+'Wind Loading'!$J$69*O19+'Wind Loading'!$J$68*'Combined Stress'!O20+'Wind Loading'!$J$67*'Combined Stress'!O21+'Wind Loading'!$J$66*'Combined Stress'!O22+'Wind Loading'!$J$65*'Combined Stress'!O23+'Wind Loading'!$J$64*'Combined Stress'!O24+'Wind Loading'!$J$63*'Combined Stress'!O25+'Wind Loading'!$J$62*'Combined Stress'!O26+'Wind Loading'!$J$61*'Combined Stress'!O27+'Wind Loading'!$J$60*'Combined Stress'!O28+'Wind Loading'!$J$59*'Combined Stress'!O29+'Wind Loading'!$J$58*'Combined Stress'!O30+'Wind Loading'!$J$57*'Combined Stress'!O31+'Wind Loading'!$J$56*'Combined Stress'!O32+'Wind Loading'!$J$55*'Combined Stress'!O33+'Wind Loading'!$J$54*'Combined Stress'!O34+'Wind Loading'!$J$53*'Combined Stress'!O35+'Wind Loading'!$J$52*'Combined Stress'!O36+'Wind Loading'!$J$51*'Combined Stress'!O37+'Wind Loading'!$J$50*'Combined Stress'!O38+'Wind Loading'!$J$49*'Combined Stress'!O39+'Wind Loading'!$J$48*'Combined Stress'!O40+'Wind Loading'!$J$47*'Combined Stress'!O41+'Wind Loading'!$J$46*'Combined Stress'!O42+'Wind Loading'!$J$45*'Combined Stress'!O43+'Wind Loading'!$J$44*'Combined Stress'!O44+'Wind Loading'!$J$43*'Combined Stress'!O45+'Wind Loading'!$J$42*'Combined Stress'!O46+'Wind Loading'!$J$41*'Combined Stress'!O47+'Wind Loading'!$J$40*'Combined Stress'!O48+'Wind Loading'!$J$39*'Combined Stress'!O49+'Wind Loading'!$J$38*'Combined Stress'!O50+'Wind Loading'!$J$37*'Combined Stress'!O51+'Wind Loading'!$J$36*'Combined Stress'!O52+'Wind Loading'!$J$35*'Combined Stress'!O53+'Wind Loading'!$J$34*'Combined Stress'!O54+'Wind Loading'!$J$33*'Combined Stress'!O55+'Wind Loading'!$J$32*'Combined Stress'!O56+'Wind Loading'!$J$31*'Combined Stress'!O57+'Wind Loading'!$J$30*'Combined Stress'!O58+'Wind Loading'!$J$29*'Combined Stress'!O59+'Wind Loading'!$J$28*'Combined Stress'!O60+'Wind Loading'!$J$27*'Combined Stress'!O61+'Wind Loading'!$J$26*'Combined Stress'!O62+'Wind Loading'!$J$25*'Combined Stress'!O63+'Wind Loading'!$J$24*'Combined Stress'!O64+'Wind Loading'!$J$23*'Combined Stress'!O65+'Wind Loading'!$J$22*'Combined Stress'!O66+'Wind Loading'!$J$21*'Combined Stress'!O67+'Wind Loading'!$J$20*'Combined Stress'!O68+'Wind Loading'!$J$19*'Combined Stress'!O69</f>
        <v>402107.89650038187</v>
      </c>
      <c r="Q19" s="19">
        <f>((P19*'Alternative 1'!K20)/'Alternative 1'!L20)/1000000</f>
        <v>3.1998756720353536</v>
      </c>
      <c r="R19" s="45">
        <f t="shared" si="14"/>
        <v>20</v>
      </c>
      <c r="S19" s="19">
        <f>IF(R19&gt;0,'Alternative 1'!$B$3+'Alternative 1'!$B$5+('Alternative 1'!$B$39*R19),0)</f>
        <v>211176.09159167309</v>
      </c>
      <c r="T19" s="19">
        <f>'Alternative 1'!M20</f>
        <v>2.482556611474052</v>
      </c>
      <c r="U19" s="19">
        <f t="shared" si="4"/>
        <v>8.5063958104981297E-2</v>
      </c>
      <c r="V19" s="19">
        <f t="shared" si="5"/>
        <v>3.2849396301403351</v>
      </c>
      <c r="X19" s="18">
        <f>IF('Alternative 2'!$F20&gt;0,'Alternative 2'!$F20,"x")</f>
        <v>17</v>
      </c>
      <c r="Y19" s="45">
        <f t="shared" si="15"/>
        <v>7.5</v>
      </c>
      <c r="Z19" s="45">
        <f t="shared" si="16"/>
        <v>6.5</v>
      </c>
      <c r="AA19" s="19">
        <f>'Dynamic Loading'!$Y$3*'Combined Stress'!Y19+'Wind Loading'!$O$69*Z19+'Wind Loading'!$O$68*'Combined Stress'!Z20+'Wind Loading'!$O$67*'Combined Stress'!Z21+'Wind Loading'!$O$66*'Combined Stress'!Z22+'Wind Loading'!$O$65*'Combined Stress'!Z23+'Wind Loading'!$O$64*'Combined Stress'!Z24+'Wind Loading'!$O$63*'Combined Stress'!Z25+'Wind Loading'!$O$62*'Combined Stress'!Z26+'Wind Loading'!$O$61*'Combined Stress'!Z27+'Wind Loading'!$O$60*'Combined Stress'!Z28+'Wind Loading'!$O$59*'Combined Stress'!Z29+'Wind Loading'!$O$58*'Combined Stress'!Z30+'Wind Loading'!$O$57*'Combined Stress'!Z31+'Wind Loading'!$O$56*'Combined Stress'!Z32+'Wind Loading'!$O$55*'Combined Stress'!Z33+'Wind Loading'!$O$54*'Combined Stress'!Z34+'Wind Loading'!$O$53*'Combined Stress'!Z35+'Wind Loading'!$O$52*'Combined Stress'!Z36+'Wind Loading'!$O$51*'Combined Stress'!Z37+'Wind Loading'!$O$50*'Combined Stress'!Z38+'Wind Loading'!$O$49*'Combined Stress'!Z39+'Wind Loading'!$O$48*'Combined Stress'!Z40+'Wind Loading'!$O$47*'Combined Stress'!Z41+'Wind Loading'!$O$46*'Combined Stress'!Z42+'Wind Loading'!$O$45*'Combined Stress'!Z43+'Wind Loading'!$O$44*'Combined Stress'!Z44+'Wind Loading'!$O$43*'Combined Stress'!Z45+'Wind Loading'!$O$42*'Combined Stress'!Z46+'Wind Loading'!$O$41*'Combined Stress'!Z47+'Wind Loading'!$O$40*'Combined Stress'!Z48+'Wind Loading'!$O$39*'Combined Stress'!Z49+'Wind Loading'!$O$38*'Combined Stress'!Z50+'Wind Loading'!$O$37*'Combined Stress'!Z51+'Wind Loading'!$O$36*'Combined Stress'!Z52+'Wind Loading'!$O$35*'Combined Stress'!Z53+'Wind Loading'!$O$34*'Combined Stress'!Z54+'Wind Loading'!$O$33*'Combined Stress'!Z55+'Wind Loading'!$O$32*'Combined Stress'!Z56+'Wind Loading'!$O$31*'Combined Stress'!Z57+'Wind Loading'!$O$30*'Combined Stress'!Z58+'Wind Loading'!$O$29*'Combined Stress'!Z59+'Wind Loading'!$O$28*'Combined Stress'!Z60+'Wind Loading'!$O$27*'Combined Stress'!Z61+'Wind Loading'!$O$26*'Combined Stress'!Z62+'Wind Loading'!$O$25*'Combined Stress'!Z63+'Wind Loading'!$O$24*'Combined Stress'!Z64+'Wind Loading'!$O$23*'Combined Stress'!Z65+'Wind Loading'!$O$22*'Combined Stress'!Z66+'Wind Loading'!$O$21*'Combined Stress'!Z67+'Wind Loading'!$O$20*'Combined Stress'!Z68+'Wind Loading'!$O$19*'Combined Stress'!Z69</f>
        <v>175989.2482420569</v>
      </c>
      <c r="AB19" s="19">
        <f>((AA19*'Alternative 2'!K20)/'Alternative 2'!L20)/1000000</f>
        <v>2.8009582447432173</v>
      </c>
      <c r="AC19" s="45">
        <f t="shared" si="17"/>
        <v>7</v>
      </c>
      <c r="AD19" s="19">
        <f>'Alternative 2'!$B$3+'Alternative 2'!$B$5+('Alternative 2'!$B$39*AC19)</f>
        <v>95537.299344203988</v>
      </c>
      <c r="AE19" s="19">
        <f>'Alternative 2'!M20</f>
        <v>0.81295399956521763</v>
      </c>
      <c r="AF19" s="19">
        <f t="shared" si="6"/>
        <v>0.11751870265144035</v>
      </c>
      <c r="AG19" s="19">
        <f t="shared" si="7"/>
        <v>2.9184769473946575</v>
      </c>
      <c r="AI19" s="18">
        <f>'Alternative 3'!F20</f>
        <v>17</v>
      </c>
      <c r="AJ19" s="83">
        <f t="shared" si="18"/>
        <v>18.5</v>
      </c>
      <c r="AK19" s="45">
        <f t="shared" si="19"/>
        <v>18.5</v>
      </c>
      <c r="AL19" s="84">
        <f>'Dynamic Loading'!$AG$3*'Combined Stress'!AJ19+'Wind Loading'!$T$69*AK19+'Wind Loading'!$T$68*'Combined Stress'!AK20+'Wind Loading'!$T$67*'Combined Stress'!AK21+'Wind Loading'!$T$66*'Combined Stress'!AK22+'Wind Loading'!$T$65*'Combined Stress'!AK23+'Wind Loading'!$T$64*'Combined Stress'!AK24+'Wind Loading'!$T$63*'Combined Stress'!AK25+'Wind Loading'!$T$62*'Combined Stress'!AK26+'Wind Loading'!$T$61*'Combined Stress'!AK27+'Wind Loading'!$T$60*'Combined Stress'!AK28+'Wind Loading'!$T$59*'Combined Stress'!AK29+'Wind Loading'!$T$58*'Combined Stress'!AK30+'Wind Loading'!$T$57*'Combined Stress'!AK31+'Wind Loading'!$T$56*'Combined Stress'!AK32+'Wind Loading'!$T$55*'Combined Stress'!AK33+'Wind Loading'!$T$54*'Combined Stress'!AK34+'Wind Loading'!$T$53*'Combined Stress'!AK35+'Wind Loading'!$T$52*'Combined Stress'!AK36+'Wind Loading'!$T$51*'Combined Stress'!AK37+'Wind Loading'!$T$50*'Combined Stress'!AK38+'Wind Loading'!$T$49*'Combined Stress'!AK39+'Wind Loading'!$T$48*'Combined Stress'!AK40+'Wind Loading'!$T$47*'Combined Stress'!AK41+'Wind Loading'!$T$46*'Combined Stress'!AK42+'Wind Loading'!$T$45*'Combined Stress'!AK43+'Wind Loading'!$T$44*'Combined Stress'!AK44+'Wind Loading'!$T$43*'Combined Stress'!AK45+'Wind Loading'!$T$42*'Combined Stress'!AK46+'Wind Loading'!$T$41*'Combined Stress'!AK47+'Wind Loading'!$T$40*'Combined Stress'!AK48+'Wind Loading'!$T$39*'Combined Stress'!AK49+'Wind Loading'!$T$38*'Combined Stress'!AK50+'Wind Loading'!$T$37*'Combined Stress'!AK51+'Wind Loading'!$T$36*'Combined Stress'!AK52+'Wind Loading'!$T$35*'Combined Stress'!AK53+'Wind Loading'!$T$34*'Combined Stress'!AK54+'Wind Loading'!$T$33*'Combined Stress'!AK55+'Wind Loading'!$T$32*'Combined Stress'!AK56+'Wind Loading'!$T$31*'Combined Stress'!AK57+'Wind Loading'!$T$30*'Combined Stress'!AK58+'Wind Loading'!$T$29*'Combined Stress'!AK59+'Wind Loading'!$T$28*'Combined Stress'!AK60+'Wind Loading'!$T$27*'Combined Stress'!AK61+'Wind Loading'!$T$26*'Combined Stress'!AK62+'Wind Loading'!$T$25*'Combined Stress'!AK63+'Wind Loading'!$T$24*'Combined Stress'!AK64+'Wind Loading'!$T$23*'Combined Stress'!AK65+'Wind Loading'!$T$22*'Combined Stress'!AK66+'Wind Loading'!$T$21*'Combined Stress'!AK67+'Wind Loading'!$T$20*'Combined Stress'!AK68+'Wind Loading'!$T$19*'Combined Stress'!AK69</f>
        <v>2610793.1814134284</v>
      </c>
      <c r="AM19" s="84">
        <f>((AL19*'Alternative 3'!K20)/'Alternative 3'!L20)/1000000</f>
        <v>41.552099118812905</v>
      </c>
      <c r="AN19" s="84">
        <f t="shared" si="8"/>
        <v>51</v>
      </c>
      <c r="AO19" s="19">
        <f>'Alternative 3'!$B$3+'Alternative 3'!$B$5+('Alternative 2'!$B$39*AN19)</f>
        <v>284180.89850312902</v>
      </c>
      <c r="AP19" s="84">
        <f>'Alternative 3'!M20</f>
        <v>2.3638361300022854</v>
      </c>
      <c r="AQ19" s="84">
        <f t="shared" si="9"/>
        <v>0.12022021953901443</v>
      </c>
      <c r="AR19" s="84">
        <f t="shared" si="10"/>
        <v>41.672319338351919</v>
      </c>
    </row>
    <row r="20" spans="1:44" ht="14.45" customHeight="1" x14ac:dyDescent="0.25">
      <c r="A20" s="18">
        <f>'Baseline Given'!E21</f>
        <v>18</v>
      </c>
      <c r="B20" s="45">
        <f t="shared" si="0"/>
        <v>52.5</v>
      </c>
      <c r="C20" s="45">
        <f t="shared" si="1"/>
        <v>49.5</v>
      </c>
      <c r="D20" s="19">
        <f>'Dynamic Loading'!$I$3*'Combined Stress'!B20+'Wind Loading'!$E$69*C20+'Wind Loading'!$E$68*'Combined Stress'!C21+'Wind Loading'!$E$67*'Combined Stress'!C22+'Wind Loading'!$E$66*'Combined Stress'!C23+'Wind Loading'!$E$65*'Combined Stress'!C24+'Wind Loading'!$E$64*'Combined Stress'!C25+'Wind Loading'!$E$63*'Combined Stress'!C26+'Wind Loading'!$E$62*'Combined Stress'!C27+'Wind Loading'!$E$61*'Combined Stress'!C28+'Wind Loading'!$E$60*'Combined Stress'!C29+'Wind Loading'!$E$59*'Combined Stress'!C30+'Wind Loading'!$E$58*'Combined Stress'!C31+'Wind Loading'!$E$57*'Combined Stress'!C32+'Wind Loading'!$E$56*'Combined Stress'!C33+'Wind Loading'!$E$55*'Combined Stress'!C34+'Wind Loading'!$E$54*'Combined Stress'!C35+'Wind Loading'!$E$53*'Combined Stress'!C36+'Wind Loading'!$E$52*'Combined Stress'!C37+'Wind Loading'!$E$51*'Combined Stress'!C38+'Wind Loading'!$E$50*'Combined Stress'!C39+'Wind Loading'!$E$49*'Combined Stress'!C40+'Wind Loading'!$E$48*'Combined Stress'!C41+'Wind Loading'!$E$47*'Combined Stress'!C42+'Wind Loading'!$E$46*'Combined Stress'!C43+'Wind Loading'!$E$45*'Combined Stress'!C44+'Wind Loading'!$E$44*'Combined Stress'!C45+'Wind Loading'!$E$43*'Combined Stress'!C46+'Wind Loading'!$E$42*'Combined Stress'!C47+'Wind Loading'!$E$41*'Combined Stress'!C48+'Wind Loading'!$E$40*'Combined Stress'!C49+'Wind Loading'!$E$39*'Combined Stress'!C50+'Wind Loading'!$E$38*'Combined Stress'!C51+'Wind Loading'!$E$37*'Combined Stress'!C52+'Wind Loading'!$E$36*'Combined Stress'!C53+'Wind Loading'!$E$35*'Combined Stress'!C54+'Wind Loading'!$E$34*'Combined Stress'!C55+'Wind Loading'!$E$33*'Combined Stress'!C56+'Wind Loading'!$E$32*'Combined Stress'!C57+'Wind Loading'!$E$31*'Combined Stress'!C58+'Wind Loading'!$E$30*'Combined Stress'!C59+'Wind Loading'!$E$29*'Combined Stress'!C60+'Wind Loading'!$E$28*'Combined Stress'!C61+'Wind Loading'!$E$27*'Combined Stress'!C62+'Wind Loading'!$E$26*'Combined Stress'!C63+'Wind Loading'!$E$25*'Combined Stress'!C64+'Wind Loading'!$E$24*'Combined Stress'!C65+'Wind Loading'!$E$23*'Combined Stress'!C66+'Wind Loading'!$E$22*'Combined Stress'!C67+'Wind Loading'!$E$21*'Combined Stress'!C68+'Wind Loading'!$E$20*'Combined Stress'!C69</f>
        <v>19737673.67015348</v>
      </c>
      <c r="E20" s="19">
        <f>((D20*'Baseline Given'!K21)/'Baseline Given'!L21)/1000000</f>
        <v>126.87201062703299</v>
      </c>
      <c r="F20" s="19">
        <f t="shared" si="2"/>
        <v>50</v>
      </c>
      <c r="G20" s="19">
        <f>'Baseline Given'!$B$3+'Baseline Given'!$B$5+('Baseline Given'!$B$38*F20)</f>
        <v>1989657.7611940298</v>
      </c>
      <c r="H20" s="19">
        <f>'Baseline Given'!M21</f>
        <v>10.274279851414036</v>
      </c>
      <c r="I20" s="19">
        <f t="shared" si="3"/>
        <v>0.19365423075566662</v>
      </c>
      <c r="J20" s="19">
        <f t="shared" si="11"/>
        <v>-127.06566485778866</v>
      </c>
      <c r="M20" s="18">
        <f>IF('Alternative 1'!F21&gt;0,'Alternative 1'!F21,"x")</f>
        <v>18</v>
      </c>
      <c r="N20" s="45">
        <f t="shared" si="12"/>
        <v>19.5</v>
      </c>
      <c r="O20" s="45">
        <f t="shared" si="13"/>
        <v>18.5</v>
      </c>
      <c r="P20" s="19">
        <f>'Dynamic Loading'!$Q$3*'Combined Stress'!N20+'Wind Loading'!$J$69*O20+'Wind Loading'!$J$68*'Combined Stress'!O21+'Wind Loading'!$J$67*'Combined Stress'!O22+'Wind Loading'!$J$66*'Combined Stress'!O23+'Wind Loading'!$J$65*'Combined Stress'!O24+'Wind Loading'!$J$64*'Combined Stress'!O25+'Wind Loading'!$J$63*'Combined Stress'!O26+'Wind Loading'!$J$62*'Combined Stress'!O27+'Wind Loading'!$J$61*'Combined Stress'!O28+'Wind Loading'!$J$60*'Combined Stress'!O29+'Wind Loading'!$J$59*'Combined Stress'!O30+'Wind Loading'!$J$58*'Combined Stress'!O31+'Wind Loading'!$J$57*'Combined Stress'!O32+'Wind Loading'!$J$56*'Combined Stress'!O33+'Wind Loading'!$J$55*'Combined Stress'!O34+'Wind Loading'!$J$54*'Combined Stress'!O35+'Wind Loading'!$J$53*'Combined Stress'!O36+'Wind Loading'!$J$52*'Combined Stress'!O37+'Wind Loading'!$J$51*'Combined Stress'!O38+'Wind Loading'!$J$50*'Combined Stress'!O39+'Wind Loading'!$J$49*'Combined Stress'!O40+'Wind Loading'!$J$48*'Combined Stress'!O41+'Wind Loading'!$J$47*'Combined Stress'!O42+'Wind Loading'!$J$46*'Combined Stress'!O43+'Wind Loading'!$J$45*'Combined Stress'!O44+'Wind Loading'!$J$44*'Combined Stress'!O45+'Wind Loading'!$J$43*'Combined Stress'!O46+'Wind Loading'!$J$42*'Combined Stress'!O47+'Wind Loading'!$J$41*'Combined Stress'!O48+'Wind Loading'!$J$40*'Combined Stress'!O49+'Wind Loading'!$J$39*'Combined Stress'!O50+'Wind Loading'!$J$38*'Combined Stress'!O51+'Wind Loading'!$J$37*'Combined Stress'!O52+'Wind Loading'!$J$36*'Combined Stress'!O53+'Wind Loading'!$J$35*'Combined Stress'!O54+'Wind Loading'!$J$34*'Combined Stress'!O55+'Wind Loading'!$J$33*'Combined Stress'!O56+'Wind Loading'!$J$32*'Combined Stress'!O57+'Wind Loading'!$J$31*'Combined Stress'!O58+'Wind Loading'!$J$30*'Combined Stress'!O59+'Wind Loading'!$J$29*'Combined Stress'!O60+'Wind Loading'!$J$28*'Combined Stress'!O61+'Wind Loading'!$J$27*'Combined Stress'!O62+'Wind Loading'!$J$26*'Combined Stress'!O63+'Wind Loading'!$J$25*'Combined Stress'!O64+'Wind Loading'!$J$24*'Combined Stress'!O65+'Wind Loading'!$J$23*'Combined Stress'!O66+'Wind Loading'!$J$22*'Combined Stress'!O67+'Wind Loading'!$J$21*'Combined Stress'!O68+'Wind Loading'!$J$20*'Combined Stress'!O69</f>
        <v>382492.87715889985</v>
      </c>
      <c r="Q20" s="19">
        <f>((P20*'Alternative 1'!K21)/'Alternative 1'!L21)/1000000</f>
        <v>3.0437841758385078</v>
      </c>
      <c r="R20" s="45">
        <f t="shared" si="14"/>
        <v>19</v>
      </c>
      <c r="S20" s="19">
        <f>IF(R20&gt;0,'Alternative 1'!$B$3+'Alternative 1'!$B$5+('Alternative 1'!$B$39*R20),0)</f>
        <v>202672.76085208944</v>
      </c>
      <c r="T20" s="19">
        <f>'Alternative 1'!M21</f>
        <v>2.4273235571130001</v>
      </c>
      <c r="U20" s="19">
        <f t="shared" si="4"/>
        <v>8.3496392665979607E-2</v>
      </c>
      <c r="V20" s="19">
        <f t="shared" si="5"/>
        <v>3.1272805685044873</v>
      </c>
      <c r="X20" s="18">
        <f>IF('Alternative 2'!$F21&gt;0,'Alternative 2'!$F21,"x")</f>
        <v>18</v>
      </c>
      <c r="Y20" s="45">
        <f t="shared" si="15"/>
        <v>6.5</v>
      </c>
      <c r="Z20" s="45">
        <f t="shared" si="16"/>
        <v>5.5</v>
      </c>
      <c r="AA20" s="19">
        <f>'Dynamic Loading'!$Y$3*'Combined Stress'!Y20+'Wind Loading'!$O$69*Z20+'Wind Loading'!$O$68*'Combined Stress'!Z21+'Wind Loading'!$O$67*'Combined Stress'!Z22+'Wind Loading'!$O$66*'Combined Stress'!Z23+'Wind Loading'!$O$65*'Combined Stress'!Z24+'Wind Loading'!$O$64*'Combined Stress'!Z25+'Wind Loading'!$O$63*'Combined Stress'!Z26+'Wind Loading'!$O$62*'Combined Stress'!Z27+'Wind Loading'!$O$61*'Combined Stress'!Z28+'Wind Loading'!$O$60*'Combined Stress'!Z29+'Wind Loading'!$O$59*'Combined Stress'!Z30+'Wind Loading'!$O$58*'Combined Stress'!Z31+'Wind Loading'!$O$57*'Combined Stress'!Z32+'Wind Loading'!$O$56*'Combined Stress'!Z33+'Wind Loading'!$O$55*'Combined Stress'!Z34+'Wind Loading'!$O$54*'Combined Stress'!Z35+'Wind Loading'!$O$53*'Combined Stress'!Z36+'Wind Loading'!$O$52*'Combined Stress'!Z37+'Wind Loading'!$O$51*'Combined Stress'!Z38+'Wind Loading'!$O$50*'Combined Stress'!Z39+'Wind Loading'!$O$49*'Combined Stress'!Z40+'Wind Loading'!$O$48*'Combined Stress'!Z41+'Wind Loading'!$O$47*'Combined Stress'!Z42+'Wind Loading'!$O$46*'Combined Stress'!Z43+'Wind Loading'!$O$45*'Combined Stress'!Z44+'Wind Loading'!$O$44*'Combined Stress'!Z45+'Wind Loading'!$O$43*'Combined Stress'!Z46+'Wind Loading'!$O$42*'Combined Stress'!Z47+'Wind Loading'!$O$41*'Combined Stress'!Z48+'Wind Loading'!$O$40*'Combined Stress'!Z49+'Wind Loading'!$O$39*'Combined Stress'!Z50+'Wind Loading'!$O$38*'Combined Stress'!Z51+'Wind Loading'!$O$37*'Combined Stress'!Z52+'Wind Loading'!$O$36*'Combined Stress'!Z53+'Wind Loading'!$O$35*'Combined Stress'!Z54+'Wind Loading'!$O$34*'Combined Stress'!Z55+'Wind Loading'!$O$33*'Combined Stress'!Z56+'Wind Loading'!$O$32*'Combined Stress'!Z57+'Wind Loading'!$O$31*'Combined Stress'!Z58+'Wind Loading'!$O$30*'Combined Stress'!Z59+'Wind Loading'!$O$29*'Combined Stress'!Z60+'Wind Loading'!$O$28*'Combined Stress'!Z61+'Wind Loading'!$O$27*'Combined Stress'!Z62+'Wind Loading'!$O$26*'Combined Stress'!Z63+'Wind Loading'!$O$25*'Combined Stress'!Z64+'Wind Loading'!$O$24*'Combined Stress'!Z65+'Wind Loading'!$O$23*'Combined Stress'!Z66+'Wind Loading'!$O$22*'Combined Stress'!Z67+'Wind Loading'!$O$21*'Combined Stress'!Z68+'Wind Loading'!$O$20*'Combined Stress'!Z69</f>
        <v>152524.01514311598</v>
      </c>
      <c r="AB20" s="19">
        <f>((AA20*'Alternative 2'!K21)/'Alternative 2'!L21)/1000000</f>
        <v>2.4274971454441219</v>
      </c>
      <c r="AC20" s="45">
        <f t="shared" si="17"/>
        <v>6</v>
      </c>
      <c r="AD20" s="19">
        <f>'Alternative 2'!$B$3+'Alternative 2'!$B$5+('Alternative 2'!$B$39*AC20)</f>
        <v>92816.523723603415</v>
      </c>
      <c r="AE20" s="19">
        <f>'Alternative 2'!M21</f>
        <v>0.78198718671195666</v>
      </c>
      <c r="AF20" s="19">
        <f t="shared" si="6"/>
        <v>0.11869315162806138</v>
      </c>
      <c r="AG20" s="19">
        <f t="shared" si="7"/>
        <v>2.546190297072183</v>
      </c>
      <c r="AI20" s="18">
        <f>'Alternative 3'!F21</f>
        <v>18</v>
      </c>
      <c r="AJ20" s="83">
        <f t="shared" si="18"/>
        <v>17.5</v>
      </c>
      <c r="AK20" s="45">
        <f t="shared" si="19"/>
        <v>17.5</v>
      </c>
      <c r="AL20" s="84">
        <f>'Dynamic Loading'!$AG$3*'Combined Stress'!AJ20+'Wind Loading'!$T$69*AK20+'Wind Loading'!$T$68*'Combined Stress'!AK21+'Wind Loading'!$T$67*'Combined Stress'!AK22+'Wind Loading'!$T$66*'Combined Stress'!AK23+'Wind Loading'!$T$65*'Combined Stress'!AK24+'Wind Loading'!$T$64*'Combined Stress'!AK25+'Wind Loading'!$T$63*'Combined Stress'!AK26+'Wind Loading'!$T$62*'Combined Stress'!AK27+'Wind Loading'!$T$61*'Combined Stress'!AK28+'Wind Loading'!$T$60*'Combined Stress'!AK29+'Wind Loading'!$T$59*'Combined Stress'!AK30+'Wind Loading'!$T$58*'Combined Stress'!AK31+'Wind Loading'!$T$57*'Combined Stress'!AK32+'Wind Loading'!$T$56*'Combined Stress'!AK33+'Wind Loading'!$T$55*'Combined Stress'!AK34+'Wind Loading'!$T$54*'Combined Stress'!AK35+'Wind Loading'!$T$53*'Combined Stress'!AK36+'Wind Loading'!$T$52*'Combined Stress'!AK37+'Wind Loading'!$T$51*'Combined Stress'!AK38+'Wind Loading'!$T$50*'Combined Stress'!AK39+'Wind Loading'!$T$49*'Combined Stress'!AK40+'Wind Loading'!$T$48*'Combined Stress'!AK41+'Wind Loading'!$T$47*'Combined Stress'!AK42+'Wind Loading'!$T$46*'Combined Stress'!AK43+'Wind Loading'!$T$45*'Combined Stress'!AK44+'Wind Loading'!$T$44*'Combined Stress'!AK45+'Wind Loading'!$T$43*'Combined Stress'!AK46+'Wind Loading'!$T$42*'Combined Stress'!AK47+'Wind Loading'!$T$41*'Combined Stress'!AK48+'Wind Loading'!$T$40*'Combined Stress'!AK49+'Wind Loading'!$T$39*'Combined Stress'!AK50+'Wind Loading'!$T$38*'Combined Stress'!AK51+'Wind Loading'!$T$37*'Combined Stress'!AK52+'Wind Loading'!$T$36*'Combined Stress'!AK53+'Wind Loading'!$T$35*'Combined Stress'!AK54+'Wind Loading'!$T$34*'Combined Stress'!AK55+'Wind Loading'!$T$33*'Combined Stress'!AK56+'Wind Loading'!$T$32*'Combined Stress'!AK57+'Wind Loading'!$T$31*'Combined Stress'!AK58+'Wind Loading'!$T$30*'Combined Stress'!AK59+'Wind Loading'!$T$29*'Combined Stress'!AK60+'Wind Loading'!$T$28*'Combined Stress'!AK61+'Wind Loading'!$T$27*'Combined Stress'!AK62+'Wind Loading'!$T$26*'Combined Stress'!AK63+'Wind Loading'!$T$25*'Combined Stress'!AK64+'Wind Loading'!$T$24*'Combined Stress'!AK65+'Wind Loading'!$T$23*'Combined Stress'!AK66+'Wind Loading'!$T$22*'Combined Stress'!AK67+'Wind Loading'!$T$21*'Combined Stress'!AK68+'Wind Loading'!$T$20*'Combined Stress'!AK69</f>
        <v>2469669.2256613513</v>
      </c>
      <c r="AM20" s="84">
        <f>((AL20*'Alternative 3'!K21)/'Alternative 3'!L21)/1000000</f>
        <v>39.306039706985182</v>
      </c>
      <c r="AN20" s="84">
        <f t="shared" si="8"/>
        <v>50</v>
      </c>
      <c r="AO20" s="19">
        <f>'Alternative 3'!$B$3+'Alternative 3'!$B$5+('Alternative 2'!$B$39*AN20)</f>
        <v>281460.12288252846</v>
      </c>
      <c r="AP20" s="84">
        <f>'Alternative 3'!M21</f>
        <v>2.3104178290272852</v>
      </c>
      <c r="AQ20" s="84">
        <f t="shared" si="9"/>
        <v>0.12182217404417568</v>
      </c>
      <c r="AR20" s="84">
        <f t="shared" si="10"/>
        <v>39.427861881029358</v>
      </c>
    </row>
    <row r="21" spans="1:44" ht="14.45" customHeight="1" x14ac:dyDescent="0.25">
      <c r="A21" s="18">
        <f>'Baseline Given'!E22</f>
        <v>19</v>
      </c>
      <c r="B21" s="45">
        <f t="shared" si="0"/>
        <v>51.5</v>
      </c>
      <c r="C21" s="45">
        <f t="shared" si="1"/>
        <v>48.5</v>
      </c>
      <c r="D21" s="19">
        <f>'Dynamic Loading'!$I$3*'Combined Stress'!B21+'Wind Loading'!$E$69*C21+'Wind Loading'!$E$68*'Combined Stress'!C22+'Wind Loading'!$E$67*'Combined Stress'!C23+'Wind Loading'!$E$66*'Combined Stress'!C24+'Wind Loading'!$E$65*'Combined Stress'!C25+'Wind Loading'!$E$64*'Combined Stress'!C26+'Wind Loading'!$E$63*'Combined Stress'!C27+'Wind Loading'!$E$62*'Combined Stress'!C28+'Wind Loading'!$E$61*'Combined Stress'!C29+'Wind Loading'!$E$60*'Combined Stress'!C30+'Wind Loading'!$E$59*'Combined Stress'!C31+'Wind Loading'!$E$58*'Combined Stress'!C32+'Wind Loading'!$E$57*'Combined Stress'!C33+'Wind Loading'!$E$56*'Combined Stress'!C34+'Wind Loading'!$E$55*'Combined Stress'!C35+'Wind Loading'!$E$54*'Combined Stress'!C36+'Wind Loading'!$E$53*'Combined Stress'!C37+'Wind Loading'!$E$52*'Combined Stress'!C38+'Wind Loading'!$E$51*'Combined Stress'!C39+'Wind Loading'!$E$50*'Combined Stress'!C40+'Wind Loading'!$E$49*'Combined Stress'!C41+'Wind Loading'!$E$48*'Combined Stress'!C42+'Wind Loading'!$E$47*'Combined Stress'!C43+'Wind Loading'!$E$46*'Combined Stress'!C44+'Wind Loading'!$E$45*'Combined Stress'!C45+'Wind Loading'!$E$44*'Combined Stress'!C46+'Wind Loading'!$E$43*'Combined Stress'!C47+'Wind Loading'!$E$42*'Combined Stress'!C48+'Wind Loading'!$E$41*'Combined Stress'!C49+'Wind Loading'!$E$40*'Combined Stress'!C50+'Wind Loading'!$E$39*'Combined Stress'!C51+'Wind Loading'!$E$38*'Combined Stress'!C52+'Wind Loading'!$E$37*'Combined Stress'!C53+'Wind Loading'!$E$36*'Combined Stress'!C54+'Wind Loading'!$E$35*'Combined Stress'!C55+'Wind Loading'!$E$34*'Combined Stress'!C56+'Wind Loading'!$E$33*'Combined Stress'!C57+'Wind Loading'!$E$32*'Combined Stress'!C58+'Wind Loading'!$E$31*'Combined Stress'!C59+'Wind Loading'!$E$30*'Combined Stress'!C60+'Wind Loading'!$E$29*'Combined Stress'!C61+'Wind Loading'!$E$28*'Combined Stress'!C62+'Wind Loading'!$E$27*'Combined Stress'!C63+'Wind Loading'!$E$26*'Combined Stress'!C64+'Wind Loading'!$E$25*'Combined Stress'!C65+'Wind Loading'!$E$24*'Combined Stress'!C66+'Wind Loading'!$E$23*'Combined Stress'!C67+'Wind Loading'!$E$22*'Combined Stress'!C68+'Wind Loading'!$E$21*'Combined Stress'!C69</f>
        <v>19276574.82582837</v>
      </c>
      <c r="E21" s="19">
        <f>((D21*'Baseline Given'!K22)/'Baseline Given'!L22)/1000000</f>
        <v>124.81549067576671</v>
      </c>
      <c r="F21" s="19">
        <f t="shared" si="2"/>
        <v>49</v>
      </c>
      <c r="G21" s="19">
        <f>'Baseline Given'!$B$3+'Baseline Given'!$B$5+('Baseline Given'!$B$38*F21)</f>
        <v>1973498.8059701491</v>
      </c>
      <c r="H21" s="19">
        <f>'Baseline Given'!M22</f>
        <v>10.162490249645511</v>
      </c>
      <c r="I21" s="19">
        <f t="shared" si="3"/>
        <v>0.19419441076846189</v>
      </c>
      <c r="J21" s="19">
        <f t="shared" si="11"/>
        <v>-125.00968508653517</v>
      </c>
      <c r="M21" s="18">
        <f>IF('Alternative 1'!F22&gt;0,'Alternative 1'!F22,"x")</f>
        <v>19</v>
      </c>
      <c r="N21" s="45">
        <f t="shared" si="12"/>
        <v>18.5</v>
      </c>
      <c r="O21" s="45">
        <f t="shared" si="13"/>
        <v>17.5</v>
      </c>
      <c r="P21" s="19">
        <f>'Dynamic Loading'!$Q$3*'Combined Stress'!N21+'Wind Loading'!$J$69*O21+'Wind Loading'!$J$68*'Combined Stress'!O22+'Wind Loading'!$J$67*'Combined Stress'!O23+'Wind Loading'!$J$66*'Combined Stress'!O24+'Wind Loading'!$J$65*'Combined Stress'!O25+'Wind Loading'!$J$64*'Combined Stress'!O26+'Wind Loading'!$J$63*'Combined Stress'!O27+'Wind Loading'!$J$62*'Combined Stress'!O28+'Wind Loading'!$J$61*'Combined Stress'!O29+'Wind Loading'!$J$60*'Combined Stress'!O30+'Wind Loading'!$J$59*'Combined Stress'!O31+'Wind Loading'!$J$58*'Combined Stress'!O32+'Wind Loading'!$J$57*'Combined Stress'!O33+'Wind Loading'!$J$56*'Combined Stress'!O34+'Wind Loading'!$J$55*'Combined Stress'!O35+'Wind Loading'!$J$54*'Combined Stress'!O36+'Wind Loading'!$J$53*'Combined Stress'!O37+'Wind Loading'!$J$52*'Combined Stress'!O38+'Wind Loading'!$J$51*'Combined Stress'!O39+'Wind Loading'!$J$50*'Combined Stress'!O40+'Wind Loading'!$J$49*'Combined Stress'!O41+'Wind Loading'!$J$48*'Combined Stress'!O42+'Wind Loading'!$J$47*'Combined Stress'!O43+'Wind Loading'!$J$46*'Combined Stress'!O44+'Wind Loading'!$J$45*'Combined Stress'!O45+'Wind Loading'!$J$44*'Combined Stress'!O46+'Wind Loading'!$J$43*'Combined Stress'!O47+'Wind Loading'!$J$42*'Combined Stress'!O48+'Wind Loading'!$J$41*'Combined Stress'!O49+'Wind Loading'!$J$40*'Combined Stress'!O50+'Wind Loading'!$J$39*'Combined Stress'!O51+'Wind Loading'!$J$38*'Combined Stress'!O52+'Wind Loading'!$J$37*'Combined Stress'!O53+'Wind Loading'!$J$36*'Combined Stress'!O54+'Wind Loading'!$J$35*'Combined Stress'!O55+'Wind Loading'!$J$34*'Combined Stress'!O56+'Wind Loading'!$J$33*'Combined Stress'!O57+'Wind Loading'!$J$32*'Combined Stress'!O58+'Wind Loading'!$J$31*'Combined Stress'!O59+'Wind Loading'!$J$30*'Combined Stress'!O60+'Wind Loading'!$J$29*'Combined Stress'!O61+'Wind Loading'!$J$28*'Combined Stress'!O62+'Wind Loading'!$J$27*'Combined Stress'!O63+'Wind Loading'!$J$26*'Combined Stress'!O64+'Wind Loading'!$J$25*'Combined Stress'!O65+'Wind Loading'!$J$24*'Combined Stress'!O66+'Wind Loading'!$J$23*'Combined Stress'!O67+'Wind Loading'!$J$22*'Combined Stress'!O68+'Wind Loading'!$J$21*'Combined Stress'!O69</f>
        <v>362877.85781741777</v>
      </c>
      <c r="Q21" s="19">
        <f>((P21*'Alternative 1'!K22)/'Alternative 1'!L22)/1000000</f>
        <v>2.8876926796416602</v>
      </c>
      <c r="R21" s="45">
        <f t="shared" si="14"/>
        <v>18</v>
      </c>
      <c r="S21" s="19">
        <f>IF(R21&gt;0,'Alternative 1'!$B$3+'Alternative 1'!$B$5+('Alternative 1'!$B$39*R21),0)</f>
        <v>194169.4301125058</v>
      </c>
      <c r="T21" s="19">
        <f>'Alternative 1'!M22</f>
        <v>2.3727118594267189</v>
      </c>
      <c r="U21" s="19">
        <f t="shared" si="4"/>
        <v>8.1834391032807458E-2</v>
      </c>
      <c r="V21" s="19">
        <f t="shared" si="5"/>
        <v>2.9695270706744679</v>
      </c>
      <c r="X21" s="18">
        <f>IF('Alternative 2'!$F22&gt;0,'Alternative 2'!$F22,"x")</f>
        <v>19</v>
      </c>
      <c r="Y21" s="45">
        <f t="shared" si="15"/>
        <v>5.5</v>
      </c>
      <c r="Z21" s="45">
        <f t="shared" si="16"/>
        <v>4.5</v>
      </c>
      <c r="AA21" s="19">
        <f>'Dynamic Loading'!$Y$3*'Combined Stress'!Y21+'Wind Loading'!$O$69*Z21+'Wind Loading'!$O$68*'Combined Stress'!Z22+'Wind Loading'!$O$67*'Combined Stress'!Z23+'Wind Loading'!$O$66*'Combined Stress'!Z24+'Wind Loading'!$O$65*'Combined Stress'!Z25+'Wind Loading'!$O$64*'Combined Stress'!Z26+'Wind Loading'!$O$63*'Combined Stress'!Z27+'Wind Loading'!$O$62*'Combined Stress'!Z28+'Wind Loading'!$O$61*'Combined Stress'!Z29+'Wind Loading'!$O$60*'Combined Stress'!Z30+'Wind Loading'!$O$59*'Combined Stress'!Z31+'Wind Loading'!$O$58*'Combined Stress'!Z32+'Wind Loading'!$O$57*'Combined Stress'!Z33+'Wind Loading'!$O$56*'Combined Stress'!Z34+'Wind Loading'!$O$55*'Combined Stress'!Z35+'Wind Loading'!$O$54*'Combined Stress'!Z36+'Wind Loading'!$O$53*'Combined Stress'!Z37+'Wind Loading'!$O$52*'Combined Stress'!Z38+'Wind Loading'!$O$51*'Combined Stress'!Z39+'Wind Loading'!$O$50*'Combined Stress'!Z40+'Wind Loading'!$O$49*'Combined Stress'!Z41+'Wind Loading'!$O$48*'Combined Stress'!Z42+'Wind Loading'!$O$47*'Combined Stress'!Z43+'Wind Loading'!$O$46*'Combined Stress'!Z44+'Wind Loading'!$O$45*'Combined Stress'!Z45+'Wind Loading'!$O$44*'Combined Stress'!Z46+'Wind Loading'!$O$43*'Combined Stress'!Z47+'Wind Loading'!$O$42*'Combined Stress'!Z48+'Wind Loading'!$O$41*'Combined Stress'!Z49+'Wind Loading'!$O$40*'Combined Stress'!Z50+'Wind Loading'!$O$39*'Combined Stress'!Z51+'Wind Loading'!$O$38*'Combined Stress'!Z52+'Wind Loading'!$O$37*'Combined Stress'!Z53+'Wind Loading'!$O$36*'Combined Stress'!Z54+'Wind Loading'!$O$35*'Combined Stress'!Z55+'Wind Loading'!$O$34*'Combined Stress'!Z56+'Wind Loading'!$O$33*'Combined Stress'!Z57+'Wind Loading'!$O$32*'Combined Stress'!Z58+'Wind Loading'!$O$31*'Combined Stress'!Z59+'Wind Loading'!$O$30*'Combined Stress'!Z60+'Wind Loading'!$O$29*'Combined Stress'!Z61+'Wind Loading'!$O$28*'Combined Stress'!Z62+'Wind Loading'!$O$27*'Combined Stress'!Z63+'Wind Loading'!$O$26*'Combined Stress'!Z64+'Wind Loading'!$O$25*'Combined Stress'!Z65+'Wind Loading'!$O$24*'Combined Stress'!Z66+'Wind Loading'!$O$23*'Combined Stress'!Z67+'Wind Loading'!$O$22*'Combined Stress'!Z68+'Wind Loading'!$O$21*'Combined Stress'!Z69</f>
        <v>129058.78204417507</v>
      </c>
      <c r="AB21" s="19">
        <f>((AA21*'Alternative 2'!K22)/'Alternative 2'!L22)/1000000</f>
        <v>2.0540360461450264</v>
      </c>
      <c r="AC21" s="45">
        <f t="shared" si="17"/>
        <v>5</v>
      </c>
      <c r="AD21" s="19">
        <f>'Alternative 2'!$B$3+'Alternative 2'!$B$5+('Alternative 2'!$B$39*AC21)</f>
        <v>90095.748103002843</v>
      </c>
      <c r="AE21" s="19">
        <f>'Alternative 2'!M22</f>
        <v>0.75162167119565226</v>
      </c>
      <c r="AF21" s="19">
        <f t="shared" si="6"/>
        <v>0.11986848111987222</v>
      </c>
      <c r="AG21" s="19">
        <f t="shared" si="7"/>
        <v>2.1739045272648987</v>
      </c>
      <c r="AI21" s="18">
        <f>'Alternative 3'!F22</f>
        <v>19</v>
      </c>
      <c r="AJ21" s="83">
        <f t="shared" si="18"/>
        <v>16.5</v>
      </c>
      <c r="AK21" s="45">
        <f t="shared" si="19"/>
        <v>16.5</v>
      </c>
      <c r="AL21" s="84">
        <f>'Dynamic Loading'!$AG$3*'Combined Stress'!AJ21+'Wind Loading'!$T$69*AK21+'Wind Loading'!$T$68*'Combined Stress'!AK22+'Wind Loading'!$T$67*'Combined Stress'!AK23+'Wind Loading'!$T$66*'Combined Stress'!AK24+'Wind Loading'!$T$65*'Combined Stress'!AK25+'Wind Loading'!$T$64*'Combined Stress'!AK26+'Wind Loading'!$T$63*'Combined Stress'!AK27+'Wind Loading'!$T$62*'Combined Stress'!AK28+'Wind Loading'!$T$61*'Combined Stress'!AK29+'Wind Loading'!$T$60*'Combined Stress'!AK30+'Wind Loading'!$T$59*'Combined Stress'!AK31+'Wind Loading'!$T$58*'Combined Stress'!AK32+'Wind Loading'!$T$57*'Combined Stress'!AK33+'Wind Loading'!$T$56*'Combined Stress'!AK34+'Wind Loading'!$T$55*'Combined Stress'!AK35+'Wind Loading'!$T$54*'Combined Stress'!AK36+'Wind Loading'!$T$53*'Combined Stress'!AK37+'Wind Loading'!$T$52*'Combined Stress'!AK38+'Wind Loading'!$T$51*'Combined Stress'!AK39+'Wind Loading'!$T$50*'Combined Stress'!AK40+'Wind Loading'!$T$49*'Combined Stress'!AK41+'Wind Loading'!$T$48*'Combined Stress'!AK42+'Wind Loading'!$T$47*'Combined Stress'!AK43+'Wind Loading'!$T$46*'Combined Stress'!AK44+'Wind Loading'!$T$45*'Combined Stress'!AK45+'Wind Loading'!$T$44*'Combined Stress'!AK46+'Wind Loading'!$T$43*'Combined Stress'!AK47+'Wind Loading'!$T$42*'Combined Stress'!AK48+'Wind Loading'!$T$41*'Combined Stress'!AK49+'Wind Loading'!$T$40*'Combined Stress'!AK50+'Wind Loading'!$T$39*'Combined Stress'!AK51+'Wind Loading'!$T$38*'Combined Stress'!AK52+'Wind Loading'!$T$37*'Combined Stress'!AK53+'Wind Loading'!$T$36*'Combined Stress'!AK54+'Wind Loading'!$T$35*'Combined Stress'!AK55+'Wind Loading'!$T$34*'Combined Stress'!AK56+'Wind Loading'!$T$33*'Combined Stress'!AK57+'Wind Loading'!$T$32*'Combined Stress'!AK58+'Wind Loading'!$T$31*'Combined Stress'!AK59+'Wind Loading'!$T$30*'Combined Stress'!AK60+'Wind Loading'!$T$29*'Combined Stress'!AK61+'Wind Loading'!$T$28*'Combined Stress'!AK62+'Wind Loading'!$T$27*'Combined Stress'!AK63+'Wind Loading'!$T$26*'Combined Stress'!AK64+'Wind Loading'!$T$25*'Combined Stress'!AK65+'Wind Loading'!$T$24*'Combined Stress'!AK66+'Wind Loading'!$T$23*'Combined Stress'!AK67+'Wind Loading'!$T$22*'Combined Stress'!AK68+'Wind Loading'!$T$21*'Combined Stress'!AK69</f>
        <v>2328545.2699092743</v>
      </c>
      <c r="AM21" s="84">
        <f>((AL21*'Alternative 3'!K22)/'Alternative 3'!L22)/1000000</f>
        <v>37.059980295157452</v>
      </c>
      <c r="AN21" s="84">
        <f t="shared" si="8"/>
        <v>49</v>
      </c>
      <c r="AO21" s="19">
        <f>'Alternative 3'!$B$3+'Alternative 3'!$B$5+('Alternative 2'!$B$39*AN21)</f>
        <v>278739.34726192791</v>
      </c>
      <c r="AP21" s="84">
        <f>'Alternative 3'!M22</f>
        <v>2.2576100229205713</v>
      </c>
      <c r="AQ21" s="84">
        <f t="shared" si="9"/>
        <v>0.12346656173209888</v>
      </c>
      <c r="AR21" s="84">
        <f t="shared" si="10"/>
        <v>37.183446856889553</v>
      </c>
    </row>
    <row r="22" spans="1:44" ht="14.45" customHeight="1" x14ac:dyDescent="0.25">
      <c r="A22" s="18">
        <f>'Baseline Given'!E23</f>
        <v>20</v>
      </c>
      <c r="B22" s="45">
        <f t="shared" si="0"/>
        <v>50.5</v>
      </c>
      <c r="C22" s="45">
        <f t="shared" si="1"/>
        <v>47.5</v>
      </c>
      <c r="D22" s="19">
        <f>'Dynamic Loading'!$I$3*'Combined Stress'!B22+'Wind Loading'!$E$69*C22+'Wind Loading'!$E$68*'Combined Stress'!C23+'Wind Loading'!$E$67*'Combined Stress'!C24+'Wind Loading'!$E$66*'Combined Stress'!C25+'Wind Loading'!$E$65*'Combined Stress'!C26+'Wind Loading'!$E$64*'Combined Stress'!C27+'Wind Loading'!$E$63*'Combined Stress'!C28+'Wind Loading'!$E$62*'Combined Stress'!C29+'Wind Loading'!$E$61*'Combined Stress'!C30+'Wind Loading'!$E$60*'Combined Stress'!C31+'Wind Loading'!$E$59*'Combined Stress'!C32+'Wind Loading'!$E$58*'Combined Stress'!C33+'Wind Loading'!$E$57*'Combined Stress'!C34+'Wind Loading'!$E$56*'Combined Stress'!C35+'Wind Loading'!$E$55*'Combined Stress'!C36+'Wind Loading'!$E$54*'Combined Stress'!C37+'Wind Loading'!$E$53*'Combined Stress'!C38+'Wind Loading'!$E$52*'Combined Stress'!C39+'Wind Loading'!$E$51*'Combined Stress'!C40+'Wind Loading'!$E$50*'Combined Stress'!C41+'Wind Loading'!$E$49*'Combined Stress'!C42+'Wind Loading'!$E$48*'Combined Stress'!C43+'Wind Loading'!$E$47*'Combined Stress'!C44+'Wind Loading'!$E$46*'Combined Stress'!C45+'Wind Loading'!$E$45*'Combined Stress'!C46+'Wind Loading'!$E$44*'Combined Stress'!C47+'Wind Loading'!$E$43*'Combined Stress'!C48+'Wind Loading'!$E$42*'Combined Stress'!C49+'Wind Loading'!$E$41*'Combined Stress'!C50+'Wind Loading'!$E$40*'Combined Stress'!C51+'Wind Loading'!$E$39*'Combined Stress'!C52+'Wind Loading'!$E$38*'Combined Stress'!C53+'Wind Loading'!$E$37*'Combined Stress'!C54+'Wind Loading'!$E$36*'Combined Stress'!C55+'Wind Loading'!$E$35*'Combined Stress'!C56+'Wind Loading'!$E$34*'Combined Stress'!C57+'Wind Loading'!$E$33*'Combined Stress'!C58+'Wind Loading'!$E$32*'Combined Stress'!C59+'Wind Loading'!$E$31*'Combined Stress'!C60+'Wind Loading'!$E$30*'Combined Stress'!C61+'Wind Loading'!$E$29*'Combined Stress'!C62+'Wind Loading'!$E$28*'Combined Stress'!C63+'Wind Loading'!$E$27*'Combined Stress'!C64+'Wind Loading'!$E$26*'Combined Stress'!C65+'Wind Loading'!$E$25*'Combined Stress'!C66+'Wind Loading'!$E$24*'Combined Stress'!C67+'Wind Loading'!$E$23*'Combined Stress'!C68+'Wind Loading'!$E$22*'Combined Stress'!C69</f>
        <v>18818772.828934558</v>
      </c>
      <c r="E22" s="19">
        <f>((D22*'Baseline Given'!K23)/'Baseline Given'!L23)/1000000</f>
        <v>122.75013313540444</v>
      </c>
      <c r="F22" s="19">
        <f t="shared" si="2"/>
        <v>48</v>
      </c>
      <c r="G22" s="19">
        <f>'Baseline Given'!$B$3+'Baseline Given'!$B$5+('Baseline Given'!$B$38*F22)</f>
        <v>1957339.8507462686</v>
      </c>
      <c r="H22" s="19">
        <f>'Baseline Given'!M23</f>
        <v>10.051312144140029</v>
      </c>
      <c r="I22" s="19">
        <f t="shared" si="3"/>
        <v>0.19473475927094838</v>
      </c>
      <c r="J22" s="19">
        <f t="shared" si="11"/>
        <v>-122.94486789467538</v>
      </c>
      <c r="M22" s="18">
        <f>IF('Alternative 1'!F23&gt;0,'Alternative 1'!F23,"x")</f>
        <v>20</v>
      </c>
      <c r="N22" s="45">
        <f t="shared" si="12"/>
        <v>17.5</v>
      </c>
      <c r="O22" s="45">
        <f t="shared" si="13"/>
        <v>16.5</v>
      </c>
      <c r="P22" s="19">
        <f>'Dynamic Loading'!$Q$3*'Combined Stress'!N22+'Wind Loading'!$J$69*O22+'Wind Loading'!$J$68*'Combined Stress'!O23+'Wind Loading'!$J$67*'Combined Stress'!O24+'Wind Loading'!$J$66*'Combined Stress'!O25+'Wind Loading'!$J$65*'Combined Stress'!O26+'Wind Loading'!$J$64*'Combined Stress'!O27+'Wind Loading'!$J$63*'Combined Stress'!O28+'Wind Loading'!$J$62*'Combined Stress'!O29+'Wind Loading'!$J$61*'Combined Stress'!O30+'Wind Loading'!$J$60*'Combined Stress'!O31+'Wind Loading'!$J$59*'Combined Stress'!O32+'Wind Loading'!$J$58*'Combined Stress'!O33+'Wind Loading'!$J$57*'Combined Stress'!O34+'Wind Loading'!$J$56*'Combined Stress'!O35+'Wind Loading'!$J$55*'Combined Stress'!O36+'Wind Loading'!$J$54*'Combined Stress'!O37+'Wind Loading'!$J$53*'Combined Stress'!O38+'Wind Loading'!$J$52*'Combined Stress'!O39+'Wind Loading'!$J$51*'Combined Stress'!O40+'Wind Loading'!$J$50*'Combined Stress'!O41+'Wind Loading'!$J$49*'Combined Stress'!O42+'Wind Loading'!$J$48*'Combined Stress'!O43+'Wind Loading'!$J$47*'Combined Stress'!O44+'Wind Loading'!$J$46*'Combined Stress'!O45+'Wind Loading'!$J$45*'Combined Stress'!O46+'Wind Loading'!$J$44*'Combined Stress'!O47+'Wind Loading'!$J$43*'Combined Stress'!O48+'Wind Loading'!$J$42*'Combined Stress'!O49+'Wind Loading'!$J$41*'Combined Stress'!O50+'Wind Loading'!$J$40*'Combined Stress'!O51+'Wind Loading'!$J$39*'Combined Stress'!O52+'Wind Loading'!$J$38*'Combined Stress'!O53+'Wind Loading'!$J$37*'Combined Stress'!O54+'Wind Loading'!$J$36*'Combined Stress'!O55+'Wind Loading'!$J$35*'Combined Stress'!O56+'Wind Loading'!$J$34*'Combined Stress'!O57+'Wind Loading'!$J$33*'Combined Stress'!O58+'Wind Loading'!$J$32*'Combined Stress'!O59+'Wind Loading'!$J$31*'Combined Stress'!O60+'Wind Loading'!$J$30*'Combined Stress'!O61+'Wind Loading'!$J$29*'Combined Stress'!O62+'Wind Loading'!$J$28*'Combined Stress'!O63+'Wind Loading'!$J$27*'Combined Stress'!O64+'Wind Loading'!$J$26*'Combined Stress'!O65+'Wind Loading'!$J$25*'Combined Stress'!O66+'Wind Loading'!$J$24*'Combined Stress'!O67+'Wind Loading'!$J$23*'Combined Stress'!O68+'Wind Loading'!$J$22*'Combined Stress'!O69</f>
        <v>343262.83847593574</v>
      </c>
      <c r="Q22" s="19">
        <f>((P22*'Alternative 1'!K23)/'Alternative 1'!L23)/1000000</f>
        <v>2.731601183444814</v>
      </c>
      <c r="R22" s="45">
        <f t="shared" si="14"/>
        <v>17</v>
      </c>
      <c r="S22" s="19">
        <f>IF(R22&gt;0,'Alternative 1'!$B$3+'Alternative 1'!$B$5+('Alternative 1'!$B$39*R22),0)</f>
        <v>185666.09937292212</v>
      </c>
      <c r="T22" s="19">
        <f>'Alternative 1'!M23</f>
        <v>2.3187215184152099</v>
      </c>
      <c r="U22" s="19">
        <f t="shared" si="4"/>
        <v>8.0072616697765595E-2</v>
      </c>
      <c r="V22" s="19">
        <f t="shared" si="5"/>
        <v>2.8116738001425796</v>
      </c>
      <c r="X22" s="18">
        <f>IF('Alternative 2'!$F23&gt;0,'Alternative 2'!$F23,"x")</f>
        <v>20</v>
      </c>
      <c r="Y22" s="45">
        <f t="shared" si="15"/>
        <v>4.5</v>
      </c>
      <c r="Z22" s="45">
        <f t="shared" si="16"/>
        <v>3.5</v>
      </c>
      <c r="AA22" s="19">
        <f>'Dynamic Loading'!$Y$3*'Combined Stress'!Y22+'Wind Loading'!$O$69*Z22+'Wind Loading'!$O$68*'Combined Stress'!Z23+'Wind Loading'!$O$67*'Combined Stress'!Z24+'Wind Loading'!$O$66*'Combined Stress'!Z25+'Wind Loading'!$O$65*'Combined Stress'!Z26+'Wind Loading'!$O$64*'Combined Stress'!Z27+'Wind Loading'!$O$63*'Combined Stress'!Z28+'Wind Loading'!$O$62*'Combined Stress'!Z29+'Wind Loading'!$O$61*'Combined Stress'!Z30+'Wind Loading'!$O$60*'Combined Stress'!Z31+'Wind Loading'!$O$59*'Combined Stress'!Z32+'Wind Loading'!$O$58*'Combined Stress'!Z33+'Wind Loading'!$O$57*'Combined Stress'!Z34+'Wind Loading'!$O$56*'Combined Stress'!Z35+'Wind Loading'!$O$55*'Combined Stress'!Z36+'Wind Loading'!$O$54*'Combined Stress'!Z37+'Wind Loading'!$O$53*'Combined Stress'!Z38+'Wind Loading'!$O$52*'Combined Stress'!Z39+'Wind Loading'!$O$51*'Combined Stress'!Z40+'Wind Loading'!$O$50*'Combined Stress'!Z41+'Wind Loading'!$O$49*'Combined Stress'!Z42+'Wind Loading'!$O$48*'Combined Stress'!Z43+'Wind Loading'!$O$47*'Combined Stress'!Z44+'Wind Loading'!$O$46*'Combined Stress'!Z45+'Wind Loading'!$O$45*'Combined Stress'!Z46+'Wind Loading'!$O$44*'Combined Stress'!Z47+'Wind Loading'!$O$43*'Combined Stress'!Z48+'Wind Loading'!$O$42*'Combined Stress'!Z49+'Wind Loading'!$O$41*'Combined Stress'!Z50+'Wind Loading'!$O$40*'Combined Stress'!Z51+'Wind Loading'!$O$39*'Combined Stress'!Z52+'Wind Loading'!$O$38*'Combined Stress'!Z53+'Wind Loading'!$O$37*'Combined Stress'!Z54+'Wind Loading'!$O$36*'Combined Stress'!Z55+'Wind Loading'!$O$35*'Combined Stress'!Z56+'Wind Loading'!$O$34*'Combined Stress'!Z57+'Wind Loading'!$O$33*'Combined Stress'!Z58+'Wind Loading'!$O$32*'Combined Stress'!Z59+'Wind Loading'!$O$31*'Combined Stress'!Z60+'Wind Loading'!$O$30*'Combined Stress'!Z61+'Wind Loading'!$O$29*'Combined Stress'!Z62+'Wind Loading'!$O$28*'Combined Stress'!Z63+'Wind Loading'!$O$27*'Combined Stress'!Z64+'Wind Loading'!$O$26*'Combined Stress'!Z65+'Wind Loading'!$O$25*'Combined Stress'!Z66+'Wind Loading'!$O$24*'Combined Stress'!Z67+'Wind Loading'!$O$23*'Combined Stress'!Z68+'Wind Loading'!$O$22*'Combined Stress'!Z69</f>
        <v>105593.54894523414</v>
      </c>
      <c r="AB22" s="19">
        <f>((AA22*'Alternative 2'!K23)/'Alternative 2'!L23)/1000000</f>
        <v>1.6805749468459306</v>
      </c>
      <c r="AC22" s="45">
        <f t="shared" si="17"/>
        <v>4</v>
      </c>
      <c r="AD22" s="19">
        <f>'Alternative 2'!$B$3+'Alternative 2'!$B$5+('Alternative 2'!$B$39*AC22)</f>
        <v>87374.972482402271</v>
      </c>
      <c r="AE22" s="19">
        <f>'Alternative 2'!M23</f>
        <v>0.72185745301630455</v>
      </c>
      <c r="AF22" s="19">
        <f t="shared" si="6"/>
        <v>0.12104186514567819</v>
      </c>
      <c r="AG22" s="19">
        <f t="shared" si="7"/>
        <v>1.8016168119916087</v>
      </c>
      <c r="AI22" s="18">
        <f>'Alternative 3'!F23</f>
        <v>20</v>
      </c>
      <c r="AJ22" s="83">
        <f t="shared" si="18"/>
        <v>15.5</v>
      </c>
      <c r="AK22" s="45">
        <f t="shared" si="19"/>
        <v>15.5</v>
      </c>
      <c r="AL22" s="84">
        <f>'Dynamic Loading'!$AG$3*'Combined Stress'!AJ22+'Wind Loading'!$T$69*AK22+'Wind Loading'!$T$68*'Combined Stress'!AK23+'Wind Loading'!$T$67*'Combined Stress'!AK24+'Wind Loading'!$T$66*'Combined Stress'!AK25+'Wind Loading'!$T$65*'Combined Stress'!AK26+'Wind Loading'!$T$64*'Combined Stress'!AK27+'Wind Loading'!$T$63*'Combined Stress'!AK28+'Wind Loading'!$T$62*'Combined Stress'!AK29+'Wind Loading'!$T$61*'Combined Stress'!AK30+'Wind Loading'!$T$60*'Combined Stress'!AK31+'Wind Loading'!$T$59*'Combined Stress'!AK32+'Wind Loading'!$T$58*'Combined Stress'!AK33+'Wind Loading'!$T$57*'Combined Stress'!AK34+'Wind Loading'!$T$56*'Combined Stress'!AK35+'Wind Loading'!$T$55*'Combined Stress'!AK36+'Wind Loading'!$T$54*'Combined Stress'!AK37+'Wind Loading'!$T$53*'Combined Stress'!AK38+'Wind Loading'!$T$52*'Combined Stress'!AK39+'Wind Loading'!$T$51*'Combined Stress'!AK40+'Wind Loading'!$T$50*'Combined Stress'!AK41+'Wind Loading'!$T$49*'Combined Stress'!AK42+'Wind Loading'!$T$48*'Combined Stress'!AK43+'Wind Loading'!$T$47*'Combined Stress'!AK44+'Wind Loading'!$T$46*'Combined Stress'!AK45+'Wind Loading'!$T$45*'Combined Stress'!AK46+'Wind Loading'!$T$44*'Combined Stress'!AK47+'Wind Loading'!$T$43*'Combined Stress'!AK48+'Wind Loading'!$T$42*'Combined Stress'!AK49+'Wind Loading'!$T$41*'Combined Stress'!AK50+'Wind Loading'!$T$40*'Combined Stress'!AK51+'Wind Loading'!$T$39*'Combined Stress'!AK52+'Wind Loading'!$T$38*'Combined Stress'!AK53+'Wind Loading'!$T$37*'Combined Stress'!AK54+'Wind Loading'!$T$36*'Combined Stress'!AK55+'Wind Loading'!$T$35*'Combined Stress'!AK56+'Wind Loading'!$T$34*'Combined Stress'!AK57+'Wind Loading'!$T$33*'Combined Stress'!AK58+'Wind Loading'!$T$32*'Combined Stress'!AK59+'Wind Loading'!$T$31*'Combined Stress'!AK60+'Wind Loading'!$T$30*'Combined Stress'!AK61+'Wind Loading'!$T$29*'Combined Stress'!AK62+'Wind Loading'!$T$28*'Combined Stress'!AK63+'Wind Loading'!$T$27*'Combined Stress'!AK64+'Wind Loading'!$T$26*'Combined Stress'!AK65+'Wind Loading'!$T$25*'Combined Stress'!AK66+'Wind Loading'!$T$24*'Combined Stress'!AK67+'Wind Loading'!$T$23*'Combined Stress'!AK68+'Wind Loading'!$T$22*'Combined Stress'!AK69</f>
        <v>2187421.3141571968</v>
      </c>
      <c r="AM22" s="84">
        <f>((AL22*'Alternative 3'!K23)/'Alternative 3'!L23)/1000000</f>
        <v>34.813920883329729</v>
      </c>
      <c r="AN22" s="84">
        <f t="shared" si="8"/>
        <v>48</v>
      </c>
      <c r="AO22" s="19">
        <f>'Alternative 3'!$B$3+'Alternative 3'!$B$5+('Alternative 2'!$B$39*AN22)</f>
        <v>276018.57164132735</v>
      </c>
      <c r="AP22" s="84">
        <f>'Alternative 3'!M23</f>
        <v>2.2054127116821429</v>
      </c>
      <c r="AQ22" s="84">
        <f t="shared" si="9"/>
        <v>0.12515506516274619</v>
      </c>
      <c r="AR22" s="84">
        <f t="shared" si="10"/>
        <v>34.939075948492473</v>
      </c>
    </row>
    <row r="23" spans="1:44" ht="14.45" customHeight="1" x14ac:dyDescent="0.25">
      <c r="A23" s="18">
        <f>'Baseline Given'!E24</f>
        <v>21</v>
      </c>
      <c r="B23" s="45">
        <f t="shared" si="0"/>
        <v>49.5</v>
      </c>
      <c r="C23" s="45">
        <f t="shared" si="1"/>
        <v>46.5</v>
      </c>
      <c r="D23" s="19">
        <f>'Dynamic Loading'!$I$3*'Combined Stress'!B23+'Wind Loading'!$E$69*C23+'Wind Loading'!$E$68*'Combined Stress'!C24+'Wind Loading'!$E$67*'Combined Stress'!C25+'Wind Loading'!$E$66*'Combined Stress'!C26+'Wind Loading'!$E$65*'Combined Stress'!C27+'Wind Loading'!$E$64*'Combined Stress'!C28+'Wind Loading'!$E$63*'Combined Stress'!C29+'Wind Loading'!$E$62*'Combined Stress'!C30+'Wind Loading'!$E$61*'Combined Stress'!C31+'Wind Loading'!$E$60*'Combined Stress'!C32+'Wind Loading'!$E$59*'Combined Stress'!C33+'Wind Loading'!$E$58*'Combined Stress'!C34+'Wind Loading'!$E$57*'Combined Stress'!C35+'Wind Loading'!$E$56*'Combined Stress'!C36+'Wind Loading'!$E$55*'Combined Stress'!C37+'Wind Loading'!$E$54*'Combined Stress'!C38+'Wind Loading'!$E$53*'Combined Stress'!C39+'Wind Loading'!$E$52*'Combined Stress'!C40+'Wind Loading'!$E$51*'Combined Stress'!C41+'Wind Loading'!$E$50*'Combined Stress'!C42+'Wind Loading'!$E$49*'Combined Stress'!C43+'Wind Loading'!$E$48*'Combined Stress'!C44+'Wind Loading'!$E$47*'Combined Stress'!C45+'Wind Loading'!$E$46*'Combined Stress'!C46+'Wind Loading'!$E$45*'Combined Stress'!C47+'Wind Loading'!$E$44*'Combined Stress'!C48+'Wind Loading'!$E$43*'Combined Stress'!C49+'Wind Loading'!$E$42*'Combined Stress'!C50+'Wind Loading'!$E$41*'Combined Stress'!C51+'Wind Loading'!$E$40*'Combined Stress'!C52+'Wind Loading'!$E$39*'Combined Stress'!C53+'Wind Loading'!$E$38*'Combined Stress'!C54+'Wind Loading'!$E$37*'Combined Stress'!C55+'Wind Loading'!$E$36*'Combined Stress'!C56+'Wind Loading'!$E$35*'Combined Stress'!C57+'Wind Loading'!$E$34*'Combined Stress'!C58+'Wind Loading'!$E$33*'Combined Stress'!C59+'Wind Loading'!$E$32*'Combined Stress'!C60+'Wind Loading'!$E$31*'Combined Stress'!C61+'Wind Loading'!$E$30*'Combined Stress'!C62+'Wind Loading'!$E$29*'Combined Stress'!C63+'Wind Loading'!$E$28*'Combined Stress'!C64+'Wind Loading'!$E$27*'Combined Stress'!C65+'Wind Loading'!$E$26*'Combined Stress'!C66+'Wind Loading'!$E$25*'Combined Stress'!C67+'Wind Loading'!$E$24*'Combined Stress'!C68+'Wind Loading'!$E$23*'Combined Stress'!C69</f>
        <v>18364280.651060801</v>
      </c>
      <c r="E23" s="19">
        <f>((D23*'Baseline Given'!K24)/'Baseline Given'!L24)/1000000</f>
        <v>120.67582620562013</v>
      </c>
      <c r="F23" s="19">
        <f t="shared" si="2"/>
        <v>47</v>
      </c>
      <c r="G23" s="19">
        <f>'Baseline Given'!$B$3+'Baseline Given'!$B$5+('Baseline Given'!$B$38*F23)</f>
        <v>1941180.8955223882</v>
      </c>
      <c r="H23" s="19">
        <f>'Baseline Given'!M24</f>
        <v>9.9407455348975908</v>
      </c>
      <c r="I23" s="19">
        <f t="shared" si="3"/>
        <v>0.19527518219913734</v>
      </c>
      <c r="J23" s="19">
        <f t="shared" si="11"/>
        <v>-120.87110138781927</v>
      </c>
      <c r="M23" s="18">
        <f>IF('Alternative 1'!F24&gt;0,'Alternative 1'!F24,"x")</f>
        <v>21</v>
      </c>
      <c r="N23" s="45">
        <f t="shared" si="12"/>
        <v>16.5</v>
      </c>
      <c r="O23" s="45">
        <f t="shared" si="13"/>
        <v>15.5</v>
      </c>
      <c r="P23" s="19">
        <f>'Dynamic Loading'!$Q$3*'Combined Stress'!N23+'Wind Loading'!$J$69*O23+'Wind Loading'!$J$68*'Combined Stress'!O24+'Wind Loading'!$J$67*'Combined Stress'!O25+'Wind Loading'!$J$66*'Combined Stress'!O26+'Wind Loading'!$J$65*'Combined Stress'!O27+'Wind Loading'!$J$64*'Combined Stress'!O28+'Wind Loading'!$J$63*'Combined Stress'!O29+'Wind Loading'!$J$62*'Combined Stress'!O30+'Wind Loading'!$J$61*'Combined Stress'!O31+'Wind Loading'!$J$60*'Combined Stress'!O32+'Wind Loading'!$J$59*'Combined Stress'!O33+'Wind Loading'!$J$58*'Combined Stress'!O34+'Wind Loading'!$J$57*'Combined Stress'!O35+'Wind Loading'!$J$56*'Combined Stress'!O36+'Wind Loading'!$J$55*'Combined Stress'!O37+'Wind Loading'!$J$54*'Combined Stress'!O38+'Wind Loading'!$J$53*'Combined Stress'!O39+'Wind Loading'!$J$52*'Combined Stress'!O40+'Wind Loading'!$J$51*'Combined Stress'!O41+'Wind Loading'!$J$50*'Combined Stress'!O42+'Wind Loading'!$J$49*'Combined Stress'!O43+'Wind Loading'!$J$48*'Combined Stress'!O44+'Wind Loading'!$J$47*'Combined Stress'!O45+'Wind Loading'!$J$46*'Combined Stress'!O46+'Wind Loading'!$J$45*'Combined Stress'!O47+'Wind Loading'!$J$44*'Combined Stress'!O48+'Wind Loading'!$J$43*'Combined Stress'!O49+'Wind Loading'!$J$42*'Combined Stress'!O50+'Wind Loading'!$J$41*'Combined Stress'!O51+'Wind Loading'!$J$40*'Combined Stress'!O52+'Wind Loading'!$J$39*'Combined Stress'!O53+'Wind Loading'!$J$38*'Combined Stress'!O54+'Wind Loading'!$J$37*'Combined Stress'!O55+'Wind Loading'!$J$36*'Combined Stress'!O56+'Wind Loading'!$J$35*'Combined Stress'!O57+'Wind Loading'!$J$34*'Combined Stress'!O58+'Wind Loading'!$J$33*'Combined Stress'!O59+'Wind Loading'!$J$32*'Combined Stress'!O60+'Wind Loading'!$J$31*'Combined Stress'!O61+'Wind Loading'!$J$30*'Combined Stress'!O62+'Wind Loading'!$J$29*'Combined Stress'!O63+'Wind Loading'!$J$28*'Combined Stress'!O64+'Wind Loading'!$J$27*'Combined Stress'!O65+'Wind Loading'!$J$26*'Combined Stress'!O66+'Wind Loading'!$J$25*'Combined Stress'!O67+'Wind Loading'!$J$24*'Combined Stress'!O68+'Wind Loading'!$J$23*'Combined Stress'!O69</f>
        <v>323647.81913445372</v>
      </c>
      <c r="Q23" s="19">
        <f>((P23*'Alternative 1'!K24)/'Alternative 1'!L24)/1000000</f>
        <v>2.5755096872479681</v>
      </c>
      <c r="R23" s="45">
        <f t="shared" si="14"/>
        <v>16</v>
      </c>
      <c r="S23" s="19">
        <f>IF(R23&gt;0,'Alternative 1'!$B$3+'Alternative 1'!$B$5+('Alternative 1'!$B$39*R23),0)</f>
        <v>177162.76863333848</v>
      </c>
      <c r="T23" s="19">
        <f>'Alternative 1'!M24</f>
        <v>2.2653525340784717</v>
      </c>
      <c r="U23" s="19">
        <f t="shared" si="4"/>
        <v>7.8205385682015696E-2</v>
      </c>
      <c r="V23" s="19">
        <f t="shared" si="5"/>
        <v>2.6537150729299839</v>
      </c>
      <c r="X23" s="18">
        <f>IF('Alternative 2'!$F24&gt;0,'Alternative 2'!$F24,"x")</f>
        <v>21</v>
      </c>
      <c r="Y23" s="45">
        <f t="shared" si="15"/>
        <v>3.5</v>
      </c>
      <c r="Z23" s="45">
        <f t="shared" si="16"/>
        <v>2.5</v>
      </c>
      <c r="AA23" s="19">
        <f>'Dynamic Loading'!$Y$3*'Combined Stress'!Y23+'Wind Loading'!$O$69*Z23+'Wind Loading'!$O$68*'Combined Stress'!Z24+'Wind Loading'!$O$67*'Combined Stress'!Z25+'Wind Loading'!$O$66*'Combined Stress'!Z26+'Wind Loading'!$O$65*'Combined Stress'!Z27+'Wind Loading'!$O$64*'Combined Stress'!Z28+'Wind Loading'!$O$63*'Combined Stress'!Z29+'Wind Loading'!$O$62*'Combined Stress'!Z30+'Wind Loading'!$O$61*'Combined Stress'!Z31+'Wind Loading'!$O$60*'Combined Stress'!Z32+'Wind Loading'!$O$59*'Combined Stress'!Z33+'Wind Loading'!$O$58*'Combined Stress'!Z34+'Wind Loading'!$O$57*'Combined Stress'!Z35+'Wind Loading'!$O$56*'Combined Stress'!Z36+'Wind Loading'!$O$55*'Combined Stress'!Z37+'Wind Loading'!$O$54*'Combined Stress'!Z38+'Wind Loading'!$O$53*'Combined Stress'!Z39+'Wind Loading'!$O$52*'Combined Stress'!Z40+'Wind Loading'!$O$51*'Combined Stress'!Z41+'Wind Loading'!$O$50*'Combined Stress'!Z42+'Wind Loading'!$O$49*'Combined Stress'!Z43+'Wind Loading'!$O$48*'Combined Stress'!Z44+'Wind Loading'!$O$47*'Combined Stress'!Z45+'Wind Loading'!$O$46*'Combined Stress'!Z46+'Wind Loading'!$O$45*'Combined Stress'!Z47+'Wind Loading'!$O$44*'Combined Stress'!Z48+'Wind Loading'!$O$43*'Combined Stress'!Z49+'Wind Loading'!$O$42*'Combined Stress'!Z50+'Wind Loading'!$O$41*'Combined Stress'!Z51+'Wind Loading'!$O$40*'Combined Stress'!Z52+'Wind Loading'!$O$39*'Combined Stress'!Z53+'Wind Loading'!$O$38*'Combined Stress'!Z54+'Wind Loading'!$O$37*'Combined Stress'!Z55+'Wind Loading'!$O$36*'Combined Stress'!Z56+'Wind Loading'!$O$35*'Combined Stress'!Z57+'Wind Loading'!$O$34*'Combined Stress'!Z58+'Wind Loading'!$O$33*'Combined Stress'!Z59+'Wind Loading'!$O$32*'Combined Stress'!Z60+'Wind Loading'!$O$31*'Combined Stress'!Z61+'Wind Loading'!$O$30*'Combined Stress'!Z62+'Wind Loading'!$O$29*'Combined Stress'!Z63+'Wind Loading'!$O$28*'Combined Stress'!Z64+'Wind Loading'!$O$27*'Combined Stress'!Z65+'Wind Loading'!$O$26*'Combined Stress'!Z66+'Wind Loading'!$O$25*'Combined Stress'!Z67+'Wind Loading'!$O$24*'Combined Stress'!Z68+'Wind Loading'!$O$23*'Combined Stress'!Z69</f>
        <v>82128.315846293219</v>
      </c>
      <c r="AB23" s="19">
        <f>((AA23*'Alternative 2'!K24)/'Alternative 2'!L24)/1000000</f>
        <v>1.3071138475468351</v>
      </c>
      <c r="AC23" s="45">
        <f t="shared" si="17"/>
        <v>3</v>
      </c>
      <c r="AD23" s="19">
        <f>'Alternative 2'!$B$3+'Alternative 2'!$B$5+('Alternative 2'!$B$39*AC23)</f>
        <v>84654.196861801698</v>
      </c>
      <c r="AE23" s="19">
        <f>'Alternative 2'!M24</f>
        <v>0.69269453217391319</v>
      </c>
      <c r="AF23" s="19">
        <f t="shared" si="6"/>
        <v>0.122209997235185</v>
      </c>
      <c r="AG23" s="19">
        <f t="shared" si="7"/>
        <v>1.42932384478202</v>
      </c>
      <c r="AI23" s="18">
        <f>'Alternative 3'!F24</f>
        <v>21</v>
      </c>
      <c r="AJ23" s="83">
        <f t="shared" si="18"/>
        <v>14.5</v>
      </c>
      <c r="AK23" s="45">
        <f t="shared" si="19"/>
        <v>14.5</v>
      </c>
      <c r="AL23" s="84">
        <f>'Dynamic Loading'!$AG$3*'Combined Stress'!AJ23+'Wind Loading'!$T$69*AK23+'Wind Loading'!$T$68*'Combined Stress'!AK24+'Wind Loading'!$T$67*'Combined Stress'!AK25+'Wind Loading'!$T$66*'Combined Stress'!AK26+'Wind Loading'!$T$65*'Combined Stress'!AK27+'Wind Loading'!$T$64*'Combined Stress'!AK28+'Wind Loading'!$T$63*'Combined Stress'!AK29+'Wind Loading'!$T$62*'Combined Stress'!AK30+'Wind Loading'!$T$61*'Combined Stress'!AK31+'Wind Loading'!$T$60*'Combined Stress'!AK32+'Wind Loading'!$T$59*'Combined Stress'!AK33+'Wind Loading'!$T$58*'Combined Stress'!AK34+'Wind Loading'!$T$57*'Combined Stress'!AK35+'Wind Loading'!$T$56*'Combined Stress'!AK36+'Wind Loading'!$T$55*'Combined Stress'!AK37+'Wind Loading'!$T$54*'Combined Stress'!AK38+'Wind Loading'!$T$53*'Combined Stress'!AK39+'Wind Loading'!$T$52*'Combined Stress'!AK40+'Wind Loading'!$T$51*'Combined Stress'!AK41+'Wind Loading'!$T$50*'Combined Stress'!AK42+'Wind Loading'!$T$49*'Combined Stress'!AK43+'Wind Loading'!$T$48*'Combined Stress'!AK44+'Wind Loading'!$T$47*'Combined Stress'!AK45+'Wind Loading'!$T$46*'Combined Stress'!AK46+'Wind Loading'!$T$45*'Combined Stress'!AK47+'Wind Loading'!$T$44*'Combined Stress'!AK48+'Wind Loading'!$T$43*'Combined Stress'!AK49+'Wind Loading'!$T$42*'Combined Stress'!AK50+'Wind Loading'!$T$41*'Combined Stress'!AK51+'Wind Loading'!$T$40*'Combined Stress'!AK52+'Wind Loading'!$T$39*'Combined Stress'!AK53+'Wind Loading'!$T$38*'Combined Stress'!AK54+'Wind Loading'!$T$37*'Combined Stress'!AK55+'Wind Loading'!$T$36*'Combined Stress'!AK56+'Wind Loading'!$T$35*'Combined Stress'!AK57+'Wind Loading'!$T$34*'Combined Stress'!AK58+'Wind Loading'!$T$33*'Combined Stress'!AK59+'Wind Loading'!$T$32*'Combined Stress'!AK60+'Wind Loading'!$T$31*'Combined Stress'!AK61+'Wind Loading'!$T$30*'Combined Stress'!AK62+'Wind Loading'!$T$29*'Combined Stress'!AK63+'Wind Loading'!$T$28*'Combined Stress'!AK64+'Wind Loading'!$T$27*'Combined Stress'!AK65+'Wind Loading'!$T$26*'Combined Stress'!AK66+'Wind Loading'!$T$25*'Combined Stress'!AK67+'Wind Loading'!$T$24*'Combined Stress'!AK68+'Wind Loading'!$T$23*'Combined Stress'!AK69</f>
        <v>2046297.3584051197</v>
      </c>
      <c r="AM23" s="84">
        <f>((AL23*'Alternative 3'!K24)/'Alternative 3'!L24)/1000000</f>
        <v>32.567861471502013</v>
      </c>
      <c r="AN23" s="84">
        <f t="shared" si="8"/>
        <v>47</v>
      </c>
      <c r="AO23" s="19">
        <f>'Alternative 3'!$B$3+'Alternative 3'!$B$5+('Alternative 2'!$B$39*AN23)</f>
        <v>273297.79602072679</v>
      </c>
      <c r="AP23" s="84">
        <f>'Alternative 3'!M24</f>
        <v>2.153825895312</v>
      </c>
      <c r="AQ23" s="84">
        <f t="shared" si="9"/>
        <v>0.12688945592844089</v>
      </c>
      <c r="AR23" s="84">
        <f t="shared" si="10"/>
        <v>32.694750927430455</v>
      </c>
    </row>
    <row r="24" spans="1:44" x14ac:dyDescent="0.25">
      <c r="A24" s="18">
        <f>'Baseline Given'!E25</f>
        <v>22</v>
      </c>
      <c r="B24" s="45">
        <f t="shared" si="0"/>
        <v>48.5</v>
      </c>
      <c r="C24" s="45">
        <f t="shared" si="1"/>
        <v>45.5</v>
      </c>
      <c r="D24" s="19">
        <f>'Dynamic Loading'!$I$3*'Combined Stress'!B24+'Wind Loading'!$E$69*C24+'Wind Loading'!$E$68*'Combined Stress'!C25+'Wind Loading'!$E$67*'Combined Stress'!C26+'Wind Loading'!$E$66*'Combined Stress'!C27+'Wind Loading'!$E$65*'Combined Stress'!C28+'Wind Loading'!$E$64*'Combined Stress'!C29+'Wind Loading'!$E$63*'Combined Stress'!C30+'Wind Loading'!$E$62*'Combined Stress'!C31+'Wind Loading'!$E$61*'Combined Stress'!C32+'Wind Loading'!$E$60*'Combined Stress'!C33+'Wind Loading'!$E$59*'Combined Stress'!C34+'Wind Loading'!$E$58*'Combined Stress'!C35+'Wind Loading'!$E$57*'Combined Stress'!C36+'Wind Loading'!$E$56*'Combined Stress'!C37+'Wind Loading'!$E$55*'Combined Stress'!C38+'Wind Loading'!$E$54*'Combined Stress'!C39+'Wind Loading'!$E$53*'Combined Stress'!C40+'Wind Loading'!$E$52*'Combined Stress'!C41+'Wind Loading'!$E$51*'Combined Stress'!C42+'Wind Loading'!$E$50*'Combined Stress'!C43+'Wind Loading'!$E$49*'Combined Stress'!C44+'Wind Loading'!$E$48*'Combined Stress'!C45+'Wind Loading'!$E$47*'Combined Stress'!C46+'Wind Loading'!$E$46*'Combined Stress'!C47+'Wind Loading'!$E$45*'Combined Stress'!C48+'Wind Loading'!$E$44*'Combined Stress'!C49+'Wind Loading'!$E$43*'Combined Stress'!C50+'Wind Loading'!$E$42*'Combined Stress'!C51+'Wind Loading'!$E$41*'Combined Stress'!C52+'Wind Loading'!$E$40*'Combined Stress'!C53+'Wind Loading'!$E$39*'Combined Stress'!C54+'Wind Loading'!$E$38*'Combined Stress'!C55+'Wind Loading'!$E$37*'Combined Stress'!C56+'Wind Loading'!$E$36*'Combined Stress'!C57+'Wind Loading'!$E$35*'Combined Stress'!C58+'Wind Loading'!$E$34*'Combined Stress'!C59+'Wind Loading'!$E$33*'Combined Stress'!C60+'Wind Loading'!$E$32*'Combined Stress'!C61+'Wind Loading'!$E$31*'Combined Stress'!C62+'Wind Loading'!$E$30*'Combined Stress'!C63+'Wind Loading'!$E$29*'Combined Stress'!C64+'Wind Loading'!$E$28*'Combined Stress'!C65+'Wind Loading'!$E$27*'Combined Stress'!C66+'Wind Loading'!$E$26*'Combined Stress'!C67+'Wind Loading'!$E$25*'Combined Stress'!C68+'Wind Loading'!$E$24*'Combined Stress'!C69</f>
        <v>17913109.608857665</v>
      </c>
      <c r="E24" s="19">
        <f>((D24*'Baseline Given'!K25)/'Baseline Given'!L25)/1000000</f>
        <v>118.59244378126031</v>
      </c>
      <c r="F24" s="19">
        <f t="shared" si="2"/>
        <v>46</v>
      </c>
      <c r="G24" s="19">
        <f>'Baseline Given'!$B$3+'Baseline Given'!$B$5+('Baseline Given'!$B$38*F24)</f>
        <v>1925021.9402985075</v>
      </c>
      <c r="H24" s="19">
        <f>'Baseline Given'!M25</f>
        <v>9.8307904219181985</v>
      </c>
      <c r="I24" s="19">
        <f t="shared" si="3"/>
        <v>0.19581558121782178</v>
      </c>
      <c r="J24" s="19">
        <f t="shared" si="11"/>
        <v>-118.78825936247813</v>
      </c>
      <c r="M24" s="18">
        <f>IF('Alternative 1'!F25&gt;0,'Alternative 1'!F25,"x")</f>
        <v>22</v>
      </c>
      <c r="N24" s="45">
        <f t="shared" si="12"/>
        <v>15.5</v>
      </c>
      <c r="O24" s="45">
        <f t="shared" si="13"/>
        <v>14.5</v>
      </c>
      <c r="P24" s="19">
        <f>'Dynamic Loading'!$Q$3*'Combined Stress'!N24+'Wind Loading'!$J$69*O24+'Wind Loading'!$J$68*'Combined Stress'!O25+'Wind Loading'!$J$67*'Combined Stress'!O26+'Wind Loading'!$J$66*'Combined Stress'!O27+'Wind Loading'!$J$65*'Combined Stress'!O28+'Wind Loading'!$J$64*'Combined Stress'!O29+'Wind Loading'!$J$63*'Combined Stress'!O30+'Wind Loading'!$J$62*'Combined Stress'!O31+'Wind Loading'!$J$61*'Combined Stress'!O32+'Wind Loading'!$J$60*'Combined Stress'!O33+'Wind Loading'!$J$59*'Combined Stress'!O34+'Wind Loading'!$J$58*'Combined Stress'!O35+'Wind Loading'!$J$57*'Combined Stress'!O36+'Wind Loading'!$J$56*'Combined Stress'!O37+'Wind Loading'!$J$55*'Combined Stress'!O38+'Wind Loading'!$J$54*'Combined Stress'!O39+'Wind Loading'!$J$53*'Combined Stress'!O40+'Wind Loading'!$J$52*'Combined Stress'!O41+'Wind Loading'!$J$51*'Combined Stress'!O42+'Wind Loading'!$J$50*'Combined Stress'!O43+'Wind Loading'!$J$49*'Combined Stress'!O44+'Wind Loading'!$J$48*'Combined Stress'!O45+'Wind Loading'!$J$47*'Combined Stress'!O46+'Wind Loading'!$J$46*'Combined Stress'!O47+'Wind Loading'!$J$45*'Combined Stress'!O48+'Wind Loading'!$J$44*'Combined Stress'!O49+'Wind Loading'!$J$43*'Combined Stress'!O50+'Wind Loading'!$J$42*'Combined Stress'!O51+'Wind Loading'!$J$41*'Combined Stress'!O52+'Wind Loading'!$J$40*'Combined Stress'!O53+'Wind Loading'!$J$39*'Combined Stress'!O54+'Wind Loading'!$J$38*'Combined Stress'!O55+'Wind Loading'!$J$37*'Combined Stress'!O56+'Wind Loading'!$J$36*'Combined Stress'!O57+'Wind Loading'!$J$35*'Combined Stress'!O58+'Wind Loading'!$J$34*'Combined Stress'!O59+'Wind Loading'!$J$33*'Combined Stress'!O60+'Wind Loading'!$J$32*'Combined Stress'!O61+'Wind Loading'!$J$31*'Combined Stress'!O62+'Wind Loading'!$J$30*'Combined Stress'!O63+'Wind Loading'!$J$29*'Combined Stress'!O64+'Wind Loading'!$J$28*'Combined Stress'!O65+'Wind Loading'!$J$27*'Combined Stress'!O66+'Wind Loading'!$J$26*'Combined Stress'!O67+'Wind Loading'!$J$25*'Combined Stress'!O68+'Wind Loading'!$J$24*'Combined Stress'!O69</f>
        <v>304032.79979297164</v>
      </c>
      <c r="Q24" s="19">
        <f>((P24*'Alternative 1'!K25)/'Alternative 1'!L25)/1000000</f>
        <v>2.419418191051121</v>
      </c>
      <c r="R24" s="45">
        <f t="shared" si="14"/>
        <v>15</v>
      </c>
      <c r="S24" s="19">
        <f>IF(R24&gt;0,'Alternative 1'!$B$3+'Alternative 1'!$B$5+('Alternative 1'!$B$39*R24),0)</f>
        <v>168659.4378937548</v>
      </c>
      <c r="T24" s="19">
        <f>'Alternative 1'!M25</f>
        <v>2.2126049064165061</v>
      </c>
      <c r="U24" s="19">
        <f t="shared" si="4"/>
        <v>7.6226640103999641E-2</v>
      </c>
      <c r="V24" s="19">
        <f t="shared" si="5"/>
        <v>2.4956448311551207</v>
      </c>
      <c r="X24" s="18">
        <f>IF('Alternative 2'!$F25&gt;0,'Alternative 2'!$F25,"x")</f>
        <v>22</v>
      </c>
      <c r="Y24" s="45">
        <f t="shared" si="15"/>
        <v>2.5</v>
      </c>
      <c r="Z24" s="45">
        <f t="shared" si="16"/>
        <v>1.5</v>
      </c>
      <c r="AA24" s="19">
        <f>'Dynamic Loading'!$Y$3*'Combined Stress'!Y24+'Wind Loading'!$O$69*Z24+'Wind Loading'!$O$68*'Combined Stress'!Z25+'Wind Loading'!$O$67*'Combined Stress'!Z26+'Wind Loading'!$O$66*'Combined Stress'!Z27+'Wind Loading'!$O$65*'Combined Stress'!Z28+'Wind Loading'!$O$64*'Combined Stress'!Z29+'Wind Loading'!$O$63*'Combined Stress'!Z30+'Wind Loading'!$O$62*'Combined Stress'!Z31+'Wind Loading'!$O$61*'Combined Stress'!Z32+'Wind Loading'!$O$60*'Combined Stress'!Z33+'Wind Loading'!$O$59*'Combined Stress'!Z34+'Wind Loading'!$O$58*'Combined Stress'!Z35+'Wind Loading'!$O$57*'Combined Stress'!Z36+'Wind Loading'!$O$56*'Combined Stress'!Z37+'Wind Loading'!$O$55*'Combined Stress'!Z38+'Wind Loading'!$O$54*'Combined Stress'!Z39+'Wind Loading'!$O$53*'Combined Stress'!Z40+'Wind Loading'!$O$52*'Combined Stress'!Z41+'Wind Loading'!$O$51*'Combined Stress'!Z42+'Wind Loading'!$O$50*'Combined Stress'!Z43+'Wind Loading'!$O$49*'Combined Stress'!Z44+'Wind Loading'!$O$48*'Combined Stress'!Z45+'Wind Loading'!$O$47*'Combined Stress'!Z46+'Wind Loading'!$O$46*'Combined Stress'!Z47+'Wind Loading'!$O$45*'Combined Stress'!Z48+'Wind Loading'!$O$44*'Combined Stress'!Z49+'Wind Loading'!$O$43*'Combined Stress'!Z50+'Wind Loading'!$O$42*'Combined Stress'!Z51+'Wind Loading'!$O$41*'Combined Stress'!Z52+'Wind Loading'!$O$40*'Combined Stress'!Z53+'Wind Loading'!$O$39*'Combined Stress'!Z54+'Wind Loading'!$O$38*'Combined Stress'!Z55+'Wind Loading'!$O$37*'Combined Stress'!Z56+'Wind Loading'!$O$36*'Combined Stress'!Z57+'Wind Loading'!$O$35*'Combined Stress'!Z58+'Wind Loading'!$O$34*'Combined Stress'!Z59+'Wind Loading'!$O$33*'Combined Stress'!Z60+'Wind Loading'!$O$32*'Combined Stress'!Z61+'Wind Loading'!$O$31*'Combined Stress'!Z62+'Wind Loading'!$O$30*'Combined Stress'!Z63+'Wind Loading'!$O$29*'Combined Stress'!Z64+'Wind Loading'!$O$28*'Combined Stress'!Z65+'Wind Loading'!$O$27*'Combined Stress'!Z66+'Wind Loading'!$O$26*'Combined Stress'!Z67+'Wind Loading'!$O$25*'Combined Stress'!Z68+'Wind Loading'!$O$24*'Combined Stress'!Z69</f>
        <v>58663.082747352302</v>
      </c>
      <c r="AB24" s="19">
        <f>((AA24*'Alternative 2'!K25)/'Alternative 2'!L25)/1000000</f>
        <v>0.93365274824773925</v>
      </c>
      <c r="AC24" s="45">
        <f t="shared" si="17"/>
        <v>2</v>
      </c>
      <c r="AD24" s="19">
        <f>'Alternative 2'!$B$3+'Alternative 2'!$B$5+('Alternative 2'!$B$39*AC24)</f>
        <v>81933.42124120114</v>
      </c>
      <c r="AE24" s="19">
        <f>'Alternative 2'!M25</f>
        <v>0.66413290866847841</v>
      </c>
      <c r="AF24" s="19">
        <f t="shared" si="6"/>
        <v>0.12336901269577147</v>
      </c>
      <c r="AG24" s="19">
        <f t="shared" si="7"/>
        <v>1.0570217609435106</v>
      </c>
      <c r="AI24" s="18">
        <f>'Alternative 3'!F25</f>
        <v>22</v>
      </c>
      <c r="AJ24" s="83">
        <f t="shared" si="18"/>
        <v>13.5</v>
      </c>
      <c r="AK24" s="45">
        <f t="shared" si="19"/>
        <v>13.5</v>
      </c>
      <c r="AL24" s="84">
        <f>'Dynamic Loading'!$AG$3*'Combined Stress'!AJ24+'Wind Loading'!$T$69*AK24+'Wind Loading'!$T$68*'Combined Stress'!AK25+'Wind Loading'!$T$67*'Combined Stress'!AK26+'Wind Loading'!$T$66*'Combined Stress'!AK27+'Wind Loading'!$T$65*'Combined Stress'!AK28+'Wind Loading'!$T$64*'Combined Stress'!AK29+'Wind Loading'!$T$63*'Combined Stress'!AK30+'Wind Loading'!$T$62*'Combined Stress'!AK31+'Wind Loading'!$T$61*'Combined Stress'!AK32+'Wind Loading'!$T$60*'Combined Stress'!AK33+'Wind Loading'!$T$59*'Combined Stress'!AK34+'Wind Loading'!$T$58*'Combined Stress'!AK35+'Wind Loading'!$T$57*'Combined Stress'!AK36+'Wind Loading'!$T$56*'Combined Stress'!AK37+'Wind Loading'!$T$55*'Combined Stress'!AK38+'Wind Loading'!$T$54*'Combined Stress'!AK39+'Wind Loading'!$T$53*'Combined Stress'!AK40+'Wind Loading'!$T$52*'Combined Stress'!AK41+'Wind Loading'!$T$51*'Combined Stress'!AK42+'Wind Loading'!$T$50*'Combined Stress'!AK43+'Wind Loading'!$T$49*'Combined Stress'!AK44+'Wind Loading'!$T$48*'Combined Stress'!AK45+'Wind Loading'!$T$47*'Combined Stress'!AK46+'Wind Loading'!$T$46*'Combined Stress'!AK47+'Wind Loading'!$T$45*'Combined Stress'!AK48+'Wind Loading'!$T$44*'Combined Stress'!AK49+'Wind Loading'!$T$43*'Combined Stress'!AK50+'Wind Loading'!$T$42*'Combined Stress'!AK51+'Wind Loading'!$T$41*'Combined Stress'!AK52+'Wind Loading'!$T$40*'Combined Stress'!AK53+'Wind Loading'!$T$39*'Combined Stress'!AK54+'Wind Loading'!$T$38*'Combined Stress'!AK55+'Wind Loading'!$T$37*'Combined Stress'!AK56+'Wind Loading'!$T$36*'Combined Stress'!AK57+'Wind Loading'!$T$35*'Combined Stress'!AK58+'Wind Loading'!$T$34*'Combined Stress'!AK59+'Wind Loading'!$T$33*'Combined Stress'!AK60+'Wind Loading'!$T$32*'Combined Stress'!AK61+'Wind Loading'!$T$31*'Combined Stress'!AK62+'Wind Loading'!$T$30*'Combined Stress'!AK63+'Wind Loading'!$T$29*'Combined Stress'!AK64+'Wind Loading'!$T$28*'Combined Stress'!AK65+'Wind Loading'!$T$27*'Combined Stress'!AK66+'Wind Loading'!$T$26*'Combined Stress'!AK67+'Wind Loading'!$T$25*'Combined Stress'!AK68+'Wind Loading'!$T$24*'Combined Stress'!AK69</f>
        <v>1905173.4026530425</v>
      </c>
      <c r="AM24" s="84">
        <f>((AL24*'Alternative 3'!K25)/'Alternative 3'!L25)/1000000</f>
        <v>30.32180205967428</v>
      </c>
      <c r="AN24" s="84">
        <f t="shared" si="8"/>
        <v>46</v>
      </c>
      <c r="AO24" s="19">
        <f>'Alternative 3'!$B$3+'Alternative 3'!$B$5+('Alternative 2'!$B$39*AN24)</f>
        <v>270577.02040012617</v>
      </c>
      <c r="AP24" s="84">
        <f>'Alternative 3'!M25</f>
        <v>2.1028495738101429</v>
      </c>
      <c r="AQ24" s="84">
        <f t="shared" si="9"/>
        <v>0.12867160056050467</v>
      </c>
      <c r="AR24" s="84">
        <f t="shared" si="10"/>
        <v>30.450473660234785</v>
      </c>
    </row>
    <row r="25" spans="1:44" x14ac:dyDescent="0.25">
      <c r="A25" s="18">
        <f>'Baseline Given'!E26</f>
        <v>23</v>
      </c>
      <c r="B25" s="45">
        <f t="shared" si="0"/>
        <v>47.5</v>
      </c>
      <c r="C25" s="45">
        <f t="shared" si="1"/>
        <v>44.5</v>
      </c>
      <c r="D25" s="19">
        <f>'Dynamic Loading'!$I$3*'Combined Stress'!B25+'Wind Loading'!$E$69*C25+'Wind Loading'!$E$68*'Combined Stress'!C26+'Wind Loading'!$E$67*'Combined Stress'!C27+'Wind Loading'!$E$66*'Combined Stress'!C28+'Wind Loading'!$E$65*'Combined Stress'!C29+'Wind Loading'!$E$64*'Combined Stress'!C30+'Wind Loading'!$E$63*'Combined Stress'!C31+'Wind Loading'!$E$62*'Combined Stress'!C32+'Wind Loading'!$E$61*'Combined Stress'!C33+'Wind Loading'!$E$60*'Combined Stress'!C34+'Wind Loading'!$E$59*'Combined Stress'!C35+'Wind Loading'!$E$58*'Combined Stress'!C36+'Wind Loading'!$E$57*'Combined Stress'!C37+'Wind Loading'!$E$56*'Combined Stress'!C38+'Wind Loading'!$E$55*'Combined Stress'!C39+'Wind Loading'!$E$54*'Combined Stress'!C40+'Wind Loading'!$E$53*'Combined Stress'!C41+'Wind Loading'!$E$52*'Combined Stress'!C42+'Wind Loading'!$E$51*'Combined Stress'!C43+'Wind Loading'!$E$50*'Combined Stress'!C44+'Wind Loading'!$E$49*'Combined Stress'!C45+'Wind Loading'!$E$48*'Combined Stress'!C46+'Wind Loading'!$E$47*'Combined Stress'!C47+'Wind Loading'!$E$46*'Combined Stress'!C48+'Wind Loading'!$E$45*'Combined Stress'!C49+'Wind Loading'!$E$44*'Combined Stress'!C50+'Wind Loading'!$E$43*'Combined Stress'!C51+'Wind Loading'!$E$42*'Combined Stress'!C52+'Wind Loading'!$E$41*'Combined Stress'!C53+'Wind Loading'!$E$40*'Combined Stress'!C54+'Wind Loading'!$E$39*'Combined Stress'!C55+'Wind Loading'!$E$38*'Combined Stress'!C56+'Wind Loading'!$E$37*'Combined Stress'!C57+'Wind Loading'!$E$36*'Combined Stress'!C58+'Wind Loading'!$E$35*'Combined Stress'!C59+'Wind Loading'!$E$34*'Combined Stress'!C60+'Wind Loading'!$E$33*'Combined Stress'!C61+'Wind Loading'!$E$32*'Combined Stress'!C62+'Wind Loading'!$E$31*'Combined Stress'!C63+'Wind Loading'!$E$30*'Combined Stress'!C64+'Wind Loading'!$E$29*'Combined Stress'!C65+'Wind Loading'!$E$28*'Combined Stress'!C66+'Wind Loading'!$E$27*'Combined Stress'!C67+'Wind Loading'!$E$26*'Combined Stress'!C68+'Wind Loading'!$E$25*'Combined Stress'!C69</f>
        <v>17465269.503035232</v>
      </c>
      <c r="E25" s="19">
        <f>((D25*'Baseline Given'!K26)/'Baseline Given'!L26)/1000000</f>
        <v>116.49984583993195</v>
      </c>
      <c r="F25" s="19">
        <f t="shared" si="2"/>
        <v>45</v>
      </c>
      <c r="G25" s="19">
        <f>'Baseline Given'!$B$3+'Baseline Given'!$B$5+('Baseline Given'!$B$38*F25)</f>
        <v>1908862.9850746267</v>
      </c>
      <c r="H25" s="19">
        <f>'Baseline Given'!M26</f>
        <v>9.7214468052018468</v>
      </c>
      <c r="I25" s="19">
        <f t="shared" si="3"/>
        <v>0.19635585353953833</v>
      </c>
      <c r="J25" s="19">
        <f t="shared" si="11"/>
        <v>-116.69620169347149</v>
      </c>
      <c r="M25" s="18">
        <f>IF('Alternative 1'!F26&gt;0,'Alternative 1'!F26,"x")</f>
        <v>23</v>
      </c>
      <c r="N25" s="45">
        <f t="shared" si="12"/>
        <v>14.5</v>
      </c>
      <c r="O25" s="45">
        <f t="shared" si="13"/>
        <v>13.5</v>
      </c>
      <c r="P25" s="19">
        <f>'Dynamic Loading'!$Q$3*'Combined Stress'!N25+'Wind Loading'!$J$69*O25+'Wind Loading'!$J$68*'Combined Stress'!O26+'Wind Loading'!$J$67*'Combined Stress'!O27+'Wind Loading'!$J$66*'Combined Stress'!O28+'Wind Loading'!$J$65*'Combined Stress'!O29+'Wind Loading'!$J$64*'Combined Stress'!O30+'Wind Loading'!$J$63*'Combined Stress'!O31+'Wind Loading'!$J$62*'Combined Stress'!O32+'Wind Loading'!$J$61*'Combined Stress'!O33+'Wind Loading'!$J$60*'Combined Stress'!O34+'Wind Loading'!$J$59*'Combined Stress'!O35+'Wind Loading'!$J$58*'Combined Stress'!O36+'Wind Loading'!$J$57*'Combined Stress'!O37+'Wind Loading'!$J$56*'Combined Stress'!O38+'Wind Loading'!$J$55*'Combined Stress'!O39+'Wind Loading'!$J$54*'Combined Stress'!O40+'Wind Loading'!$J$53*'Combined Stress'!O41+'Wind Loading'!$J$52*'Combined Stress'!O42+'Wind Loading'!$J$51*'Combined Stress'!O43+'Wind Loading'!$J$50*'Combined Stress'!O44+'Wind Loading'!$J$49*'Combined Stress'!O45+'Wind Loading'!$J$48*'Combined Stress'!O46+'Wind Loading'!$J$47*'Combined Stress'!O47+'Wind Loading'!$J$46*'Combined Stress'!O48+'Wind Loading'!$J$45*'Combined Stress'!O49+'Wind Loading'!$J$44*'Combined Stress'!O50+'Wind Loading'!$J$43*'Combined Stress'!O51+'Wind Loading'!$J$42*'Combined Stress'!O52+'Wind Loading'!$J$41*'Combined Stress'!O53+'Wind Loading'!$J$40*'Combined Stress'!O54+'Wind Loading'!$J$39*'Combined Stress'!O55+'Wind Loading'!$J$38*'Combined Stress'!O56+'Wind Loading'!$J$37*'Combined Stress'!O57+'Wind Loading'!$J$36*'Combined Stress'!O58+'Wind Loading'!$J$35*'Combined Stress'!O59+'Wind Loading'!$J$34*'Combined Stress'!O60+'Wind Loading'!$J$33*'Combined Stress'!O61+'Wind Loading'!$J$32*'Combined Stress'!O62+'Wind Loading'!$J$31*'Combined Stress'!O63+'Wind Loading'!$J$30*'Combined Stress'!O64+'Wind Loading'!$J$29*'Combined Stress'!O65+'Wind Loading'!$J$28*'Combined Stress'!O66+'Wind Loading'!$J$27*'Combined Stress'!O67+'Wind Loading'!$J$26*'Combined Stress'!O68+'Wind Loading'!$J$25*'Combined Stress'!O69</f>
        <v>284417.78045148961</v>
      </c>
      <c r="Q25" s="19">
        <f>((P25*'Alternative 1'!K26)/'Alternative 1'!L26)/1000000</f>
        <v>2.2633266948542743</v>
      </c>
      <c r="R25" s="45">
        <f t="shared" si="14"/>
        <v>14</v>
      </c>
      <c r="S25" s="19">
        <f>IF(R25&gt;0,'Alternative 1'!$B$3+'Alternative 1'!$B$5+('Alternative 1'!$B$39*R25),0)</f>
        <v>160156.10715417116</v>
      </c>
      <c r="T25" s="19">
        <f>'Alternative 1'!M26</f>
        <v>2.1604786354293113</v>
      </c>
      <c r="U25" s="19">
        <f t="shared" si="4"/>
        <v>7.412991942053912E-2</v>
      </c>
      <c r="V25" s="19">
        <f t="shared" si="5"/>
        <v>2.3374566142748132</v>
      </c>
      <c r="X25" s="18">
        <f>IF('Alternative 2'!$F26&gt;0,'Alternative 2'!$F26,"x")</f>
        <v>23</v>
      </c>
      <c r="Y25" s="45">
        <f t="shared" si="15"/>
        <v>1.5</v>
      </c>
      <c r="Z25" s="45">
        <f t="shared" si="16"/>
        <v>0.5</v>
      </c>
      <c r="AA25" s="19">
        <f>'Dynamic Loading'!$Y$3*'Combined Stress'!Y25+'Wind Loading'!$O$69*Z25+'Wind Loading'!$O$68*'Combined Stress'!Z26+'Wind Loading'!$O$67*'Combined Stress'!Z27+'Wind Loading'!$O$66*'Combined Stress'!Z28+'Wind Loading'!$O$65*'Combined Stress'!Z29+'Wind Loading'!$O$64*'Combined Stress'!Z30+'Wind Loading'!$O$63*'Combined Stress'!Z31+'Wind Loading'!$O$62*'Combined Stress'!Z32+'Wind Loading'!$O$61*'Combined Stress'!Z33+'Wind Loading'!$O$60*'Combined Stress'!Z34+'Wind Loading'!$O$59*'Combined Stress'!Z35+'Wind Loading'!$O$58*'Combined Stress'!Z36+'Wind Loading'!$O$57*'Combined Stress'!Z37+'Wind Loading'!$O$56*'Combined Stress'!Z38+'Wind Loading'!$O$55*'Combined Stress'!Z39+'Wind Loading'!$O$54*'Combined Stress'!Z40+'Wind Loading'!$O$53*'Combined Stress'!Z41+'Wind Loading'!$O$52*'Combined Stress'!Z42+'Wind Loading'!$O$51*'Combined Stress'!Z43+'Wind Loading'!$O$50*'Combined Stress'!Z44+'Wind Loading'!$O$49*'Combined Stress'!Z45+'Wind Loading'!$O$48*'Combined Stress'!Z46+'Wind Loading'!$O$47*'Combined Stress'!Z47+'Wind Loading'!$O$46*'Combined Stress'!Z48+'Wind Loading'!$O$45*'Combined Stress'!Z49+'Wind Loading'!$O$44*'Combined Stress'!Z50+'Wind Loading'!$O$43*'Combined Stress'!Z51+'Wind Loading'!$O$42*'Combined Stress'!Z52+'Wind Loading'!$O$41*'Combined Stress'!Z53+'Wind Loading'!$O$40*'Combined Stress'!Z54+'Wind Loading'!$O$39*'Combined Stress'!Z55+'Wind Loading'!$O$38*'Combined Stress'!Z56+'Wind Loading'!$O$37*'Combined Stress'!Z57+'Wind Loading'!$O$36*'Combined Stress'!Z58+'Wind Loading'!$O$35*'Combined Stress'!Z59+'Wind Loading'!$O$34*'Combined Stress'!Z60+'Wind Loading'!$O$33*'Combined Stress'!Z61+'Wind Loading'!$O$32*'Combined Stress'!Z62+'Wind Loading'!$O$31*'Combined Stress'!Z63+'Wind Loading'!$O$30*'Combined Stress'!Z64+'Wind Loading'!$O$29*'Combined Stress'!Z65+'Wind Loading'!$O$28*'Combined Stress'!Z66+'Wind Loading'!$O$27*'Combined Stress'!Z67+'Wind Loading'!$O$26*'Combined Stress'!Z68+'Wind Loading'!$O$25*'Combined Stress'!Z69</f>
        <v>35197.849648411378</v>
      </c>
      <c r="AB25" s="19">
        <f>((AA25*'Alternative 2'!K26)/'Alternative 2'!L26)/1000000</f>
        <v>0.56019164894864348</v>
      </c>
      <c r="AC25" s="45">
        <f t="shared" si="17"/>
        <v>1</v>
      </c>
      <c r="AD25" s="19">
        <f>'Alternative 2'!$B$3+'Alternative 2'!$B$5+('Alternative 2'!$B$39*AC25)</f>
        <v>79212.645620600568</v>
      </c>
      <c r="AE25" s="19">
        <f>'Alternative 2'!M26</f>
        <v>0.63617258250000019</v>
      </c>
      <c r="AF25" s="19">
        <f t="shared" si="6"/>
        <v>0.1245143971928412</v>
      </c>
      <c r="AG25" s="19">
        <f t="shared" si="7"/>
        <v>0.68470604614148467</v>
      </c>
      <c r="AI25" s="18">
        <f>'Alternative 3'!F26</f>
        <v>23</v>
      </c>
      <c r="AJ25" s="83">
        <f t="shared" si="18"/>
        <v>12.5</v>
      </c>
      <c r="AK25" s="45">
        <f t="shared" si="19"/>
        <v>12.5</v>
      </c>
      <c r="AL25" s="84">
        <f>'Dynamic Loading'!$AG$3*'Combined Stress'!AJ25+'Wind Loading'!$T$69*AK25+'Wind Loading'!$T$68*'Combined Stress'!AK26+'Wind Loading'!$T$67*'Combined Stress'!AK27+'Wind Loading'!$T$66*'Combined Stress'!AK28+'Wind Loading'!$T$65*'Combined Stress'!AK29+'Wind Loading'!$T$64*'Combined Stress'!AK30+'Wind Loading'!$T$63*'Combined Stress'!AK31+'Wind Loading'!$T$62*'Combined Stress'!AK32+'Wind Loading'!$T$61*'Combined Stress'!AK33+'Wind Loading'!$T$60*'Combined Stress'!AK34+'Wind Loading'!$T$59*'Combined Stress'!AK35+'Wind Loading'!$T$58*'Combined Stress'!AK36+'Wind Loading'!$T$57*'Combined Stress'!AK37+'Wind Loading'!$T$56*'Combined Stress'!AK38+'Wind Loading'!$T$55*'Combined Stress'!AK39+'Wind Loading'!$T$54*'Combined Stress'!AK40+'Wind Loading'!$T$53*'Combined Stress'!AK41+'Wind Loading'!$T$52*'Combined Stress'!AK42+'Wind Loading'!$T$51*'Combined Stress'!AK43+'Wind Loading'!$T$50*'Combined Stress'!AK44+'Wind Loading'!$T$49*'Combined Stress'!AK45+'Wind Loading'!$T$48*'Combined Stress'!AK46+'Wind Loading'!$T$47*'Combined Stress'!AK47+'Wind Loading'!$T$46*'Combined Stress'!AK48+'Wind Loading'!$T$45*'Combined Stress'!AK49+'Wind Loading'!$T$44*'Combined Stress'!AK50+'Wind Loading'!$T$43*'Combined Stress'!AK51+'Wind Loading'!$T$42*'Combined Stress'!AK52+'Wind Loading'!$T$41*'Combined Stress'!AK53+'Wind Loading'!$T$40*'Combined Stress'!AK54+'Wind Loading'!$T$39*'Combined Stress'!AK55+'Wind Loading'!$T$38*'Combined Stress'!AK56+'Wind Loading'!$T$37*'Combined Stress'!AK57+'Wind Loading'!$T$36*'Combined Stress'!AK58+'Wind Loading'!$T$35*'Combined Stress'!AK59+'Wind Loading'!$T$34*'Combined Stress'!AK60+'Wind Loading'!$T$33*'Combined Stress'!AK61+'Wind Loading'!$T$32*'Combined Stress'!AK62+'Wind Loading'!$T$31*'Combined Stress'!AK63+'Wind Loading'!$T$30*'Combined Stress'!AK64+'Wind Loading'!$T$29*'Combined Stress'!AK65+'Wind Loading'!$T$28*'Combined Stress'!AK66+'Wind Loading'!$T$27*'Combined Stress'!AK67+'Wind Loading'!$T$26*'Combined Stress'!AK68+'Wind Loading'!$T$25*'Combined Stress'!AK69</f>
        <v>1764049.4469009652</v>
      </c>
      <c r="AM25" s="84">
        <f>((AL25*'Alternative 3'!K26)/'Alternative 3'!L26)/1000000</f>
        <v>28.075742647846557</v>
      </c>
      <c r="AN25" s="84">
        <f t="shared" si="8"/>
        <v>45</v>
      </c>
      <c r="AO25" s="19">
        <f>'Alternative 3'!$B$3+'Alternative 3'!$B$5+('Alternative 2'!$B$39*AN25)</f>
        <v>267856.24477952562</v>
      </c>
      <c r="AP25" s="84">
        <f>'Alternative 3'!M26</f>
        <v>2.0524837471765713</v>
      </c>
      <c r="AQ25" s="84">
        <f t="shared" si="9"/>
        <v>0.13050346690832162</v>
      </c>
      <c r="AR25" s="84">
        <f t="shared" si="10"/>
        <v>28.20624611475488</v>
      </c>
    </row>
    <row r="26" spans="1:44" x14ac:dyDescent="0.25">
      <c r="A26" s="18">
        <f>'Baseline Given'!E27</f>
        <v>24</v>
      </c>
      <c r="B26" s="45">
        <f t="shared" si="0"/>
        <v>46.5</v>
      </c>
      <c r="C26" s="45">
        <f t="shared" si="1"/>
        <v>43.5</v>
      </c>
      <c r="D26" s="19">
        <f>'Dynamic Loading'!$I$3*'Combined Stress'!B26+'Wind Loading'!$E$69*C26+'Wind Loading'!$E$68*'Combined Stress'!C27+'Wind Loading'!$E$67*'Combined Stress'!C28+'Wind Loading'!$E$66*'Combined Stress'!C29+'Wind Loading'!$E$65*'Combined Stress'!C30+'Wind Loading'!$E$64*'Combined Stress'!C31+'Wind Loading'!$E$63*'Combined Stress'!C32+'Wind Loading'!$E$62*'Combined Stress'!C33+'Wind Loading'!$E$61*'Combined Stress'!C34+'Wind Loading'!$E$60*'Combined Stress'!C35+'Wind Loading'!$E$59*'Combined Stress'!C36+'Wind Loading'!$E$58*'Combined Stress'!C37+'Wind Loading'!$E$57*'Combined Stress'!C38+'Wind Loading'!$E$56*'Combined Stress'!C39+'Wind Loading'!$E$55*'Combined Stress'!C40+'Wind Loading'!$E$54*'Combined Stress'!C41+'Wind Loading'!$E$53*'Combined Stress'!C42+'Wind Loading'!$E$52*'Combined Stress'!C43+'Wind Loading'!$E$51*'Combined Stress'!C44+'Wind Loading'!$E$50*'Combined Stress'!C45+'Wind Loading'!$E$49*'Combined Stress'!C46+'Wind Loading'!$E$48*'Combined Stress'!C47+'Wind Loading'!$E$47*'Combined Stress'!C48+'Wind Loading'!$E$46*'Combined Stress'!C49+'Wind Loading'!$E$45*'Combined Stress'!C50+'Wind Loading'!$E$44*'Combined Stress'!C51+'Wind Loading'!$E$43*'Combined Stress'!C52+'Wind Loading'!$E$42*'Combined Stress'!C53+'Wind Loading'!$E$41*'Combined Stress'!C54+'Wind Loading'!$E$40*'Combined Stress'!C55+'Wind Loading'!$E$39*'Combined Stress'!C56+'Wind Loading'!$E$38*'Combined Stress'!C57+'Wind Loading'!$E$37*'Combined Stress'!C58+'Wind Loading'!$E$36*'Combined Stress'!C59+'Wind Loading'!$E$35*'Combined Stress'!C60+'Wind Loading'!$E$34*'Combined Stress'!C61+'Wind Loading'!$E$33*'Combined Stress'!C62+'Wind Loading'!$E$32*'Combined Stress'!C63+'Wind Loading'!$E$31*'Combined Stress'!C64+'Wind Loading'!$E$30*'Combined Stress'!C65+'Wind Loading'!$E$29*'Combined Stress'!C66+'Wind Loading'!$E$28*'Combined Stress'!C67+'Wind Loading'!$E$27*'Combined Stress'!C68+'Wind Loading'!$E$26*'Combined Stress'!C69</f>
        <v>17020768.739323083</v>
      </c>
      <c r="E26" s="19">
        <f>((D26*'Baseline Given'!K27)/'Baseline Given'!L27)/1000000</f>
        <v>114.39787872603451</v>
      </c>
      <c r="F26" s="19">
        <f t="shared" si="2"/>
        <v>44</v>
      </c>
      <c r="G26" s="19">
        <f>'Baseline Given'!$B$3+'Baseline Given'!$B$5+('Baseline Given'!$B$38*F26)</f>
        <v>1892704.0298507463</v>
      </c>
      <c r="H26" s="19">
        <f>'Baseline Given'!M27</f>
        <v>9.612714684748541</v>
      </c>
      <c r="I26" s="19">
        <f t="shared" si="3"/>
        <v>0.1968958917353176</v>
      </c>
      <c r="J26" s="19">
        <f t="shared" si="11"/>
        <v>-114.59477461776983</v>
      </c>
      <c r="M26" s="18">
        <f>IF('Alternative 1'!F27&gt;0,'Alternative 1'!F27,"x")</f>
        <v>24</v>
      </c>
      <c r="N26" s="45">
        <f t="shared" si="12"/>
        <v>13.5</v>
      </c>
      <c r="O26" s="45">
        <f t="shared" si="13"/>
        <v>12.5</v>
      </c>
      <c r="P26" s="19">
        <f>'Dynamic Loading'!$Q$3*'Combined Stress'!N26+'Wind Loading'!$J$69*O26+'Wind Loading'!$J$68*'Combined Stress'!O27+'Wind Loading'!$J$67*'Combined Stress'!O28+'Wind Loading'!$J$66*'Combined Stress'!O29+'Wind Loading'!$J$65*'Combined Stress'!O30+'Wind Loading'!$J$64*'Combined Stress'!O31+'Wind Loading'!$J$63*'Combined Stress'!O32+'Wind Loading'!$J$62*'Combined Stress'!O33+'Wind Loading'!$J$61*'Combined Stress'!O34+'Wind Loading'!$J$60*'Combined Stress'!O35+'Wind Loading'!$J$59*'Combined Stress'!O36+'Wind Loading'!$J$58*'Combined Stress'!O37+'Wind Loading'!$J$57*'Combined Stress'!O38+'Wind Loading'!$J$56*'Combined Stress'!O39+'Wind Loading'!$J$55*'Combined Stress'!O40+'Wind Loading'!$J$54*'Combined Stress'!O41+'Wind Loading'!$J$53*'Combined Stress'!O42+'Wind Loading'!$J$52*'Combined Stress'!O43+'Wind Loading'!$J$51*'Combined Stress'!O44+'Wind Loading'!$J$50*'Combined Stress'!O45+'Wind Loading'!$J$49*'Combined Stress'!O46+'Wind Loading'!$J$48*'Combined Stress'!O47+'Wind Loading'!$J$47*'Combined Stress'!O48+'Wind Loading'!$J$46*'Combined Stress'!O49+'Wind Loading'!$J$45*'Combined Stress'!O50+'Wind Loading'!$J$44*'Combined Stress'!O51+'Wind Loading'!$J$43*'Combined Stress'!O52+'Wind Loading'!$J$42*'Combined Stress'!O53+'Wind Loading'!$J$41*'Combined Stress'!O54+'Wind Loading'!$J$40*'Combined Stress'!O55+'Wind Loading'!$J$39*'Combined Stress'!O56+'Wind Loading'!$J$38*'Combined Stress'!O57+'Wind Loading'!$J$37*'Combined Stress'!O58+'Wind Loading'!$J$36*'Combined Stress'!O59+'Wind Loading'!$J$35*'Combined Stress'!O60+'Wind Loading'!$J$34*'Combined Stress'!O61+'Wind Loading'!$J$33*'Combined Stress'!O62+'Wind Loading'!$J$32*'Combined Stress'!O63+'Wind Loading'!$J$31*'Combined Stress'!O64+'Wind Loading'!$J$30*'Combined Stress'!O65+'Wind Loading'!$J$29*'Combined Stress'!O66+'Wind Loading'!$J$28*'Combined Stress'!O67+'Wind Loading'!$J$27*'Combined Stress'!O68+'Wind Loading'!$J$26*'Combined Stress'!O69</f>
        <v>264802.76111000759</v>
      </c>
      <c r="Q26" s="19">
        <f>((P26*'Alternative 1'!K27)/'Alternative 1'!L27)/1000000</f>
        <v>2.1072351986574285</v>
      </c>
      <c r="R26" s="45">
        <f t="shared" si="14"/>
        <v>13</v>
      </c>
      <c r="S26" s="19">
        <f>IF(R26&gt;0,'Alternative 1'!$B$3+'Alternative 1'!$B$5+('Alternative 1'!$B$39*R26),0)</f>
        <v>151652.77641458751</v>
      </c>
      <c r="T26" s="19">
        <f>'Alternative 1'!M27</f>
        <v>2.1089737211168891</v>
      </c>
      <c r="U26" s="19">
        <f t="shared" si="4"/>
        <v>7.1908329106288665E-2</v>
      </c>
      <c r="V26" s="19">
        <f t="shared" si="5"/>
        <v>2.179143527763717</v>
      </c>
      <c r="X26" s="18" t="str">
        <f>IF('Alternative 2'!$F27&gt;0,'Alternative 2'!$F27,"x")</f>
        <v>x</v>
      </c>
      <c r="Y26" s="45">
        <f t="shared" si="15"/>
        <v>0</v>
      </c>
      <c r="Z26" s="45">
        <f t="shared" si="16"/>
        <v>0</v>
      </c>
      <c r="AA26" s="19">
        <f>'Dynamic Loading'!$Y$3*'Combined Stress'!Y26+'Wind Loading'!$O$69*Z26+'Wind Loading'!$O$68*'Combined Stress'!Z27+'Wind Loading'!$O$67*'Combined Stress'!Z28+'Wind Loading'!$O$66*'Combined Stress'!Z29+'Wind Loading'!$O$65*'Combined Stress'!Z30+'Wind Loading'!$O$64*'Combined Stress'!Z31+'Wind Loading'!$O$63*'Combined Stress'!Z32+'Wind Loading'!$O$62*'Combined Stress'!Z33+'Wind Loading'!$O$61*'Combined Stress'!Z34+'Wind Loading'!$O$60*'Combined Stress'!Z35+'Wind Loading'!$O$59*'Combined Stress'!Z36+'Wind Loading'!$O$58*'Combined Stress'!Z37+'Wind Loading'!$O$57*'Combined Stress'!Z38+'Wind Loading'!$O$56*'Combined Stress'!Z39+'Wind Loading'!$O$55*'Combined Stress'!Z40+'Wind Loading'!$O$54*'Combined Stress'!Z41+'Wind Loading'!$O$53*'Combined Stress'!Z42+'Wind Loading'!$O$52*'Combined Stress'!Z43+'Wind Loading'!$O$51*'Combined Stress'!Z44+'Wind Loading'!$O$50*'Combined Stress'!Z45+'Wind Loading'!$O$49*'Combined Stress'!Z46+'Wind Loading'!$O$48*'Combined Stress'!Z47+'Wind Loading'!$O$47*'Combined Stress'!Z48+'Wind Loading'!$O$46*'Combined Stress'!Z49+'Wind Loading'!$O$45*'Combined Stress'!Z50+'Wind Loading'!$O$44*'Combined Stress'!Z51+'Wind Loading'!$O$43*'Combined Stress'!Z52+'Wind Loading'!$O$42*'Combined Stress'!Z53+'Wind Loading'!$O$41*'Combined Stress'!Z54+'Wind Loading'!$O$40*'Combined Stress'!Z55+'Wind Loading'!$O$39*'Combined Stress'!Z56+'Wind Loading'!$O$38*'Combined Stress'!Z57+'Wind Loading'!$O$37*'Combined Stress'!Z58+'Wind Loading'!$O$36*'Combined Stress'!Z59+'Wind Loading'!$O$35*'Combined Stress'!Z60+'Wind Loading'!$O$34*'Combined Stress'!Z61+'Wind Loading'!$O$33*'Combined Stress'!Z62+'Wind Loading'!$O$32*'Combined Stress'!Z63+'Wind Loading'!$O$31*'Combined Stress'!Z64+'Wind Loading'!$O$30*'Combined Stress'!Z65+'Wind Loading'!$O$29*'Combined Stress'!Z66+'Wind Loading'!$O$28*'Combined Stress'!Z67+'Wind Loading'!$O$27*'Combined Stress'!Z68+'Wind Loading'!$O$26*'Combined Stress'!Z69</f>
        <v>0</v>
      </c>
      <c r="AB26" s="19" t="e">
        <f>((AA26*'Alternative 2'!K27)/'Alternative 2'!L27)/1000000</f>
        <v>#VALUE!</v>
      </c>
      <c r="AC26" s="45">
        <f t="shared" si="17"/>
        <v>0</v>
      </c>
      <c r="AD26" s="19">
        <f>'Alternative 2'!$B$3+'Alternative 2'!$B$5+('Alternative 2'!$B$39*AC26)</f>
        <v>76491.87</v>
      </c>
      <c r="AE26" s="19" t="e">
        <f>'Alternative 2'!M27</f>
        <v>#VALUE!</v>
      </c>
      <c r="AF26" s="19" t="e">
        <f t="shared" si="6"/>
        <v>#VALUE!</v>
      </c>
      <c r="AG26" s="19" t="e">
        <f t="shared" si="7"/>
        <v>#VALUE!</v>
      </c>
      <c r="AI26" s="18">
        <f>'Alternative 3'!F27</f>
        <v>24</v>
      </c>
      <c r="AJ26" s="83">
        <f t="shared" si="18"/>
        <v>11.5</v>
      </c>
      <c r="AK26" s="45">
        <f t="shared" si="19"/>
        <v>11.5</v>
      </c>
      <c r="AL26" s="84">
        <f>'Dynamic Loading'!$AG$3*'Combined Stress'!AJ26+'Wind Loading'!$T$69*AK26+'Wind Loading'!$T$68*'Combined Stress'!AK27+'Wind Loading'!$T$67*'Combined Stress'!AK28+'Wind Loading'!$T$66*'Combined Stress'!AK29+'Wind Loading'!$T$65*'Combined Stress'!AK30+'Wind Loading'!$T$64*'Combined Stress'!AK31+'Wind Loading'!$T$63*'Combined Stress'!AK32+'Wind Loading'!$T$62*'Combined Stress'!AK33+'Wind Loading'!$T$61*'Combined Stress'!AK34+'Wind Loading'!$T$60*'Combined Stress'!AK35+'Wind Loading'!$T$59*'Combined Stress'!AK36+'Wind Loading'!$T$58*'Combined Stress'!AK37+'Wind Loading'!$T$57*'Combined Stress'!AK38+'Wind Loading'!$T$56*'Combined Stress'!AK39+'Wind Loading'!$T$55*'Combined Stress'!AK40+'Wind Loading'!$T$54*'Combined Stress'!AK41+'Wind Loading'!$T$53*'Combined Stress'!AK42+'Wind Loading'!$T$52*'Combined Stress'!AK43+'Wind Loading'!$T$51*'Combined Stress'!AK44+'Wind Loading'!$T$50*'Combined Stress'!AK45+'Wind Loading'!$T$49*'Combined Stress'!AK46+'Wind Loading'!$T$48*'Combined Stress'!AK47+'Wind Loading'!$T$47*'Combined Stress'!AK48+'Wind Loading'!$T$46*'Combined Stress'!AK49+'Wind Loading'!$T$45*'Combined Stress'!AK50+'Wind Loading'!$T$44*'Combined Stress'!AK51+'Wind Loading'!$T$43*'Combined Stress'!AK52+'Wind Loading'!$T$42*'Combined Stress'!AK53+'Wind Loading'!$T$41*'Combined Stress'!AK54+'Wind Loading'!$T$40*'Combined Stress'!AK55+'Wind Loading'!$T$39*'Combined Stress'!AK56+'Wind Loading'!$T$38*'Combined Stress'!AK57+'Wind Loading'!$T$37*'Combined Stress'!AK58+'Wind Loading'!$T$36*'Combined Stress'!AK59+'Wind Loading'!$T$35*'Combined Stress'!AK60+'Wind Loading'!$T$34*'Combined Stress'!AK61+'Wind Loading'!$T$33*'Combined Stress'!AK62+'Wind Loading'!$T$32*'Combined Stress'!AK63+'Wind Loading'!$T$31*'Combined Stress'!AK64+'Wind Loading'!$T$30*'Combined Stress'!AK65+'Wind Loading'!$T$29*'Combined Stress'!AK66+'Wind Loading'!$T$28*'Combined Stress'!AK67+'Wind Loading'!$T$27*'Combined Stress'!AK68+'Wind Loading'!$T$26*'Combined Stress'!AK69</f>
        <v>1622925.4911488881</v>
      </c>
      <c r="AM26" s="84">
        <f>((AL26*'Alternative 3'!K27)/'Alternative 3'!L27)/1000000</f>
        <v>25.829683236018838</v>
      </c>
      <c r="AN26" s="84">
        <f t="shared" si="8"/>
        <v>44</v>
      </c>
      <c r="AO26" s="19">
        <f>'Alternative 3'!$B$3+'Alternative 3'!$B$5+('Alternative 2'!$B$39*AN26)</f>
        <v>265135.46915892506</v>
      </c>
      <c r="AP26" s="84">
        <f>'Alternative 3'!M27</f>
        <v>2.0027284154112852</v>
      </c>
      <c r="AQ26" s="84">
        <f t="shared" si="9"/>
        <v>0.13238713103517644</v>
      </c>
      <c r="AR26" s="84">
        <f t="shared" si="10"/>
        <v>25.962070367054014</v>
      </c>
    </row>
    <row r="27" spans="1:44" x14ac:dyDescent="0.25">
      <c r="A27" s="18">
        <f>'Baseline Given'!E28</f>
        <v>25</v>
      </c>
      <c r="B27" s="45">
        <f t="shared" si="0"/>
        <v>45.5</v>
      </c>
      <c r="C27" s="45">
        <f t="shared" si="1"/>
        <v>42.5</v>
      </c>
      <c r="D27" s="19">
        <f>'Dynamic Loading'!$I$3*'Combined Stress'!B27+'Wind Loading'!$E$69*C27+'Wind Loading'!$E$68*'Combined Stress'!C28+'Wind Loading'!$E$67*'Combined Stress'!C29+'Wind Loading'!$E$66*'Combined Stress'!C30+'Wind Loading'!$E$65*'Combined Stress'!C31+'Wind Loading'!$E$64*'Combined Stress'!C32+'Wind Loading'!$E$63*'Combined Stress'!C33+'Wind Loading'!$E$62*'Combined Stress'!C34+'Wind Loading'!$E$61*'Combined Stress'!C35+'Wind Loading'!$E$60*'Combined Stress'!C36+'Wind Loading'!$E$59*'Combined Stress'!C37+'Wind Loading'!$E$58*'Combined Stress'!C38+'Wind Loading'!$E$57*'Combined Stress'!C39+'Wind Loading'!$E$56*'Combined Stress'!C40+'Wind Loading'!$E$55*'Combined Stress'!C41+'Wind Loading'!$E$54*'Combined Stress'!C42+'Wind Loading'!$E$53*'Combined Stress'!C43+'Wind Loading'!$E$52*'Combined Stress'!C44+'Wind Loading'!$E$51*'Combined Stress'!C45+'Wind Loading'!$E$50*'Combined Stress'!C46+'Wind Loading'!$E$49*'Combined Stress'!C47+'Wind Loading'!$E$48*'Combined Stress'!C48+'Wind Loading'!$E$47*'Combined Stress'!C49+'Wind Loading'!$E$46*'Combined Stress'!C50+'Wind Loading'!$E$45*'Combined Stress'!C51+'Wind Loading'!$E$44*'Combined Stress'!C52+'Wind Loading'!$E$43*'Combined Stress'!C53+'Wind Loading'!$E$42*'Combined Stress'!C54+'Wind Loading'!$E$41*'Combined Stress'!C55+'Wind Loading'!$E$40*'Combined Stress'!C56+'Wind Loading'!$E$39*'Combined Stress'!C57+'Wind Loading'!$E$38*'Combined Stress'!C58+'Wind Loading'!$E$37*'Combined Stress'!C59+'Wind Loading'!$E$36*'Combined Stress'!C60+'Wind Loading'!$E$35*'Combined Stress'!C61+'Wind Loading'!$E$34*'Combined Stress'!C62+'Wind Loading'!$E$33*'Combined Stress'!C63+'Wind Loading'!$E$32*'Combined Stress'!C64+'Wind Loading'!$E$31*'Combined Stress'!C65+'Wind Loading'!$E$30*'Combined Stress'!C66+'Wind Loading'!$E$29*'Combined Stress'!C67+'Wind Loading'!$E$28*'Combined Stress'!C68+'Wind Loading'!$E$27*'Combined Stress'!C69</f>
        <v>16579614.434453603</v>
      </c>
      <c r="E27" s="19">
        <f>((D27*'Baseline Given'!K28)/'Baseline Given'!L28)/1000000</f>
        <v>112.2863753464151</v>
      </c>
      <c r="F27" s="19">
        <f t="shared" si="2"/>
        <v>43</v>
      </c>
      <c r="G27" s="19">
        <f>'Baseline Given'!$B$3+'Baseline Given'!$B$5+('Baseline Given'!$B$38*F27)</f>
        <v>1876545.0746268658</v>
      </c>
      <c r="H27" s="19">
        <f>'Baseline Given'!M28</f>
        <v>9.504594060558281</v>
      </c>
      <c r="I27" s="19">
        <f t="shared" si="3"/>
        <v>0.19743558353681456</v>
      </c>
      <c r="J27" s="19">
        <f t="shared" si="11"/>
        <v>-112.48381092995191</v>
      </c>
      <c r="M27" s="18">
        <f>IF('Alternative 1'!F28&gt;0,'Alternative 1'!F28,"x")</f>
        <v>25</v>
      </c>
      <c r="N27" s="45">
        <f t="shared" si="12"/>
        <v>12.5</v>
      </c>
      <c r="O27" s="45">
        <f t="shared" si="13"/>
        <v>11.5</v>
      </c>
      <c r="P27" s="19">
        <f>'Dynamic Loading'!$Q$3*'Combined Stress'!N27+'Wind Loading'!$J$69*O27+'Wind Loading'!$J$68*'Combined Stress'!O28+'Wind Loading'!$J$67*'Combined Stress'!O29+'Wind Loading'!$J$66*'Combined Stress'!O30+'Wind Loading'!$J$65*'Combined Stress'!O31+'Wind Loading'!$J$64*'Combined Stress'!O32+'Wind Loading'!$J$63*'Combined Stress'!O33+'Wind Loading'!$J$62*'Combined Stress'!O34+'Wind Loading'!$J$61*'Combined Stress'!O35+'Wind Loading'!$J$60*'Combined Stress'!O36+'Wind Loading'!$J$59*'Combined Stress'!O37+'Wind Loading'!$J$58*'Combined Stress'!O38+'Wind Loading'!$J$57*'Combined Stress'!O39+'Wind Loading'!$J$56*'Combined Stress'!O40+'Wind Loading'!$J$55*'Combined Stress'!O41+'Wind Loading'!$J$54*'Combined Stress'!O42+'Wind Loading'!$J$53*'Combined Stress'!O43+'Wind Loading'!$J$52*'Combined Stress'!O44+'Wind Loading'!$J$51*'Combined Stress'!O45+'Wind Loading'!$J$50*'Combined Stress'!O46+'Wind Loading'!$J$49*'Combined Stress'!O47+'Wind Loading'!$J$48*'Combined Stress'!O48+'Wind Loading'!$J$47*'Combined Stress'!O49+'Wind Loading'!$J$46*'Combined Stress'!O50+'Wind Loading'!$J$45*'Combined Stress'!O51+'Wind Loading'!$J$44*'Combined Stress'!O52+'Wind Loading'!$J$43*'Combined Stress'!O53+'Wind Loading'!$J$42*'Combined Stress'!O54+'Wind Loading'!$J$41*'Combined Stress'!O55+'Wind Loading'!$J$40*'Combined Stress'!O56+'Wind Loading'!$J$39*'Combined Stress'!O57+'Wind Loading'!$J$38*'Combined Stress'!O58+'Wind Loading'!$J$37*'Combined Stress'!O59+'Wind Loading'!$J$36*'Combined Stress'!O60+'Wind Loading'!$J$35*'Combined Stress'!O61+'Wind Loading'!$J$34*'Combined Stress'!O62+'Wind Loading'!$J$33*'Combined Stress'!O63+'Wind Loading'!$J$32*'Combined Stress'!O64+'Wind Loading'!$J$31*'Combined Stress'!O65+'Wind Loading'!$J$30*'Combined Stress'!O66+'Wind Loading'!$J$29*'Combined Stress'!O67+'Wind Loading'!$J$28*'Combined Stress'!O68+'Wind Loading'!$J$27*'Combined Stress'!O69</f>
        <v>245187.74176852554</v>
      </c>
      <c r="Q27" s="19">
        <f>((P27*'Alternative 1'!K28)/'Alternative 1'!L28)/1000000</f>
        <v>1.951143702460582</v>
      </c>
      <c r="R27" s="45">
        <f t="shared" si="14"/>
        <v>12</v>
      </c>
      <c r="S27" s="19">
        <f>IF(R27&gt;0,'Alternative 1'!$B$3+'Alternative 1'!$B$5+('Alternative 1'!$B$39*R27),0)</f>
        <v>143149.44567500387</v>
      </c>
      <c r="T27" s="19">
        <f>'Alternative 1'!M28</f>
        <v>2.0580901634792381</v>
      </c>
      <c r="U27" s="19">
        <f t="shared" si="4"/>
        <v>6.9554506510544303E-2</v>
      </c>
      <c r="V27" s="19">
        <f t="shared" si="5"/>
        <v>2.0206982089711265</v>
      </c>
      <c r="X27" s="18" t="str">
        <f>IF('Alternative 2'!$F28&gt;0,'Alternative 2'!$F28,"x")</f>
        <v>x</v>
      </c>
      <c r="Y27" s="45">
        <f t="shared" si="15"/>
        <v>0</v>
      </c>
      <c r="Z27" s="45">
        <f t="shared" si="16"/>
        <v>0</v>
      </c>
      <c r="AA27" s="19">
        <f>'Dynamic Loading'!$Y$3*'Combined Stress'!Y27+'Wind Loading'!$O$69*Z27+'Wind Loading'!$O$68*'Combined Stress'!Z28+'Wind Loading'!$O$67*'Combined Stress'!Z29+'Wind Loading'!$O$66*'Combined Stress'!Z30+'Wind Loading'!$O$65*'Combined Stress'!Z31+'Wind Loading'!$O$64*'Combined Stress'!Z32+'Wind Loading'!$O$63*'Combined Stress'!Z33+'Wind Loading'!$O$62*'Combined Stress'!Z34+'Wind Loading'!$O$61*'Combined Stress'!Z35+'Wind Loading'!$O$60*'Combined Stress'!Z36+'Wind Loading'!$O$59*'Combined Stress'!Z37+'Wind Loading'!$O$58*'Combined Stress'!Z38+'Wind Loading'!$O$57*'Combined Stress'!Z39+'Wind Loading'!$O$56*'Combined Stress'!Z40+'Wind Loading'!$O$55*'Combined Stress'!Z41+'Wind Loading'!$O$54*'Combined Stress'!Z42+'Wind Loading'!$O$53*'Combined Stress'!Z43+'Wind Loading'!$O$52*'Combined Stress'!Z44+'Wind Loading'!$O$51*'Combined Stress'!Z45+'Wind Loading'!$O$50*'Combined Stress'!Z46+'Wind Loading'!$O$49*'Combined Stress'!Z47+'Wind Loading'!$O$48*'Combined Stress'!Z48+'Wind Loading'!$O$47*'Combined Stress'!Z49+'Wind Loading'!$O$46*'Combined Stress'!Z50+'Wind Loading'!$O$45*'Combined Stress'!Z51+'Wind Loading'!$O$44*'Combined Stress'!Z52+'Wind Loading'!$O$43*'Combined Stress'!Z53+'Wind Loading'!$O$42*'Combined Stress'!Z54+'Wind Loading'!$O$41*'Combined Stress'!Z55+'Wind Loading'!$O$40*'Combined Stress'!Z56+'Wind Loading'!$O$39*'Combined Stress'!Z57+'Wind Loading'!$O$38*'Combined Stress'!Z58+'Wind Loading'!$O$37*'Combined Stress'!Z59+'Wind Loading'!$O$36*'Combined Stress'!Z60+'Wind Loading'!$O$35*'Combined Stress'!Z61+'Wind Loading'!$O$34*'Combined Stress'!Z62+'Wind Loading'!$O$33*'Combined Stress'!Z63+'Wind Loading'!$O$32*'Combined Stress'!Z64+'Wind Loading'!$O$31*'Combined Stress'!Z65+'Wind Loading'!$O$30*'Combined Stress'!Z66+'Wind Loading'!$O$29*'Combined Stress'!Z67+'Wind Loading'!$O$28*'Combined Stress'!Z68+'Wind Loading'!$O$27*'Combined Stress'!Z69</f>
        <v>0</v>
      </c>
      <c r="AB27" s="19" t="e">
        <f>((AA27*'Alternative 2'!K28)/'Alternative 2'!L28)/1000000</f>
        <v>#VALUE!</v>
      </c>
      <c r="AC27" s="45">
        <f t="shared" si="17"/>
        <v>0</v>
      </c>
      <c r="AD27" s="19">
        <f>'Alternative 2'!$B$3+'Alternative 2'!$B$5+('Alternative 2'!$B$39*AC27)</f>
        <v>76491.87</v>
      </c>
      <c r="AE27" s="19" t="e">
        <f>'Alternative 2'!M28</f>
        <v>#VALUE!</v>
      </c>
      <c r="AF27" s="19" t="e">
        <f t="shared" si="6"/>
        <v>#VALUE!</v>
      </c>
      <c r="AG27" s="19" t="e">
        <f t="shared" si="7"/>
        <v>#VALUE!</v>
      </c>
      <c r="AI27" s="18">
        <f>'Alternative 3'!F28</f>
        <v>25</v>
      </c>
      <c r="AJ27" s="83">
        <f t="shared" si="18"/>
        <v>10.5</v>
      </c>
      <c r="AK27" s="45">
        <f t="shared" si="19"/>
        <v>10.5</v>
      </c>
      <c r="AL27" s="84">
        <f>'Dynamic Loading'!$AG$3*'Combined Stress'!AJ27+'Wind Loading'!$T$69*AK27+'Wind Loading'!$T$68*'Combined Stress'!AK28+'Wind Loading'!$T$67*'Combined Stress'!AK29+'Wind Loading'!$T$66*'Combined Stress'!AK30+'Wind Loading'!$T$65*'Combined Stress'!AK31+'Wind Loading'!$T$64*'Combined Stress'!AK32+'Wind Loading'!$T$63*'Combined Stress'!AK33+'Wind Loading'!$T$62*'Combined Stress'!AK34+'Wind Loading'!$T$61*'Combined Stress'!AK35+'Wind Loading'!$T$60*'Combined Stress'!AK36+'Wind Loading'!$T$59*'Combined Stress'!AK37+'Wind Loading'!$T$58*'Combined Stress'!AK38+'Wind Loading'!$T$57*'Combined Stress'!AK39+'Wind Loading'!$T$56*'Combined Stress'!AK40+'Wind Loading'!$T$55*'Combined Stress'!AK41+'Wind Loading'!$T$54*'Combined Stress'!AK42+'Wind Loading'!$T$53*'Combined Stress'!AK43+'Wind Loading'!$T$52*'Combined Stress'!AK44+'Wind Loading'!$T$51*'Combined Stress'!AK45+'Wind Loading'!$T$50*'Combined Stress'!AK46+'Wind Loading'!$T$49*'Combined Stress'!AK47+'Wind Loading'!$T$48*'Combined Stress'!AK48+'Wind Loading'!$T$47*'Combined Stress'!AK49+'Wind Loading'!$T$46*'Combined Stress'!AK50+'Wind Loading'!$T$45*'Combined Stress'!AK51+'Wind Loading'!$T$44*'Combined Stress'!AK52+'Wind Loading'!$T$43*'Combined Stress'!AK53+'Wind Loading'!$T$42*'Combined Stress'!AK54+'Wind Loading'!$T$41*'Combined Stress'!AK55+'Wind Loading'!$T$40*'Combined Stress'!AK56+'Wind Loading'!$T$39*'Combined Stress'!AK57+'Wind Loading'!$T$38*'Combined Stress'!AK58+'Wind Loading'!$T$37*'Combined Stress'!AK59+'Wind Loading'!$T$36*'Combined Stress'!AK60+'Wind Loading'!$T$35*'Combined Stress'!AK61+'Wind Loading'!$T$34*'Combined Stress'!AK62+'Wind Loading'!$T$33*'Combined Stress'!AK63+'Wind Loading'!$T$32*'Combined Stress'!AK64+'Wind Loading'!$T$31*'Combined Stress'!AK65+'Wind Loading'!$T$30*'Combined Stress'!AK66+'Wind Loading'!$T$29*'Combined Stress'!AK67+'Wind Loading'!$T$28*'Combined Stress'!AK68+'Wind Loading'!$T$27*'Combined Stress'!AK69</f>
        <v>1481801.5353968109</v>
      </c>
      <c r="AM27" s="84">
        <f>((AL27*'Alternative 3'!K28)/'Alternative 3'!L28)/1000000</f>
        <v>23.583623824191108</v>
      </c>
      <c r="AN27" s="84">
        <f t="shared" si="8"/>
        <v>43</v>
      </c>
      <c r="AO27" s="19">
        <f>'Alternative 3'!$B$3+'Alternative 3'!$B$5+('Alternative 2'!$B$39*AN27)</f>
        <v>262414.6935383245</v>
      </c>
      <c r="AP27" s="84">
        <f>'Alternative 3'!M28</f>
        <v>1.9535835785142859</v>
      </c>
      <c r="AQ27" s="84">
        <f t="shared" si="9"/>
        <v>0.13432478468000469</v>
      </c>
      <c r="AR27" s="84">
        <f t="shared" si="10"/>
        <v>23.717948608871112</v>
      </c>
    </row>
    <row r="28" spans="1:44" x14ac:dyDescent="0.25">
      <c r="A28" s="18">
        <f>'Baseline Given'!E29</f>
        <v>26</v>
      </c>
      <c r="B28" s="45">
        <f t="shared" si="0"/>
        <v>44.5</v>
      </c>
      <c r="C28" s="45">
        <f t="shared" si="1"/>
        <v>41.5</v>
      </c>
      <c r="D28" s="19">
        <f>'Dynamic Loading'!$I$3*'Combined Stress'!B28+'Wind Loading'!$E$69*C28+'Wind Loading'!$E$68*'Combined Stress'!C29+'Wind Loading'!$E$67*'Combined Stress'!C30+'Wind Loading'!$E$66*'Combined Stress'!C31+'Wind Loading'!$E$65*'Combined Stress'!C32+'Wind Loading'!$E$64*'Combined Stress'!C33+'Wind Loading'!$E$63*'Combined Stress'!C34+'Wind Loading'!$E$62*'Combined Stress'!C35+'Wind Loading'!$E$61*'Combined Stress'!C36+'Wind Loading'!$E$60*'Combined Stress'!C37+'Wind Loading'!$E$59*'Combined Stress'!C38+'Wind Loading'!$E$58*'Combined Stress'!C39+'Wind Loading'!$E$57*'Combined Stress'!C40+'Wind Loading'!$E$56*'Combined Stress'!C41+'Wind Loading'!$E$55*'Combined Stress'!C42+'Wind Loading'!$E$54*'Combined Stress'!C43+'Wind Loading'!$E$53*'Combined Stress'!C44+'Wind Loading'!$E$52*'Combined Stress'!C45+'Wind Loading'!$E$51*'Combined Stress'!C46+'Wind Loading'!$E$50*'Combined Stress'!C47+'Wind Loading'!$E$49*'Combined Stress'!C48+'Wind Loading'!$E$48*'Combined Stress'!C49+'Wind Loading'!$E$47*'Combined Stress'!C50+'Wind Loading'!$E$46*'Combined Stress'!C51+'Wind Loading'!$E$45*'Combined Stress'!C52+'Wind Loading'!$E$44*'Combined Stress'!C53+'Wind Loading'!$E$43*'Combined Stress'!C54+'Wind Loading'!$E$42*'Combined Stress'!C55+'Wind Loading'!$E$41*'Combined Stress'!C56+'Wind Loading'!$E$40*'Combined Stress'!C57+'Wind Loading'!$E$39*'Combined Stress'!C58+'Wind Loading'!$E$38*'Combined Stress'!C59+'Wind Loading'!$E$37*'Combined Stress'!C60+'Wind Loading'!$E$36*'Combined Stress'!C61+'Wind Loading'!$E$35*'Combined Stress'!C62+'Wind Loading'!$E$34*'Combined Stress'!C63+'Wind Loading'!$E$33*'Combined Stress'!C64+'Wind Loading'!$E$32*'Combined Stress'!C65+'Wind Loading'!$E$31*'Combined Stress'!C66+'Wind Loading'!$E$30*'Combined Stress'!C67+'Wind Loading'!$E$29*'Combined Stress'!C68+'Wind Loading'!$E$28*'Combined Stress'!C69</f>
        <v>16141812.50959881</v>
      </c>
      <c r="E28" s="19">
        <f>((D28*'Baseline Given'!K29)/'Baseline Given'!L29)/1000000</f>
        <v>110.16515528945722</v>
      </c>
      <c r="F28" s="19">
        <f t="shared" si="2"/>
        <v>42</v>
      </c>
      <c r="G28" s="19">
        <f>'Baseline Given'!$B$3+'Baseline Given'!$B$5+('Baseline Given'!$B$38*F28)</f>
        <v>1860386.1194029851</v>
      </c>
      <c r="H28" s="19">
        <f>'Baseline Given'!M29</f>
        <v>9.3970849326310617</v>
      </c>
      <c r="I28" s="19">
        <f t="shared" si="3"/>
        <v>0.19797481162938696</v>
      </c>
      <c r="J28" s="19">
        <f t="shared" si="11"/>
        <v>-110.36313010108661</v>
      </c>
      <c r="M28" s="18">
        <f>IF('Alternative 1'!F29&gt;0,'Alternative 1'!F29,"x")</f>
        <v>26</v>
      </c>
      <c r="N28" s="45">
        <f t="shared" si="12"/>
        <v>11.5</v>
      </c>
      <c r="O28" s="45">
        <f t="shared" si="13"/>
        <v>10.5</v>
      </c>
      <c r="P28" s="19">
        <f>'Dynamic Loading'!$Q$3*'Combined Stress'!N28+'Wind Loading'!$J$69*O28+'Wind Loading'!$J$68*'Combined Stress'!O29+'Wind Loading'!$J$67*'Combined Stress'!O30+'Wind Loading'!$J$66*'Combined Stress'!O31+'Wind Loading'!$J$65*'Combined Stress'!O32+'Wind Loading'!$J$64*'Combined Stress'!O33+'Wind Loading'!$J$63*'Combined Stress'!O34+'Wind Loading'!$J$62*'Combined Stress'!O35+'Wind Loading'!$J$61*'Combined Stress'!O36+'Wind Loading'!$J$60*'Combined Stress'!O37+'Wind Loading'!$J$59*'Combined Stress'!O38+'Wind Loading'!$J$58*'Combined Stress'!O39+'Wind Loading'!$J$57*'Combined Stress'!O40+'Wind Loading'!$J$56*'Combined Stress'!O41+'Wind Loading'!$J$55*'Combined Stress'!O42+'Wind Loading'!$J$54*'Combined Stress'!O43+'Wind Loading'!$J$53*'Combined Stress'!O44+'Wind Loading'!$J$52*'Combined Stress'!O45+'Wind Loading'!$J$51*'Combined Stress'!O46+'Wind Loading'!$J$50*'Combined Stress'!O47+'Wind Loading'!$J$49*'Combined Stress'!O48+'Wind Loading'!$J$48*'Combined Stress'!O49+'Wind Loading'!$J$47*'Combined Stress'!O50+'Wind Loading'!$J$46*'Combined Stress'!O51+'Wind Loading'!$J$45*'Combined Stress'!O52+'Wind Loading'!$J$44*'Combined Stress'!O53+'Wind Loading'!$J$43*'Combined Stress'!O54+'Wind Loading'!$J$42*'Combined Stress'!O55+'Wind Loading'!$J$41*'Combined Stress'!O56+'Wind Loading'!$J$40*'Combined Stress'!O57+'Wind Loading'!$J$39*'Combined Stress'!O58+'Wind Loading'!$J$38*'Combined Stress'!O59+'Wind Loading'!$J$37*'Combined Stress'!O60+'Wind Loading'!$J$36*'Combined Stress'!O61+'Wind Loading'!$J$35*'Combined Stress'!O62+'Wind Loading'!$J$34*'Combined Stress'!O63+'Wind Loading'!$J$33*'Combined Stress'!O64+'Wind Loading'!$J$32*'Combined Stress'!O65+'Wind Loading'!$J$31*'Combined Stress'!O66+'Wind Loading'!$J$30*'Combined Stress'!O67+'Wind Loading'!$J$29*'Combined Stress'!O68+'Wind Loading'!$J$28*'Combined Stress'!O69</f>
        <v>225572.72242704348</v>
      </c>
      <c r="Q28" s="19">
        <f>((P28*'Alternative 1'!K29)/'Alternative 1'!L29)/1000000</f>
        <v>1.7950522062637353</v>
      </c>
      <c r="R28" s="45">
        <f t="shared" si="14"/>
        <v>11</v>
      </c>
      <c r="S28" s="19">
        <f>IF(R28&gt;0,'Alternative 1'!$B$3+'Alternative 1'!$B$5+('Alternative 1'!$B$39*R28),0)</f>
        <v>134646.11493542022</v>
      </c>
      <c r="T28" s="19">
        <f>'Alternative 1'!M29</f>
        <v>2.007827962516358</v>
      </c>
      <c r="U28" s="19">
        <f t="shared" si="4"/>
        <v>6.7060583600335857E-2</v>
      </c>
      <c r="V28" s="19">
        <f t="shared" si="5"/>
        <v>1.8621127898640712</v>
      </c>
      <c r="X28" s="18" t="str">
        <f>IF('Alternative 2'!$F29&gt;0,'Alternative 2'!$F29,"x")</f>
        <v>x</v>
      </c>
      <c r="Y28" s="45">
        <f t="shared" si="15"/>
        <v>0</v>
      </c>
      <c r="Z28" s="45">
        <f t="shared" si="16"/>
        <v>0</v>
      </c>
      <c r="AA28" s="19">
        <f>'Dynamic Loading'!$Y$3*'Combined Stress'!Y28+'Wind Loading'!$O$69*Z28+'Wind Loading'!$O$68*'Combined Stress'!Z29+'Wind Loading'!$O$67*'Combined Stress'!Z30+'Wind Loading'!$O$66*'Combined Stress'!Z31+'Wind Loading'!$O$65*'Combined Stress'!Z32+'Wind Loading'!$O$64*'Combined Stress'!Z33+'Wind Loading'!$O$63*'Combined Stress'!Z34+'Wind Loading'!$O$62*'Combined Stress'!Z35+'Wind Loading'!$O$61*'Combined Stress'!Z36+'Wind Loading'!$O$60*'Combined Stress'!Z37+'Wind Loading'!$O$59*'Combined Stress'!Z38+'Wind Loading'!$O$58*'Combined Stress'!Z39+'Wind Loading'!$O$57*'Combined Stress'!Z40+'Wind Loading'!$O$56*'Combined Stress'!Z41+'Wind Loading'!$O$55*'Combined Stress'!Z42+'Wind Loading'!$O$54*'Combined Stress'!Z43+'Wind Loading'!$O$53*'Combined Stress'!Z44+'Wind Loading'!$O$52*'Combined Stress'!Z45+'Wind Loading'!$O$51*'Combined Stress'!Z46+'Wind Loading'!$O$50*'Combined Stress'!Z47+'Wind Loading'!$O$49*'Combined Stress'!Z48+'Wind Loading'!$O$48*'Combined Stress'!Z49+'Wind Loading'!$O$47*'Combined Stress'!Z50+'Wind Loading'!$O$46*'Combined Stress'!Z51+'Wind Loading'!$O$45*'Combined Stress'!Z52+'Wind Loading'!$O$44*'Combined Stress'!Z53+'Wind Loading'!$O$43*'Combined Stress'!Z54+'Wind Loading'!$O$42*'Combined Stress'!Z55+'Wind Loading'!$O$41*'Combined Stress'!Z56+'Wind Loading'!$O$40*'Combined Stress'!Z57+'Wind Loading'!$O$39*'Combined Stress'!Z58+'Wind Loading'!$O$38*'Combined Stress'!Z59+'Wind Loading'!$O$37*'Combined Stress'!Z60+'Wind Loading'!$O$36*'Combined Stress'!Z61+'Wind Loading'!$O$35*'Combined Stress'!Z62+'Wind Loading'!$O$34*'Combined Stress'!Z63+'Wind Loading'!$O$33*'Combined Stress'!Z64+'Wind Loading'!$O$32*'Combined Stress'!Z65+'Wind Loading'!$O$31*'Combined Stress'!Z66+'Wind Loading'!$O$30*'Combined Stress'!Z67+'Wind Loading'!$O$29*'Combined Stress'!Z68+'Wind Loading'!$O$28*'Combined Stress'!Z69</f>
        <v>0</v>
      </c>
      <c r="AB28" s="19" t="e">
        <f>((AA28*'Alternative 2'!K29)/'Alternative 2'!L29)/1000000</f>
        <v>#VALUE!</v>
      </c>
      <c r="AC28" s="45">
        <f t="shared" si="17"/>
        <v>0</v>
      </c>
      <c r="AD28" s="19">
        <f>'Alternative 2'!$B$3+'Alternative 2'!$B$5+('Alternative 2'!$B$39*AC28)</f>
        <v>76491.87</v>
      </c>
      <c r="AE28" s="19" t="e">
        <f>'Alternative 2'!M29</f>
        <v>#VALUE!</v>
      </c>
      <c r="AF28" s="19" t="e">
        <f t="shared" si="6"/>
        <v>#VALUE!</v>
      </c>
      <c r="AG28" s="19" t="e">
        <f t="shared" si="7"/>
        <v>#VALUE!</v>
      </c>
      <c r="AI28" s="18">
        <f>'Alternative 3'!F29</f>
        <v>26</v>
      </c>
      <c r="AJ28" s="83">
        <f t="shared" si="18"/>
        <v>9.5</v>
      </c>
      <c r="AK28" s="45">
        <f t="shared" si="19"/>
        <v>9.5</v>
      </c>
      <c r="AL28" s="84">
        <f>'Dynamic Loading'!$AG$3*'Combined Stress'!AJ28+'Wind Loading'!$T$69*AK28+'Wind Loading'!$T$68*'Combined Stress'!AK29+'Wind Loading'!$T$67*'Combined Stress'!AK30+'Wind Loading'!$T$66*'Combined Stress'!AK31+'Wind Loading'!$T$65*'Combined Stress'!AK32+'Wind Loading'!$T$64*'Combined Stress'!AK33+'Wind Loading'!$T$63*'Combined Stress'!AK34+'Wind Loading'!$T$62*'Combined Stress'!AK35+'Wind Loading'!$T$61*'Combined Stress'!AK36+'Wind Loading'!$T$60*'Combined Stress'!AK37+'Wind Loading'!$T$59*'Combined Stress'!AK38+'Wind Loading'!$T$58*'Combined Stress'!AK39+'Wind Loading'!$T$57*'Combined Stress'!AK40+'Wind Loading'!$T$56*'Combined Stress'!AK41+'Wind Loading'!$T$55*'Combined Stress'!AK42+'Wind Loading'!$T$54*'Combined Stress'!AK43+'Wind Loading'!$T$53*'Combined Stress'!AK44+'Wind Loading'!$T$52*'Combined Stress'!AK45+'Wind Loading'!$T$51*'Combined Stress'!AK46+'Wind Loading'!$T$50*'Combined Stress'!AK47+'Wind Loading'!$T$49*'Combined Stress'!AK48+'Wind Loading'!$T$48*'Combined Stress'!AK49+'Wind Loading'!$T$47*'Combined Stress'!AK50+'Wind Loading'!$T$46*'Combined Stress'!AK51+'Wind Loading'!$T$45*'Combined Stress'!AK52+'Wind Loading'!$T$44*'Combined Stress'!AK53+'Wind Loading'!$T$43*'Combined Stress'!AK54+'Wind Loading'!$T$42*'Combined Stress'!AK55+'Wind Loading'!$T$41*'Combined Stress'!AK56+'Wind Loading'!$T$40*'Combined Stress'!AK57+'Wind Loading'!$T$39*'Combined Stress'!AK58+'Wind Loading'!$T$38*'Combined Stress'!AK59+'Wind Loading'!$T$37*'Combined Stress'!AK60+'Wind Loading'!$T$36*'Combined Stress'!AK61+'Wind Loading'!$T$35*'Combined Stress'!AK62+'Wind Loading'!$T$34*'Combined Stress'!AK63+'Wind Loading'!$T$33*'Combined Stress'!AK64+'Wind Loading'!$T$32*'Combined Stress'!AK65+'Wind Loading'!$T$31*'Combined Stress'!AK66+'Wind Loading'!$T$30*'Combined Stress'!AK67+'Wind Loading'!$T$29*'Combined Stress'!AK68+'Wind Loading'!$T$28*'Combined Stress'!AK69</f>
        <v>1340677.5796447336</v>
      </c>
      <c r="AM28" s="84">
        <f>((AL28*'Alternative 3'!K29)/'Alternative 3'!L29)/1000000</f>
        <v>21.337564412363381</v>
      </c>
      <c r="AN28" s="84">
        <f t="shared" si="8"/>
        <v>42</v>
      </c>
      <c r="AO28" s="19">
        <f>'Alternative 3'!$B$3+'Alternative 3'!$B$5+('Alternative 2'!$B$39*AN28)</f>
        <v>259693.91791772391</v>
      </c>
      <c r="AP28" s="84">
        <f>'Alternative 3'!M29</f>
        <v>1.9050492364855711</v>
      </c>
      <c r="AQ28" s="84">
        <f t="shared" si="9"/>
        <v>0.13631874333957186</v>
      </c>
      <c r="AR28" s="84">
        <f t="shared" si="10"/>
        <v>21.473883155702953</v>
      </c>
    </row>
    <row r="29" spans="1:44" x14ac:dyDescent="0.25">
      <c r="A29" s="18">
        <f>'Baseline Given'!E30</f>
        <v>27</v>
      </c>
      <c r="B29" s="45">
        <f t="shared" si="0"/>
        <v>43.5</v>
      </c>
      <c r="C29" s="45">
        <f t="shared" si="1"/>
        <v>40.5</v>
      </c>
      <c r="D29" s="19">
        <f>'Dynamic Loading'!$I$3*'Combined Stress'!B29+'Wind Loading'!$E$69*C29+'Wind Loading'!$E$68*'Combined Stress'!C30+'Wind Loading'!$E$67*'Combined Stress'!C31+'Wind Loading'!$E$66*'Combined Stress'!C32+'Wind Loading'!$E$65*'Combined Stress'!C33+'Wind Loading'!$E$64*'Combined Stress'!C34+'Wind Loading'!$E$63*'Combined Stress'!C35+'Wind Loading'!$E$62*'Combined Stress'!C36+'Wind Loading'!$E$61*'Combined Stress'!C37+'Wind Loading'!$E$60*'Combined Stress'!C38+'Wind Loading'!$E$59*'Combined Stress'!C39+'Wind Loading'!$E$58*'Combined Stress'!C40+'Wind Loading'!$E$57*'Combined Stress'!C41+'Wind Loading'!$E$56*'Combined Stress'!C42+'Wind Loading'!$E$55*'Combined Stress'!C43+'Wind Loading'!$E$54*'Combined Stress'!C44+'Wind Loading'!$E$53*'Combined Stress'!C45+'Wind Loading'!$E$52*'Combined Stress'!C46+'Wind Loading'!$E$51*'Combined Stress'!C47+'Wind Loading'!$E$50*'Combined Stress'!C48+'Wind Loading'!$E$49*'Combined Stress'!C49+'Wind Loading'!$E$48*'Combined Stress'!C50+'Wind Loading'!$E$47*'Combined Stress'!C51+'Wind Loading'!$E$46*'Combined Stress'!C52+'Wind Loading'!$E$45*'Combined Stress'!C53+'Wind Loading'!$E$44*'Combined Stress'!C54+'Wind Loading'!$E$43*'Combined Stress'!C55+'Wind Loading'!$E$42*'Combined Stress'!C56+'Wind Loading'!$E$41*'Combined Stress'!C57+'Wind Loading'!$E$40*'Combined Stress'!C58+'Wind Loading'!$E$39*'Combined Stress'!C59+'Wind Loading'!$E$38*'Combined Stress'!C60+'Wind Loading'!$E$37*'Combined Stress'!C61+'Wind Loading'!$E$36*'Combined Stress'!C62+'Wind Loading'!$E$35*'Combined Stress'!C63+'Wind Loading'!$E$34*'Combined Stress'!C64+'Wind Loading'!$E$33*'Combined Stress'!C65+'Wind Loading'!$E$32*'Combined Stress'!C66+'Wind Loading'!$E$31*'Combined Stress'!C67+'Wind Loading'!$E$30*'Combined Stress'!C68+'Wind Loading'!$E$29*'Combined Stress'!C69</f>
        <v>15707367.773212483</v>
      </c>
      <c r="E29" s="19">
        <f>((D29*'Baseline Given'!K30)/'Baseline Given'!L30)/1000000</f>
        <v>108.03402487685793</v>
      </c>
      <c r="F29" s="19">
        <f t="shared" si="2"/>
        <v>41</v>
      </c>
      <c r="G29" s="19">
        <f>'Baseline Given'!$B$3+'Baseline Given'!$B$5+('Baseline Given'!$B$38*F29)</f>
        <v>1844227.1641791044</v>
      </c>
      <c r="H29" s="19">
        <f>'Baseline Given'!M30</f>
        <v>9.29018730096689</v>
      </c>
      <c r="I29" s="19">
        <f t="shared" si="3"/>
        <v>0.19851345343566579</v>
      </c>
      <c r="J29" s="19">
        <f t="shared" si="11"/>
        <v>-108.23253833029359</v>
      </c>
      <c r="M29" s="18">
        <f>IF('Alternative 1'!F30&gt;0,'Alternative 1'!F30,"x")</f>
        <v>27</v>
      </c>
      <c r="N29" s="45">
        <f t="shared" si="12"/>
        <v>10.5</v>
      </c>
      <c r="O29" s="45">
        <f t="shared" si="13"/>
        <v>9.5</v>
      </c>
      <c r="P29" s="19">
        <f>'Dynamic Loading'!$Q$3*'Combined Stress'!N29+'Wind Loading'!$J$69*O29+'Wind Loading'!$J$68*'Combined Stress'!O30+'Wind Loading'!$J$67*'Combined Stress'!O31+'Wind Loading'!$J$66*'Combined Stress'!O32+'Wind Loading'!$J$65*'Combined Stress'!O33+'Wind Loading'!$J$64*'Combined Stress'!O34+'Wind Loading'!$J$63*'Combined Stress'!O35+'Wind Loading'!$J$62*'Combined Stress'!O36+'Wind Loading'!$J$61*'Combined Stress'!O37+'Wind Loading'!$J$60*'Combined Stress'!O38+'Wind Loading'!$J$59*'Combined Stress'!O39+'Wind Loading'!$J$58*'Combined Stress'!O40+'Wind Loading'!$J$57*'Combined Stress'!O41+'Wind Loading'!$J$56*'Combined Stress'!O42+'Wind Loading'!$J$55*'Combined Stress'!O43+'Wind Loading'!$J$54*'Combined Stress'!O44+'Wind Loading'!$J$53*'Combined Stress'!O45+'Wind Loading'!$J$52*'Combined Stress'!O46+'Wind Loading'!$J$51*'Combined Stress'!O47+'Wind Loading'!$J$50*'Combined Stress'!O48+'Wind Loading'!$J$49*'Combined Stress'!O49+'Wind Loading'!$J$48*'Combined Stress'!O50+'Wind Loading'!$J$47*'Combined Stress'!O51+'Wind Loading'!$J$46*'Combined Stress'!O52+'Wind Loading'!$J$45*'Combined Stress'!O53+'Wind Loading'!$J$44*'Combined Stress'!O54+'Wind Loading'!$J$43*'Combined Stress'!O55+'Wind Loading'!$J$42*'Combined Stress'!O56+'Wind Loading'!$J$41*'Combined Stress'!O57+'Wind Loading'!$J$40*'Combined Stress'!O58+'Wind Loading'!$J$39*'Combined Stress'!O59+'Wind Loading'!$J$38*'Combined Stress'!O60+'Wind Loading'!$J$37*'Combined Stress'!O61+'Wind Loading'!$J$36*'Combined Stress'!O62+'Wind Loading'!$J$35*'Combined Stress'!O63+'Wind Loading'!$J$34*'Combined Stress'!O64+'Wind Loading'!$J$33*'Combined Stress'!O65+'Wind Loading'!$J$32*'Combined Stress'!O66+'Wind Loading'!$J$31*'Combined Stress'!O67+'Wind Loading'!$J$30*'Combined Stress'!O68+'Wind Loading'!$J$29*'Combined Stress'!O69</f>
        <v>205957.70308556146</v>
      </c>
      <c r="Q29" s="19">
        <f>((P29*'Alternative 1'!K30)/'Alternative 1'!L30)/1000000</f>
        <v>1.6389607100668888</v>
      </c>
      <c r="R29" s="45">
        <f t="shared" si="14"/>
        <v>10</v>
      </c>
      <c r="S29" s="19">
        <f>IF(R29&gt;0,'Alternative 1'!$B$3+'Alternative 1'!$B$5+('Alternative 1'!$B$39*R29),0)</f>
        <v>126142.78419583655</v>
      </c>
      <c r="T29" s="19">
        <f>'Alternative 1'!M30</f>
        <v>1.9581871182282498</v>
      </c>
      <c r="U29" s="19">
        <f t="shared" si="4"/>
        <v>6.4418146264780568E-2</v>
      </c>
      <c r="V29" s="19">
        <f t="shared" si="5"/>
        <v>1.7033788563316694</v>
      </c>
      <c r="X29" s="18" t="str">
        <f>IF('Alternative 2'!$F30&gt;0,'Alternative 2'!$F30,"x")</f>
        <v>x</v>
      </c>
      <c r="Y29" s="45">
        <f t="shared" si="15"/>
        <v>0</v>
      </c>
      <c r="Z29" s="45">
        <f t="shared" si="16"/>
        <v>0</v>
      </c>
      <c r="AA29" s="19">
        <f>'Dynamic Loading'!$Y$3*'Combined Stress'!Y29+'Wind Loading'!$O$69*Z29+'Wind Loading'!$O$68*'Combined Stress'!Z30+'Wind Loading'!$O$67*'Combined Stress'!Z31+'Wind Loading'!$O$66*'Combined Stress'!Z32+'Wind Loading'!$O$65*'Combined Stress'!Z33+'Wind Loading'!$O$64*'Combined Stress'!Z34+'Wind Loading'!$O$63*'Combined Stress'!Z35+'Wind Loading'!$O$62*'Combined Stress'!Z36+'Wind Loading'!$O$61*'Combined Stress'!Z37+'Wind Loading'!$O$60*'Combined Stress'!Z38+'Wind Loading'!$O$59*'Combined Stress'!Z39+'Wind Loading'!$O$58*'Combined Stress'!Z40+'Wind Loading'!$O$57*'Combined Stress'!Z41+'Wind Loading'!$O$56*'Combined Stress'!Z42+'Wind Loading'!$O$55*'Combined Stress'!Z43+'Wind Loading'!$O$54*'Combined Stress'!Z44+'Wind Loading'!$O$53*'Combined Stress'!Z45+'Wind Loading'!$O$52*'Combined Stress'!Z46+'Wind Loading'!$O$51*'Combined Stress'!Z47+'Wind Loading'!$O$50*'Combined Stress'!Z48+'Wind Loading'!$O$49*'Combined Stress'!Z49+'Wind Loading'!$O$48*'Combined Stress'!Z50+'Wind Loading'!$O$47*'Combined Stress'!Z51+'Wind Loading'!$O$46*'Combined Stress'!Z52+'Wind Loading'!$O$45*'Combined Stress'!Z53+'Wind Loading'!$O$44*'Combined Stress'!Z54+'Wind Loading'!$O$43*'Combined Stress'!Z55+'Wind Loading'!$O$42*'Combined Stress'!Z56+'Wind Loading'!$O$41*'Combined Stress'!Z57+'Wind Loading'!$O$40*'Combined Stress'!Z58+'Wind Loading'!$O$39*'Combined Stress'!Z59+'Wind Loading'!$O$38*'Combined Stress'!Z60+'Wind Loading'!$O$37*'Combined Stress'!Z61+'Wind Loading'!$O$36*'Combined Stress'!Z62+'Wind Loading'!$O$35*'Combined Stress'!Z63+'Wind Loading'!$O$34*'Combined Stress'!Z64+'Wind Loading'!$O$33*'Combined Stress'!Z65+'Wind Loading'!$O$32*'Combined Stress'!Z66+'Wind Loading'!$O$31*'Combined Stress'!Z67+'Wind Loading'!$O$30*'Combined Stress'!Z68+'Wind Loading'!$O$29*'Combined Stress'!Z69</f>
        <v>0</v>
      </c>
      <c r="AB29" s="19" t="e">
        <f>((AA29*'Alternative 2'!K30)/'Alternative 2'!L30)/1000000</f>
        <v>#VALUE!</v>
      </c>
      <c r="AC29" s="45">
        <f t="shared" si="17"/>
        <v>0</v>
      </c>
      <c r="AD29" s="19">
        <f>'Alternative 2'!$B$3+'Alternative 2'!$B$5+('Alternative 2'!$B$39*AC29)</f>
        <v>76491.87</v>
      </c>
      <c r="AE29" s="19" t="e">
        <f>'Alternative 2'!M30</f>
        <v>#VALUE!</v>
      </c>
      <c r="AF29" s="19" t="e">
        <f t="shared" si="6"/>
        <v>#VALUE!</v>
      </c>
      <c r="AG29" s="19" t="e">
        <f t="shared" si="7"/>
        <v>#VALUE!</v>
      </c>
      <c r="AI29" s="18">
        <f>'Alternative 3'!F30</f>
        <v>27</v>
      </c>
      <c r="AJ29" s="83">
        <f t="shared" si="18"/>
        <v>8.5</v>
      </c>
      <c r="AK29" s="45">
        <f t="shared" si="19"/>
        <v>8.5</v>
      </c>
      <c r="AL29" s="84">
        <f>'Dynamic Loading'!$AG$3*'Combined Stress'!AJ29+'Wind Loading'!$T$69*AK29+'Wind Loading'!$T$68*'Combined Stress'!AK30+'Wind Loading'!$T$67*'Combined Stress'!AK31+'Wind Loading'!$T$66*'Combined Stress'!AK32+'Wind Loading'!$T$65*'Combined Stress'!AK33+'Wind Loading'!$T$64*'Combined Stress'!AK34+'Wind Loading'!$T$63*'Combined Stress'!AK35+'Wind Loading'!$T$62*'Combined Stress'!AK36+'Wind Loading'!$T$61*'Combined Stress'!AK37+'Wind Loading'!$T$60*'Combined Stress'!AK38+'Wind Loading'!$T$59*'Combined Stress'!AK39+'Wind Loading'!$T$58*'Combined Stress'!AK40+'Wind Loading'!$T$57*'Combined Stress'!AK41+'Wind Loading'!$T$56*'Combined Stress'!AK42+'Wind Loading'!$T$55*'Combined Stress'!AK43+'Wind Loading'!$T$54*'Combined Stress'!AK44+'Wind Loading'!$T$53*'Combined Stress'!AK45+'Wind Loading'!$T$52*'Combined Stress'!AK46+'Wind Loading'!$T$51*'Combined Stress'!AK47+'Wind Loading'!$T$50*'Combined Stress'!AK48+'Wind Loading'!$T$49*'Combined Stress'!AK49+'Wind Loading'!$T$48*'Combined Stress'!AK50+'Wind Loading'!$T$47*'Combined Stress'!AK51+'Wind Loading'!$T$46*'Combined Stress'!AK52+'Wind Loading'!$T$45*'Combined Stress'!AK53+'Wind Loading'!$T$44*'Combined Stress'!AK54+'Wind Loading'!$T$43*'Combined Stress'!AK55+'Wind Loading'!$T$42*'Combined Stress'!AK56+'Wind Loading'!$T$41*'Combined Stress'!AK57+'Wind Loading'!$T$40*'Combined Stress'!AK58+'Wind Loading'!$T$39*'Combined Stress'!AK59+'Wind Loading'!$T$38*'Combined Stress'!AK60+'Wind Loading'!$T$37*'Combined Stress'!AK61+'Wind Loading'!$T$36*'Combined Stress'!AK62+'Wind Loading'!$T$35*'Combined Stress'!AK63+'Wind Loading'!$T$34*'Combined Stress'!AK64+'Wind Loading'!$T$33*'Combined Stress'!AK65+'Wind Loading'!$T$32*'Combined Stress'!AK66+'Wind Loading'!$T$31*'Combined Stress'!AK67+'Wind Loading'!$T$30*'Combined Stress'!AK68+'Wind Loading'!$T$29*'Combined Stress'!AK69</f>
        <v>1199553.6238926563</v>
      </c>
      <c r="AM29" s="84">
        <f>((AL29*'Alternative 3'!K30)/'Alternative 3'!L30)/1000000</f>
        <v>19.091505000535658</v>
      </c>
      <c r="AN29" s="84">
        <f t="shared" si="8"/>
        <v>41</v>
      </c>
      <c r="AO29" s="19">
        <f>'Alternative 3'!$B$3+'Alternative 3'!$B$5+('Alternative 2'!$B$39*AN29)</f>
        <v>256973.14229712333</v>
      </c>
      <c r="AP29" s="84">
        <f>'Alternative 3'!M30</f>
        <v>1.8571253893251425</v>
      </c>
      <c r="AQ29" s="84">
        <f t="shared" si="9"/>
        <v>0.13837145503164133</v>
      </c>
      <c r="AR29" s="84">
        <f t="shared" si="10"/>
        <v>19.2298764555673</v>
      </c>
    </row>
    <row r="30" spans="1:44" x14ac:dyDescent="0.25">
      <c r="A30" s="18">
        <f>'Baseline Given'!E31</f>
        <v>28</v>
      </c>
      <c r="B30" s="45">
        <f t="shared" si="0"/>
        <v>42.5</v>
      </c>
      <c r="C30" s="45">
        <f t="shared" si="1"/>
        <v>39.5</v>
      </c>
      <c r="D30" s="19">
        <f>'Dynamic Loading'!$I$3*'Combined Stress'!B30+'Wind Loading'!$E$69*C30+'Wind Loading'!$E$68*'Combined Stress'!C31+'Wind Loading'!$E$67*'Combined Stress'!C32+'Wind Loading'!$E$66*'Combined Stress'!C33+'Wind Loading'!$E$65*'Combined Stress'!C34+'Wind Loading'!$E$64*'Combined Stress'!C35+'Wind Loading'!$E$63*'Combined Stress'!C36+'Wind Loading'!$E$62*'Combined Stress'!C37+'Wind Loading'!$E$61*'Combined Stress'!C38+'Wind Loading'!$E$60*'Combined Stress'!C39+'Wind Loading'!$E$59*'Combined Stress'!C40+'Wind Loading'!$E$58*'Combined Stress'!C41+'Wind Loading'!$E$57*'Combined Stress'!C42+'Wind Loading'!$E$56*'Combined Stress'!C43+'Wind Loading'!$E$55*'Combined Stress'!C44+'Wind Loading'!$E$54*'Combined Stress'!C45+'Wind Loading'!$E$53*'Combined Stress'!C46+'Wind Loading'!$E$52*'Combined Stress'!C47+'Wind Loading'!$E$51*'Combined Stress'!C48+'Wind Loading'!$E$50*'Combined Stress'!C49+'Wind Loading'!$E$49*'Combined Stress'!C50+'Wind Loading'!$E$48*'Combined Stress'!C51+'Wind Loading'!$E$47*'Combined Stress'!C52+'Wind Loading'!$E$46*'Combined Stress'!C53+'Wind Loading'!$E$45*'Combined Stress'!C54+'Wind Loading'!$E$44*'Combined Stress'!C55+'Wind Loading'!$E$43*'Combined Stress'!C56+'Wind Loading'!$E$42*'Combined Stress'!C57+'Wind Loading'!$E$41*'Combined Stress'!C58+'Wind Loading'!$E$40*'Combined Stress'!C59+'Wind Loading'!$E$39*'Combined Stress'!C60+'Wind Loading'!$E$38*'Combined Stress'!C61+'Wind Loading'!$E$37*'Combined Stress'!C62+'Wind Loading'!$E$36*'Combined Stress'!C63+'Wind Loading'!$E$35*'Combined Stress'!C64+'Wind Loading'!$E$34*'Combined Stress'!C65+'Wind Loading'!$E$33*'Combined Stress'!C66+'Wind Loading'!$E$32*'Combined Stress'!C67+'Wind Loading'!$E$31*'Combined Stress'!C68+'Wind Loading'!$E$30*'Combined Stress'!C69</f>
        <v>15276283.994859157</v>
      </c>
      <c r="E30" s="19">
        <f>((D30*'Baseline Given'!K31)/'Baseline Given'!L31)/1000000</f>
        <v>105.89277715536328</v>
      </c>
      <c r="F30" s="19">
        <f t="shared" si="2"/>
        <v>40</v>
      </c>
      <c r="G30" s="19">
        <f>'Baseline Given'!$B$3+'Baseline Given'!$B$5+('Baseline Given'!$B$38*F30)</f>
        <v>1828068.2089552239</v>
      </c>
      <c r="H30" s="19">
        <f>'Baseline Given'!M31</f>
        <v>9.1839011655657572</v>
      </c>
      <c r="I30" s="19">
        <f t="shared" si="3"/>
        <v>0.19905138088913757</v>
      </c>
      <c r="J30" s="19">
        <f t="shared" si="11"/>
        <v>-106.09182853625241</v>
      </c>
      <c r="M30" s="18">
        <f>IF('Alternative 1'!F31&gt;0,'Alternative 1'!F31,"x")</f>
        <v>28</v>
      </c>
      <c r="N30" s="45">
        <f t="shared" si="12"/>
        <v>9.5</v>
      </c>
      <c r="O30" s="45">
        <f t="shared" si="13"/>
        <v>8.5</v>
      </c>
      <c r="P30" s="19">
        <f>'Dynamic Loading'!$Q$3*'Combined Stress'!N30+'Wind Loading'!$J$69*O30+'Wind Loading'!$J$68*'Combined Stress'!O31+'Wind Loading'!$J$67*'Combined Stress'!O32+'Wind Loading'!$J$66*'Combined Stress'!O33+'Wind Loading'!$J$65*'Combined Stress'!O34+'Wind Loading'!$J$64*'Combined Stress'!O35+'Wind Loading'!$J$63*'Combined Stress'!O36+'Wind Loading'!$J$62*'Combined Stress'!O37+'Wind Loading'!$J$61*'Combined Stress'!O38+'Wind Loading'!$J$60*'Combined Stress'!O39+'Wind Loading'!$J$59*'Combined Stress'!O40+'Wind Loading'!$J$58*'Combined Stress'!O41+'Wind Loading'!$J$57*'Combined Stress'!O42+'Wind Loading'!$J$56*'Combined Stress'!O43+'Wind Loading'!$J$55*'Combined Stress'!O44+'Wind Loading'!$J$54*'Combined Stress'!O45+'Wind Loading'!$J$53*'Combined Stress'!O46+'Wind Loading'!$J$52*'Combined Stress'!O47+'Wind Loading'!$J$51*'Combined Stress'!O48+'Wind Loading'!$J$50*'Combined Stress'!O49+'Wind Loading'!$J$49*'Combined Stress'!O50+'Wind Loading'!$J$48*'Combined Stress'!O51+'Wind Loading'!$J$47*'Combined Stress'!O52+'Wind Loading'!$J$46*'Combined Stress'!O53+'Wind Loading'!$J$45*'Combined Stress'!O54+'Wind Loading'!$J$44*'Combined Stress'!O55+'Wind Loading'!$J$43*'Combined Stress'!O56+'Wind Loading'!$J$42*'Combined Stress'!O57+'Wind Loading'!$J$41*'Combined Stress'!O58+'Wind Loading'!$J$40*'Combined Stress'!O59+'Wind Loading'!$J$39*'Combined Stress'!O60+'Wind Loading'!$J$38*'Combined Stress'!O61+'Wind Loading'!$J$37*'Combined Stress'!O62+'Wind Loading'!$J$36*'Combined Stress'!O63+'Wind Loading'!$J$35*'Combined Stress'!O64+'Wind Loading'!$J$34*'Combined Stress'!O65+'Wind Loading'!$J$33*'Combined Stress'!O66+'Wind Loading'!$J$32*'Combined Stress'!O67+'Wind Loading'!$J$31*'Combined Stress'!O68+'Wind Loading'!$J$30*'Combined Stress'!O69</f>
        <v>186342.6837440794</v>
      </c>
      <c r="Q30" s="19">
        <f>((P30*'Alternative 1'!K31)/'Alternative 1'!L31)/1000000</f>
        <v>1.4828692138700421</v>
      </c>
      <c r="R30" s="45">
        <f t="shared" si="14"/>
        <v>9</v>
      </c>
      <c r="S30" s="19">
        <f>IF(R30&gt;0,'Alternative 1'!$B$3+'Alternative 1'!$B$5+('Alternative 1'!$B$39*R30),0)</f>
        <v>117639.4534562529</v>
      </c>
      <c r="T30" s="19">
        <f>'Alternative 1'!M31</f>
        <v>1.9091676306149135</v>
      </c>
      <c r="U30" s="19">
        <f t="shared" si="4"/>
        <v>6.1618189817288622E-2</v>
      </c>
      <c r="V30" s="19">
        <f t="shared" si="5"/>
        <v>1.5444874036873308</v>
      </c>
      <c r="X30" s="18" t="str">
        <f>IF('Alternative 2'!$F31&gt;0,'Alternative 2'!$F31,"x")</f>
        <v>x</v>
      </c>
      <c r="Y30" s="45">
        <f t="shared" si="15"/>
        <v>0</v>
      </c>
      <c r="Z30" s="45">
        <f t="shared" si="16"/>
        <v>0</v>
      </c>
      <c r="AA30" s="19">
        <f>'Dynamic Loading'!$Y$3*'Combined Stress'!Y30+'Wind Loading'!$O$69*Z30+'Wind Loading'!$O$68*'Combined Stress'!Z31+'Wind Loading'!$O$67*'Combined Stress'!Z32+'Wind Loading'!$O$66*'Combined Stress'!Z33+'Wind Loading'!$O$65*'Combined Stress'!Z34+'Wind Loading'!$O$64*'Combined Stress'!Z35+'Wind Loading'!$O$63*'Combined Stress'!Z36+'Wind Loading'!$O$62*'Combined Stress'!Z37+'Wind Loading'!$O$61*'Combined Stress'!Z38+'Wind Loading'!$O$60*'Combined Stress'!Z39+'Wind Loading'!$O$59*'Combined Stress'!Z40+'Wind Loading'!$O$58*'Combined Stress'!Z41+'Wind Loading'!$O$57*'Combined Stress'!Z42+'Wind Loading'!$O$56*'Combined Stress'!Z43+'Wind Loading'!$O$55*'Combined Stress'!Z44+'Wind Loading'!$O$54*'Combined Stress'!Z45+'Wind Loading'!$O$53*'Combined Stress'!Z46+'Wind Loading'!$O$52*'Combined Stress'!Z47+'Wind Loading'!$O$51*'Combined Stress'!Z48+'Wind Loading'!$O$50*'Combined Stress'!Z49+'Wind Loading'!$O$49*'Combined Stress'!Z50+'Wind Loading'!$O$48*'Combined Stress'!Z51+'Wind Loading'!$O$47*'Combined Stress'!Z52+'Wind Loading'!$O$46*'Combined Stress'!Z53+'Wind Loading'!$O$45*'Combined Stress'!Z54+'Wind Loading'!$O$44*'Combined Stress'!Z55+'Wind Loading'!$O$43*'Combined Stress'!Z56+'Wind Loading'!$O$42*'Combined Stress'!Z57+'Wind Loading'!$O$41*'Combined Stress'!Z58+'Wind Loading'!$O$40*'Combined Stress'!Z59+'Wind Loading'!$O$39*'Combined Stress'!Z60+'Wind Loading'!$O$38*'Combined Stress'!Z61+'Wind Loading'!$O$37*'Combined Stress'!Z62+'Wind Loading'!$O$36*'Combined Stress'!Z63+'Wind Loading'!$O$35*'Combined Stress'!Z64+'Wind Loading'!$O$34*'Combined Stress'!Z65+'Wind Loading'!$O$33*'Combined Stress'!Z66+'Wind Loading'!$O$32*'Combined Stress'!Z67+'Wind Loading'!$O$31*'Combined Stress'!Z68+'Wind Loading'!$O$30*'Combined Stress'!Z69</f>
        <v>0</v>
      </c>
      <c r="AB30" s="19" t="e">
        <f>((AA30*'Alternative 2'!K31)/'Alternative 2'!L31)/1000000</f>
        <v>#VALUE!</v>
      </c>
      <c r="AC30" s="45">
        <f t="shared" si="17"/>
        <v>0</v>
      </c>
      <c r="AD30" s="19">
        <f>'Alternative 2'!$B$3+'Alternative 2'!$B$5+('Alternative 2'!$B$39*AC30)</f>
        <v>76491.87</v>
      </c>
      <c r="AE30" s="19" t="e">
        <f>'Alternative 2'!M31</f>
        <v>#VALUE!</v>
      </c>
      <c r="AF30" s="19" t="e">
        <f t="shared" si="6"/>
        <v>#VALUE!</v>
      </c>
      <c r="AG30" s="19" t="e">
        <f t="shared" si="7"/>
        <v>#VALUE!</v>
      </c>
      <c r="AI30" s="18">
        <f>'Alternative 3'!F31</f>
        <v>28</v>
      </c>
      <c r="AJ30" s="83">
        <f t="shared" si="18"/>
        <v>7.5</v>
      </c>
      <c r="AK30" s="45">
        <f t="shared" si="19"/>
        <v>7.5</v>
      </c>
      <c r="AL30" s="84">
        <f>'Dynamic Loading'!$AG$3*'Combined Stress'!AJ30+'Wind Loading'!$T$69*AK30+'Wind Loading'!$T$68*'Combined Stress'!AK31+'Wind Loading'!$T$67*'Combined Stress'!AK32+'Wind Loading'!$T$66*'Combined Stress'!AK33+'Wind Loading'!$T$65*'Combined Stress'!AK34+'Wind Loading'!$T$64*'Combined Stress'!AK35+'Wind Loading'!$T$63*'Combined Stress'!AK36+'Wind Loading'!$T$62*'Combined Stress'!AK37+'Wind Loading'!$T$61*'Combined Stress'!AK38+'Wind Loading'!$T$60*'Combined Stress'!AK39+'Wind Loading'!$T$59*'Combined Stress'!AK40+'Wind Loading'!$T$58*'Combined Stress'!AK41+'Wind Loading'!$T$57*'Combined Stress'!AK42+'Wind Loading'!$T$56*'Combined Stress'!AK43+'Wind Loading'!$T$55*'Combined Stress'!AK44+'Wind Loading'!$T$54*'Combined Stress'!AK45+'Wind Loading'!$T$53*'Combined Stress'!AK46+'Wind Loading'!$T$52*'Combined Stress'!AK47+'Wind Loading'!$T$51*'Combined Stress'!AK48+'Wind Loading'!$T$50*'Combined Stress'!AK49+'Wind Loading'!$T$49*'Combined Stress'!AK50+'Wind Loading'!$T$48*'Combined Stress'!AK51+'Wind Loading'!$T$47*'Combined Stress'!AK52+'Wind Loading'!$T$46*'Combined Stress'!AK53+'Wind Loading'!$T$45*'Combined Stress'!AK54+'Wind Loading'!$T$44*'Combined Stress'!AK55+'Wind Loading'!$T$43*'Combined Stress'!AK56+'Wind Loading'!$T$42*'Combined Stress'!AK57+'Wind Loading'!$T$41*'Combined Stress'!AK58+'Wind Loading'!$T$40*'Combined Stress'!AK59+'Wind Loading'!$T$39*'Combined Stress'!AK60+'Wind Loading'!$T$38*'Combined Stress'!AK61+'Wind Loading'!$T$37*'Combined Stress'!AK62+'Wind Loading'!$T$36*'Combined Stress'!AK63+'Wind Loading'!$T$35*'Combined Stress'!AK64+'Wind Loading'!$T$34*'Combined Stress'!AK65+'Wind Loading'!$T$33*'Combined Stress'!AK66+'Wind Loading'!$T$32*'Combined Stress'!AK67+'Wind Loading'!$T$31*'Combined Stress'!AK68+'Wind Loading'!$T$30*'Combined Stress'!AK69</f>
        <v>1058429.6681405792</v>
      </c>
      <c r="AM30" s="84">
        <f>((AL30*'Alternative 3'!K31)/'Alternative 3'!L31)/1000000</f>
        <v>16.845445588707939</v>
      </c>
      <c r="AN30" s="84">
        <f t="shared" si="8"/>
        <v>40</v>
      </c>
      <c r="AO30" s="19">
        <f>'Alternative 3'!$B$3+'Alternative 3'!$B$5+('Alternative 2'!$B$39*AN30)</f>
        <v>254252.36667652277</v>
      </c>
      <c r="AP30" s="84">
        <f>'Alternative 3'!M31</f>
        <v>1.8098120370330002</v>
      </c>
      <c r="AQ30" s="84">
        <f t="shared" si="9"/>
        <v>0.14048550980650082</v>
      </c>
      <c r="AR30" s="84">
        <f t="shared" si="10"/>
        <v>16.985931098514438</v>
      </c>
    </row>
    <row r="31" spans="1:44" x14ac:dyDescent="0.25">
      <c r="A31" s="18">
        <f>'Baseline Given'!E32</f>
        <v>29</v>
      </c>
      <c r="B31" s="45">
        <f t="shared" si="0"/>
        <v>41.5</v>
      </c>
      <c r="C31" s="45">
        <f t="shared" si="1"/>
        <v>38.5</v>
      </c>
      <c r="D31" s="19">
        <f>'Dynamic Loading'!$I$3*'Combined Stress'!B31+'Wind Loading'!$E$69*C31+'Wind Loading'!$E$68*'Combined Stress'!C32+'Wind Loading'!$E$67*'Combined Stress'!C33+'Wind Loading'!$E$66*'Combined Stress'!C34+'Wind Loading'!$E$65*'Combined Stress'!C35+'Wind Loading'!$E$64*'Combined Stress'!C36+'Wind Loading'!$E$63*'Combined Stress'!C37+'Wind Loading'!$E$62*'Combined Stress'!C38+'Wind Loading'!$E$61*'Combined Stress'!C39+'Wind Loading'!$E$60*'Combined Stress'!C40+'Wind Loading'!$E$59*'Combined Stress'!C41+'Wind Loading'!$E$58*'Combined Stress'!C42+'Wind Loading'!$E$57*'Combined Stress'!C43+'Wind Loading'!$E$56*'Combined Stress'!C44+'Wind Loading'!$E$55*'Combined Stress'!C45+'Wind Loading'!$E$54*'Combined Stress'!C46+'Wind Loading'!$E$53*'Combined Stress'!C47+'Wind Loading'!$E$52*'Combined Stress'!C48+'Wind Loading'!$E$51*'Combined Stress'!C49+'Wind Loading'!$E$50*'Combined Stress'!C50+'Wind Loading'!$E$49*'Combined Stress'!C51+'Wind Loading'!$E$48*'Combined Stress'!C52+'Wind Loading'!$E$47*'Combined Stress'!C53+'Wind Loading'!$E$46*'Combined Stress'!C54+'Wind Loading'!$E$45*'Combined Stress'!C55+'Wind Loading'!$E$44*'Combined Stress'!C56+'Wind Loading'!$E$43*'Combined Stress'!C57+'Wind Loading'!$E$42*'Combined Stress'!C58+'Wind Loading'!$E$41*'Combined Stress'!C59+'Wind Loading'!$E$40*'Combined Stress'!C60+'Wind Loading'!$E$39*'Combined Stress'!C61+'Wind Loading'!$E$38*'Combined Stress'!C62+'Wind Loading'!$E$37*'Combined Stress'!C63+'Wind Loading'!$E$36*'Combined Stress'!C64+'Wind Loading'!$E$35*'Combined Stress'!C65+'Wind Loading'!$E$34*'Combined Stress'!C66+'Wind Loading'!$E$33*'Combined Stress'!C67+'Wind Loading'!$E$32*'Combined Stress'!C68+'Wind Loading'!$E$31*'Combined Stress'!C69</f>
        <v>14848563.971323764</v>
      </c>
      <c r="E31" s="19">
        <f>((D31*'Baseline Given'!K32)/'Baseline Given'!L32)/1000000</f>
        <v>103.74119183417957</v>
      </c>
      <c r="F31" s="19">
        <f t="shared" si="2"/>
        <v>39</v>
      </c>
      <c r="G31" s="19">
        <f>'Baseline Given'!$B$3+'Baseline Given'!$B$5+('Baseline Given'!$B$38*F31)</f>
        <v>1811909.2537313434</v>
      </c>
      <c r="H31" s="19">
        <f>'Baseline Given'!M32</f>
        <v>9.078226526427672</v>
      </c>
      <c r="I31" s="19">
        <f t="shared" si="3"/>
        <v>0.19958846019722962</v>
      </c>
      <c r="J31" s="19">
        <f t="shared" si="11"/>
        <v>-103.94078029437681</v>
      </c>
      <c r="M31" s="18">
        <f>IF('Alternative 1'!F32&gt;0,'Alternative 1'!F32,"x")</f>
        <v>29</v>
      </c>
      <c r="N31" s="45">
        <f t="shared" si="12"/>
        <v>8.5</v>
      </c>
      <c r="O31" s="45">
        <f t="shared" si="13"/>
        <v>7.5</v>
      </c>
      <c r="P31" s="19">
        <f>'Dynamic Loading'!$Q$3*'Combined Stress'!N31+'Wind Loading'!$J$69*O31+'Wind Loading'!$J$68*'Combined Stress'!O32+'Wind Loading'!$J$67*'Combined Stress'!O33+'Wind Loading'!$J$66*'Combined Stress'!O34+'Wind Loading'!$J$65*'Combined Stress'!O35+'Wind Loading'!$J$64*'Combined Stress'!O36+'Wind Loading'!$J$63*'Combined Stress'!O37+'Wind Loading'!$J$62*'Combined Stress'!O38+'Wind Loading'!$J$61*'Combined Stress'!O39+'Wind Loading'!$J$60*'Combined Stress'!O40+'Wind Loading'!$J$59*'Combined Stress'!O41+'Wind Loading'!$J$58*'Combined Stress'!O42+'Wind Loading'!$J$57*'Combined Stress'!O43+'Wind Loading'!$J$56*'Combined Stress'!O44+'Wind Loading'!$J$55*'Combined Stress'!O45+'Wind Loading'!$J$54*'Combined Stress'!O46+'Wind Loading'!$J$53*'Combined Stress'!O47+'Wind Loading'!$J$52*'Combined Stress'!O48+'Wind Loading'!$J$51*'Combined Stress'!O49+'Wind Loading'!$J$50*'Combined Stress'!O50+'Wind Loading'!$J$49*'Combined Stress'!O51+'Wind Loading'!$J$48*'Combined Stress'!O52+'Wind Loading'!$J$47*'Combined Stress'!O53+'Wind Loading'!$J$46*'Combined Stress'!O54+'Wind Loading'!$J$45*'Combined Stress'!O55+'Wind Loading'!$J$44*'Combined Stress'!O56+'Wind Loading'!$J$43*'Combined Stress'!O57+'Wind Loading'!$J$42*'Combined Stress'!O58+'Wind Loading'!$J$41*'Combined Stress'!O59+'Wind Loading'!$J$40*'Combined Stress'!O60+'Wind Loading'!$J$39*'Combined Stress'!O61+'Wind Loading'!$J$38*'Combined Stress'!O62+'Wind Loading'!$J$37*'Combined Stress'!O63+'Wind Loading'!$J$36*'Combined Stress'!O64+'Wind Loading'!$J$35*'Combined Stress'!O65+'Wind Loading'!$J$34*'Combined Stress'!O66+'Wind Loading'!$J$33*'Combined Stress'!O67+'Wind Loading'!$J$32*'Combined Stress'!O68+'Wind Loading'!$J$31*'Combined Stress'!O69</f>
        <v>166727.66440259735</v>
      </c>
      <c r="Q31" s="19">
        <f>((P31*'Alternative 1'!K32)/'Alternative 1'!L32)/1000000</f>
        <v>1.3267777176731952</v>
      </c>
      <c r="R31" s="45">
        <f t="shared" si="14"/>
        <v>8</v>
      </c>
      <c r="S31" s="19">
        <f>IF(R31&gt;0,'Alternative 1'!$B$3+'Alternative 1'!$B$5+('Alternative 1'!$B$39*R31),0)</f>
        <v>109136.12271666924</v>
      </c>
      <c r="T31" s="19">
        <f>'Alternative 1'!M32</f>
        <v>1.8607694996763484</v>
      </c>
      <c r="U31" s="19">
        <f t="shared" si="4"/>
        <v>5.8651070288744389E-2</v>
      </c>
      <c r="V31" s="19">
        <f t="shared" si="5"/>
        <v>1.3854287879619396</v>
      </c>
      <c r="X31" s="18" t="str">
        <f>IF('Alternative 2'!$F32&gt;0,'Alternative 2'!$F32,"x")</f>
        <v>x</v>
      </c>
      <c r="Y31" s="45">
        <f t="shared" si="15"/>
        <v>0</v>
      </c>
      <c r="Z31" s="45">
        <f t="shared" si="16"/>
        <v>0</v>
      </c>
      <c r="AA31" s="19">
        <f>'Dynamic Loading'!$Y$3*'Combined Stress'!Y31+'Wind Loading'!$O$69*Z31+'Wind Loading'!$O$68*'Combined Stress'!Z32+'Wind Loading'!$O$67*'Combined Stress'!Z33+'Wind Loading'!$O$66*'Combined Stress'!Z34+'Wind Loading'!$O$65*'Combined Stress'!Z35+'Wind Loading'!$O$64*'Combined Stress'!Z36+'Wind Loading'!$O$63*'Combined Stress'!Z37+'Wind Loading'!$O$62*'Combined Stress'!Z38+'Wind Loading'!$O$61*'Combined Stress'!Z39+'Wind Loading'!$O$60*'Combined Stress'!Z40+'Wind Loading'!$O$59*'Combined Stress'!Z41+'Wind Loading'!$O$58*'Combined Stress'!Z42+'Wind Loading'!$O$57*'Combined Stress'!Z43+'Wind Loading'!$O$56*'Combined Stress'!Z44+'Wind Loading'!$O$55*'Combined Stress'!Z45+'Wind Loading'!$O$54*'Combined Stress'!Z46+'Wind Loading'!$O$53*'Combined Stress'!Z47+'Wind Loading'!$O$52*'Combined Stress'!Z48+'Wind Loading'!$O$51*'Combined Stress'!Z49+'Wind Loading'!$O$50*'Combined Stress'!Z50+'Wind Loading'!$O$49*'Combined Stress'!Z51+'Wind Loading'!$O$48*'Combined Stress'!Z52+'Wind Loading'!$O$47*'Combined Stress'!Z53+'Wind Loading'!$O$46*'Combined Stress'!Z54+'Wind Loading'!$O$45*'Combined Stress'!Z55+'Wind Loading'!$O$44*'Combined Stress'!Z56+'Wind Loading'!$O$43*'Combined Stress'!Z57+'Wind Loading'!$O$42*'Combined Stress'!Z58+'Wind Loading'!$O$41*'Combined Stress'!Z59+'Wind Loading'!$O$40*'Combined Stress'!Z60+'Wind Loading'!$O$39*'Combined Stress'!Z61+'Wind Loading'!$O$38*'Combined Stress'!Z62+'Wind Loading'!$O$37*'Combined Stress'!Z63+'Wind Loading'!$O$36*'Combined Stress'!Z64+'Wind Loading'!$O$35*'Combined Stress'!Z65+'Wind Loading'!$O$34*'Combined Stress'!Z66+'Wind Loading'!$O$33*'Combined Stress'!Z67+'Wind Loading'!$O$32*'Combined Stress'!Z68+'Wind Loading'!$O$31*'Combined Stress'!Z69</f>
        <v>0</v>
      </c>
      <c r="AB31" s="19" t="e">
        <f>((AA31*'Alternative 2'!K32)/'Alternative 2'!L32)/1000000</f>
        <v>#VALUE!</v>
      </c>
      <c r="AC31" s="45">
        <f t="shared" si="17"/>
        <v>0</v>
      </c>
      <c r="AD31" s="19">
        <f>'Alternative 2'!$B$3+'Alternative 2'!$B$5+('Alternative 2'!$B$39*AC31)</f>
        <v>76491.87</v>
      </c>
      <c r="AE31" s="19" t="e">
        <f>'Alternative 2'!M32</f>
        <v>#VALUE!</v>
      </c>
      <c r="AF31" s="19" t="e">
        <f t="shared" si="6"/>
        <v>#VALUE!</v>
      </c>
      <c r="AG31" s="19" t="e">
        <f t="shared" si="7"/>
        <v>#VALUE!</v>
      </c>
      <c r="AI31" s="18">
        <f>'Alternative 3'!F32</f>
        <v>29</v>
      </c>
      <c r="AJ31" s="83">
        <f t="shared" si="18"/>
        <v>6.5</v>
      </c>
      <c r="AK31" s="45">
        <f t="shared" si="19"/>
        <v>6.5</v>
      </c>
      <c r="AL31" s="84">
        <f>'Dynamic Loading'!$AG$3*'Combined Stress'!AJ31+'Wind Loading'!$T$69*AK31+'Wind Loading'!$T$68*'Combined Stress'!AK32+'Wind Loading'!$T$67*'Combined Stress'!AK33+'Wind Loading'!$T$66*'Combined Stress'!AK34+'Wind Loading'!$T$65*'Combined Stress'!AK35+'Wind Loading'!$T$64*'Combined Stress'!AK36+'Wind Loading'!$T$63*'Combined Stress'!AK37+'Wind Loading'!$T$62*'Combined Stress'!AK38+'Wind Loading'!$T$61*'Combined Stress'!AK39+'Wind Loading'!$T$60*'Combined Stress'!AK40+'Wind Loading'!$T$59*'Combined Stress'!AK41+'Wind Loading'!$T$58*'Combined Stress'!AK42+'Wind Loading'!$T$57*'Combined Stress'!AK43+'Wind Loading'!$T$56*'Combined Stress'!AK44+'Wind Loading'!$T$55*'Combined Stress'!AK45+'Wind Loading'!$T$54*'Combined Stress'!AK46+'Wind Loading'!$T$53*'Combined Stress'!AK47+'Wind Loading'!$T$52*'Combined Stress'!AK48+'Wind Loading'!$T$51*'Combined Stress'!AK49+'Wind Loading'!$T$50*'Combined Stress'!AK50+'Wind Loading'!$T$49*'Combined Stress'!AK51+'Wind Loading'!$T$48*'Combined Stress'!AK52+'Wind Loading'!$T$47*'Combined Stress'!AK53+'Wind Loading'!$T$46*'Combined Stress'!AK54+'Wind Loading'!$T$45*'Combined Stress'!AK55+'Wind Loading'!$T$44*'Combined Stress'!AK56+'Wind Loading'!$T$43*'Combined Stress'!AK57+'Wind Loading'!$T$42*'Combined Stress'!AK58+'Wind Loading'!$T$41*'Combined Stress'!AK59+'Wind Loading'!$T$40*'Combined Stress'!AK60+'Wind Loading'!$T$39*'Combined Stress'!AK61+'Wind Loading'!$T$38*'Combined Stress'!AK62+'Wind Loading'!$T$37*'Combined Stress'!AK63+'Wind Loading'!$T$36*'Combined Stress'!AK64+'Wind Loading'!$T$35*'Combined Stress'!AK65+'Wind Loading'!$T$34*'Combined Stress'!AK66+'Wind Loading'!$T$33*'Combined Stress'!AK67+'Wind Loading'!$T$32*'Combined Stress'!AK68+'Wind Loading'!$T$31*'Combined Stress'!AK69</f>
        <v>917305.71238850197</v>
      </c>
      <c r="AM31" s="84">
        <f>((AL31*'Alternative 3'!K32)/'Alternative 3'!L32)/1000000</f>
        <v>14.599386176880211</v>
      </c>
      <c r="AN31" s="84">
        <f t="shared" si="8"/>
        <v>39</v>
      </c>
      <c r="AO31" s="19">
        <f>'Alternative 3'!$B$3+'Alternative 3'!$B$5+('Alternative 2'!$B$39*AN31)</f>
        <v>251531.59105592221</v>
      </c>
      <c r="AP31" s="84">
        <f>'Alternative 3'!M32</f>
        <v>1.7631091796091425</v>
      </c>
      <c r="AQ31" s="84">
        <f t="shared" si="9"/>
        <v>0.14266365008188739</v>
      </c>
      <c r="AR31" s="84">
        <f t="shared" si="10"/>
        <v>14.742049826962099</v>
      </c>
    </row>
    <row r="32" spans="1:44" x14ac:dyDescent="0.25">
      <c r="A32" s="18">
        <f>'Baseline Given'!E33</f>
        <v>30</v>
      </c>
      <c r="B32" s="45">
        <f t="shared" si="0"/>
        <v>40.5</v>
      </c>
      <c r="C32" s="45">
        <f t="shared" si="1"/>
        <v>37.5</v>
      </c>
      <c r="D32" s="19">
        <f>'Dynamic Loading'!$I$3*'Combined Stress'!B32+'Wind Loading'!$E$69*C32+'Wind Loading'!$E$68*'Combined Stress'!C33+'Wind Loading'!$E$67*'Combined Stress'!C34+'Wind Loading'!$E$66*'Combined Stress'!C35+'Wind Loading'!$E$65*'Combined Stress'!C36+'Wind Loading'!$E$64*'Combined Stress'!C37+'Wind Loading'!$E$63*'Combined Stress'!C38+'Wind Loading'!$E$62*'Combined Stress'!C39+'Wind Loading'!$E$61*'Combined Stress'!C40+'Wind Loading'!$E$60*'Combined Stress'!C41+'Wind Loading'!$E$59*'Combined Stress'!C42+'Wind Loading'!$E$58*'Combined Stress'!C43+'Wind Loading'!$E$57*'Combined Stress'!C44+'Wind Loading'!$E$56*'Combined Stress'!C45+'Wind Loading'!$E$55*'Combined Stress'!C46+'Wind Loading'!$E$54*'Combined Stress'!C47+'Wind Loading'!$E$53*'Combined Stress'!C48+'Wind Loading'!$E$52*'Combined Stress'!C49+'Wind Loading'!$E$51*'Combined Stress'!C50+'Wind Loading'!$E$50*'Combined Stress'!C51+'Wind Loading'!$E$49*'Combined Stress'!C52+'Wind Loading'!$E$48*'Combined Stress'!C53+'Wind Loading'!$E$47*'Combined Stress'!C54+'Wind Loading'!$E$46*'Combined Stress'!C55+'Wind Loading'!$E$45*'Combined Stress'!C56+'Wind Loading'!$E$44*'Combined Stress'!C57+'Wind Loading'!$E$43*'Combined Stress'!C58+'Wind Loading'!$E$42*'Combined Stress'!C59+'Wind Loading'!$E$41*'Combined Stress'!C60+'Wind Loading'!$E$40*'Combined Stress'!C61+'Wind Loading'!$E$39*'Combined Stress'!C62+'Wind Loading'!$E$38*'Combined Stress'!C63+'Wind Loading'!$E$37*'Combined Stress'!C64+'Wind Loading'!$E$36*'Combined Stress'!C65+'Wind Loading'!$E$35*'Combined Stress'!C66+'Wind Loading'!$E$34*'Combined Stress'!C67+'Wind Loading'!$E$33*'Combined Stress'!C68+'Wind Loading'!$E$32*'Combined Stress'!C69</f>
        <v>14424209.586068956</v>
      </c>
      <c r="E32" s="19">
        <f>((D32*'Baseline Given'!K33)/'Baseline Given'!L33)/1000000</f>
        <v>101.57903517254631</v>
      </c>
      <c r="F32" s="19">
        <f t="shared" si="2"/>
        <v>38</v>
      </c>
      <c r="G32" s="19">
        <f>'Baseline Given'!$B$3+'Baseline Given'!$B$5+('Baseline Given'!$B$38*F32)</f>
        <v>1795750.2985074627</v>
      </c>
      <c r="H32" s="19">
        <f>'Baseline Given'!M33</f>
        <v>8.973163383552631</v>
      </c>
      <c r="I32" s="19">
        <f t="shared" si="3"/>
        <v>0.20012455159336395</v>
      </c>
      <c r="J32" s="19">
        <f t="shared" si="11"/>
        <v>-101.77915972413967</v>
      </c>
      <c r="M32" s="18">
        <f>IF('Alternative 1'!F33&gt;0,'Alternative 1'!F33,"x")</f>
        <v>30</v>
      </c>
      <c r="N32" s="45">
        <f t="shared" si="12"/>
        <v>7.5</v>
      </c>
      <c r="O32" s="45">
        <f t="shared" si="13"/>
        <v>6.5</v>
      </c>
      <c r="P32" s="19">
        <f>'Dynamic Loading'!$Q$3*'Combined Stress'!N32+'Wind Loading'!$J$69*O32+'Wind Loading'!$J$68*'Combined Stress'!O33+'Wind Loading'!$J$67*'Combined Stress'!O34+'Wind Loading'!$J$66*'Combined Stress'!O35+'Wind Loading'!$J$65*'Combined Stress'!O36+'Wind Loading'!$J$64*'Combined Stress'!O37+'Wind Loading'!$J$63*'Combined Stress'!O38+'Wind Loading'!$J$62*'Combined Stress'!O39+'Wind Loading'!$J$61*'Combined Stress'!O40+'Wind Loading'!$J$60*'Combined Stress'!O41+'Wind Loading'!$J$59*'Combined Stress'!O42+'Wind Loading'!$J$58*'Combined Stress'!O43+'Wind Loading'!$J$57*'Combined Stress'!O44+'Wind Loading'!$J$56*'Combined Stress'!O45+'Wind Loading'!$J$55*'Combined Stress'!O46+'Wind Loading'!$J$54*'Combined Stress'!O47+'Wind Loading'!$J$53*'Combined Stress'!O48+'Wind Loading'!$J$52*'Combined Stress'!O49+'Wind Loading'!$J$51*'Combined Stress'!O50+'Wind Loading'!$J$50*'Combined Stress'!O51+'Wind Loading'!$J$49*'Combined Stress'!O52+'Wind Loading'!$J$48*'Combined Stress'!O53+'Wind Loading'!$J$47*'Combined Stress'!O54+'Wind Loading'!$J$46*'Combined Stress'!O55+'Wind Loading'!$J$45*'Combined Stress'!O56+'Wind Loading'!$J$44*'Combined Stress'!O57+'Wind Loading'!$J$43*'Combined Stress'!O58+'Wind Loading'!$J$42*'Combined Stress'!O59+'Wind Loading'!$J$41*'Combined Stress'!O60+'Wind Loading'!$J$40*'Combined Stress'!O61+'Wind Loading'!$J$39*'Combined Stress'!O62+'Wind Loading'!$J$38*'Combined Stress'!O63+'Wind Loading'!$J$37*'Combined Stress'!O64+'Wind Loading'!$J$36*'Combined Stress'!O65+'Wind Loading'!$J$35*'Combined Stress'!O66+'Wind Loading'!$J$34*'Combined Stress'!O67+'Wind Loading'!$J$33*'Combined Stress'!O68+'Wind Loading'!$J$32*'Combined Stress'!O69</f>
        <v>147112.64506111533</v>
      </c>
      <c r="Q32" s="19">
        <f>((P32*'Alternative 1'!K33)/'Alternative 1'!L33)/1000000</f>
        <v>1.1706862214763492</v>
      </c>
      <c r="R32" s="45">
        <f t="shared" si="14"/>
        <v>7</v>
      </c>
      <c r="S32" s="19">
        <f>IF(R32&gt;0,'Alternative 1'!$B$3+'Alternative 1'!$B$5+('Alternative 1'!$B$39*R32),0)</f>
        <v>100632.79197708558</v>
      </c>
      <c r="T32" s="19">
        <f>'Alternative 1'!M33</f>
        <v>1.8129927254125557</v>
      </c>
      <c r="U32" s="19">
        <f t="shared" si="4"/>
        <v>5.5506451055497799E-2</v>
      </c>
      <c r="V32" s="19">
        <f t="shared" si="5"/>
        <v>1.226192672531847</v>
      </c>
      <c r="X32" s="18" t="str">
        <f>IF('Alternative 2'!$F33&gt;0,'Alternative 2'!$F33,"x")</f>
        <v>x</v>
      </c>
      <c r="Y32" s="45">
        <f t="shared" si="15"/>
        <v>0</v>
      </c>
      <c r="Z32" s="45">
        <f t="shared" si="16"/>
        <v>0</v>
      </c>
      <c r="AA32" s="19">
        <f>'Dynamic Loading'!$Y$3*'Combined Stress'!Y32+'Wind Loading'!$O$69*Z32+'Wind Loading'!$O$68*'Combined Stress'!Z33+'Wind Loading'!$O$67*'Combined Stress'!Z34+'Wind Loading'!$O$66*'Combined Stress'!Z35+'Wind Loading'!$O$65*'Combined Stress'!Z36+'Wind Loading'!$O$64*'Combined Stress'!Z37+'Wind Loading'!$O$63*'Combined Stress'!Z38+'Wind Loading'!$O$62*'Combined Stress'!Z39+'Wind Loading'!$O$61*'Combined Stress'!Z40+'Wind Loading'!$O$60*'Combined Stress'!Z41+'Wind Loading'!$O$59*'Combined Stress'!Z42+'Wind Loading'!$O$58*'Combined Stress'!Z43+'Wind Loading'!$O$57*'Combined Stress'!Z44+'Wind Loading'!$O$56*'Combined Stress'!Z45+'Wind Loading'!$O$55*'Combined Stress'!Z46+'Wind Loading'!$O$54*'Combined Stress'!Z47+'Wind Loading'!$O$53*'Combined Stress'!Z48+'Wind Loading'!$O$52*'Combined Stress'!Z49+'Wind Loading'!$O$51*'Combined Stress'!Z50+'Wind Loading'!$O$50*'Combined Stress'!Z51+'Wind Loading'!$O$49*'Combined Stress'!Z52+'Wind Loading'!$O$48*'Combined Stress'!Z53+'Wind Loading'!$O$47*'Combined Stress'!Z54+'Wind Loading'!$O$46*'Combined Stress'!Z55+'Wind Loading'!$O$45*'Combined Stress'!Z56+'Wind Loading'!$O$44*'Combined Stress'!Z57+'Wind Loading'!$O$43*'Combined Stress'!Z58+'Wind Loading'!$O$42*'Combined Stress'!Z59+'Wind Loading'!$O$41*'Combined Stress'!Z60+'Wind Loading'!$O$40*'Combined Stress'!Z61+'Wind Loading'!$O$39*'Combined Stress'!Z62+'Wind Loading'!$O$38*'Combined Stress'!Z63+'Wind Loading'!$O$37*'Combined Stress'!Z64+'Wind Loading'!$O$36*'Combined Stress'!Z65+'Wind Loading'!$O$35*'Combined Stress'!Z66+'Wind Loading'!$O$34*'Combined Stress'!Z67+'Wind Loading'!$O$33*'Combined Stress'!Z68+'Wind Loading'!$O$32*'Combined Stress'!Z69</f>
        <v>0</v>
      </c>
      <c r="AB32" s="19" t="e">
        <f>((AA32*'Alternative 2'!K33)/'Alternative 2'!L33)/1000000</f>
        <v>#VALUE!</v>
      </c>
      <c r="AC32" s="45">
        <f t="shared" si="17"/>
        <v>0</v>
      </c>
      <c r="AD32" s="19">
        <f>'Alternative 2'!$B$3+'Alternative 2'!$B$5+('Alternative 2'!$B$39*AC32)</f>
        <v>76491.87</v>
      </c>
      <c r="AE32" s="19" t="e">
        <f>'Alternative 2'!M33</f>
        <v>#VALUE!</v>
      </c>
      <c r="AF32" s="19" t="e">
        <f t="shared" si="6"/>
        <v>#VALUE!</v>
      </c>
      <c r="AG32" s="19" t="e">
        <f t="shared" si="7"/>
        <v>#VALUE!</v>
      </c>
      <c r="AI32" s="18">
        <f>'Alternative 3'!F33</f>
        <v>30</v>
      </c>
      <c r="AJ32" s="83">
        <f t="shared" si="18"/>
        <v>5.5</v>
      </c>
      <c r="AK32" s="45">
        <f t="shared" si="19"/>
        <v>5.5</v>
      </c>
      <c r="AL32" s="84">
        <f>'Dynamic Loading'!$AG$3*'Combined Stress'!AJ32+'Wind Loading'!$T$69*AK32+'Wind Loading'!$T$68*'Combined Stress'!AK33+'Wind Loading'!$T$67*'Combined Stress'!AK34+'Wind Loading'!$T$66*'Combined Stress'!AK35+'Wind Loading'!$T$65*'Combined Stress'!AK36+'Wind Loading'!$T$64*'Combined Stress'!AK37+'Wind Loading'!$T$63*'Combined Stress'!AK38+'Wind Loading'!$T$62*'Combined Stress'!AK39+'Wind Loading'!$T$61*'Combined Stress'!AK40+'Wind Loading'!$T$60*'Combined Stress'!AK41+'Wind Loading'!$T$59*'Combined Stress'!AK42+'Wind Loading'!$T$58*'Combined Stress'!AK43+'Wind Loading'!$T$57*'Combined Stress'!AK44+'Wind Loading'!$T$56*'Combined Stress'!AK45+'Wind Loading'!$T$55*'Combined Stress'!AK46+'Wind Loading'!$T$54*'Combined Stress'!AK47+'Wind Loading'!$T$53*'Combined Stress'!AK48+'Wind Loading'!$T$52*'Combined Stress'!AK49+'Wind Loading'!$T$51*'Combined Stress'!AK50+'Wind Loading'!$T$50*'Combined Stress'!AK51+'Wind Loading'!$T$49*'Combined Stress'!AK52+'Wind Loading'!$T$48*'Combined Stress'!AK53+'Wind Loading'!$T$47*'Combined Stress'!AK54+'Wind Loading'!$T$46*'Combined Stress'!AK55+'Wind Loading'!$T$45*'Combined Stress'!AK56+'Wind Loading'!$T$44*'Combined Stress'!AK57+'Wind Loading'!$T$43*'Combined Stress'!AK58+'Wind Loading'!$T$42*'Combined Stress'!AK59+'Wind Loading'!$T$41*'Combined Stress'!AK60+'Wind Loading'!$T$40*'Combined Stress'!AK61+'Wind Loading'!$T$39*'Combined Stress'!AK62+'Wind Loading'!$T$38*'Combined Stress'!AK63+'Wind Loading'!$T$37*'Combined Stress'!AK64+'Wind Loading'!$T$36*'Combined Stress'!AK65+'Wind Loading'!$T$35*'Combined Stress'!AK66+'Wind Loading'!$T$34*'Combined Stress'!AK67+'Wind Loading'!$T$33*'Combined Stress'!AK68+'Wind Loading'!$T$32*'Combined Stress'!AK69</f>
        <v>776181.75663642469</v>
      </c>
      <c r="AM32" s="84">
        <f>((AL32*'Alternative 3'!K33)/'Alternative 3'!L33)/1000000</f>
        <v>12.353326765052485</v>
      </c>
      <c r="AN32" s="84">
        <f t="shared" si="8"/>
        <v>38</v>
      </c>
      <c r="AO32" s="19">
        <f>'Alternative 3'!$B$3+'Alternative 3'!$B$5+('Alternative 2'!$B$39*AN32)</f>
        <v>248810.81543532165</v>
      </c>
      <c r="AP32" s="84">
        <f>'Alternative 3'!M33</f>
        <v>1.7170168170535709</v>
      </c>
      <c r="AQ32" s="84">
        <f t="shared" si="9"/>
        <v>0.14490878188501677</v>
      </c>
      <c r="AR32" s="84">
        <f t="shared" si="10"/>
        <v>12.498235546937501</v>
      </c>
    </row>
    <row r="33" spans="1:44" x14ac:dyDescent="0.25">
      <c r="A33" s="18">
        <f>'Baseline Given'!E34</f>
        <v>31</v>
      </c>
      <c r="B33" s="45">
        <f t="shared" si="0"/>
        <v>39.5</v>
      </c>
      <c r="C33" s="45">
        <f t="shared" si="1"/>
        <v>36.5</v>
      </c>
      <c r="D33" s="19">
        <f>'Dynamic Loading'!$I$3*'Combined Stress'!B33+'Wind Loading'!$E$69*C33+'Wind Loading'!$E$68*'Combined Stress'!C34+'Wind Loading'!$E$67*'Combined Stress'!C35+'Wind Loading'!$E$66*'Combined Stress'!C36+'Wind Loading'!$E$65*'Combined Stress'!C37+'Wind Loading'!$E$64*'Combined Stress'!C38+'Wind Loading'!$E$63*'Combined Stress'!C39+'Wind Loading'!$E$62*'Combined Stress'!C40+'Wind Loading'!$E$61*'Combined Stress'!C41+'Wind Loading'!$E$60*'Combined Stress'!C42+'Wind Loading'!$E$59*'Combined Stress'!C43+'Wind Loading'!$E$58*'Combined Stress'!C44+'Wind Loading'!$E$57*'Combined Stress'!C45+'Wind Loading'!$E$56*'Combined Stress'!C46+'Wind Loading'!$E$55*'Combined Stress'!C47+'Wind Loading'!$E$54*'Combined Stress'!C48+'Wind Loading'!$E$53*'Combined Stress'!C49+'Wind Loading'!$E$52*'Combined Stress'!C50+'Wind Loading'!$E$51*'Combined Stress'!C51+'Wind Loading'!$E$50*'Combined Stress'!C52+'Wind Loading'!$E$49*'Combined Stress'!C53+'Wind Loading'!$E$48*'Combined Stress'!C54+'Wind Loading'!$E$47*'Combined Stress'!C55+'Wind Loading'!$E$46*'Combined Stress'!C56+'Wind Loading'!$E$45*'Combined Stress'!C57+'Wind Loading'!$E$44*'Combined Stress'!C58+'Wind Loading'!$E$43*'Combined Stress'!C59+'Wind Loading'!$E$42*'Combined Stress'!C60+'Wind Loading'!$E$41*'Combined Stress'!C61+'Wind Loading'!$E$40*'Combined Stress'!C62+'Wind Loading'!$E$39*'Combined Stress'!C63+'Wind Loading'!$E$38*'Combined Stress'!C64+'Wind Loading'!$E$37*'Combined Stress'!C65+'Wind Loading'!$E$36*'Combined Stress'!C66+'Wind Loading'!$E$35*'Combined Stress'!C67+'Wind Loading'!$E$34*'Combined Stress'!C68+'Wind Loading'!$E$33*'Combined Stress'!C69</f>
        <v>14003221.862926356</v>
      </c>
      <c r="E33" s="19">
        <f>((D33*'Baseline Given'!K34)/'Baseline Given'!L34)/1000000</f>
        <v>99.406059820961175</v>
      </c>
      <c r="F33" s="19">
        <f t="shared" si="2"/>
        <v>37</v>
      </c>
      <c r="G33" s="19">
        <f>'Baseline Given'!$B$3+'Baseline Given'!$B$5+('Baseline Given'!$B$38*F33)</f>
        <v>1779591.343283582</v>
      </c>
      <c r="H33" s="19">
        <f>'Baseline Given'!M34</f>
        <v>8.8687117369406305</v>
      </c>
      <c r="I33" s="19">
        <f t="shared" si="3"/>
        <v>0.20065950907741123</v>
      </c>
      <c r="J33" s="19">
        <f t="shared" si="11"/>
        <v>-99.606719330038587</v>
      </c>
      <c r="M33" s="18">
        <f>IF('Alternative 1'!F34&gt;0,'Alternative 1'!F34,"x")</f>
        <v>31</v>
      </c>
      <c r="N33" s="45">
        <f t="shared" si="12"/>
        <v>6.5</v>
      </c>
      <c r="O33" s="45">
        <f t="shared" si="13"/>
        <v>5.5</v>
      </c>
      <c r="P33" s="19">
        <f>'Dynamic Loading'!$Q$3*'Combined Stress'!N33+'Wind Loading'!$J$69*O33+'Wind Loading'!$J$68*'Combined Stress'!O34+'Wind Loading'!$J$67*'Combined Stress'!O35+'Wind Loading'!$J$66*'Combined Stress'!O36+'Wind Loading'!$J$65*'Combined Stress'!O37+'Wind Loading'!$J$64*'Combined Stress'!O38+'Wind Loading'!$J$63*'Combined Stress'!O39+'Wind Loading'!$J$62*'Combined Stress'!O40+'Wind Loading'!$J$61*'Combined Stress'!O41+'Wind Loading'!$J$60*'Combined Stress'!O42+'Wind Loading'!$J$59*'Combined Stress'!O43+'Wind Loading'!$J$58*'Combined Stress'!O44+'Wind Loading'!$J$57*'Combined Stress'!O45+'Wind Loading'!$J$56*'Combined Stress'!O46+'Wind Loading'!$J$55*'Combined Stress'!O47+'Wind Loading'!$J$54*'Combined Stress'!O48+'Wind Loading'!$J$53*'Combined Stress'!O49+'Wind Loading'!$J$52*'Combined Stress'!O50+'Wind Loading'!$J$51*'Combined Stress'!O51+'Wind Loading'!$J$50*'Combined Stress'!O52+'Wind Loading'!$J$49*'Combined Stress'!O53+'Wind Loading'!$J$48*'Combined Stress'!O54+'Wind Loading'!$J$47*'Combined Stress'!O55+'Wind Loading'!$J$46*'Combined Stress'!O56+'Wind Loading'!$J$45*'Combined Stress'!O57+'Wind Loading'!$J$44*'Combined Stress'!O58+'Wind Loading'!$J$43*'Combined Stress'!O59+'Wind Loading'!$J$42*'Combined Stress'!O60+'Wind Loading'!$J$41*'Combined Stress'!O61+'Wind Loading'!$J$40*'Combined Stress'!O62+'Wind Loading'!$J$39*'Combined Stress'!O63+'Wind Loading'!$J$38*'Combined Stress'!O64+'Wind Loading'!$J$37*'Combined Stress'!O65+'Wind Loading'!$J$36*'Combined Stress'!O66+'Wind Loading'!$J$35*'Combined Stress'!O67+'Wind Loading'!$J$34*'Combined Stress'!O68+'Wind Loading'!$J$33*'Combined Stress'!O69</f>
        <v>127497.62571963327</v>
      </c>
      <c r="Q33" s="19">
        <f>((P33*'Alternative 1'!K34)/'Alternative 1'!L34)/1000000</f>
        <v>1.0145947252795025</v>
      </c>
      <c r="R33" s="45">
        <f t="shared" si="14"/>
        <v>6</v>
      </c>
      <c r="S33" s="19">
        <f>IF(R33&gt;0,'Alternative 1'!$B$3+'Alternative 1'!$B$5+('Alternative 1'!$B$39*R33),0)</f>
        <v>92129.461237501935</v>
      </c>
      <c r="T33" s="19">
        <f>'Alternative 1'!M34</f>
        <v>1.7658373078235334</v>
      </c>
      <c r="U33" s="19">
        <f t="shared" si="4"/>
        <v>5.217324429001631E-2</v>
      </c>
      <c r="V33" s="19">
        <f t="shared" si="5"/>
        <v>1.0667679695695187</v>
      </c>
      <c r="X33" s="18" t="str">
        <f>IF('Alternative 2'!$F34&gt;0,'Alternative 2'!$F34,"x")</f>
        <v>x</v>
      </c>
      <c r="Y33" s="45">
        <f t="shared" si="15"/>
        <v>0</v>
      </c>
      <c r="Z33" s="45">
        <f t="shared" si="16"/>
        <v>0</v>
      </c>
      <c r="AA33" s="19">
        <f>'Dynamic Loading'!$Y$3*'Combined Stress'!Y33+'Wind Loading'!$O$69*Z33+'Wind Loading'!$O$68*'Combined Stress'!Z34+'Wind Loading'!$O$67*'Combined Stress'!Z35+'Wind Loading'!$O$66*'Combined Stress'!Z36+'Wind Loading'!$O$65*'Combined Stress'!Z37+'Wind Loading'!$O$64*'Combined Stress'!Z38+'Wind Loading'!$O$63*'Combined Stress'!Z39+'Wind Loading'!$O$62*'Combined Stress'!Z40+'Wind Loading'!$O$61*'Combined Stress'!Z41+'Wind Loading'!$O$60*'Combined Stress'!Z42+'Wind Loading'!$O$59*'Combined Stress'!Z43+'Wind Loading'!$O$58*'Combined Stress'!Z44+'Wind Loading'!$O$57*'Combined Stress'!Z45+'Wind Loading'!$O$56*'Combined Stress'!Z46+'Wind Loading'!$O$55*'Combined Stress'!Z47+'Wind Loading'!$O$54*'Combined Stress'!Z48+'Wind Loading'!$O$53*'Combined Stress'!Z49+'Wind Loading'!$O$52*'Combined Stress'!Z50+'Wind Loading'!$O$51*'Combined Stress'!Z51+'Wind Loading'!$O$50*'Combined Stress'!Z52+'Wind Loading'!$O$49*'Combined Stress'!Z53+'Wind Loading'!$O$48*'Combined Stress'!Z54+'Wind Loading'!$O$47*'Combined Stress'!Z55+'Wind Loading'!$O$46*'Combined Stress'!Z56+'Wind Loading'!$O$45*'Combined Stress'!Z57+'Wind Loading'!$O$44*'Combined Stress'!Z58+'Wind Loading'!$O$43*'Combined Stress'!Z59+'Wind Loading'!$O$42*'Combined Stress'!Z60+'Wind Loading'!$O$41*'Combined Stress'!Z61+'Wind Loading'!$O$40*'Combined Stress'!Z62+'Wind Loading'!$O$39*'Combined Stress'!Z63+'Wind Loading'!$O$38*'Combined Stress'!Z64+'Wind Loading'!$O$37*'Combined Stress'!Z65+'Wind Loading'!$O$36*'Combined Stress'!Z66+'Wind Loading'!$O$35*'Combined Stress'!Z67+'Wind Loading'!$O$34*'Combined Stress'!Z68+'Wind Loading'!$O$33*'Combined Stress'!Z69</f>
        <v>0</v>
      </c>
      <c r="AB33" s="19" t="e">
        <f>((AA33*'Alternative 2'!K34)/'Alternative 2'!L34)/1000000</f>
        <v>#VALUE!</v>
      </c>
      <c r="AC33" s="45">
        <f t="shared" si="17"/>
        <v>0</v>
      </c>
      <c r="AD33" s="19">
        <f>'Alternative 2'!$B$3+'Alternative 2'!$B$5+('Alternative 2'!$B$39*AC33)</f>
        <v>76491.87</v>
      </c>
      <c r="AE33" s="19" t="e">
        <f>'Alternative 2'!M34</f>
        <v>#VALUE!</v>
      </c>
      <c r="AF33" s="19" t="e">
        <f t="shared" si="6"/>
        <v>#VALUE!</v>
      </c>
      <c r="AG33" s="19" t="e">
        <f t="shared" si="7"/>
        <v>#VALUE!</v>
      </c>
      <c r="AI33" s="18">
        <f>'Alternative 3'!F34</f>
        <v>31</v>
      </c>
      <c r="AJ33" s="83">
        <f t="shared" si="18"/>
        <v>4.5</v>
      </c>
      <c r="AK33" s="45">
        <f t="shared" si="19"/>
        <v>4.5</v>
      </c>
      <c r="AL33" s="84">
        <f>'Dynamic Loading'!$AG$3*'Combined Stress'!AJ33+'Wind Loading'!$T$69*AK33+'Wind Loading'!$T$68*'Combined Stress'!AK34+'Wind Loading'!$T$67*'Combined Stress'!AK35+'Wind Loading'!$T$66*'Combined Stress'!AK36+'Wind Loading'!$T$65*'Combined Stress'!AK37+'Wind Loading'!$T$64*'Combined Stress'!AK38+'Wind Loading'!$T$63*'Combined Stress'!AK39+'Wind Loading'!$T$62*'Combined Stress'!AK40+'Wind Loading'!$T$61*'Combined Stress'!AK41+'Wind Loading'!$T$60*'Combined Stress'!AK42+'Wind Loading'!$T$59*'Combined Stress'!AK43+'Wind Loading'!$T$58*'Combined Stress'!AK44+'Wind Loading'!$T$57*'Combined Stress'!AK45+'Wind Loading'!$T$56*'Combined Stress'!AK46+'Wind Loading'!$T$55*'Combined Stress'!AK47+'Wind Loading'!$T$54*'Combined Stress'!AK48+'Wind Loading'!$T$53*'Combined Stress'!AK49+'Wind Loading'!$T$52*'Combined Stress'!AK50+'Wind Loading'!$T$51*'Combined Stress'!AK51+'Wind Loading'!$T$50*'Combined Stress'!AK52+'Wind Loading'!$T$49*'Combined Stress'!AK53+'Wind Loading'!$T$48*'Combined Stress'!AK54+'Wind Loading'!$T$47*'Combined Stress'!AK55+'Wind Loading'!$T$46*'Combined Stress'!AK56+'Wind Loading'!$T$45*'Combined Stress'!AK57+'Wind Loading'!$T$44*'Combined Stress'!AK58+'Wind Loading'!$T$43*'Combined Stress'!AK59+'Wind Loading'!$T$42*'Combined Stress'!AK60+'Wind Loading'!$T$41*'Combined Stress'!AK61+'Wind Loading'!$T$40*'Combined Stress'!AK62+'Wind Loading'!$T$39*'Combined Stress'!AK63+'Wind Loading'!$T$38*'Combined Stress'!AK64+'Wind Loading'!$T$37*'Combined Stress'!AK65+'Wind Loading'!$T$36*'Combined Stress'!AK66+'Wind Loading'!$T$35*'Combined Stress'!AK67+'Wind Loading'!$T$34*'Combined Stress'!AK68+'Wind Loading'!$T$33*'Combined Stress'!AK69</f>
        <v>635057.80088434753</v>
      </c>
      <c r="AM33" s="84">
        <f>((AL33*'Alternative 3'!K34)/'Alternative 3'!L34)/1000000</f>
        <v>10.107267353224762</v>
      </c>
      <c r="AN33" s="84">
        <f t="shared" si="8"/>
        <v>37</v>
      </c>
      <c r="AO33" s="19">
        <f>'Alternative 3'!$B$3+'Alternative 3'!$B$5+('Alternative 2'!$B$39*AN33)</f>
        <v>246090.03981472107</v>
      </c>
      <c r="AP33" s="84">
        <f>'Alternative 3'!M34</f>
        <v>1.6715349493662859</v>
      </c>
      <c r="AQ33" s="84">
        <f t="shared" si="9"/>
        <v>0.14722398709522583</v>
      </c>
      <c r="AR33" s="84">
        <f t="shared" si="10"/>
        <v>10.254491340319987</v>
      </c>
    </row>
    <row r="34" spans="1:44" x14ac:dyDescent="0.25">
      <c r="A34" s="18">
        <f>'Baseline Given'!E35</f>
        <v>32</v>
      </c>
      <c r="B34" s="45">
        <f t="shared" si="0"/>
        <v>38.5</v>
      </c>
      <c r="C34" s="45">
        <f t="shared" si="1"/>
        <v>35.5</v>
      </c>
      <c r="D34" s="19">
        <f>'Dynamic Loading'!$I$3*'Combined Stress'!B34+'Wind Loading'!$E$69*C34+'Wind Loading'!$E$68*'Combined Stress'!C35+'Wind Loading'!$E$67*'Combined Stress'!C36+'Wind Loading'!$E$66*'Combined Stress'!C37+'Wind Loading'!$E$65*'Combined Stress'!C38+'Wind Loading'!$E$64*'Combined Stress'!C39+'Wind Loading'!$E$63*'Combined Stress'!C40+'Wind Loading'!$E$62*'Combined Stress'!C41+'Wind Loading'!$E$61*'Combined Stress'!C42+'Wind Loading'!$E$60*'Combined Stress'!C43+'Wind Loading'!$E$59*'Combined Stress'!C44+'Wind Loading'!$E$58*'Combined Stress'!C45+'Wind Loading'!$E$57*'Combined Stress'!C46+'Wind Loading'!$E$56*'Combined Stress'!C47+'Wind Loading'!$E$55*'Combined Stress'!C48+'Wind Loading'!$E$54*'Combined Stress'!C49+'Wind Loading'!$E$53*'Combined Stress'!C50+'Wind Loading'!$E$52*'Combined Stress'!C51+'Wind Loading'!$E$51*'Combined Stress'!C52+'Wind Loading'!$E$50*'Combined Stress'!C53+'Wind Loading'!$E$49*'Combined Stress'!C54+'Wind Loading'!$E$48*'Combined Stress'!C55+'Wind Loading'!$E$47*'Combined Stress'!C56+'Wind Loading'!$E$46*'Combined Stress'!C57+'Wind Loading'!$E$45*'Combined Stress'!C58+'Wind Loading'!$E$44*'Combined Stress'!C59+'Wind Loading'!$E$43*'Combined Stress'!C60+'Wind Loading'!$E$42*'Combined Stress'!C61+'Wind Loading'!$E$41*'Combined Stress'!C62+'Wind Loading'!$E$40*'Combined Stress'!C63+'Wind Loading'!$E$39*'Combined Stress'!C64+'Wind Loading'!$E$38*'Combined Stress'!C65+'Wind Loading'!$E$37*'Combined Stress'!C66+'Wind Loading'!$E$36*'Combined Stress'!C67+'Wind Loading'!$E$35*'Combined Stress'!C68+'Wind Loading'!$E$34*'Combined Stress'!C69</f>
        <v>13585601.014763791</v>
      </c>
      <c r="E34" s="19">
        <f>((D34*'Baseline Given'!K35)/'Baseline Given'!L35)/1000000</f>
        <v>97.222004618741678</v>
      </c>
      <c r="F34" s="19">
        <f t="shared" si="2"/>
        <v>36</v>
      </c>
      <c r="G34" s="19">
        <f>'Baseline Given'!$B$3+'Baseline Given'!$B$5+('Baseline Given'!$B$38*F34)</f>
        <v>1763432.3880597015</v>
      </c>
      <c r="H34" s="19">
        <f>'Baseline Given'!M35</f>
        <v>8.764871586591676</v>
      </c>
      <c r="I34" s="19">
        <f t="shared" si="3"/>
        <v>0.20119318014394699</v>
      </c>
      <c r="J34" s="19">
        <f t="shared" si="11"/>
        <v>-97.423197798885624</v>
      </c>
      <c r="M34" s="18">
        <f>IF('Alternative 1'!F35&gt;0,'Alternative 1'!F35,"x")</f>
        <v>32</v>
      </c>
      <c r="N34" s="45">
        <f t="shared" si="12"/>
        <v>5.5</v>
      </c>
      <c r="O34" s="45">
        <f t="shared" si="13"/>
        <v>4.5</v>
      </c>
      <c r="P34" s="19">
        <f>'Dynamic Loading'!$Q$3*'Combined Stress'!N34+'Wind Loading'!$J$69*O34+'Wind Loading'!$J$68*'Combined Stress'!O35+'Wind Loading'!$J$67*'Combined Stress'!O36+'Wind Loading'!$J$66*'Combined Stress'!O37+'Wind Loading'!$J$65*'Combined Stress'!O38+'Wind Loading'!$J$64*'Combined Stress'!O39+'Wind Loading'!$J$63*'Combined Stress'!O40+'Wind Loading'!$J$62*'Combined Stress'!O41+'Wind Loading'!$J$61*'Combined Stress'!O42+'Wind Loading'!$J$60*'Combined Stress'!O43+'Wind Loading'!$J$59*'Combined Stress'!O44+'Wind Loading'!$J$58*'Combined Stress'!O45+'Wind Loading'!$J$57*'Combined Stress'!O46+'Wind Loading'!$J$56*'Combined Stress'!O47+'Wind Loading'!$J$55*'Combined Stress'!O48+'Wind Loading'!$J$54*'Combined Stress'!O49+'Wind Loading'!$J$53*'Combined Stress'!O50+'Wind Loading'!$J$52*'Combined Stress'!O51+'Wind Loading'!$J$51*'Combined Stress'!O52+'Wind Loading'!$J$50*'Combined Stress'!O53+'Wind Loading'!$J$49*'Combined Stress'!O54+'Wind Loading'!$J$48*'Combined Stress'!O55+'Wind Loading'!$J$47*'Combined Stress'!O56+'Wind Loading'!$J$46*'Combined Stress'!O57+'Wind Loading'!$J$45*'Combined Stress'!O58+'Wind Loading'!$J$44*'Combined Stress'!O59+'Wind Loading'!$J$43*'Combined Stress'!O60+'Wind Loading'!$J$42*'Combined Stress'!O61+'Wind Loading'!$J$41*'Combined Stress'!O62+'Wind Loading'!$J$40*'Combined Stress'!O63+'Wind Loading'!$J$39*'Combined Stress'!O64+'Wind Loading'!$J$38*'Combined Stress'!O65+'Wind Loading'!$J$37*'Combined Stress'!O66+'Wind Loading'!$J$36*'Combined Stress'!O67+'Wind Loading'!$J$35*'Combined Stress'!O68+'Wind Loading'!$J$34*'Combined Stress'!O69</f>
        <v>107882.60637815123</v>
      </c>
      <c r="Q34" s="19">
        <f>((P34*'Alternative 1'!K35)/'Alternative 1'!L35)/1000000</f>
        <v>0.85850322908265597</v>
      </c>
      <c r="R34" s="45">
        <f t="shared" si="14"/>
        <v>5</v>
      </c>
      <c r="S34" s="19">
        <f>IF(R34&gt;0,'Alternative 1'!$B$3+'Alternative 1'!$B$5+('Alternative 1'!$B$39*R34),0)</f>
        <v>83626.130497918275</v>
      </c>
      <c r="T34" s="19">
        <f>'Alternative 1'!M35</f>
        <v>1.7193032469092839</v>
      </c>
      <c r="U34" s="19">
        <f t="shared" si="4"/>
        <v>4.8639546658362509E-2</v>
      </c>
      <c r="V34" s="19">
        <f t="shared" si="5"/>
        <v>0.90714277574101843</v>
      </c>
      <c r="X34" s="18" t="str">
        <f>IF('Alternative 2'!$F35&gt;0,'Alternative 2'!$F35,"x")</f>
        <v>x</v>
      </c>
      <c r="Y34" s="45">
        <f t="shared" si="15"/>
        <v>0</v>
      </c>
      <c r="Z34" s="45">
        <f t="shared" si="16"/>
        <v>0</v>
      </c>
      <c r="AA34" s="19">
        <f>'Dynamic Loading'!$Y$3*'Combined Stress'!Y34+'Wind Loading'!$O$69*Z34+'Wind Loading'!$O$68*'Combined Stress'!Z35+'Wind Loading'!$O$67*'Combined Stress'!Z36+'Wind Loading'!$O$66*'Combined Stress'!Z37+'Wind Loading'!$O$65*'Combined Stress'!Z38+'Wind Loading'!$O$64*'Combined Stress'!Z39+'Wind Loading'!$O$63*'Combined Stress'!Z40+'Wind Loading'!$O$62*'Combined Stress'!Z41+'Wind Loading'!$O$61*'Combined Stress'!Z42+'Wind Loading'!$O$60*'Combined Stress'!Z43+'Wind Loading'!$O$59*'Combined Stress'!Z44+'Wind Loading'!$O$58*'Combined Stress'!Z45+'Wind Loading'!$O$57*'Combined Stress'!Z46+'Wind Loading'!$O$56*'Combined Stress'!Z47+'Wind Loading'!$O$55*'Combined Stress'!Z48+'Wind Loading'!$O$54*'Combined Stress'!Z49+'Wind Loading'!$O$53*'Combined Stress'!Z50+'Wind Loading'!$O$52*'Combined Stress'!Z51+'Wind Loading'!$O$51*'Combined Stress'!Z52+'Wind Loading'!$O$50*'Combined Stress'!Z53+'Wind Loading'!$O$49*'Combined Stress'!Z54+'Wind Loading'!$O$48*'Combined Stress'!Z55+'Wind Loading'!$O$47*'Combined Stress'!Z56+'Wind Loading'!$O$46*'Combined Stress'!Z57+'Wind Loading'!$O$45*'Combined Stress'!Z58+'Wind Loading'!$O$44*'Combined Stress'!Z59+'Wind Loading'!$O$43*'Combined Stress'!Z60+'Wind Loading'!$O$42*'Combined Stress'!Z61+'Wind Loading'!$O$41*'Combined Stress'!Z62+'Wind Loading'!$O$40*'Combined Stress'!Z63+'Wind Loading'!$O$39*'Combined Stress'!Z64+'Wind Loading'!$O$38*'Combined Stress'!Z65+'Wind Loading'!$O$37*'Combined Stress'!Z66+'Wind Loading'!$O$36*'Combined Stress'!Z67+'Wind Loading'!$O$35*'Combined Stress'!Z68+'Wind Loading'!$O$34*'Combined Stress'!Z69</f>
        <v>0</v>
      </c>
      <c r="AB34" s="19" t="e">
        <f>((AA34*'Alternative 2'!K35)/'Alternative 2'!L35)/1000000</f>
        <v>#VALUE!</v>
      </c>
      <c r="AC34" s="45">
        <f t="shared" si="17"/>
        <v>0</v>
      </c>
      <c r="AD34" s="19">
        <f>'Alternative 2'!$B$3+'Alternative 2'!$B$5+('Alternative 2'!$B$39*AC34)</f>
        <v>76491.87</v>
      </c>
      <c r="AE34" s="19" t="e">
        <f>'Alternative 2'!M35</f>
        <v>#VALUE!</v>
      </c>
      <c r="AF34" s="19" t="e">
        <f t="shared" si="6"/>
        <v>#VALUE!</v>
      </c>
      <c r="AG34" s="19" t="e">
        <f t="shared" si="7"/>
        <v>#VALUE!</v>
      </c>
      <c r="AI34" s="18">
        <f>'Alternative 3'!F35</f>
        <v>32</v>
      </c>
      <c r="AJ34" s="83">
        <f t="shared" si="18"/>
        <v>3.5</v>
      </c>
      <c r="AK34" s="45">
        <f t="shared" si="19"/>
        <v>3.5</v>
      </c>
      <c r="AL34" s="84">
        <f>'Dynamic Loading'!$AG$3*'Combined Stress'!AJ34+'Wind Loading'!$T$69*AK34+'Wind Loading'!$T$68*'Combined Stress'!AK35+'Wind Loading'!$T$67*'Combined Stress'!AK36+'Wind Loading'!$T$66*'Combined Stress'!AK37+'Wind Loading'!$T$65*'Combined Stress'!AK38+'Wind Loading'!$T$64*'Combined Stress'!AK39+'Wind Loading'!$T$63*'Combined Stress'!AK40+'Wind Loading'!$T$62*'Combined Stress'!AK41+'Wind Loading'!$T$61*'Combined Stress'!AK42+'Wind Loading'!$T$60*'Combined Stress'!AK43+'Wind Loading'!$T$59*'Combined Stress'!AK44+'Wind Loading'!$T$58*'Combined Stress'!AK45+'Wind Loading'!$T$57*'Combined Stress'!AK46+'Wind Loading'!$T$56*'Combined Stress'!AK47+'Wind Loading'!$T$55*'Combined Stress'!AK48+'Wind Loading'!$T$54*'Combined Stress'!AK49+'Wind Loading'!$T$53*'Combined Stress'!AK50+'Wind Loading'!$T$52*'Combined Stress'!AK51+'Wind Loading'!$T$51*'Combined Stress'!AK52+'Wind Loading'!$T$50*'Combined Stress'!AK53+'Wind Loading'!$T$49*'Combined Stress'!AK54+'Wind Loading'!$T$48*'Combined Stress'!AK55+'Wind Loading'!$T$47*'Combined Stress'!AK56+'Wind Loading'!$T$46*'Combined Stress'!AK57+'Wind Loading'!$T$45*'Combined Stress'!AK58+'Wind Loading'!$T$44*'Combined Stress'!AK59+'Wind Loading'!$T$43*'Combined Stress'!AK60+'Wind Loading'!$T$42*'Combined Stress'!AK61+'Wind Loading'!$T$41*'Combined Stress'!AK62+'Wind Loading'!$T$40*'Combined Stress'!AK63+'Wind Loading'!$T$39*'Combined Stress'!AK64+'Wind Loading'!$T$38*'Combined Stress'!AK65+'Wind Loading'!$T$37*'Combined Stress'!AK66+'Wind Loading'!$T$36*'Combined Stress'!AK67+'Wind Loading'!$T$35*'Combined Stress'!AK68+'Wind Loading'!$T$34*'Combined Stress'!AK69</f>
        <v>493933.84513227025</v>
      </c>
      <c r="AM34" s="84">
        <f>((AL34*'Alternative 3'!K35)/'Alternative 3'!L35)/1000000</f>
        <v>7.8612079413970362</v>
      </c>
      <c r="AN34" s="84">
        <f t="shared" si="8"/>
        <v>36</v>
      </c>
      <c r="AO34" s="19">
        <f>'Alternative 3'!$B$3+'Alternative 3'!$B$5+('Alternative 2'!$B$39*AN34)</f>
        <v>243369.26419412048</v>
      </c>
      <c r="AP34" s="84">
        <f>'Alternative 3'!M35</f>
        <v>1.6266635765472852</v>
      </c>
      <c r="AQ34" s="84">
        <f t="shared" si="9"/>
        <v>0.14961253679183614</v>
      </c>
      <c r="AR34" s="84">
        <f t="shared" si="10"/>
        <v>8.0108204781888723</v>
      </c>
    </row>
    <row r="35" spans="1:44" x14ac:dyDescent="0.25">
      <c r="A35" s="18">
        <f>'Baseline Given'!E36</f>
        <v>33</v>
      </c>
      <c r="B35" s="45">
        <f t="shared" ref="B35:B68" si="20">B36+1</f>
        <v>37.5</v>
      </c>
      <c r="C35" s="45">
        <f t="shared" ref="C35:C68" si="21">C36+1</f>
        <v>34.5</v>
      </c>
      <c r="D35" s="19">
        <f>'Dynamic Loading'!$I$3*'Combined Stress'!B35+'Wind Loading'!$E$69*C35+'Wind Loading'!$E$68*'Combined Stress'!C36+'Wind Loading'!$E$67*'Combined Stress'!C37+'Wind Loading'!$E$66*'Combined Stress'!C38+'Wind Loading'!$E$65*'Combined Stress'!C39+'Wind Loading'!$E$64*'Combined Stress'!C40+'Wind Loading'!$E$63*'Combined Stress'!C41+'Wind Loading'!$E$62*'Combined Stress'!C42+'Wind Loading'!$E$61*'Combined Stress'!C43+'Wind Loading'!$E$60*'Combined Stress'!C44+'Wind Loading'!$E$59*'Combined Stress'!C45+'Wind Loading'!$E$58*'Combined Stress'!C46+'Wind Loading'!$E$57*'Combined Stress'!C47+'Wind Loading'!$E$56*'Combined Stress'!C48+'Wind Loading'!$E$55*'Combined Stress'!C49+'Wind Loading'!$E$54*'Combined Stress'!C50+'Wind Loading'!$E$53*'Combined Stress'!C51+'Wind Loading'!$E$52*'Combined Stress'!C52+'Wind Loading'!$E$51*'Combined Stress'!C53+'Wind Loading'!$E$50*'Combined Stress'!C54+'Wind Loading'!$E$49*'Combined Stress'!C55+'Wind Loading'!$E$48*'Combined Stress'!C56+'Wind Loading'!$E$47*'Combined Stress'!C57+'Wind Loading'!$E$46*'Combined Stress'!C58+'Wind Loading'!$E$45*'Combined Stress'!C59+'Wind Loading'!$E$44*'Combined Stress'!C60+'Wind Loading'!$E$43*'Combined Stress'!C61+'Wind Loading'!$E$42*'Combined Stress'!C62+'Wind Loading'!$E$41*'Combined Stress'!C63+'Wind Loading'!$E$40*'Combined Stress'!C64+'Wind Loading'!$E$39*'Combined Stress'!C65+'Wind Loading'!$E$38*'Combined Stress'!C66+'Wind Loading'!$E$37*'Combined Stress'!C67+'Wind Loading'!$E$36*'Combined Stress'!C68+'Wind Loading'!$E$35*'Combined Stress'!C69</f>
        <v>13171346.487752853</v>
      </c>
      <c r="E35" s="19">
        <f>((D35*'Baseline Given'!K36)/'Baseline Given'!L36)/1000000</f>
        <v>95.026594349933788</v>
      </c>
      <c r="F35" s="19">
        <f t="shared" ref="F35:F68" si="22">F36+1</f>
        <v>35</v>
      </c>
      <c r="G35" s="19">
        <f>'Baseline Given'!$B$3+'Baseline Given'!$B$5+('Baseline Given'!$B$38*F35)</f>
        <v>1747273.4328358211</v>
      </c>
      <c r="H35" s="19">
        <f>'Baseline Given'!M36</f>
        <v>8.6616429325057673</v>
      </c>
      <c r="I35" s="19">
        <f t="shared" ref="I35:I66" si="23">(G35/H35)/1000000</f>
        <v>0.20172540549767781</v>
      </c>
      <c r="J35" s="19">
        <f t="shared" si="11"/>
        <v>-95.228319755431471</v>
      </c>
      <c r="M35" s="18">
        <f>IF('Alternative 1'!F36&gt;0,'Alternative 1'!F36,"x")</f>
        <v>33</v>
      </c>
      <c r="N35" s="45">
        <f t="shared" si="12"/>
        <v>4.5</v>
      </c>
      <c r="O35" s="45">
        <f t="shared" si="13"/>
        <v>3.5</v>
      </c>
      <c r="P35" s="19">
        <f>'Dynamic Loading'!$Q$3*'Combined Stress'!N35+'Wind Loading'!$J$69*O35+'Wind Loading'!$J$68*'Combined Stress'!O36+'Wind Loading'!$J$67*'Combined Stress'!O37+'Wind Loading'!$J$66*'Combined Stress'!O38+'Wind Loading'!$J$65*'Combined Stress'!O39+'Wind Loading'!$J$64*'Combined Stress'!O40+'Wind Loading'!$J$63*'Combined Stress'!O41+'Wind Loading'!$J$62*'Combined Stress'!O42+'Wind Loading'!$J$61*'Combined Stress'!O43+'Wind Loading'!$J$60*'Combined Stress'!O44+'Wind Loading'!$J$59*'Combined Stress'!O45+'Wind Loading'!$J$58*'Combined Stress'!O46+'Wind Loading'!$J$57*'Combined Stress'!O47+'Wind Loading'!$J$56*'Combined Stress'!O48+'Wind Loading'!$J$55*'Combined Stress'!O49+'Wind Loading'!$J$54*'Combined Stress'!O50+'Wind Loading'!$J$53*'Combined Stress'!O51+'Wind Loading'!$J$52*'Combined Stress'!O52+'Wind Loading'!$J$51*'Combined Stress'!O53+'Wind Loading'!$J$50*'Combined Stress'!O54+'Wind Loading'!$J$49*'Combined Stress'!O55+'Wind Loading'!$J$48*'Combined Stress'!O56+'Wind Loading'!$J$47*'Combined Stress'!O57+'Wind Loading'!$J$46*'Combined Stress'!O58+'Wind Loading'!$J$45*'Combined Stress'!O59+'Wind Loading'!$J$44*'Combined Stress'!O60+'Wind Loading'!$J$43*'Combined Stress'!O61+'Wind Loading'!$J$42*'Combined Stress'!O62+'Wind Loading'!$J$41*'Combined Stress'!O63+'Wind Loading'!$J$40*'Combined Stress'!O64+'Wind Loading'!$J$39*'Combined Stress'!O65+'Wind Loading'!$J$38*'Combined Stress'!O66+'Wind Loading'!$J$37*'Combined Stress'!O67+'Wind Loading'!$J$36*'Combined Stress'!O68+'Wind Loading'!$J$35*'Combined Stress'!O69</f>
        <v>88267.587036669196</v>
      </c>
      <c r="Q35" s="19">
        <f>((P35*'Alternative 1'!K36)/'Alternative 1'!L36)/1000000</f>
        <v>0.70241173288580927</v>
      </c>
      <c r="R35" s="45">
        <f t="shared" si="14"/>
        <v>4</v>
      </c>
      <c r="S35" s="19">
        <f>IF(R35&gt;0,'Alternative 1'!$B$3+'Alternative 1'!$B$5+('Alternative 1'!$B$39*R35),0)</f>
        <v>75122.799758334615</v>
      </c>
      <c r="T35" s="19">
        <f>'Alternative 1'!M36</f>
        <v>1.6733905426698055</v>
      </c>
      <c r="U35" s="19">
        <f t="shared" ref="U35:U66" si="24">(S35/T35)/1000000</f>
        <v>4.4892568616098541E-2</v>
      </c>
      <c r="V35" s="19">
        <f t="shared" ref="V35:V66" si="25">U35+Q35</f>
        <v>0.74730430150190785</v>
      </c>
      <c r="X35" s="18" t="str">
        <f>IF('Alternative 2'!$F36&gt;0,'Alternative 2'!$F36,"x")</f>
        <v>x</v>
      </c>
      <c r="Y35" s="45">
        <f t="shared" si="15"/>
        <v>0</v>
      </c>
      <c r="Z35" s="45">
        <f t="shared" si="16"/>
        <v>0</v>
      </c>
      <c r="AA35" s="19">
        <f>'Dynamic Loading'!$Y$3*'Combined Stress'!Y35+'Wind Loading'!$O$69*Z35+'Wind Loading'!$O$68*'Combined Stress'!Z36+'Wind Loading'!$O$67*'Combined Stress'!Z37+'Wind Loading'!$O$66*'Combined Stress'!Z38+'Wind Loading'!$O$65*'Combined Stress'!Z39+'Wind Loading'!$O$64*'Combined Stress'!Z40+'Wind Loading'!$O$63*'Combined Stress'!Z41+'Wind Loading'!$O$62*'Combined Stress'!Z42+'Wind Loading'!$O$61*'Combined Stress'!Z43+'Wind Loading'!$O$60*'Combined Stress'!Z44+'Wind Loading'!$O$59*'Combined Stress'!Z45+'Wind Loading'!$O$58*'Combined Stress'!Z46+'Wind Loading'!$O$57*'Combined Stress'!Z47+'Wind Loading'!$O$56*'Combined Stress'!Z48+'Wind Loading'!$O$55*'Combined Stress'!Z49+'Wind Loading'!$O$54*'Combined Stress'!Z50+'Wind Loading'!$O$53*'Combined Stress'!Z51+'Wind Loading'!$O$52*'Combined Stress'!Z52+'Wind Loading'!$O$51*'Combined Stress'!Z53+'Wind Loading'!$O$50*'Combined Stress'!Z54+'Wind Loading'!$O$49*'Combined Stress'!Z55+'Wind Loading'!$O$48*'Combined Stress'!Z56+'Wind Loading'!$O$47*'Combined Stress'!Z57+'Wind Loading'!$O$46*'Combined Stress'!Z58+'Wind Loading'!$O$45*'Combined Stress'!Z59+'Wind Loading'!$O$44*'Combined Stress'!Z60+'Wind Loading'!$O$43*'Combined Stress'!Z61+'Wind Loading'!$O$42*'Combined Stress'!Z62+'Wind Loading'!$O$41*'Combined Stress'!Z63+'Wind Loading'!$O$40*'Combined Stress'!Z64+'Wind Loading'!$O$39*'Combined Stress'!Z65+'Wind Loading'!$O$38*'Combined Stress'!Z66+'Wind Loading'!$O$37*'Combined Stress'!Z67+'Wind Loading'!$O$36*'Combined Stress'!Z68+'Wind Loading'!$O$35*'Combined Stress'!Z69</f>
        <v>0</v>
      </c>
      <c r="AB35" s="19" t="e">
        <f>((AA35*'Alternative 2'!K36)/'Alternative 2'!L36)/1000000</f>
        <v>#VALUE!</v>
      </c>
      <c r="AC35" s="45">
        <f t="shared" si="17"/>
        <v>0</v>
      </c>
      <c r="AD35" s="19">
        <f>'Alternative 2'!$B$3+'Alternative 2'!$B$5+('Alternative 2'!$B$39*AC35)</f>
        <v>76491.87</v>
      </c>
      <c r="AE35" s="19" t="e">
        <f>'Alternative 2'!M36</f>
        <v>#VALUE!</v>
      </c>
      <c r="AF35" s="19" t="e">
        <f t="shared" ref="AF35:AF66" si="26">(AD35/AE35)/1000000</f>
        <v>#VALUE!</v>
      </c>
      <c r="AG35" s="19" t="e">
        <f t="shared" ref="AG35:AG66" si="27">AF35+AB35</f>
        <v>#VALUE!</v>
      </c>
      <c r="AI35" s="18">
        <f>'Alternative 3'!F36</f>
        <v>33</v>
      </c>
      <c r="AJ35" s="83">
        <f t="shared" si="18"/>
        <v>2.5</v>
      </c>
      <c r="AK35" s="45">
        <f t="shared" si="19"/>
        <v>2.5</v>
      </c>
      <c r="AL35" s="84">
        <f>'Dynamic Loading'!$AG$3*'Combined Stress'!AJ35+'Wind Loading'!$T$69*AK35+'Wind Loading'!$T$68*'Combined Stress'!AK36+'Wind Loading'!$T$67*'Combined Stress'!AK37+'Wind Loading'!$T$66*'Combined Stress'!AK38+'Wind Loading'!$T$65*'Combined Stress'!AK39+'Wind Loading'!$T$64*'Combined Stress'!AK40+'Wind Loading'!$T$63*'Combined Stress'!AK41+'Wind Loading'!$T$62*'Combined Stress'!AK42+'Wind Loading'!$T$61*'Combined Stress'!AK43+'Wind Loading'!$T$60*'Combined Stress'!AK44+'Wind Loading'!$T$59*'Combined Stress'!AK45+'Wind Loading'!$T$58*'Combined Stress'!AK46+'Wind Loading'!$T$57*'Combined Stress'!AK47+'Wind Loading'!$T$56*'Combined Stress'!AK48+'Wind Loading'!$T$55*'Combined Stress'!AK49+'Wind Loading'!$T$54*'Combined Stress'!AK50+'Wind Loading'!$T$53*'Combined Stress'!AK51+'Wind Loading'!$T$52*'Combined Stress'!AK52+'Wind Loading'!$T$51*'Combined Stress'!AK53+'Wind Loading'!$T$50*'Combined Stress'!AK54+'Wind Loading'!$T$49*'Combined Stress'!AK55+'Wind Loading'!$T$48*'Combined Stress'!AK56+'Wind Loading'!$T$47*'Combined Stress'!AK57+'Wind Loading'!$T$46*'Combined Stress'!AK58+'Wind Loading'!$T$45*'Combined Stress'!AK59+'Wind Loading'!$T$44*'Combined Stress'!AK60+'Wind Loading'!$T$43*'Combined Stress'!AK61+'Wind Loading'!$T$42*'Combined Stress'!AK62+'Wind Loading'!$T$41*'Combined Stress'!AK63+'Wind Loading'!$T$40*'Combined Stress'!AK64+'Wind Loading'!$T$39*'Combined Stress'!AK65+'Wind Loading'!$T$38*'Combined Stress'!AK66+'Wind Loading'!$T$37*'Combined Stress'!AK67+'Wind Loading'!$T$36*'Combined Stress'!AK68+'Wind Loading'!$T$35*'Combined Stress'!AK69</f>
        <v>352809.88938019308</v>
      </c>
      <c r="AM35" s="84">
        <f>((AL35*'Alternative 3'!K36)/'Alternative 3'!L36)/1000000</f>
        <v>5.6151485295693124</v>
      </c>
      <c r="AN35" s="84">
        <f t="shared" ref="AN35:AN68" si="28">AN36+1</f>
        <v>35</v>
      </c>
      <c r="AO35" s="19">
        <f>'Alternative 3'!$B$3+'Alternative 3'!$B$5+('Alternative 2'!$B$39*AN35)</f>
        <v>240648.48857351992</v>
      </c>
      <c r="AP35" s="84">
        <f>'Alternative 3'!M36</f>
        <v>1.5824026985965709</v>
      </c>
      <c r="AQ35" s="84">
        <f t="shared" ref="AQ35:AQ66" si="29">(AO35/AP35)/1000000</f>
        <v>0.15207790582444689</v>
      </c>
      <c r="AR35" s="84">
        <f t="shared" ref="AR35:AR66" si="30">AQ35+AM35</f>
        <v>5.7672264353937592</v>
      </c>
    </row>
    <row r="36" spans="1:44" x14ac:dyDescent="0.25">
      <c r="A36" s="18">
        <f>'Baseline Given'!E37</f>
        <v>34</v>
      </c>
      <c r="B36" s="45">
        <f t="shared" si="20"/>
        <v>36.5</v>
      </c>
      <c r="C36" s="45">
        <f t="shared" si="21"/>
        <v>33.5</v>
      </c>
      <c r="D36" s="19">
        <f>'Dynamic Loading'!$I$3*'Combined Stress'!B36+'Wind Loading'!$E$69*C36+'Wind Loading'!$E$68*'Combined Stress'!C37+'Wind Loading'!$E$67*'Combined Stress'!C38+'Wind Loading'!$E$66*'Combined Stress'!C39+'Wind Loading'!$E$65*'Combined Stress'!C40+'Wind Loading'!$E$64*'Combined Stress'!C41+'Wind Loading'!$E$63*'Combined Stress'!C42+'Wind Loading'!$E$62*'Combined Stress'!C43+'Wind Loading'!$E$61*'Combined Stress'!C44+'Wind Loading'!$E$60*'Combined Stress'!C45+'Wind Loading'!$E$59*'Combined Stress'!C46+'Wind Loading'!$E$58*'Combined Stress'!C47+'Wind Loading'!$E$57*'Combined Stress'!C48+'Wind Loading'!$E$56*'Combined Stress'!C49+'Wind Loading'!$E$55*'Combined Stress'!C50+'Wind Loading'!$E$54*'Combined Stress'!C51+'Wind Loading'!$E$53*'Combined Stress'!C52+'Wind Loading'!$E$52*'Combined Stress'!C53+'Wind Loading'!$E$51*'Combined Stress'!C54+'Wind Loading'!$E$50*'Combined Stress'!C55+'Wind Loading'!$E$49*'Combined Stress'!C56+'Wind Loading'!$E$48*'Combined Stress'!C57+'Wind Loading'!$E$47*'Combined Stress'!C58+'Wind Loading'!$E$46*'Combined Stress'!C59+'Wind Loading'!$E$45*'Combined Stress'!C60+'Wind Loading'!$E$44*'Combined Stress'!C61+'Wind Loading'!$E$43*'Combined Stress'!C62+'Wind Loading'!$E$42*'Combined Stress'!C63+'Wind Loading'!$E$41*'Combined Stress'!C64+'Wind Loading'!$E$40*'Combined Stress'!C65+'Wind Loading'!$E$39*'Combined Stress'!C66+'Wind Loading'!$E$38*'Combined Stress'!C67+'Wind Loading'!$E$37*'Combined Stress'!C68+'Wind Loading'!$E$36*'Combined Stress'!C69</f>
        <v>12760457.00176641</v>
      </c>
      <c r="E36" s="19">
        <f>((D36*'Baseline Given'!K37)/'Baseline Given'!L37)/1000000</f>
        <v>92.819539459021513</v>
      </c>
      <c r="F36" s="19">
        <f t="shared" si="22"/>
        <v>34</v>
      </c>
      <c r="G36" s="19">
        <f>'Baseline Given'!$B$3+'Baseline Given'!$B$5+('Baseline Given'!$B$38*F36)</f>
        <v>1731114.4776119404</v>
      </c>
      <c r="H36" s="19">
        <f>'Baseline Given'!M37</f>
        <v>8.5590257746828975</v>
      </c>
      <c r="I36" s="19">
        <f t="shared" si="23"/>
        <v>0.20225601875536778</v>
      </c>
      <c r="J36" s="19">
        <f t="shared" si="11"/>
        <v>-93.021795477776877</v>
      </c>
      <c r="M36" s="18">
        <f>IF('Alternative 1'!F37&gt;0,'Alternative 1'!F37,"x")</f>
        <v>34</v>
      </c>
      <c r="N36" s="45">
        <f t="shared" si="12"/>
        <v>3.5</v>
      </c>
      <c r="O36" s="45">
        <f t="shared" si="13"/>
        <v>2.5</v>
      </c>
      <c r="P36" s="19">
        <f>'Dynamic Loading'!$Q$3*'Combined Stress'!N36+'Wind Loading'!$J$69*O36+'Wind Loading'!$J$68*'Combined Stress'!O37+'Wind Loading'!$J$67*'Combined Stress'!O38+'Wind Loading'!$J$66*'Combined Stress'!O39+'Wind Loading'!$J$65*'Combined Stress'!O40+'Wind Loading'!$J$64*'Combined Stress'!O41+'Wind Loading'!$J$63*'Combined Stress'!O42+'Wind Loading'!$J$62*'Combined Stress'!O43+'Wind Loading'!$J$61*'Combined Stress'!O44+'Wind Loading'!$J$60*'Combined Stress'!O45+'Wind Loading'!$J$59*'Combined Stress'!O46+'Wind Loading'!$J$58*'Combined Stress'!O47+'Wind Loading'!$J$57*'Combined Stress'!O48+'Wind Loading'!$J$56*'Combined Stress'!O49+'Wind Loading'!$J$55*'Combined Stress'!O50+'Wind Loading'!$J$54*'Combined Stress'!O51+'Wind Loading'!$J$53*'Combined Stress'!O52+'Wind Loading'!$J$52*'Combined Stress'!O53+'Wind Loading'!$J$51*'Combined Stress'!O54+'Wind Loading'!$J$50*'Combined Stress'!O55+'Wind Loading'!$J$49*'Combined Stress'!O56+'Wind Loading'!$J$48*'Combined Stress'!O57+'Wind Loading'!$J$47*'Combined Stress'!O58+'Wind Loading'!$J$46*'Combined Stress'!O59+'Wind Loading'!$J$45*'Combined Stress'!O60+'Wind Loading'!$J$44*'Combined Stress'!O61+'Wind Loading'!$J$43*'Combined Stress'!O62+'Wind Loading'!$J$42*'Combined Stress'!O63+'Wind Loading'!$J$41*'Combined Stress'!O64+'Wind Loading'!$J$40*'Combined Stress'!O65+'Wind Loading'!$J$39*'Combined Stress'!O66+'Wind Loading'!$J$38*'Combined Stress'!O67+'Wind Loading'!$J$37*'Combined Stress'!O68+'Wind Loading'!$J$36*'Combined Stress'!O69</f>
        <v>68652.567695187143</v>
      </c>
      <c r="Q36" s="19">
        <f>((P36*'Alternative 1'!K37)/'Alternative 1'!L37)/1000000</f>
        <v>0.54632023668896279</v>
      </c>
      <c r="R36" s="45">
        <f t="shared" si="14"/>
        <v>3</v>
      </c>
      <c r="S36" s="19">
        <f>IF(R36&gt;0,'Alternative 1'!$B$3+'Alternative 1'!$B$5+('Alternative 1'!$B$39*R36),0)</f>
        <v>66619.46901875097</v>
      </c>
      <c r="T36" s="19">
        <f>'Alternative 1'!M37</f>
        <v>1.6280991951050983</v>
      </c>
      <c r="U36" s="19">
        <f t="shared" si="24"/>
        <v>4.0918556571395211E-2</v>
      </c>
      <c r="V36" s="19">
        <f t="shared" si="25"/>
        <v>0.58723879326035799</v>
      </c>
      <c r="X36" s="18" t="str">
        <f>IF('Alternative 2'!$F37&gt;0,'Alternative 2'!$F37,"x")</f>
        <v>x</v>
      </c>
      <c r="Y36" s="45">
        <f t="shared" si="15"/>
        <v>0</v>
      </c>
      <c r="Z36" s="45">
        <f t="shared" si="16"/>
        <v>0</v>
      </c>
      <c r="AA36" s="19">
        <f>'Dynamic Loading'!$Y$3*'Combined Stress'!Y36+'Wind Loading'!$O$69*Z36+'Wind Loading'!$O$68*'Combined Stress'!Z37+'Wind Loading'!$O$67*'Combined Stress'!Z38+'Wind Loading'!$O$66*'Combined Stress'!Z39+'Wind Loading'!$O$65*'Combined Stress'!Z40+'Wind Loading'!$O$64*'Combined Stress'!Z41+'Wind Loading'!$O$63*'Combined Stress'!Z42+'Wind Loading'!$O$62*'Combined Stress'!Z43+'Wind Loading'!$O$61*'Combined Stress'!Z44+'Wind Loading'!$O$60*'Combined Stress'!Z45+'Wind Loading'!$O$59*'Combined Stress'!Z46+'Wind Loading'!$O$58*'Combined Stress'!Z47+'Wind Loading'!$O$57*'Combined Stress'!Z48+'Wind Loading'!$O$56*'Combined Stress'!Z49+'Wind Loading'!$O$55*'Combined Stress'!Z50+'Wind Loading'!$O$54*'Combined Stress'!Z51+'Wind Loading'!$O$53*'Combined Stress'!Z52+'Wind Loading'!$O$52*'Combined Stress'!Z53+'Wind Loading'!$O$51*'Combined Stress'!Z54+'Wind Loading'!$O$50*'Combined Stress'!Z55+'Wind Loading'!$O$49*'Combined Stress'!Z56+'Wind Loading'!$O$48*'Combined Stress'!Z57+'Wind Loading'!$O$47*'Combined Stress'!Z58+'Wind Loading'!$O$46*'Combined Stress'!Z59+'Wind Loading'!$O$45*'Combined Stress'!Z60+'Wind Loading'!$O$44*'Combined Stress'!Z61+'Wind Loading'!$O$43*'Combined Stress'!Z62+'Wind Loading'!$O$42*'Combined Stress'!Z63+'Wind Loading'!$O$41*'Combined Stress'!Z64+'Wind Loading'!$O$40*'Combined Stress'!Z65+'Wind Loading'!$O$39*'Combined Stress'!Z66+'Wind Loading'!$O$38*'Combined Stress'!Z67+'Wind Loading'!$O$37*'Combined Stress'!Z68+'Wind Loading'!$O$36*'Combined Stress'!Z69</f>
        <v>0</v>
      </c>
      <c r="AB36" s="19" t="e">
        <f>((AA36*'Alternative 2'!K37)/'Alternative 2'!L37)/1000000</f>
        <v>#VALUE!</v>
      </c>
      <c r="AC36" s="45">
        <f t="shared" si="17"/>
        <v>0</v>
      </c>
      <c r="AD36" s="19">
        <f>'Alternative 2'!$B$3+'Alternative 2'!$B$5+('Alternative 2'!$B$39*AC36)</f>
        <v>76491.87</v>
      </c>
      <c r="AE36" s="19" t="e">
        <f>'Alternative 2'!M37</f>
        <v>#VALUE!</v>
      </c>
      <c r="AF36" s="19" t="e">
        <f t="shared" si="26"/>
        <v>#VALUE!</v>
      </c>
      <c r="AG36" s="19" t="e">
        <f t="shared" si="27"/>
        <v>#VALUE!</v>
      </c>
      <c r="AI36" s="18">
        <f>'Alternative 3'!F37</f>
        <v>34</v>
      </c>
      <c r="AJ36" s="83">
        <f t="shared" si="18"/>
        <v>1.5</v>
      </c>
      <c r="AK36" s="45">
        <f t="shared" si="19"/>
        <v>1.5</v>
      </c>
      <c r="AL36" s="84">
        <f>'Dynamic Loading'!$AG$3*'Combined Stress'!AJ36+'Wind Loading'!$T$69*AK36+'Wind Loading'!$T$68*'Combined Stress'!AK37+'Wind Loading'!$T$67*'Combined Stress'!AK38+'Wind Loading'!$T$66*'Combined Stress'!AK39+'Wind Loading'!$T$65*'Combined Stress'!AK40+'Wind Loading'!$T$64*'Combined Stress'!AK41+'Wind Loading'!$T$63*'Combined Stress'!AK42+'Wind Loading'!$T$62*'Combined Stress'!AK43+'Wind Loading'!$T$61*'Combined Stress'!AK44+'Wind Loading'!$T$60*'Combined Stress'!AK45+'Wind Loading'!$T$59*'Combined Stress'!AK46+'Wind Loading'!$T$58*'Combined Stress'!AK47+'Wind Loading'!$T$57*'Combined Stress'!AK48+'Wind Loading'!$T$56*'Combined Stress'!AK49+'Wind Loading'!$T$55*'Combined Stress'!AK50+'Wind Loading'!$T$54*'Combined Stress'!AK51+'Wind Loading'!$T$53*'Combined Stress'!AK52+'Wind Loading'!$T$52*'Combined Stress'!AK53+'Wind Loading'!$T$51*'Combined Stress'!AK54+'Wind Loading'!$T$50*'Combined Stress'!AK55+'Wind Loading'!$T$49*'Combined Stress'!AK56+'Wind Loading'!$T$48*'Combined Stress'!AK57+'Wind Loading'!$T$47*'Combined Stress'!AK58+'Wind Loading'!$T$46*'Combined Stress'!AK59+'Wind Loading'!$T$45*'Combined Stress'!AK60+'Wind Loading'!$T$44*'Combined Stress'!AK61+'Wind Loading'!$T$43*'Combined Stress'!AK62+'Wind Loading'!$T$42*'Combined Stress'!AK63+'Wind Loading'!$T$41*'Combined Stress'!AK64+'Wind Loading'!$T$40*'Combined Stress'!AK65+'Wind Loading'!$T$39*'Combined Stress'!AK66+'Wind Loading'!$T$38*'Combined Stress'!AK67+'Wind Loading'!$T$37*'Combined Stress'!AK68+'Wind Loading'!$T$36*'Combined Stress'!AK69</f>
        <v>211685.93362811583</v>
      </c>
      <c r="AM36" s="84">
        <f>((AL36*'Alternative 3'!K37)/'Alternative 3'!L37)/1000000</f>
        <v>3.3690891177415869</v>
      </c>
      <c r="AN36" s="84">
        <f t="shared" si="28"/>
        <v>34</v>
      </c>
      <c r="AO36" s="19">
        <f>'Alternative 3'!$B$3+'Alternative 3'!$B$5+('Alternative 2'!$B$39*AN36)</f>
        <v>237927.71295291936</v>
      </c>
      <c r="AP36" s="84">
        <f>'Alternative 3'!M37</f>
        <v>1.5387523155141427</v>
      </c>
      <c r="AQ36" s="84">
        <f t="shared" si="29"/>
        <v>0.1546237887371891</v>
      </c>
      <c r="AR36" s="84">
        <f t="shared" si="30"/>
        <v>3.5237129064787762</v>
      </c>
    </row>
    <row r="37" spans="1:44" x14ac:dyDescent="0.25">
      <c r="A37" s="18">
        <f>'Baseline Given'!E38</f>
        <v>35</v>
      </c>
      <c r="B37" s="45">
        <f t="shared" si="20"/>
        <v>35.5</v>
      </c>
      <c r="C37" s="45">
        <f t="shared" si="21"/>
        <v>32.5</v>
      </c>
      <c r="D37" s="19">
        <f>'Dynamic Loading'!$I$3*'Combined Stress'!B37+'Wind Loading'!$E$69*C37+'Wind Loading'!$E$68*'Combined Stress'!C38+'Wind Loading'!$E$67*'Combined Stress'!C39+'Wind Loading'!$E$66*'Combined Stress'!C40+'Wind Loading'!$E$65*'Combined Stress'!C41+'Wind Loading'!$E$64*'Combined Stress'!C42+'Wind Loading'!$E$63*'Combined Stress'!C43+'Wind Loading'!$E$62*'Combined Stress'!C44+'Wind Loading'!$E$61*'Combined Stress'!C45+'Wind Loading'!$E$60*'Combined Stress'!C46+'Wind Loading'!$E$59*'Combined Stress'!C47+'Wind Loading'!$E$58*'Combined Stress'!C48+'Wind Loading'!$E$57*'Combined Stress'!C49+'Wind Loading'!$E$56*'Combined Stress'!C50+'Wind Loading'!$E$55*'Combined Stress'!C51+'Wind Loading'!$E$54*'Combined Stress'!C52+'Wind Loading'!$E$53*'Combined Stress'!C53+'Wind Loading'!$E$52*'Combined Stress'!C54+'Wind Loading'!$E$51*'Combined Stress'!C55+'Wind Loading'!$E$50*'Combined Stress'!C56+'Wind Loading'!$E$49*'Combined Stress'!C57+'Wind Loading'!$E$48*'Combined Stress'!C58+'Wind Loading'!$E$47*'Combined Stress'!C59+'Wind Loading'!$E$46*'Combined Stress'!C60+'Wind Loading'!$E$45*'Combined Stress'!C61+'Wind Loading'!$E$44*'Combined Stress'!C62+'Wind Loading'!$E$43*'Combined Stress'!C63+'Wind Loading'!$E$42*'Combined Stress'!C64+'Wind Loading'!$E$41*'Combined Stress'!C65+'Wind Loading'!$E$40*'Combined Stress'!C66+'Wind Loading'!$E$39*'Combined Stress'!C67+'Wind Loading'!$E$38*'Combined Stress'!C68+'Wind Loading'!$E$37*'Combined Stress'!C69</f>
        <v>12352930.587356748</v>
      </c>
      <c r="E37" s="19">
        <f>((D37*'Baseline Given'!K38)/'Baseline Given'!L38)/1000000</f>
        <v>90.600535727408513</v>
      </c>
      <c r="F37" s="19">
        <f t="shared" si="22"/>
        <v>33</v>
      </c>
      <c r="G37" s="19">
        <f>'Baseline Given'!$B$3+'Baseline Given'!$B$5+('Baseline Given'!$B$38*F37)</f>
        <v>1714955.5223880596</v>
      </c>
      <c r="H37" s="19">
        <f>'Baseline Given'!M38</f>
        <v>8.4570201131230789</v>
      </c>
      <c r="I37" s="19">
        <f t="shared" si="23"/>
        <v>0.20278484613355691</v>
      </c>
      <c r="J37" s="19">
        <f t="shared" si="11"/>
        <v>-90.803320573542067</v>
      </c>
      <c r="M37" s="18">
        <f>IF('Alternative 1'!F38&gt;0,'Alternative 1'!F38,"x")</f>
        <v>35</v>
      </c>
      <c r="N37" s="45">
        <f t="shared" si="12"/>
        <v>2.5</v>
      </c>
      <c r="O37" s="45">
        <f t="shared" si="13"/>
        <v>1.5</v>
      </c>
      <c r="P37" s="19">
        <f>'Dynamic Loading'!$Q$3*'Combined Stress'!N37+'Wind Loading'!$J$69*O37+'Wind Loading'!$J$68*'Combined Stress'!O38+'Wind Loading'!$J$67*'Combined Stress'!O39+'Wind Loading'!$J$66*'Combined Stress'!O40+'Wind Loading'!$J$65*'Combined Stress'!O41+'Wind Loading'!$J$64*'Combined Stress'!O42+'Wind Loading'!$J$63*'Combined Stress'!O43+'Wind Loading'!$J$62*'Combined Stress'!O44+'Wind Loading'!$J$61*'Combined Stress'!O45+'Wind Loading'!$J$60*'Combined Stress'!O46+'Wind Loading'!$J$59*'Combined Stress'!O47+'Wind Loading'!$J$58*'Combined Stress'!O48+'Wind Loading'!$J$57*'Combined Stress'!O49+'Wind Loading'!$J$56*'Combined Stress'!O50+'Wind Loading'!$J$55*'Combined Stress'!O51+'Wind Loading'!$J$54*'Combined Stress'!O52+'Wind Loading'!$J$53*'Combined Stress'!O53+'Wind Loading'!$J$52*'Combined Stress'!O54+'Wind Loading'!$J$51*'Combined Stress'!O55+'Wind Loading'!$J$50*'Combined Stress'!O56+'Wind Loading'!$J$49*'Combined Stress'!O57+'Wind Loading'!$J$48*'Combined Stress'!O58+'Wind Loading'!$J$47*'Combined Stress'!O59+'Wind Loading'!$J$46*'Combined Stress'!O60+'Wind Loading'!$J$45*'Combined Stress'!O61+'Wind Loading'!$J$44*'Combined Stress'!O62+'Wind Loading'!$J$43*'Combined Stress'!O63+'Wind Loading'!$J$42*'Combined Stress'!O64+'Wind Loading'!$J$41*'Combined Stress'!O65+'Wind Loading'!$J$40*'Combined Stress'!O66+'Wind Loading'!$J$39*'Combined Stress'!O67+'Wind Loading'!$J$38*'Combined Stress'!O68+'Wind Loading'!$J$37*'Combined Stress'!O69</f>
        <v>49037.548353705104</v>
      </c>
      <c r="Q37" s="19">
        <f>((P37*'Alternative 1'!K38)/'Alternative 1'!L38)/1000000</f>
        <v>0.39022874049211637</v>
      </c>
      <c r="R37" s="45">
        <f t="shared" si="14"/>
        <v>2</v>
      </c>
      <c r="S37" s="19">
        <f>IF(R37&gt;0,'Alternative 1'!$B$3+'Alternative 1'!$B$5+('Alternative 1'!$B$39*R37),0)</f>
        <v>58116.13827916731</v>
      </c>
      <c r="T37" s="19">
        <f>'Alternative 1'!M38</f>
        <v>1.5834292042151636</v>
      </c>
      <c r="U37" s="19">
        <f t="shared" si="24"/>
        <v>3.6702707089435634E-2</v>
      </c>
      <c r="V37" s="19">
        <f t="shared" si="25"/>
        <v>0.42693144758155199</v>
      </c>
      <c r="X37" s="18" t="str">
        <f>IF('Alternative 2'!$F38&gt;0,'Alternative 2'!$F38,"x")</f>
        <v>x</v>
      </c>
      <c r="Y37" s="45">
        <f t="shared" si="15"/>
        <v>0</v>
      </c>
      <c r="Z37" s="45">
        <f t="shared" si="16"/>
        <v>0</v>
      </c>
      <c r="AA37" s="19">
        <f>'Dynamic Loading'!$Y$3*'Combined Stress'!Y37+'Wind Loading'!$O$69*Z37+'Wind Loading'!$O$68*'Combined Stress'!Z38+'Wind Loading'!$O$67*'Combined Stress'!Z39+'Wind Loading'!$O$66*'Combined Stress'!Z40+'Wind Loading'!$O$65*'Combined Stress'!Z41+'Wind Loading'!$O$64*'Combined Stress'!Z42+'Wind Loading'!$O$63*'Combined Stress'!Z43+'Wind Loading'!$O$62*'Combined Stress'!Z44+'Wind Loading'!$O$61*'Combined Stress'!Z45+'Wind Loading'!$O$60*'Combined Stress'!Z46+'Wind Loading'!$O$59*'Combined Stress'!Z47+'Wind Loading'!$O$58*'Combined Stress'!Z48+'Wind Loading'!$O$57*'Combined Stress'!Z49+'Wind Loading'!$O$56*'Combined Stress'!Z50+'Wind Loading'!$O$55*'Combined Stress'!Z51+'Wind Loading'!$O$54*'Combined Stress'!Z52+'Wind Loading'!$O$53*'Combined Stress'!Z53+'Wind Loading'!$O$52*'Combined Stress'!Z54+'Wind Loading'!$O$51*'Combined Stress'!Z55+'Wind Loading'!$O$50*'Combined Stress'!Z56+'Wind Loading'!$O$49*'Combined Stress'!Z57+'Wind Loading'!$O$48*'Combined Stress'!Z58+'Wind Loading'!$O$47*'Combined Stress'!Z59+'Wind Loading'!$O$46*'Combined Stress'!Z60+'Wind Loading'!$O$45*'Combined Stress'!Z61+'Wind Loading'!$O$44*'Combined Stress'!Z62+'Wind Loading'!$O$43*'Combined Stress'!Z63+'Wind Loading'!$O$42*'Combined Stress'!Z64+'Wind Loading'!$O$41*'Combined Stress'!Z65+'Wind Loading'!$O$40*'Combined Stress'!Z66+'Wind Loading'!$O$39*'Combined Stress'!Z67+'Wind Loading'!$O$38*'Combined Stress'!Z68+'Wind Loading'!$O$37*'Combined Stress'!Z69</f>
        <v>0</v>
      </c>
      <c r="AB37" s="19" t="e">
        <f>((AA37*'Alternative 2'!K38)/'Alternative 2'!L38)/1000000</f>
        <v>#VALUE!</v>
      </c>
      <c r="AC37" s="45">
        <f t="shared" si="17"/>
        <v>0</v>
      </c>
      <c r="AD37" s="19">
        <f>'Alternative 2'!$B$3+'Alternative 2'!$B$5+('Alternative 2'!$B$39*AC37)</f>
        <v>76491.87</v>
      </c>
      <c r="AE37" s="19" t="e">
        <f>'Alternative 2'!M38</f>
        <v>#VALUE!</v>
      </c>
      <c r="AF37" s="19" t="e">
        <f t="shared" si="26"/>
        <v>#VALUE!</v>
      </c>
      <c r="AG37" s="19" t="e">
        <f t="shared" si="27"/>
        <v>#VALUE!</v>
      </c>
      <c r="AI37" s="18">
        <f>'Alternative 3'!F38</f>
        <v>35</v>
      </c>
      <c r="AJ37" s="83">
        <f t="shared" si="18"/>
        <v>0.5</v>
      </c>
      <c r="AK37" s="45">
        <f t="shared" si="19"/>
        <v>0.5</v>
      </c>
      <c r="AL37" s="84">
        <f>'Dynamic Loading'!$AG$3*'Combined Stress'!AJ37+'Wind Loading'!$T$69*AK37+'Wind Loading'!$T$68*'Combined Stress'!AK38+'Wind Loading'!$T$67*'Combined Stress'!AK39+'Wind Loading'!$T$66*'Combined Stress'!AK40+'Wind Loading'!$T$65*'Combined Stress'!AK41+'Wind Loading'!$T$64*'Combined Stress'!AK42+'Wind Loading'!$T$63*'Combined Stress'!AK43+'Wind Loading'!$T$62*'Combined Stress'!AK44+'Wind Loading'!$T$61*'Combined Stress'!AK45+'Wind Loading'!$T$60*'Combined Stress'!AK46+'Wind Loading'!$T$59*'Combined Stress'!AK47+'Wind Loading'!$T$58*'Combined Stress'!AK48+'Wind Loading'!$T$57*'Combined Stress'!AK49+'Wind Loading'!$T$56*'Combined Stress'!AK50+'Wind Loading'!$T$55*'Combined Stress'!AK51+'Wind Loading'!$T$54*'Combined Stress'!AK52+'Wind Loading'!$T$53*'Combined Stress'!AK53+'Wind Loading'!$T$52*'Combined Stress'!AK54+'Wind Loading'!$T$51*'Combined Stress'!AK55+'Wind Loading'!$T$50*'Combined Stress'!AK56+'Wind Loading'!$T$49*'Combined Stress'!AK57+'Wind Loading'!$T$48*'Combined Stress'!AK58+'Wind Loading'!$T$47*'Combined Stress'!AK59+'Wind Loading'!$T$46*'Combined Stress'!AK60+'Wind Loading'!$T$45*'Combined Stress'!AK61+'Wind Loading'!$T$44*'Combined Stress'!AK62+'Wind Loading'!$T$43*'Combined Stress'!AK63+'Wind Loading'!$T$42*'Combined Stress'!AK64+'Wind Loading'!$T$41*'Combined Stress'!AK65+'Wind Loading'!$T$40*'Combined Stress'!AK66+'Wind Loading'!$T$39*'Combined Stress'!AK67+'Wind Loading'!$T$38*'Combined Stress'!AK68+'Wind Loading'!$T$37*'Combined Stress'!AK69</f>
        <v>70561.977876038611</v>
      </c>
      <c r="AM37" s="84">
        <f>((AL37*'Alternative 3'!K38)/'Alternative 3'!L38)/1000000</f>
        <v>1.1230297059138623</v>
      </c>
      <c r="AN37" s="84">
        <f t="shared" si="28"/>
        <v>33</v>
      </c>
      <c r="AO37" s="19">
        <f>'Alternative 3'!$B$3+'Alternative 3'!$B$5+('Alternative 2'!$B$39*AN37)</f>
        <v>235206.9373323188</v>
      </c>
      <c r="AP37" s="84">
        <f>'Alternative 3'!M38</f>
        <v>1.4957124272999998</v>
      </c>
      <c r="AQ37" s="84">
        <f t="shared" si="29"/>
        <v>0.15725411719477719</v>
      </c>
      <c r="AR37" s="84">
        <f t="shared" si="30"/>
        <v>1.2802838231086395</v>
      </c>
    </row>
    <row r="38" spans="1:44" x14ac:dyDescent="0.25">
      <c r="A38" s="18">
        <f>'Baseline Given'!E39</f>
        <v>36</v>
      </c>
      <c r="B38" s="45">
        <f t="shared" si="20"/>
        <v>34.5</v>
      </c>
      <c r="C38" s="45">
        <f t="shared" si="21"/>
        <v>31.5</v>
      </c>
      <c r="D38" s="19">
        <f>'Dynamic Loading'!$I$3*'Combined Stress'!B38+'Wind Loading'!$E$69*C38+'Wind Loading'!$E$68*'Combined Stress'!C39+'Wind Loading'!$E$67*'Combined Stress'!C40+'Wind Loading'!$E$66*'Combined Stress'!C41+'Wind Loading'!$E$65*'Combined Stress'!C42+'Wind Loading'!$E$64*'Combined Stress'!C43+'Wind Loading'!$E$63*'Combined Stress'!C44+'Wind Loading'!$E$62*'Combined Stress'!C45+'Wind Loading'!$E$61*'Combined Stress'!C46+'Wind Loading'!$E$60*'Combined Stress'!C47+'Wind Loading'!$E$59*'Combined Stress'!C48+'Wind Loading'!$E$58*'Combined Stress'!C49+'Wind Loading'!$E$57*'Combined Stress'!C50+'Wind Loading'!$E$56*'Combined Stress'!C51+'Wind Loading'!$E$55*'Combined Stress'!C52+'Wind Loading'!$E$54*'Combined Stress'!C53+'Wind Loading'!$E$53*'Combined Stress'!C54+'Wind Loading'!$E$52*'Combined Stress'!C55+'Wind Loading'!$E$51*'Combined Stress'!C56+'Wind Loading'!$E$50*'Combined Stress'!C57+'Wind Loading'!$E$49*'Combined Stress'!C58+'Wind Loading'!$E$48*'Combined Stress'!C59+'Wind Loading'!$E$47*'Combined Stress'!C60+'Wind Loading'!$E$46*'Combined Stress'!C61+'Wind Loading'!$E$45*'Combined Stress'!C62+'Wind Loading'!$E$44*'Combined Stress'!C63+'Wind Loading'!$E$43*'Combined Stress'!C64+'Wind Loading'!$E$42*'Combined Stress'!C65+'Wind Loading'!$E$41*'Combined Stress'!C66+'Wind Loading'!$E$40*'Combined Stress'!C67+'Wind Loading'!$E$39*'Combined Stress'!C68+'Wind Loading'!$E$38*'Combined Stress'!C69</f>
        <v>11948764.61970078</v>
      </c>
      <c r="E38" s="19">
        <f>((D38*'Baseline Given'!K39)/'Baseline Given'!L39)/1000000</f>
        <v>88.369263911233247</v>
      </c>
      <c r="F38" s="19">
        <f t="shared" si="22"/>
        <v>32</v>
      </c>
      <c r="G38" s="19">
        <f>'Baseline Given'!$B$3+'Baseline Given'!$B$5+('Baseline Given'!$B$38*F38)</f>
        <v>1698796.5671641792</v>
      </c>
      <c r="H38" s="19">
        <f>'Baseline Given'!M39</f>
        <v>8.3556259478262973</v>
      </c>
      <c r="I38" s="19">
        <f t="shared" si="23"/>
        <v>0.20331170612132518</v>
      </c>
      <c r="J38" s="19">
        <f t="shared" si="11"/>
        <v>-88.572575617354573</v>
      </c>
      <c r="M38" s="18">
        <f>IF('Alternative 1'!F39&gt;0,'Alternative 1'!F39,"x")</f>
        <v>36</v>
      </c>
      <c r="N38" s="45">
        <f t="shared" si="12"/>
        <v>1.5</v>
      </c>
      <c r="O38" s="45">
        <f t="shared" si="13"/>
        <v>0.5</v>
      </c>
      <c r="P38" s="19">
        <f>'Dynamic Loading'!$Q$3*'Combined Stress'!N38+'Wind Loading'!$J$69*O38+'Wind Loading'!$J$68*'Combined Stress'!O39+'Wind Loading'!$J$67*'Combined Stress'!O40+'Wind Loading'!$J$66*'Combined Stress'!O41+'Wind Loading'!$J$65*'Combined Stress'!O42+'Wind Loading'!$J$64*'Combined Stress'!O43+'Wind Loading'!$J$63*'Combined Stress'!O44+'Wind Loading'!$J$62*'Combined Stress'!O45+'Wind Loading'!$J$61*'Combined Stress'!O46+'Wind Loading'!$J$60*'Combined Stress'!O47+'Wind Loading'!$J$59*'Combined Stress'!O48+'Wind Loading'!$J$58*'Combined Stress'!O49+'Wind Loading'!$J$57*'Combined Stress'!O50+'Wind Loading'!$J$56*'Combined Stress'!O51+'Wind Loading'!$J$55*'Combined Stress'!O52+'Wind Loading'!$J$54*'Combined Stress'!O53+'Wind Loading'!$J$53*'Combined Stress'!O54+'Wind Loading'!$J$52*'Combined Stress'!O55+'Wind Loading'!$J$51*'Combined Stress'!O56+'Wind Loading'!$J$50*'Combined Stress'!O57+'Wind Loading'!$J$49*'Combined Stress'!O58+'Wind Loading'!$J$48*'Combined Stress'!O59+'Wind Loading'!$J$47*'Combined Stress'!O60+'Wind Loading'!$J$46*'Combined Stress'!O61+'Wind Loading'!$J$45*'Combined Stress'!O62+'Wind Loading'!$J$44*'Combined Stress'!O63+'Wind Loading'!$J$43*'Combined Stress'!O64+'Wind Loading'!$J$42*'Combined Stress'!O65+'Wind Loading'!$J$41*'Combined Stress'!O66+'Wind Loading'!$J$40*'Combined Stress'!O67+'Wind Loading'!$J$39*'Combined Stress'!O68+'Wind Loading'!$J$38*'Combined Stress'!O69</f>
        <v>29422.529012223065</v>
      </c>
      <c r="Q38" s="19">
        <f>((P38*'Alternative 1'!K39)/'Alternative 1'!L39)/1000000</f>
        <v>0.2341372442952698</v>
      </c>
      <c r="R38" s="45">
        <f t="shared" si="14"/>
        <v>1</v>
      </c>
      <c r="S38" s="19">
        <f>IF(R38&gt;0,'Alternative 1'!$B$3+'Alternative 1'!$B$5+('Alternative 1'!$B$39*R38),0)</f>
        <v>49612.807539583657</v>
      </c>
      <c r="T38" s="19">
        <f>'Alternative 1'!M39</f>
        <v>1.5393805699999998</v>
      </c>
      <c r="U38" s="19">
        <f t="shared" si="24"/>
        <v>3.2229072203752492E-2</v>
      </c>
      <c r="V38" s="19">
        <f t="shared" si="25"/>
        <v>0.26636631649902232</v>
      </c>
      <c r="X38" s="18" t="str">
        <f>IF('Alternative 2'!$F39&gt;0,'Alternative 2'!$F39,"x")</f>
        <v>x</v>
      </c>
      <c r="Y38" s="45">
        <f t="shared" si="15"/>
        <v>0</v>
      </c>
      <c r="Z38" s="45">
        <f t="shared" si="16"/>
        <v>0</v>
      </c>
      <c r="AA38" s="19">
        <f>'Dynamic Loading'!$Y$3*'Combined Stress'!Y38+'Wind Loading'!$O$69*Z38+'Wind Loading'!$O$68*'Combined Stress'!Z39+'Wind Loading'!$O$67*'Combined Stress'!Z40+'Wind Loading'!$O$66*'Combined Stress'!Z41+'Wind Loading'!$O$65*'Combined Stress'!Z42+'Wind Loading'!$O$64*'Combined Stress'!Z43+'Wind Loading'!$O$63*'Combined Stress'!Z44+'Wind Loading'!$O$62*'Combined Stress'!Z45+'Wind Loading'!$O$61*'Combined Stress'!Z46+'Wind Loading'!$O$60*'Combined Stress'!Z47+'Wind Loading'!$O$59*'Combined Stress'!Z48+'Wind Loading'!$O$58*'Combined Stress'!Z49+'Wind Loading'!$O$57*'Combined Stress'!Z50+'Wind Loading'!$O$56*'Combined Stress'!Z51+'Wind Loading'!$O$55*'Combined Stress'!Z52+'Wind Loading'!$O$54*'Combined Stress'!Z53+'Wind Loading'!$O$53*'Combined Stress'!Z54+'Wind Loading'!$O$52*'Combined Stress'!Z55+'Wind Loading'!$O$51*'Combined Stress'!Z56+'Wind Loading'!$O$50*'Combined Stress'!Z57+'Wind Loading'!$O$49*'Combined Stress'!Z58+'Wind Loading'!$O$48*'Combined Stress'!Z59+'Wind Loading'!$O$47*'Combined Stress'!Z60+'Wind Loading'!$O$46*'Combined Stress'!Z61+'Wind Loading'!$O$45*'Combined Stress'!Z62+'Wind Loading'!$O$44*'Combined Stress'!Z63+'Wind Loading'!$O$43*'Combined Stress'!Z64+'Wind Loading'!$O$42*'Combined Stress'!Z65+'Wind Loading'!$O$41*'Combined Stress'!Z66+'Wind Loading'!$O$40*'Combined Stress'!Z67+'Wind Loading'!$O$39*'Combined Stress'!Z68+'Wind Loading'!$O$38*'Combined Stress'!Z69</f>
        <v>0</v>
      </c>
      <c r="AB38" s="19" t="e">
        <f>((AA38*'Alternative 2'!K39)/'Alternative 2'!L39)/1000000</f>
        <v>#VALUE!</v>
      </c>
      <c r="AC38" s="45">
        <f t="shared" si="17"/>
        <v>0</v>
      </c>
      <c r="AD38" s="19">
        <f>'Alternative 2'!$B$3+'Alternative 2'!$B$5+('Alternative 2'!$B$39*AC38)</f>
        <v>76491.87</v>
      </c>
      <c r="AE38" s="19" t="e">
        <f>'Alternative 2'!M39</f>
        <v>#VALUE!</v>
      </c>
      <c r="AF38" s="19" t="e">
        <f t="shared" si="26"/>
        <v>#VALUE!</v>
      </c>
      <c r="AG38" s="19" t="e">
        <f t="shared" si="27"/>
        <v>#VALUE!</v>
      </c>
      <c r="AI38" s="18" t="str">
        <f>'Alternative 3'!F39</f>
        <v>x</v>
      </c>
      <c r="AJ38" s="83">
        <f t="shared" si="18"/>
        <v>-0.5</v>
      </c>
      <c r="AK38" s="45">
        <f t="shared" si="19"/>
        <v>0</v>
      </c>
      <c r="AL38" s="84">
        <f>'Dynamic Loading'!$AG$3*'Combined Stress'!AJ38+'Wind Loading'!$T$69*AK38+'Wind Loading'!$T$68*'Combined Stress'!AK39+'Wind Loading'!$T$67*'Combined Stress'!AK40+'Wind Loading'!$T$66*'Combined Stress'!AK41+'Wind Loading'!$T$65*'Combined Stress'!AK42+'Wind Loading'!$T$64*'Combined Stress'!AK43+'Wind Loading'!$T$63*'Combined Stress'!AK44+'Wind Loading'!$T$62*'Combined Stress'!AK45+'Wind Loading'!$T$61*'Combined Stress'!AK46+'Wind Loading'!$T$60*'Combined Stress'!AK47+'Wind Loading'!$T$59*'Combined Stress'!AK48+'Wind Loading'!$T$58*'Combined Stress'!AK49+'Wind Loading'!$T$57*'Combined Stress'!AK50+'Wind Loading'!$T$56*'Combined Stress'!AK51+'Wind Loading'!$T$55*'Combined Stress'!AK52+'Wind Loading'!$T$54*'Combined Stress'!AK53+'Wind Loading'!$T$53*'Combined Stress'!AK54+'Wind Loading'!$T$52*'Combined Stress'!AK55+'Wind Loading'!$T$51*'Combined Stress'!AK56+'Wind Loading'!$T$50*'Combined Stress'!AK57+'Wind Loading'!$T$49*'Combined Stress'!AK58+'Wind Loading'!$T$48*'Combined Stress'!AK59+'Wind Loading'!$T$47*'Combined Stress'!AK60+'Wind Loading'!$T$46*'Combined Stress'!AK61+'Wind Loading'!$T$45*'Combined Stress'!AK62+'Wind Loading'!$T$44*'Combined Stress'!AK63+'Wind Loading'!$T$43*'Combined Stress'!AK64+'Wind Loading'!$T$42*'Combined Stress'!AK65+'Wind Loading'!$T$41*'Combined Stress'!AK66+'Wind Loading'!$T$40*'Combined Stress'!AK67+'Wind Loading'!$T$39*'Combined Stress'!AK68+'Wind Loading'!$T$38*'Combined Stress'!AK69</f>
        <v>-70561.977876038611</v>
      </c>
      <c r="AM38" s="84" t="e">
        <f>((AL38*'Alternative 3'!K39)/'Alternative 3'!L39)/1000000</f>
        <v>#VALUE!</v>
      </c>
      <c r="AN38" s="84">
        <f t="shared" si="28"/>
        <v>32</v>
      </c>
      <c r="AO38" s="19">
        <f>'Alternative 3'!$B$3+'Alternative 3'!$B$5+('Alternative 2'!$B$39*AN38)</f>
        <v>232486.16171171822</v>
      </c>
      <c r="AP38" s="84" t="e">
        <f>'Alternative 3'!M39</f>
        <v>#VALUE!</v>
      </c>
      <c r="AQ38" s="84" t="e">
        <f t="shared" si="29"/>
        <v>#VALUE!</v>
      </c>
      <c r="AR38" s="84" t="e">
        <f t="shared" si="30"/>
        <v>#VALUE!</v>
      </c>
    </row>
    <row r="39" spans="1:44" x14ac:dyDescent="0.25">
      <c r="A39" s="18">
        <f>'Baseline Given'!E40</f>
        <v>37</v>
      </c>
      <c r="B39" s="45">
        <f t="shared" si="20"/>
        <v>33.5</v>
      </c>
      <c r="C39" s="45">
        <f t="shared" si="21"/>
        <v>30.5</v>
      </c>
      <c r="D39" s="19">
        <f>'Dynamic Loading'!$I$3*'Combined Stress'!B39+'Wind Loading'!$E$69*C39+'Wind Loading'!$E$68*'Combined Stress'!C40+'Wind Loading'!$E$67*'Combined Stress'!C41+'Wind Loading'!$E$66*'Combined Stress'!C42+'Wind Loading'!$E$65*'Combined Stress'!C43+'Wind Loading'!$E$64*'Combined Stress'!C44+'Wind Loading'!$E$63*'Combined Stress'!C45+'Wind Loading'!$E$62*'Combined Stress'!C46+'Wind Loading'!$E$61*'Combined Stress'!C47+'Wind Loading'!$E$60*'Combined Stress'!C48+'Wind Loading'!$E$59*'Combined Stress'!C49+'Wind Loading'!$E$58*'Combined Stress'!C50+'Wind Loading'!$E$57*'Combined Stress'!C51+'Wind Loading'!$E$56*'Combined Stress'!C52+'Wind Loading'!$E$55*'Combined Stress'!C53+'Wind Loading'!$E$54*'Combined Stress'!C54+'Wind Loading'!$E$53*'Combined Stress'!C55+'Wind Loading'!$E$52*'Combined Stress'!C56+'Wind Loading'!$E$51*'Combined Stress'!C57+'Wind Loading'!$E$50*'Combined Stress'!C58+'Wind Loading'!$E$49*'Combined Stress'!C59+'Wind Loading'!$E$48*'Combined Stress'!C60+'Wind Loading'!$E$47*'Combined Stress'!C61+'Wind Loading'!$E$46*'Combined Stress'!C62+'Wind Loading'!$E$45*'Combined Stress'!C63+'Wind Loading'!$E$44*'Combined Stress'!C64+'Wind Loading'!$E$43*'Combined Stress'!C65+'Wind Loading'!$E$42*'Combined Stress'!C66+'Wind Loading'!$E$41*'Combined Stress'!C67+'Wind Loading'!$E$40*'Combined Stress'!C68+'Wind Loading'!$E$39*'Combined Stress'!C69</f>
        <v>11547955.849844672</v>
      </c>
      <c r="E39" s="19">
        <f>((D39*'Baseline Given'!K40)/'Baseline Given'!L40)/1000000</f>
        <v>86.125389340713028</v>
      </c>
      <c r="F39" s="19">
        <f t="shared" si="22"/>
        <v>31</v>
      </c>
      <c r="G39" s="19">
        <f>'Baseline Given'!$B$3+'Baseline Given'!$B$5+('Baseline Given'!$B$38*F39)</f>
        <v>1682637.6119402985</v>
      </c>
      <c r="H39" s="19">
        <f>'Baseline Given'!M40</f>
        <v>8.2548432787925599</v>
      </c>
      <c r="I39" s="19">
        <f t="shared" si="23"/>
        <v>0.20383640913730572</v>
      </c>
      <c r="J39" s="19">
        <f t="shared" si="11"/>
        <v>-86.329225749850337</v>
      </c>
      <c r="M39" s="18" t="str">
        <f>IF('Alternative 1'!F40&gt;0,'Alternative 1'!F40,"x")</f>
        <v>x</v>
      </c>
      <c r="N39" s="45">
        <f t="shared" si="12"/>
        <v>0</v>
      </c>
      <c r="O39" s="45">
        <f t="shared" si="13"/>
        <v>0</v>
      </c>
      <c r="P39" s="19">
        <f>'Dynamic Loading'!$Q$3*'Combined Stress'!N39+'Wind Loading'!$J$69*O39+'Wind Loading'!$J$68*'Combined Stress'!O40+'Wind Loading'!$J$67*'Combined Stress'!O41+'Wind Loading'!$J$66*'Combined Stress'!O42+'Wind Loading'!$J$65*'Combined Stress'!O43+'Wind Loading'!$J$64*'Combined Stress'!O44+'Wind Loading'!$J$63*'Combined Stress'!O45+'Wind Loading'!$J$62*'Combined Stress'!O46+'Wind Loading'!$J$61*'Combined Stress'!O47+'Wind Loading'!$J$60*'Combined Stress'!O48+'Wind Loading'!$J$59*'Combined Stress'!O49+'Wind Loading'!$J$58*'Combined Stress'!O50+'Wind Loading'!$J$57*'Combined Stress'!O51+'Wind Loading'!$J$56*'Combined Stress'!O52+'Wind Loading'!$J$55*'Combined Stress'!O53+'Wind Loading'!$J$54*'Combined Stress'!O54+'Wind Loading'!$J$53*'Combined Stress'!O55+'Wind Loading'!$J$52*'Combined Stress'!O56+'Wind Loading'!$J$51*'Combined Stress'!O57+'Wind Loading'!$J$50*'Combined Stress'!O58+'Wind Loading'!$J$49*'Combined Stress'!O59+'Wind Loading'!$J$48*'Combined Stress'!O60+'Wind Loading'!$J$47*'Combined Stress'!O61+'Wind Loading'!$J$46*'Combined Stress'!O62+'Wind Loading'!$J$45*'Combined Stress'!O63+'Wind Loading'!$J$44*'Combined Stress'!O64+'Wind Loading'!$J$43*'Combined Stress'!O65+'Wind Loading'!$J$42*'Combined Stress'!O66+'Wind Loading'!$J$41*'Combined Stress'!O67+'Wind Loading'!$J$40*'Combined Stress'!O68+'Wind Loading'!$J$39*'Combined Stress'!O69</f>
        <v>0</v>
      </c>
      <c r="Q39" s="19" t="e">
        <f>((P39*'Alternative 1'!K40)/'Alternative 1'!L40)/1000000</f>
        <v>#VALUE!</v>
      </c>
      <c r="R39" s="45">
        <f t="shared" si="14"/>
        <v>0</v>
      </c>
      <c r="S39" s="19">
        <f>IF(R39&gt;0,'Alternative 1'!$B$3+'Alternative 1'!$B$5+('Alternative 1'!$B$39*R39),0)</f>
        <v>0</v>
      </c>
      <c r="T39" s="19" t="e">
        <f>'Alternative 1'!M40</f>
        <v>#VALUE!</v>
      </c>
      <c r="U39" s="19" t="e">
        <f t="shared" si="24"/>
        <v>#VALUE!</v>
      </c>
      <c r="V39" s="19" t="e">
        <f t="shared" si="25"/>
        <v>#VALUE!</v>
      </c>
      <c r="X39" s="18" t="str">
        <f>IF('Alternative 2'!$F40&gt;0,'Alternative 2'!$F40,"x")</f>
        <v>x</v>
      </c>
      <c r="Y39" s="45">
        <f t="shared" si="15"/>
        <v>0</v>
      </c>
      <c r="Z39" s="45">
        <f t="shared" si="16"/>
        <v>0</v>
      </c>
      <c r="AA39" s="19">
        <f>'Dynamic Loading'!$Y$3*'Combined Stress'!Y39+'Wind Loading'!$O$69*Z39+'Wind Loading'!$O$68*'Combined Stress'!Z40+'Wind Loading'!$O$67*'Combined Stress'!Z41+'Wind Loading'!$O$66*'Combined Stress'!Z42+'Wind Loading'!$O$65*'Combined Stress'!Z43+'Wind Loading'!$O$64*'Combined Stress'!Z44+'Wind Loading'!$O$63*'Combined Stress'!Z45+'Wind Loading'!$O$62*'Combined Stress'!Z46+'Wind Loading'!$O$61*'Combined Stress'!Z47+'Wind Loading'!$O$60*'Combined Stress'!Z48+'Wind Loading'!$O$59*'Combined Stress'!Z49+'Wind Loading'!$O$58*'Combined Stress'!Z50+'Wind Loading'!$O$57*'Combined Stress'!Z51+'Wind Loading'!$O$56*'Combined Stress'!Z52+'Wind Loading'!$O$55*'Combined Stress'!Z53+'Wind Loading'!$O$54*'Combined Stress'!Z54+'Wind Loading'!$O$53*'Combined Stress'!Z55+'Wind Loading'!$O$52*'Combined Stress'!Z56+'Wind Loading'!$O$51*'Combined Stress'!Z57+'Wind Loading'!$O$50*'Combined Stress'!Z58+'Wind Loading'!$O$49*'Combined Stress'!Z59+'Wind Loading'!$O$48*'Combined Stress'!Z60+'Wind Loading'!$O$47*'Combined Stress'!Z61+'Wind Loading'!$O$46*'Combined Stress'!Z62+'Wind Loading'!$O$45*'Combined Stress'!Z63+'Wind Loading'!$O$44*'Combined Stress'!Z64+'Wind Loading'!$O$43*'Combined Stress'!Z65+'Wind Loading'!$O$42*'Combined Stress'!Z66+'Wind Loading'!$O$41*'Combined Stress'!Z67+'Wind Loading'!$O$40*'Combined Stress'!Z68+'Wind Loading'!$O$39*'Combined Stress'!Z69</f>
        <v>0</v>
      </c>
      <c r="AB39" s="19" t="e">
        <f>((AA39*'Alternative 2'!K40)/'Alternative 2'!L40)/1000000</f>
        <v>#VALUE!</v>
      </c>
      <c r="AC39" s="45">
        <f t="shared" si="17"/>
        <v>0</v>
      </c>
      <c r="AD39" s="19">
        <f>'Alternative 2'!$B$3+'Alternative 2'!$B$5+('Alternative 2'!$B$39*AC39)</f>
        <v>76491.87</v>
      </c>
      <c r="AE39" s="19" t="e">
        <f>'Alternative 2'!M40</f>
        <v>#VALUE!</v>
      </c>
      <c r="AF39" s="19" t="e">
        <f t="shared" si="26"/>
        <v>#VALUE!</v>
      </c>
      <c r="AG39" s="19" t="e">
        <f t="shared" si="27"/>
        <v>#VALUE!</v>
      </c>
      <c r="AI39" s="18" t="str">
        <f>'Alternative 3'!F40</f>
        <v>x</v>
      </c>
      <c r="AJ39" s="83">
        <f t="shared" si="18"/>
        <v>-1.5</v>
      </c>
      <c r="AK39" s="45">
        <f t="shared" si="19"/>
        <v>0</v>
      </c>
      <c r="AL39" s="84">
        <f>'Dynamic Loading'!$AG$3*'Combined Stress'!AJ39+'Wind Loading'!$T$69*AK39+'Wind Loading'!$T$68*'Combined Stress'!AK40+'Wind Loading'!$T$67*'Combined Stress'!AK41+'Wind Loading'!$T$66*'Combined Stress'!AK42+'Wind Loading'!$T$65*'Combined Stress'!AK43+'Wind Loading'!$T$64*'Combined Stress'!AK44+'Wind Loading'!$T$63*'Combined Stress'!AK45+'Wind Loading'!$T$62*'Combined Stress'!AK46+'Wind Loading'!$T$61*'Combined Stress'!AK47+'Wind Loading'!$T$60*'Combined Stress'!AK48+'Wind Loading'!$T$59*'Combined Stress'!AK49+'Wind Loading'!$T$58*'Combined Stress'!AK50+'Wind Loading'!$T$57*'Combined Stress'!AK51+'Wind Loading'!$T$56*'Combined Stress'!AK52+'Wind Loading'!$T$55*'Combined Stress'!AK53+'Wind Loading'!$T$54*'Combined Stress'!AK54+'Wind Loading'!$T$53*'Combined Stress'!AK55+'Wind Loading'!$T$52*'Combined Stress'!AK56+'Wind Loading'!$T$51*'Combined Stress'!AK57+'Wind Loading'!$T$50*'Combined Stress'!AK58+'Wind Loading'!$T$49*'Combined Stress'!AK59+'Wind Loading'!$T$48*'Combined Stress'!AK60+'Wind Loading'!$T$47*'Combined Stress'!AK61+'Wind Loading'!$T$46*'Combined Stress'!AK62+'Wind Loading'!$T$45*'Combined Stress'!AK63+'Wind Loading'!$T$44*'Combined Stress'!AK64+'Wind Loading'!$T$43*'Combined Stress'!AK65+'Wind Loading'!$T$42*'Combined Stress'!AK66+'Wind Loading'!$T$41*'Combined Stress'!AK67+'Wind Loading'!$T$40*'Combined Stress'!AK68+'Wind Loading'!$T$39*'Combined Stress'!AK69</f>
        <v>-211685.93362811583</v>
      </c>
      <c r="AM39" s="84" t="e">
        <f>((AL39*'Alternative 3'!K40)/'Alternative 3'!L40)/1000000</f>
        <v>#VALUE!</v>
      </c>
      <c r="AN39" s="84">
        <f t="shared" si="28"/>
        <v>31</v>
      </c>
      <c r="AO39" s="19">
        <f>'Alternative 3'!$B$3+'Alternative 3'!$B$5+('Alternative 2'!$B$39*AN39)</f>
        <v>229765.38609111763</v>
      </c>
      <c r="AP39" s="84" t="e">
        <f>'Alternative 3'!M40</f>
        <v>#VALUE!</v>
      </c>
      <c r="AQ39" s="84" t="e">
        <f t="shared" si="29"/>
        <v>#VALUE!</v>
      </c>
      <c r="AR39" s="84" t="e">
        <f t="shared" si="30"/>
        <v>#VALUE!</v>
      </c>
    </row>
    <row r="40" spans="1:44" x14ac:dyDescent="0.25">
      <c r="A40" s="18">
        <f>'Baseline Given'!E41</f>
        <v>38</v>
      </c>
      <c r="B40" s="45">
        <f t="shared" si="20"/>
        <v>32.5</v>
      </c>
      <c r="C40" s="45">
        <f t="shared" si="21"/>
        <v>29.5</v>
      </c>
      <c r="D40" s="19">
        <f>'Dynamic Loading'!$I$3*'Combined Stress'!B40+'Wind Loading'!$E$69*C40+'Wind Loading'!$E$68*'Combined Stress'!C41+'Wind Loading'!$E$67*'Combined Stress'!C42+'Wind Loading'!$E$66*'Combined Stress'!C43+'Wind Loading'!$E$65*'Combined Stress'!C44+'Wind Loading'!$E$64*'Combined Stress'!C45+'Wind Loading'!$E$63*'Combined Stress'!C46+'Wind Loading'!$E$62*'Combined Stress'!C47+'Wind Loading'!$E$61*'Combined Stress'!C48+'Wind Loading'!$E$60*'Combined Stress'!C49+'Wind Loading'!$E$59*'Combined Stress'!C50+'Wind Loading'!$E$58*'Combined Stress'!C51+'Wind Loading'!$E$57*'Combined Stress'!C52+'Wind Loading'!$E$56*'Combined Stress'!C53+'Wind Loading'!$E$55*'Combined Stress'!C54+'Wind Loading'!$E$54*'Combined Stress'!C55+'Wind Loading'!$E$53*'Combined Stress'!C56+'Wind Loading'!$E$52*'Combined Stress'!C57+'Wind Loading'!$E$51*'Combined Stress'!C58+'Wind Loading'!$E$50*'Combined Stress'!C59+'Wind Loading'!$E$49*'Combined Stress'!C60+'Wind Loading'!$E$48*'Combined Stress'!C61+'Wind Loading'!$E$47*'Combined Stress'!C62+'Wind Loading'!$E$46*'Combined Stress'!C63+'Wind Loading'!$E$45*'Combined Stress'!C64+'Wind Loading'!$E$44*'Combined Stress'!C65+'Wind Loading'!$E$43*'Combined Stress'!C66+'Wind Loading'!$E$42*'Combined Stress'!C67+'Wind Loading'!$E$41*'Combined Stress'!C68+'Wind Loading'!$E$40*'Combined Stress'!C69</f>
        <v>11150500.433535589</v>
      </c>
      <c r="E40" s="19">
        <f>((D40*'Baseline Given'!K41)/'Baseline Given'!L41)/1000000</f>
        <v>83.868561480890151</v>
      </c>
      <c r="F40" s="19">
        <f t="shared" si="22"/>
        <v>30</v>
      </c>
      <c r="G40" s="19">
        <f>'Baseline Given'!$B$3+'Baseline Given'!$B$5+('Baseline Given'!$B$38*F40)</f>
        <v>1666478.656716418</v>
      </c>
      <c r="H40" s="19">
        <f>'Baseline Given'!M41</f>
        <v>8.1546721060218719</v>
      </c>
      <c r="I40" s="19">
        <f t="shared" si="23"/>
        <v>0.20435875717011304</v>
      </c>
      <c r="J40" s="19">
        <f t="shared" si="11"/>
        <v>-84.072920238060263</v>
      </c>
      <c r="M40" s="18" t="str">
        <f>IF('Alternative 1'!F41&gt;0,'Alternative 1'!F41,"x")</f>
        <v>x</v>
      </c>
      <c r="N40" s="45">
        <f t="shared" si="12"/>
        <v>0</v>
      </c>
      <c r="O40" s="45">
        <f t="shared" si="13"/>
        <v>0</v>
      </c>
      <c r="P40" s="19">
        <f>'Dynamic Loading'!$Q$3*'Combined Stress'!N40+'Wind Loading'!$J$69*O40+'Wind Loading'!$J$68*'Combined Stress'!O41+'Wind Loading'!$J$67*'Combined Stress'!O42+'Wind Loading'!$J$66*'Combined Stress'!O43+'Wind Loading'!$J$65*'Combined Stress'!O44+'Wind Loading'!$J$64*'Combined Stress'!O45+'Wind Loading'!$J$63*'Combined Stress'!O46+'Wind Loading'!$J$62*'Combined Stress'!O47+'Wind Loading'!$J$61*'Combined Stress'!O48+'Wind Loading'!$J$60*'Combined Stress'!O49+'Wind Loading'!$J$59*'Combined Stress'!O50+'Wind Loading'!$J$58*'Combined Stress'!O51+'Wind Loading'!$J$57*'Combined Stress'!O52+'Wind Loading'!$J$56*'Combined Stress'!O53+'Wind Loading'!$J$55*'Combined Stress'!O54+'Wind Loading'!$J$54*'Combined Stress'!O55+'Wind Loading'!$J$53*'Combined Stress'!O56+'Wind Loading'!$J$52*'Combined Stress'!O57+'Wind Loading'!$J$51*'Combined Stress'!O58+'Wind Loading'!$J$50*'Combined Stress'!O59+'Wind Loading'!$J$49*'Combined Stress'!O60+'Wind Loading'!$J$48*'Combined Stress'!O61+'Wind Loading'!$J$47*'Combined Stress'!O62+'Wind Loading'!$J$46*'Combined Stress'!O63+'Wind Loading'!$J$45*'Combined Stress'!O64+'Wind Loading'!$J$44*'Combined Stress'!O65+'Wind Loading'!$J$43*'Combined Stress'!O66+'Wind Loading'!$J$42*'Combined Stress'!O67+'Wind Loading'!$J$41*'Combined Stress'!O68+'Wind Loading'!$J$40*'Combined Stress'!O69</f>
        <v>0</v>
      </c>
      <c r="Q40" s="19" t="e">
        <f>((P40*'Alternative 1'!K41)/'Alternative 1'!L41)/1000000</f>
        <v>#VALUE!</v>
      </c>
      <c r="R40" s="45">
        <f t="shared" si="14"/>
        <v>0</v>
      </c>
      <c r="S40" s="19">
        <f>IF(R40&gt;0,'Alternative 1'!$B$3+'Alternative 1'!$B$5+('Alternative 1'!$B$39*R40),0)</f>
        <v>0</v>
      </c>
      <c r="T40" s="19" t="e">
        <f>'Alternative 1'!M41</f>
        <v>#VALUE!</v>
      </c>
      <c r="U40" s="19" t="e">
        <f t="shared" si="24"/>
        <v>#VALUE!</v>
      </c>
      <c r="V40" s="19" t="e">
        <f t="shared" si="25"/>
        <v>#VALUE!</v>
      </c>
      <c r="X40" s="18" t="str">
        <f>IF('Alternative 2'!$F41&gt;0,'Alternative 2'!$F41,"x")</f>
        <v>x</v>
      </c>
      <c r="Y40" s="45">
        <f t="shared" si="15"/>
        <v>0</v>
      </c>
      <c r="Z40" s="45">
        <f t="shared" si="16"/>
        <v>0</v>
      </c>
      <c r="AA40" s="19">
        <f>'Dynamic Loading'!$Y$3*'Combined Stress'!Y40+'Wind Loading'!$O$69*Z40+'Wind Loading'!$O$68*'Combined Stress'!Z41+'Wind Loading'!$O$67*'Combined Stress'!Z42+'Wind Loading'!$O$66*'Combined Stress'!Z43+'Wind Loading'!$O$65*'Combined Stress'!Z44+'Wind Loading'!$O$64*'Combined Stress'!Z45+'Wind Loading'!$O$63*'Combined Stress'!Z46+'Wind Loading'!$O$62*'Combined Stress'!Z47+'Wind Loading'!$O$61*'Combined Stress'!Z48+'Wind Loading'!$O$60*'Combined Stress'!Z49+'Wind Loading'!$O$59*'Combined Stress'!Z50+'Wind Loading'!$O$58*'Combined Stress'!Z51+'Wind Loading'!$O$57*'Combined Stress'!Z52+'Wind Loading'!$O$56*'Combined Stress'!Z53+'Wind Loading'!$O$55*'Combined Stress'!Z54+'Wind Loading'!$O$54*'Combined Stress'!Z55+'Wind Loading'!$O$53*'Combined Stress'!Z56+'Wind Loading'!$O$52*'Combined Stress'!Z57+'Wind Loading'!$O$51*'Combined Stress'!Z58+'Wind Loading'!$O$50*'Combined Stress'!Z59+'Wind Loading'!$O$49*'Combined Stress'!Z60+'Wind Loading'!$O$48*'Combined Stress'!Z61+'Wind Loading'!$O$47*'Combined Stress'!Z62+'Wind Loading'!$O$46*'Combined Stress'!Z63+'Wind Loading'!$O$45*'Combined Stress'!Z64+'Wind Loading'!$O$44*'Combined Stress'!Z65+'Wind Loading'!$O$43*'Combined Stress'!Z66+'Wind Loading'!$O$42*'Combined Stress'!Z67+'Wind Loading'!$O$41*'Combined Stress'!Z68+'Wind Loading'!$O$40*'Combined Stress'!Z69</f>
        <v>0</v>
      </c>
      <c r="AB40" s="19" t="e">
        <f>((AA40*'Alternative 2'!K41)/'Alternative 2'!L41)/1000000</f>
        <v>#VALUE!</v>
      </c>
      <c r="AC40" s="45">
        <f t="shared" si="17"/>
        <v>0</v>
      </c>
      <c r="AD40" s="19">
        <f>'Alternative 2'!$B$3+'Alternative 2'!$B$5+('Alternative 2'!$B$39*AC40)</f>
        <v>76491.87</v>
      </c>
      <c r="AE40" s="19" t="e">
        <f>'Alternative 2'!M41</f>
        <v>#VALUE!</v>
      </c>
      <c r="AF40" s="19" t="e">
        <f t="shared" si="26"/>
        <v>#VALUE!</v>
      </c>
      <c r="AG40" s="19" t="e">
        <f t="shared" si="27"/>
        <v>#VALUE!</v>
      </c>
      <c r="AI40" s="18" t="str">
        <f>'Alternative 3'!F41</f>
        <v>x</v>
      </c>
      <c r="AJ40" s="83">
        <f t="shared" si="18"/>
        <v>-2.5</v>
      </c>
      <c r="AK40" s="45">
        <f t="shared" si="19"/>
        <v>0</v>
      </c>
      <c r="AL40" s="84">
        <f>'Dynamic Loading'!$AG$3*'Combined Stress'!AJ40+'Wind Loading'!$T$69*AK40+'Wind Loading'!$T$68*'Combined Stress'!AK41+'Wind Loading'!$T$67*'Combined Stress'!AK42+'Wind Loading'!$T$66*'Combined Stress'!AK43+'Wind Loading'!$T$65*'Combined Stress'!AK44+'Wind Loading'!$T$64*'Combined Stress'!AK45+'Wind Loading'!$T$63*'Combined Stress'!AK46+'Wind Loading'!$T$62*'Combined Stress'!AK47+'Wind Loading'!$T$61*'Combined Stress'!AK48+'Wind Loading'!$T$60*'Combined Stress'!AK49+'Wind Loading'!$T$59*'Combined Stress'!AK50+'Wind Loading'!$T$58*'Combined Stress'!AK51+'Wind Loading'!$T$57*'Combined Stress'!AK52+'Wind Loading'!$T$56*'Combined Stress'!AK53+'Wind Loading'!$T$55*'Combined Stress'!AK54+'Wind Loading'!$T$54*'Combined Stress'!AK55+'Wind Loading'!$T$53*'Combined Stress'!AK56+'Wind Loading'!$T$52*'Combined Stress'!AK57+'Wind Loading'!$T$51*'Combined Stress'!AK58+'Wind Loading'!$T$50*'Combined Stress'!AK59+'Wind Loading'!$T$49*'Combined Stress'!AK60+'Wind Loading'!$T$48*'Combined Stress'!AK61+'Wind Loading'!$T$47*'Combined Stress'!AK62+'Wind Loading'!$T$46*'Combined Stress'!AK63+'Wind Loading'!$T$45*'Combined Stress'!AK64+'Wind Loading'!$T$44*'Combined Stress'!AK65+'Wind Loading'!$T$43*'Combined Stress'!AK66+'Wind Loading'!$T$42*'Combined Stress'!AK67+'Wind Loading'!$T$41*'Combined Stress'!AK68+'Wind Loading'!$T$40*'Combined Stress'!AK69</f>
        <v>-352809.88938019308</v>
      </c>
      <c r="AM40" s="84" t="e">
        <f>((AL40*'Alternative 3'!K41)/'Alternative 3'!L41)/1000000</f>
        <v>#VALUE!</v>
      </c>
      <c r="AN40" s="84">
        <f t="shared" si="28"/>
        <v>30</v>
      </c>
      <c r="AO40" s="19">
        <f>'Alternative 3'!$B$3+'Alternative 3'!$B$5+('Alternative 2'!$B$39*AN40)</f>
        <v>227044.61047051707</v>
      </c>
      <c r="AP40" s="84" t="e">
        <f>'Alternative 3'!M41</f>
        <v>#VALUE!</v>
      </c>
      <c r="AQ40" s="84" t="e">
        <f t="shared" si="29"/>
        <v>#VALUE!</v>
      </c>
      <c r="AR40" s="84" t="e">
        <f t="shared" si="30"/>
        <v>#VALUE!</v>
      </c>
    </row>
    <row r="41" spans="1:44" x14ac:dyDescent="0.25">
      <c r="A41" s="18">
        <f>'Baseline Given'!E42</f>
        <v>39</v>
      </c>
      <c r="B41" s="45">
        <f t="shared" si="20"/>
        <v>31.5</v>
      </c>
      <c r="C41" s="45">
        <f t="shared" si="21"/>
        <v>28.5</v>
      </c>
      <c r="D41" s="19">
        <f>'Dynamic Loading'!$I$3*'Combined Stress'!B41+'Wind Loading'!$E$69*C41+'Wind Loading'!$E$68*'Combined Stress'!C42+'Wind Loading'!$E$67*'Combined Stress'!C43+'Wind Loading'!$E$66*'Combined Stress'!C44+'Wind Loading'!$E$65*'Combined Stress'!C45+'Wind Loading'!$E$64*'Combined Stress'!C46+'Wind Loading'!$E$63*'Combined Stress'!C47+'Wind Loading'!$E$62*'Combined Stress'!C48+'Wind Loading'!$E$61*'Combined Stress'!C49+'Wind Loading'!$E$60*'Combined Stress'!C50+'Wind Loading'!$E$59*'Combined Stress'!C51+'Wind Loading'!$E$58*'Combined Stress'!C52+'Wind Loading'!$E$57*'Combined Stress'!C53+'Wind Loading'!$E$56*'Combined Stress'!C54+'Wind Loading'!$E$55*'Combined Stress'!C55+'Wind Loading'!$E$54*'Combined Stress'!C56+'Wind Loading'!$E$53*'Combined Stress'!C57+'Wind Loading'!$E$52*'Combined Stress'!C58+'Wind Loading'!$E$51*'Combined Stress'!C59+'Wind Loading'!$E$50*'Combined Stress'!C60+'Wind Loading'!$E$49*'Combined Stress'!C61+'Wind Loading'!$E$48*'Combined Stress'!C62+'Wind Loading'!$E$47*'Combined Stress'!C63+'Wind Loading'!$E$46*'Combined Stress'!C64+'Wind Loading'!$E$45*'Combined Stress'!C65+'Wind Loading'!$E$44*'Combined Stress'!C66+'Wind Loading'!$E$43*'Combined Stress'!C67+'Wind Loading'!$E$42*'Combined Stress'!C68+'Wind Loading'!$E$41*'Combined Stress'!C69</f>
        <v>10756393.957890017</v>
      </c>
      <c r="E41" s="19">
        <f>((D41*'Baseline Given'!K42)/'Baseline Given'!L42)/1000000</f>
        <v>81.598413453354695</v>
      </c>
      <c r="F41" s="19">
        <f t="shared" si="22"/>
        <v>29</v>
      </c>
      <c r="G41" s="19">
        <f>'Baseline Given'!$B$3+'Baseline Given'!$B$5+('Baseline Given'!$B$38*F41)</f>
        <v>1650319.7014925373</v>
      </c>
      <c r="H41" s="19">
        <f>'Baseline Given'!M42</f>
        <v>8.0551124295142245</v>
      </c>
      <c r="I41" s="19">
        <f t="shared" si="23"/>
        <v>0.20487854340129455</v>
      </c>
      <c r="J41" s="19">
        <f t="shared" si="11"/>
        <v>-81.803291996755988</v>
      </c>
      <c r="M41" s="18" t="str">
        <f>IF('Alternative 1'!F42&gt;0,'Alternative 1'!F42,"x")</f>
        <v>x</v>
      </c>
      <c r="N41" s="45">
        <f t="shared" si="12"/>
        <v>0</v>
      </c>
      <c r="O41" s="45">
        <f t="shared" si="13"/>
        <v>0</v>
      </c>
      <c r="P41" s="19">
        <f>'Dynamic Loading'!$Q$3*'Combined Stress'!N41+'Wind Loading'!$J$69*O41+'Wind Loading'!$J$68*'Combined Stress'!O42+'Wind Loading'!$J$67*'Combined Stress'!O43+'Wind Loading'!$J$66*'Combined Stress'!O44+'Wind Loading'!$J$65*'Combined Stress'!O45+'Wind Loading'!$J$64*'Combined Stress'!O46+'Wind Loading'!$J$63*'Combined Stress'!O47+'Wind Loading'!$J$62*'Combined Stress'!O48+'Wind Loading'!$J$61*'Combined Stress'!O49+'Wind Loading'!$J$60*'Combined Stress'!O50+'Wind Loading'!$J$59*'Combined Stress'!O51+'Wind Loading'!$J$58*'Combined Stress'!O52+'Wind Loading'!$J$57*'Combined Stress'!O53+'Wind Loading'!$J$56*'Combined Stress'!O54+'Wind Loading'!$J$55*'Combined Stress'!O55+'Wind Loading'!$J$54*'Combined Stress'!O56+'Wind Loading'!$J$53*'Combined Stress'!O57+'Wind Loading'!$J$52*'Combined Stress'!O58+'Wind Loading'!$J$51*'Combined Stress'!O59+'Wind Loading'!$J$50*'Combined Stress'!O60+'Wind Loading'!$J$49*'Combined Stress'!O61+'Wind Loading'!$J$48*'Combined Stress'!O62+'Wind Loading'!$J$47*'Combined Stress'!O63+'Wind Loading'!$J$46*'Combined Stress'!O64+'Wind Loading'!$J$45*'Combined Stress'!O65+'Wind Loading'!$J$44*'Combined Stress'!O66+'Wind Loading'!$J$43*'Combined Stress'!O67+'Wind Loading'!$J$42*'Combined Stress'!O68+'Wind Loading'!$J$41*'Combined Stress'!O69</f>
        <v>0</v>
      </c>
      <c r="Q41" s="19" t="e">
        <f>((P41*'Alternative 1'!K42)/'Alternative 1'!L42)/1000000</f>
        <v>#VALUE!</v>
      </c>
      <c r="R41" s="45">
        <f t="shared" si="14"/>
        <v>0</v>
      </c>
      <c r="S41" s="19">
        <f>IF(R41&gt;0,'Alternative 1'!$B$3+'Alternative 1'!$B$5+('Alternative 1'!$B$39*R41),0)</f>
        <v>0</v>
      </c>
      <c r="T41" s="19" t="e">
        <f>'Alternative 1'!M42</f>
        <v>#VALUE!</v>
      </c>
      <c r="U41" s="19" t="e">
        <f t="shared" si="24"/>
        <v>#VALUE!</v>
      </c>
      <c r="V41" s="19" t="e">
        <f t="shared" si="25"/>
        <v>#VALUE!</v>
      </c>
      <c r="X41" s="18" t="str">
        <f>IF('Alternative 2'!$F42&gt;0,'Alternative 2'!$F42,"x")</f>
        <v>x</v>
      </c>
      <c r="Y41" s="45">
        <f t="shared" si="15"/>
        <v>0</v>
      </c>
      <c r="Z41" s="45">
        <f t="shared" si="16"/>
        <v>0</v>
      </c>
      <c r="AA41" s="19">
        <f>'Dynamic Loading'!$Y$3*'Combined Stress'!Y41+'Wind Loading'!$O$69*Z41+'Wind Loading'!$O$68*'Combined Stress'!Z42+'Wind Loading'!$O$67*'Combined Stress'!Z43+'Wind Loading'!$O$66*'Combined Stress'!Z44+'Wind Loading'!$O$65*'Combined Stress'!Z45+'Wind Loading'!$O$64*'Combined Stress'!Z46+'Wind Loading'!$O$63*'Combined Stress'!Z47+'Wind Loading'!$O$62*'Combined Stress'!Z48+'Wind Loading'!$O$61*'Combined Stress'!Z49+'Wind Loading'!$O$60*'Combined Stress'!Z50+'Wind Loading'!$O$59*'Combined Stress'!Z51+'Wind Loading'!$O$58*'Combined Stress'!Z52+'Wind Loading'!$O$57*'Combined Stress'!Z53+'Wind Loading'!$O$56*'Combined Stress'!Z54+'Wind Loading'!$O$55*'Combined Stress'!Z55+'Wind Loading'!$O$54*'Combined Stress'!Z56+'Wind Loading'!$O$53*'Combined Stress'!Z57+'Wind Loading'!$O$52*'Combined Stress'!Z58+'Wind Loading'!$O$51*'Combined Stress'!Z59+'Wind Loading'!$O$50*'Combined Stress'!Z60+'Wind Loading'!$O$49*'Combined Stress'!Z61+'Wind Loading'!$O$48*'Combined Stress'!Z62+'Wind Loading'!$O$47*'Combined Stress'!Z63+'Wind Loading'!$O$46*'Combined Stress'!Z64+'Wind Loading'!$O$45*'Combined Stress'!Z65+'Wind Loading'!$O$44*'Combined Stress'!Z66+'Wind Loading'!$O$43*'Combined Stress'!Z67+'Wind Loading'!$O$42*'Combined Stress'!Z68+'Wind Loading'!$O$41*'Combined Stress'!Z69</f>
        <v>0</v>
      </c>
      <c r="AB41" s="19" t="e">
        <f>((AA41*'Alternative 2'!K42)/'Alternative 2'!L42)/1000000</f>
        <v>#VALUE!</v>
      </c>
      <c r="AC41" s="45">
        <f t="shared" si="17"/>
        <v>0</v>
      </c>
      <c r="AD41" s="19">
        <f>'Alternative 2'!$B$3+'Alternative 2'!$B$5+('Alternative 2'!$B$39*AC41)</f>
        <v>76491.87</v>
      </c>
      <c r="AE41" s="19" t="e">
        <f>'Alternative 2'!M42</f>
        <v>#VALUE!</v>
      </c>
      <c r="AF41" s="19" t="e">
        <f t="shared" si="26"/>
        <v>#VALUE!</v>
      </c>
      <c r="AG41" s="19" t="e">
        <f t="shared" si="27"/>
        <v>#VALUE!</v>
      </c>
      <c r="AI41" s="18" t="str">
        <f>'Alternative 3'!F42</f>
        <v>x</v>
      </c>
      <c r="AJ41" s="83">
        <f t="shared" si="18"/>
        <v>-3.5</v>
      </c>
      <c r="AK41" s="45">
        <f t="shared" si="19"/>
        <v>0</v>
      </c>
      <c r="AL41" s="84">
        <f>'Dynamic Loading'!$AG$3*'Combined Stress'!AJ41+'Wind Loading'!$T$69*AK41+'Wind Loading'!$T$68*'Combined Stress'!AK42+'Wind Loading'!$T$67*'Combined Stress'!AK43+'Wind Loading'!$T$66*'Combined Stress'!AK44+'Wind Loading'!$T$65*'Combined Stress'!AK45+'Wind Loading'!$T$64*'Combined Stress'!AK46+'Wind Loading'!$T$63*'Combined Stress'!AK47+'Wind Loading'!$T$62*'Combined Stress'!AK48+'Wind Loading'!$T$61*'Combined Stress'!AK49+'Wind Loading'!$T$60*'Combined Stress'!AK50+'Wind Loading'!$T$59*'Combined Stress'!AK51+'Wind Loading'!$T$58*'Combined Stress'!AK52+'Wind Loading'!$T$57*'Combined Stress'!AK53+'Wind Loading'!$T$56*'Combined Stress'!AK54+'Wind Loading'!$T$55*'Combined Stress'!AK55+'Wind Loading'!$T$54*'Combined Stress'!AK56+'Wind Loading'!$T$53*'Combined Stress'!AK57+'Wind Loading'!$T$52*'Combined Stress'!AK58+'Wind Loading'!$T$51*'Combined Stress'!AK59+'Wind Loading'!$T$50*'Combined Stress'!AK60+'Wind Loading'!$T$49*'Combined Stress'!AK61+'Wind Loading'!$T$48*'Combined Stress'!AK62+'Wind Loading'!$T$47*'Combined Stress'!AK63+'Wind Loading'!$T$46*'Combined Stress'!AK64+'Wind Loading'!$T$45*'Combined Stress'!AK65+'Wind Loading'!$T$44*'Combined Stress'!AK66+'Wind Loading'!$T$43*'Combined Stress'!AK67+'Wind Loading'!$T$42*'Combined Stress'!AK68+'Wind Loading'!$T$41*'Combined Stress'!AK69</f>
        <v>-493933.84513227025</v>
      </c>
      <c r="AM41" s="84" t="e">
        <f>((AL41*'Alternative 3'!K42)/'Alternative 3'!L42)/1000000</f>
        <v>#VALUE!</v>
      </c>
      <c r="AN41" s="84">
        <f t="shared" si="28"/>
        <v>29</v>
      </c>
      <c r="AO41" s="19">
        <f>'Alternative 3'!$B$3+'Alternative 3'!$B$5+('Alternative 2'!$B$39*AN41)</f>
        <v>224323.83484991651</v>
      </c>
      <c r="AP41" s="84" t="e">
        <f>'Alternative 3'!M42</f>
        <v>#VALUE!</v>
      </c>
      <c r="AQ41" s="84" t="e">
        <f t="shared" si="29"/>
        <v>#VALUE!</v>
      </c>
      <c r="AR41" s="84" t="e">
        <f t="shared" si="30"/>
        <v>#VALUE!</v>
      </c>
    </row>
    <row r="42" spans="1:44" x14ac:dyDescent="0.25">
      <c r="A42" s="18">
        <f>'Baseline Given'!E43</f>
        <v>40</v>
      </c>
      <c r="B42" s="45">
        <f t="shared" si="20"/>
        <v>30.5</v>
      </c>
      <c r="C42" s="45">
        <f t="shared" si="21"/>
        <v>27.5</v>
      </c>
      <c r="D42" s="19">
        <f>'Dynamic Loading'!$I$3*'Combined Stress'!B42+'Wind Loading'!$E$69*C42+'Wind Loading'!$E$68*'Combined Stress'!C43+'Wind Loading'!$E$67*'Combined Stress'!C44+'Wind Loading'!$E$66*'Combined Stress'!C45+'Wind Loading'!$E$65*'Combined Stress'!C46+'Wind Loading'!$E$64*'Combined Stress'!C47+'Wind Loading'!$E$63*'Combined Stress'!C48+'Wind Loading'!$E$62*'Combined Stress'!C49+'Wind Loading'!$E$61*'Combined Stress'!C50+'Wind Loading'!$E$60*'Combined Stress'!C51+'Wind Loading'!$E$59*'Combined Stress'!C52+'Wind Loading'!$E$58*'Combined Stress'!C53+'Wind Loading'!$E$57*'Combined Stress'!C54+'Wind Loading'!$E$56*'Combined Stress'!C55+'Wind Loading'!$E$55*'Combined Stress'!C56+'Wind Loading'!$E$54*'Combined Stress'!C57+'Wind Loading'!$E$53*'Combined Stress'!C58+'Wind Loading'!$E$52*'Combined Stress'!C59+'Wind Loading'!$E$51*'Combined Stress'!C60+'Wind Loading'!$E$50*'Combined Stress'!C61+'Wind Loading'!$E$49*'Combined Stress'!C62+'Wind Loading'!$E$48*'Combined Stress'!C63+'Wind Loading'!$E$47*'Combined Stress'!C64+'Wind Loading'!$E$46*'Combined Stress'!C65+'Wind Loading'!$E$45*'Combined Stress'!C66+'Wind Loading'!$E$44*'Combined Stress'!C67+'Wind Loading'!$E$43*'Combined Stress'!C68+'Wind Loading'!$E$42*'Combined Stress'!C69</f>
        <v>10365631.466116644</v>
      </c>
      <c r="E42" s="19">
        <f>((D42*'Baseline Given'!K43)/'Baseline Given'!L43)/1000000</f>
        <v>79.314561518247501</v>
      </c>
      <c r="F42" s="19">
        <f t="shared" si="22"/>
        <v>28</v>
      </c>
      <c r="G42" s="19">
        <f>'Baseline Given'!$B$3+'Baseline Given'!$B$5+('Baseline Given'!$B$38*F42)</f>
        <v>1634160.7462686568</v>
      </c>
      <c r="H42" s="19">
        <f>'Baseline Given'!M43</f>
        <v>7.9561642492696212</v>
      </c>
      <c r="I42" s="19">
        <f t="shared" si="23"/>
        <v>0.20539555180986535</v>
      </c>
      <c r="J42" s="19">
        <f t="shared" si="11"/>
        <v>-79.519957070057373</v>
      </c>
      <c r="M42" s="18" t="str">
        <f>IF('Alternative 1'!F43&gt;0,'Alternative 1'!F43,"x")</f>
        <v>x</v>
      </c>
      <c r="N42" s="45">
        <f t="shared" si="12"/>
        <v>0</v>
      </c>
      <c r="O42" s="45">
        <f t="shared" si="13"/>
        <v>0</v>
      </c>
      <c r="P42" s="19">
        <f>'Dynamic Loading'!$Q$3*'Combined Stress'!N42+'Wind Loading'!$J$69*O42+'Wind Loading'!$J$68*'Combined Stress'!O43+'Wind Loading'!$J$67*'Combined Stress'!O44+'Wind Loading'!$J$66*'Combined Stress'!O45+'Wind Loading'!$J$65*'Combined Stress'!O46+'Wind Loading'!$J$64*'Combined Stress'!O47+'Wind Loading'!$J$63*'Combined Stress'!O48+'Wind Loading'!$J$62*'Combined Stress'!O49+'Wind Loading'!$J$61*'Combined Stress'!O50+'Wind Loading'!$J$60*'Combined Stress'!O51+'Wind Loading'!$J$59*'Combined Stress'!O52+'Wind Loading'!$J$58*'Combined Stress'!O53+'Wind Loading'!$J$57*'Combined Stress'!O54+'Wind Loading'!$J$56*'Combined Stress'!O55+'Wind Loading'!$J$55*'Combined Stress'!O56+'Wind Loading'!$J$54*'Combined Stress'!O57+'Wind Loading'!$J$53*'Combined Stress'!O58+'Wind Loading'!$J$52*'Combined Stress'!O59+'Wind Loading'!$J$51*'Combined Stress'!O60+'Wind Loading'!$J$50*'Combined Stress'!O61+'Wind Loading'!$J$49*'Combined Stress'!O62+'Wind Loading'!$J$48*'Combined Stress'!O63+'Wind Loading'!$J$47*'Combined Stress'!O64+'Wind Loading'!$J$46*'Combined Stress'!O65+'Wind Loading'!$J$45*'Combined Stress'!O66+'Wind Loading'!$J$44*'Combined Stress'!O67+'Wind Loading'!$J$43*'Combined Stress'!O68+'Wind Loading'!$J$42*'Combined Stress'!O69</f>
        <v>0</v>
      </c>
      <c r="Q42" s="19" t="e">
        <f>((P42*'Alternative 1'!K43)/'Alternative 1'!L43)/1000000</f>
        <v>#VALUE!</v>
      </c>
      <c r="R42" s="45">
        <f t="shared" si="14"/>
        <v>0</v>
      </c>
      <c r="S42" s="19">
        <f>IF(R42&gt;0,'Alternative 1'!$B$3+'Alternative 1'!$B$5+('Alternative 1'!$B$39*R42),0)</f>
        <v>0</v>
      </c>
      <c r="T42" s="19" t="e">
        <f>'Alternative 1'!M43</f>
        <v>#VALUE!</v>
      </c>
      <c r="U42" s="19" t="e">
        <f t="shared" si="24"/>
        <v>#VALUE!</v>
      </c>
      <c r="V42" s="19" t="e">
        <f t="shared" si="25"/>
        <v>#VALUE!</v>
      </c>
      <c r="X42" s="18" t="str">
        <f>IF('Alternative 2'!$F43&gt;0,'Alternative 2'!$F43,"x")</f>
        <v>x</v>
      </c>
      <c r="Y42" s="45">
        <f t="shared" si="15"/>
        <v>0</v>
      </c>
      <c r="Z42" s="45">
        <f t="shared" si="16"/>
        <v>0</v>
      </c>
      <c r="AA42" s="19">
        <f>'Dynamic Loading'!$Y$3*'Combined Stress'!Y42+'Wind Loading'!$O$69*Z42+'Wind Loading'!$O$68*'Combined Stress'!Z43+'Wind Loading'!$O$67*'Combined Stress'!Z44+'Wind Loading'!$O$66*'Combined Stress'!Z45+'Wind Loading'!$O$65*'Combined Stress'!Z46+'Wind Loading'!$O$64*'Combined Stress'!Z47+'Wind Loading'!$O$63*'Combined Stress'!Z48+'Wind Loading'!$O$62*'Combined Stress'!Z49+'Wind Loading'!$O$61*'Combined Stress'!Z50+'Wind Loading'!$O$60*'Combined Stress'!Z51+'Wind Loading'!$O$59*'Combined Stress'!Z52+'Wind Loading'!$O$58*'Combined Stress'!Z53+'Wind Loading'!$O$57*'Combined Stress'!Z54+'Wind Loading'!$O$56*'Combined Stress'!Z55+'Wind Loading'!$O$55*'Combined Stress'!Z56+'Wind Loading'!$O$54*'Combined Stress'!Z57+'Wind Loading'!$O$53*'Combined Stress'!Z58+'Wind Loading'!$O$52*'Combined Stress'!Z59+'Wind Loading'!$O$51*'Combined Stress'!Z60+'Wind Loading'!$O$50*'Combined Stress'!Z61+'Wind Loading'!$O$49*'Combined Stress'!Z62+'Wind Loading'!$O$48*'Combined Stress'!Z63+'Wind Loading'!$O$47*'Combined Stress'!Z64+'Wind Loading'!$O$46*'Combined Stress'!Z65+'Wind Loading'!$O$45*'Combined Stress'!Z66+'Wind Loading'!$O$44*'Combined Stress'!Z67+'Wind Loading'!$O$43*'Combined Stress'!Z68+'Wind Loading'!$O$42*'Combined Stress'!Z69</f>
        <v>0</v>
      </c>
      <c r="AB42" s="19" t="e">
        <f>((AA42*'Alternative 2'!K43)/'Alternative 2'!L43)/1000000</f>
        <v>#VALUE!</v>
      </c>
      <c r="AC42" s="45">
        <f t="shared" si="17"/>
        <v>0</v>
      </c>
      <c r="AD42" s="19">
        <f>'Alternative 2'!$B$3+'Alternative 2'!$B$5+('Alternative 2'!$B$39*AC42)</f>
        <v>76491.87</v>
      </c>
      <c r="AE42" s="19" t="e">
        <f>'Alternative 2'!M43</f>
        <v>#VALUE!</v>
      </c>
      <c r="AF42" s="19" t="e">
        <f t="shared" si="26"/>
        <v>#VALUE!</v>
      </c>
      <c r="AG42" s="19" t="e">
        <f t="shared" si="27"/>
        <v>#VALUE!</v>
      </c>
      <c r="AI42" s="18" t="str">
        <f>'Alternative 3'!F43</f>
        <v>x</v>
      </c>
      <c r="AJ42" s="83">
        <f t="shared" si="18"/>
        <v>-4.5</v>
      </c>
      <c r="AK42" s="45">
        <f t="shared" si="19"/>
        <v>0</v>
      </c>
      <c r="AL42" s="84">
        <f>'Dynamic Loading'!$AG$3*'Combined Stress'!AJ42+'Wind Loading'!$T$69*AK42+'Wind Loading'!$T$68*'Combined Stress'!AK43+'Wind Loading'!$T$67*'Combined Stress'!AK44+'Wind Loading'!$T$66*'Combined Stress'!AK45+'Wind Loading'!$T$65*'Combined Stress'!AK46+'Wind Loading'!$T$64*'Combined Stress'!AK47+'Wind Loading'!$T$63*'Combined Stress'!AK48+'Wind Loading'!$T$62*'Combined Stress'!AK49+'Wind Loading'!$T$61*'Combined Stress'!AK50+'Wind Loading'!$T$60*'Combined Stress'!AK51+'Wind Loading'!$T$59*'Combined Stress'!AK52+'Wind Loading'!$T$58*'Combined Stress'!AK53+'Wind Loading'!$T$57*'Combined Stress'!AK54+'Wind Loading'!$T$56*'Combined Stress'!AK55+'Wind Loading'!$T$55*'Combined Stress'!AK56+'Wind Loading'!$T$54*'Combined Stress'!AK57+'Wind Loading'!$T$53*'Combined Stress'!AK58+'Wind Loading'!$T$52*'Combined Stress'!AK59+'Wind Loading'!$T$51*'Combined Stress'!AK60+'Wind Loading'!$T$50*'Combined Stress'!AK61+'Wind Loading'!$T$49*'Combined Stress'!AK62+'Wind Loading'!$T$48*'Combined Stress'!AK63+'Wind Loading'!$T$47*'Combined Stress'!AK64+'Wind Loading'!$T$46*'Combined Stress'!AK65+'Wind Loading'!$T$45*'Combined Stress'!AK66+'Wind Loading'!$T$44*'Combined Stress'!AK67+'Wind Loading'!$T$43*'Combined Stress'!AK68+'Wind Loading'!$T$42*'Combined Stress'!AK69</f>
        <v>-635057.80088434753</v>
      </c>
      <c r="AM42" s="84" t="e">
        <f>((AL42*'Alternative 3'!K43)/'Alternative 3'!L43)/1000000</f>
        <v>#VALUE!</v>
      </c>
      <c r="AN42" s="84">
        <f t="shared" si="28"/>
        <v>28</v>
      </c>
      <c r="AO42" s="19">
        <f>'Alternative 3'!$B$3+'Alternative 3'!$B$5+('Alternative 2'!$B$39*AN42)</f>
        <v>221603.05922931596</v>
      </c>
      <c r="AP42" s="84" t="e">
        <f>'Alternative 3'!M43</f>
        <v>#VALUE!</v>
      </c>
      <c r="AQ42" s="84" t="e">
        <f t="shared" si="29"/>
        <v>#VALUE!</v>
      </c>
      <c r="AR42" s="84" t="e">
        <f t="shared" si="30"/>
        <v>#VALUE!</v>
      </c>
    </row>
    <row r="43" spans="1:44" x14ac:dyDescent="0.25">
      <c r="A43" s="18">
        <f>'Baseline Given'!E44</f>
        <v>41</v>
      </c>
      <c r="B43" s="45">
        <f t="shared" si="20"/>
        <v>29.5</v>
      </c>
      <c r="C43" s="45">
        <f t="shared" si="21"/>
        <v>26.5</v>
      </c>
      <c r="D43" s="19">
        <f>'Dynamic Loading'!$I$3*'Combined Stress'!B43+'Wind Loading'!$E$69*C43+'Wind Loading'!$E$68*'Combined Stress'!C44+'Wind Loading'!$E$67*'Combined Stress'!C45+'Wind Loading'!$E$66*'Combined Stress'!C46+'Wind Loading'!$E$65*'Combined Stress'!C47+'Wind Loading'!$E$64*'Combined Stress'!C48+'Wind Loading'!$E$63*'Combined Stress'!C49+'Wind Loading'!$E$62*'Combined Stress'!C50+'Wind Loading'!$E$61*'Combined Stress'!C51+'Wind Loading'!$E$60*'Combined Stress'!C52+'Wind Loading'!$E$59*'Combined Stress'!C53+'Wind Loading'!$E$58*'Combined Stress'!C54+'Wind Loading'!$E$57*'Combined Stress'!C55+'Wind Loading'!$E$56*'Combined Stress'!C56+'Wind Loading'!$E$55*'Combined Stress'!C57+'Wind Loading'!$E$54*'Combined Stress'!C58+'Wind Loading'!$E$53*'Combined Stress'!C59+'Wind Loading'!$E$52*'Combined Stress'!C60+'Wind Loading'!$E$51*'Combined Stress'!C61+'Wind Loading'!$E$50*'Combined Stress'!C62+'Wind Loading'!$E$49*'Combined Stress'!C63+'Wind Loading'!$E$48*'Combined Stress'!C64+'Wind Loading'!$E$47*'Combined Stress'!C65+'Wind Loading'!$E$46*'Combined Stress'!C66+'Wind Loading'!$E$45*'Combined Stress'!C67+'Wind Loading'!$E$44*'Combined Stress'!C68+'Wind Loading'!$E$43*'Combined Stress'!C69</f>
        <v>9978207.4804842956</v>
      </c>
      <c r="E43" s="19">
        <f>((D43*'Baseline Given'!K44)/'Baseline Given'!L44)/1000000</f>
        <v>77.016604515587034</v>
      </c>
      <c r="F43" s="19">
        <f t="shared" si="22"/>
        <v>27</v>
      </c>
      <c r="G43" s="19">
        <f>'Baseline Given'!$B$3+'Baseline Given'!$B$5+('Baseline Given'!$B$38*F43)</f>
        <v>1618001.7910447761</v>
      </c>
      <c r="H43" s="19">
        <f>'Baseline Given'!M44</f>
        <v>7.857827565288062</v>
      </c>
      <c r="I43" s="19">
        <f t="shared" si="23"/>
        <v>0.20590955675742947</v>
      </c>
      <c r="J43" s="19">
        <f t="shared" si="11"/>
        <v>-77.222514072344467</v>
      </c>
      <c r="M43" s="18" t="str">
        <f>IF('Alternative 1'!F44&gt;0,'Alternative 1'!F44,"x")</f>
        <v>x</v>
      </c>
      <c r="N43" s="45">
        <f t="shared" si="12"/>
        <v>0</v>
      </c>
      <c r="O43" s="45">
        <f t="shared" si="13"/>
        <v>0</v>
      </c>
      <c r="P43" s="19">
        <f>'Dynamic Loading'!$Q$3*'Combined Stress'!N43+'Wind Loading'!$J$69*O43+'Wind Loading'!$J$68*'Combined Stress'!O44+'Wind Loading'!$J$67*'Combined Stress'!O45+'Wind Loading'!$J$66*'Combined Stress'!O46+'Wind Loading'!$J$65*'Combined Stress'!O47+'Wind Loading'!$J$64*'Combined Stress'!O48+'Wind Loading'!$J$63*'Combined Stress'!O49+'Wind Loading'!$J$62*'Combined Stress'!O50+'Wind Loading'!$J$61*'Combined Stress'!O51+'Wind Loading'!$J$60*'Combined Stress'!O52+'Wind Loading'!$J$59*'Combined Stress'!O53+'Wind Loading'!$J$58*'Combined Stress'!O54+'Wind Loading'!$J$57*'Combined Stress'!O55+'Wind Loading'!$J$56*'Combined Stress'!O56+'Wind Loading'!$J$55*'Combined Stress'!O57+'Wind Loading'!$J$54*'Combined Stress'!O58+'Wind Loading'!$J$53*'Combined Stress'!O59+'Wind Loading'!$J$52*'Combined Stress'!O60+'Wind Loading'!$J$51*'Combined Stress'!O61+'Wind Loading'!$J$50*'Combined Stress'!O62+'Wind Loading'!$J$49*'Combined Stress'!O63+'Wind Loading'!$J$48*'Combined Stress'!O64+'Wind Loading'!$J$47*'Combined Stress'!O65+'Wind Loading'!$J$46*'Combined Stress'!O66+'Wind Loading'!$J$45*'Combined Stress'!O67+'Wind Loading'!$J$44*'Combined Stress'!O68+'Wind Loading'!$J$43*'Combined Stress'!O69</f>
        <v>0</v>
      </c>
      <c r="Q43" s="19" t="e">
        <f>((P43*'Alternative 1'!K44)/'Alternative 1'!L44)/1000000</f>
        <v>#VALUE!</v>
      </c>
      <c r="R43" s="45">
        <f t="shared" si="14"/>
        <v>0</v>
      </c>
      <c r="S43" s="19">
        <f>IF(R43&gt;0,'Alternative 1'!$B$3+'Alternative 1'!$B$5+('Alternative 1'!$B$39*R43),0)</f>
        <v>0</v>
      </c>
      <c r="T43" s="19" t="e">
        <f>'Alternative 1'!M44</f>
        <v>#VALUE!</v>
      </c>
      <c r="U43" s="19" t="e">
        <f t="shared" si="24"/>
        <v>#VALUE!</v>
      </c>
      <c r="V43" s="19" t="e">
        <f t="shared" si="25"/>
        <v>#VALUE!</v>
      </c>
      <c r="X43" s="18" t="str">
        <f>IF('Alternative 2'!$F44&gt;0,'Alternative 2'!$F44,"x")</f>
        <v>x</v>
      </c>
      <c r="Y43" s="45">
        <f t="shared" si="15"/>
        <v>0</v>
      </c>
      <c r="Z43" s="45">
        <f t="shared" si="16"/>
        <v>0</v>
      </c>
      <c r="AA43" s="19">
        <f>'Dynamic Loading'!$Y$3*'Combined Stress'!Y43+'Wind Loading'!$O$69*Z43+'Wind Loading'!$O$68*'Combined Stress'!Z44+'Wind Loading'!$O$67*'Combined Stress'!Z45+'Wind Loading'!$O$66*'Combined Stress'!Z46+'Wind Loading'!$O$65*'Combined Stress'!Z47+'Wind Loading'!$O$64*'Combined Stress'!Z48+'Wind Loading'!$O$63*'Combined Stress'!Z49+'Wind Loading'!$O$62*'Combined Stress'!Z50+'Wind Loading'!$O$61*'Combined Stress'!Z51+'Wind Loading'!$O$60*'Combined Stress'!Z52+'Wind Loading'!$O$59*'Combined Stress'!Z53+'Wind Loading'!$O$58*'Combined Stress'!Z54+'Wind Loading'!$O$57*'Combined Stress'!Z55+'Wind Loading'!$O$56*'Combined Stress'!Z56+'Wind Loading'!$O$55*'Combined Stress'!Z57+'Wind Loading'!$O$54*'Combined Stress'!Z58+'Wind Loading'!$O$53*'Combined Stress'!Z59+'Wind Loading'!$O$52*'Combined Stress'!Z60+'Wind Loading'!$O$51*'Combined Stress'!Z61+'Wind Loading'!$O$50*'Combined Stress'!Z62+'Wind Loading'!$O$49*'Combined Stress'!Z63+'Wind Loading'!$O$48*'Combined Stress'!Z64+'Wind Loading'!$O$47*'Combined Stress'!Z65+'Wind Loading'!$O$46*'Combined Stress'!Z66+'Wind Loading'!$O$45*'Combined Stress'!Z67+'Wind Loading'!$O$44*'Combined Stress'!Z68+'Wind Loading'!$O$43*'Combined Stress'!Z69</f>
        <v>0</v>
      </c>
      <c r="AB43" s="19" t="e">
        <f>((AA43*'Alternative 2'!K44)/'Alternative 2'!L44)/1000000</f>
        <v>#VALUE!</v>
      </c>
      <c r="AC43" s="45">
        <f t="shared" si="17"/>
        <v>0</v>
      </c>
      <c r="AD43" s="19">
        <f>'Alternative 2'!$B$3+'Alternative 2'!$B$5+('Alternative 2'!$B$39*AC43)</f>
        <v>76491.87</v>
      </c>
      <c r="AE43" s="19" t="e">
        <f>'Alternative 2'!M44</f>
        <v>#VALUE!</v>
      </c>
      <c r="AF43" s="19" t="e">
        <f t="shared" si="26"/>
        <v>#VALUE!</v>
      </c>
      <c r="AG43" s="19" t="e">
        <f t="shared" si="27"/>
        <v>#VALUE!</v>
      </c>
      <c r="AI43" s="18" t="str">
        <f>'Alternative 3'!F44</f>
        <v>x</v>
      </c>
      <c r="AJ43" s="83">
        <f t="shared" si="18"/>
        <v>-5.5</v>
      </c>
      <c r="AK43" s="45">
        <f t="shared" si="19"/>
        <v>0</v>
      </c>
      <c r="AL43" s="84">
        <f>'Dynamic Loading'!$AG$3*'Combined Stress'!AJ43+'Wind Loading'!$T$69*AK43+'Wind Loading'!$T$68*'Combined Stress'!AK44+'Wind Loading'!$T$67*'Combined Stress'!AK45+'Wind Loading'!$T$66*'Combined Stress'!AK46+'Wind Loading'!$T$65*'Combined Stress'!AK47+'Wind Loading'!$T$64*'Combined Stress'!AK48+'Wind Loading'!$T$63*'Combined Stress'!AK49+'Wind Loading'!$T$62*'Combined Stress'!AK50+'Wind Loading'!$T$61*'Combined Stress'!AK51+'Wind Loading'!$T$60*'Combined Stress'!AK52+'Wind Loading'!$T$59*'Combined Stress'!AK53+'Wind Loading'!$T$58*'Combined Stress'!AK54+'Wind Loading'!$T$57*'Combined Stress'!AK55+'Wind Loading'!$T$56*'Combined Stress'!AK56+'Wind Loading'!$T$55*'Combined Stress'!AK57+'Wind Loading'!$T$54*'Combined Stress'!AK58+'Wind Loading'!$T$53*'Combined Stress'!AK59+'Wind Loading'!$T$52*'Combined Stress'!AK60+'Wind Loading'!$T$51*'Combined Stress'!AK61+'Wind Loading'!$T$50*'Combined Stress'!AK62+'Wind Loading'!$T$49*'Combined Stress'!AK63+'Wind Loading'!$T$48*'Combined Stress'!AK64+'Wind Loading'!$T$47*'Combined Stress'!AK65+'Wind Loading'!$T$46*'Combined Stress'!AK66+'Wind Loading'!$T$45*'Combined Stress'!AK67+'Wind Loading'!$T$44*'Combined Stress'!AK68+'Wind Loading'!$T$43*'Combined Stress'!AK69</f>
        <v>-776181.75663642469</v>
      </c>
      <c r="AM43" s="84" t="e">
        <f>((AL43*'Alternative 3'!K44)/'Alternative 3'!L44)/1000000</f>
        <v>#VALUE!</v>
      </c>
      <c r="AN43" s="84">
        <f t="shared" si="28"/>
        <v>27</v>
      </c>
      <c r="AO43" s="19">
        <f>'Alternative 3'!$B$3+'Alternative 3'!$B$5+('Alternative 2'!$B$39*AN43)</f>
        <v>218882.28360871537</v>
      </c>
      <c r="AP43" s="84" t="e">
        <f>'Alternative 3'!M44</f>
        <v>#VALUE!</v>
      </c>
      <c r="AQ43" s="84" t="e">
        <f t="shared" si="29"/>
        <v>#VALUE!</v>
      </c>
      <c r="AR43" s="84" t="e">
        <f t="shared" si="30"/>
        <v>#VALUE!</v>
      </c>
    </row>
    <row r="44" spans="1:44" x14ac:dyDescent="0.25">
      <c r="A44" s="18">
        <f>'Baseline Given'!E45</f>
        <v>42</v>
      </c>
      <c r="B44" s="45">
        <f t="shared" si="20"/>
        <v>28.5</v>
      </c>
      <c r="C44" s="45">
        <f t="shared" si="21"/>
        <v>25.5</v>
      </c>
      <c r="D44" s="19">
        <f>'Dynamic Loading'!$I$3*'Combined Stress'!B44+'Wind Loading'!$E$69*C44+'Wind Loading'!$E$68*'Combined Stress'!C45+'Wind Loading'!$E$67*'Combined Stress'!C46+'Wind Loading'!$E$66*'Combined Stress'!C47+'Wind Loading'!$E$65*'Combined Stress'!C48+'Wind Loading'!$E$64*'Combined Stress'!C49+'Wind Loading'!$E$63*'Combined Stress'!C50+'Wind Loading'!$E$62*'Combined Stress'!C51+'Wind Loading'!$E$61*'Combined Stress'!C52+'Wind Loading'!$E$60*'Combined Stress'!C53+'Wind Loading'!$E$59*'Combined Stress'!C54+'Wind Loading'!$E$58*'Combined Stress'!C55+'Wind Loading'!$E$57*'Combined Stress'!C56+'Wind Loading'!$E$56*'Combined Stress'!C57+'Wind Loading'!$E$55*'Combined Stress'!C58+'Wind Loading'!$E$54*'Combined Stress'!C59+'Wind Loading'!$E$53*'Combined Stress'!C60+'Wind Loading'!$E$52*'Combined Stress'!C61+'Wind Loading'!$E$51*'Combined Stress'!C62+'Wind Loading'!$E$50*'Combined Stress'!C63+'Wind Loading'!$E$49*'Combined Stress'!C64+'Wind Loading'!$E$48*'Combined Stress'!C65+'Wind Loading'!$E$47*'Combined Stress'!C66+'Wind Loading'!$E$46*'Combined Stress'!C67+'Wind Loading'!$E$45*'Combined Stress'!C68+'Wind Loading'!$E$44*'Combined Stress'!C69</f>
        <v>9594116.0237024892</v>
      </c>
      <c r="E44" s="19">
        <f>((D44*'Baseline Given'!K45)/'Baseline Given'!L45)/1000000</f>
        <v>74.704123264717325</v>
      </c>
      <c r="F44" s="19">
        <f t="shared" si="22"/>
        <v>26</v>
      </c>
      <c r="G44" s="19">
        <f>'Baseline Given'!$B$3+'Baseline Given'!$B$5+('Baseline Given'!$B$38*F44)</f>
        <v>1601842.8358208956</v>
      </c>
      <c r="H44" s="19">
        <f>'Baseline Given'!M45</f>
        <v>7.7601023775695497</v>
      </c>
      <c r="I44" s="19">
        <f t="shared" si="23"/>
        <v>0.2064203225528308</v>
      </c>
      <c r="J44" s="19">
        <f t="shared" si="11"/>
        <v>-74.910543587270155</v>
      </c>
      <c r="M44" s="18" t="str">
        <f>IF('Alternative 1'!F45&gt;0,'Alternative 1'!F45,"x")</f>
        <v>x</v>
      </c>
      <c r="N44" s="45">
        <f t="shared" si="12"/>
        <v>0</v>
      </c>
      <c r="O44" s="45">
        <f t="shared" si="13"/>
        <v>0</v>
      </c>
      <c r="P44" s="19">
        <f>'Dynamic Loading'!$Q$3*'Combined Stress'!N44+'Wind Loading'!$J$69*O44+'Wind Loading'!$J$68*'Combined Stress'!O45+'Wind Loading'!$J$67*'Combined Stress'!O46+'Wind Loading'!$J$66*'Combined Stress'!O47+'Wind Loading'!$J$65*'Combined Stress'!O48+'Wind Loading'!$J$64*'Combined Stress'!O49+'Wind Loading'!$J$63*'Combined Stress'!O50+'Wind Loading'!$J$62*'Combined Stress'!O51+'Wind Loading'!$J$61*'Combined Stress'!O52+'Wind Loading'!$J$60*'Combined Stress'!O53+'Wind Loading'!$J$59*'Combined Stress'!O54+'Wind Loading'!$J$58*'Combined Stress'!O55+'Wind Loading'!$J$57*'Combined Stress'!O56+'Wind Loading'!$J$56*'Combined Stress'!O57+'Wind Loading'!$J$55*'Combined Stress'!O58+'Wind Loading'!$J$54*'Combined Stress'!O59+'Wind Loading'!$J$53*'Combined Stress'!O60+'Wind Loading'!$J$52*'Combined Stress'!O61+'Wind Loading'!$J$51*'Combined Stress'!O62+'Wind Loading'!$J$50*'Combined Stress'!O63+'Wind Loading'!$J$49*'Combined Stress'!O64+'Wind Loading'!$J$48*'Combined Stress'!O65+'Wind Loading'!$J$47*'Combined Stress'!O66+'Wind Loading'!$J$46*'Combined Stress'!O67+'Wind Loading'!$J$45*'Combined Stress'!O68+'Wind Loading'!$J$44*'Combined Stress'!O69</f>
        <v>0</v>
      </c>
      <c r="Q44" s="19" t="e">
        <f>((P44*'Alternative 1'!K45)/'Alternative 1'!L45)/1000000</f>
        <v>#VALUE!</v>
      </c>
      <c r="R44" s="45">
        <f t="shared" si="14"/>
        <v>0</v>
      </c>
      <c r="S44" s="19">
        <f>IF(R44&gt;0,'Alternative 1'!$B$3+'Alternative 1'!$B$5+('Alternative 1'!$B$39*R44),0)</f>
        <v>0</v>
      </c>
      <c r="T44" s="19" t="e">
        <f>'Alternative 1'!M45</f>
        <v>#VALUE!</v>
      </c>
      <c r="U44" s="19" t="e">
        <f t="shared" si="24"/>
        <v>#VALUE!</v>
      </c>
      <c r="V44" s="19" t="e">
        <f t="shared" si="25"/>
        <v>#VALUE!</v>
      </c>
      <c r="X44" s="18" t="str">
        <f>IF('Alternative 2'!$F45&gt;0,'Alternative 2'!$F45,"x")</f>
        <v>x</v>
      </c>
      <c r="Y44" s="45">
        <f t="shared" si="15"/>
        <v>0</v>
      </c>
      <c r="Z44" s="45">
        <f t="shared" si="16"/>
        <v>0</v>
      </c>
      <c r="AA44" s="19">
        <f>'Dynamic Loading'!$Y$3*'Combined Stress'!Y44+'Wind Loading'!$O$69*Z44+'Wind Loading'!$O$68*'Combined Stress'!Z45+'Wind Loading'!$O$67*'Combined Stress'!Z46+'Wind Loading'!$O$66*'Combined Stress'!Z47+'Wind Loading'!$O$65*'Combined Stress'!Z48+'Wind Loading'!$O$64*'Combined Stress'!Z49+'Wind Loading'!$O$63*'Combined Stress'!Z50+'Wind Loading'!$O$62*'Combined Stress'!Z51+'Wind Loading'!$O$61*'Combined Stress'!Z52+'Wind Loading'!$O$60*'Combined Stress'!Z53+'Wind Loading'!$O$59*'Combined Stress'!Z54+'Wind Loading'!$O$58*'Combined Stress'!Z55+'Wind Loading'!$O$57*'Combined Stress'!Z56+'Wind Loading'!$O$56*'Combined Stress'!Z57+'Wind Loading'!$O$55*'Combined Stress'!Z58+'Wind Loading'!$O$54*'Combined Stress'!Z59+'Wind Loading'!$O$53*'Combined Stress'!Z60+'Wind Loading'!$O$52*'Combined Stress'!Z61+'Wind Loading'!$O$51*'Combined Stress'!Z62+'Wind Loading'!$O$50*'Combined Stress'!Z63+'Wind Loading'!$O$49*'Combined Stress'!Z64+'Wind Loading'!$O$48*'Combined Stress'!Z65+'Wind Loading'!$O$47*'Combined Stress'!Z66+'Wind Loading'!$O$46*'Combined Stress'!Z67+'Wind Loading'!$O$45*'Combined Stress'!Z68+'Wind Loading'!$O$44*'Combined Stress'!Z69</f>
        <v>0</v>
      </c>
      <c r="AB44" s="19" t="e">
        <f>((AA44*'Alternative 2'!K45)/'Alternative 2'!L45)/1000000</f>
        <v>#VALUE!</v>
      </c>
      <c r="AC44" s="45">
        <f t="shared" si="17"/>
        <v>0</v>
      </c>
      <c r="AD44" s="19">
        <f>'Alternative 2'!$B$3+'Alternative 2'!$B$5+('Alternative 2'!$B$39*AC44)</f>
        <v>76491.87</v>
      </c>
      <c r="AE44" s="19" t="e">
        <f>'Alternative 2'!M45</f>
        <v>#VALUE!</v>
      </c>
      <c r="AF44" s="19" t="e">
        <f t="shared" si="26"/>
        <v>#VALUE!</v>
      </c>
      <c r="AG44" s="19" t="e">
        <f t="shared" si="27"/>
        <v>#VALUE!</v>
      </c>
      <c r="AI44" s="18" t="str">
        <f>'Alternative 3'!F45</f>
        <v>x</v>
      </c>
      <c r="AJ44" s="83">
        <f t="shared" si="18"/>
        <v>-6.5</v>
      </c>
      <c r="AK44" s="45">
        <f t="shared" si="19"/>
        <v>0</v>
      </c>
      <c r="AL44" s="84">
        <f>'Dynamic Loading'!$AG$3*'Combined Stress'!AJ44+'Wind Loading'!$T$69*AK44+'Wind Loading'!$T$68*'Combined Stress'!AK45+'Wind Loading'!$T$67*'Combined Stress'!AK46+'Wind Loading'!$T$66*'Combined Stress'!AK47+'Wind Loading'!$T$65*'Combined Stress'!AK48+'Wind Loading'!$T$64*'Combined Stress'!AK49+'Wind Loading'!$T$63*'Combined Stress'!AK50+'Wind Loading'!$T$62*'Combined Stress'!AK51+'Wind Loading'!$T$61*'Combined Stress'!AK52+'Wind Loading'!$T$60*'Combined Stress'!AK53+'Wind Loading'!$T$59*'Combined Stress'!AK54+'Wind Loading'!$T$58*'Combined Stress'!AK55+'Wind Loading'!$T$57*'Combined Stress'!AK56+'Wind Loading'!$T$56*'Combined Stress'!AK57+'Wind Loading'!$T$55*'Combined Stress'!AK58+'Wind Loading'!$T$54*'Combined Stress'!AK59+'Wind Loading'!$T$53*'Combined Stress'!AK60+'Wind Loading'!$T$52*'Combined Stress'!AK61+'Wind Loading'!$T$51*'Combined Stress'!AK62+'Wind Loading'!$T$50*'Combined Stress'!AK63+'Wind Loading'!$T$49*'Combined Stress'!AK64+'Wind Loading'!$T$48*'Combined Stress'!AK65+'Wind Loading'!$T$47*'Combined Stress'!AK66+'Wind Loading'!$T$46*'Combined Stress'!AK67+'Wind Loading'!$T$45*'Combined Stress'!AK68+'Wind Loading'!$T$44*'Combined Stress'!AK69</f>
        <v>-917305.71238850197</v>
      </c>
      <c r="AM44" s="84" t="e">
        <f>((AL44*'Alternative 3'!K45)/'Alternative 3'!L45)/1000000</f>
        <v>#VALUE!</v>
      </c>
      <c r="AN44" s="84">
        <f t="shared" si="28"/>
        <v>26</v>
      </c>
      <c r="AO44" s="19">
        <f>'Alternative 3'!$B$3+'Alternative 3'!$B$5+('Alternative 2'!$B$39*AN44)</f>
        <v>216161.50798811478</v>
      </c>
      <c r="AP44" s="84" t="e">
        <f>'Alternative 3'!M45</f>
        <v>#VALUE!</v>
      </c>
      <c r="AQ44" s="84" t="e">
        <f t="shared" si="29"/>
        <v>#VALUE!</v>
      </c>
      <c r="AR44" s="84" t="e">
        <f t="shared" si="30"/>
        <v>#VALUE!</v>
      </c>
    </row>
    <row r="45" spans="1:44" x14ac:dyDescent="0.25">
      <c r="A45" s="18">
        <f>'Baseline Given'!E46</f>
        <v>43</v>
      </c>
      <c r="B45" s="45">
        <f t="shared" si="20"/>
        <v>27.5</v>
      </c>
      <c r="C45" s="45">
        <f t="shared" si="21"/>
        <v>24.5</v>
      </c>
      <c r="D45" s="19">
        <f>'Dynamic Loading'!$I$3*'Combined Stress'!B45+'Wind Loading'!$E$69*C45+'Wind Loading'!$E$68*'Combined Stress'!C46+'Wind Loading'!$E$67*'Combined Stress'!C47+'Wind Loading'!$E$66*'Combined Stress'!C48+'Wind Loading'!$E$65*'Combined Stress'!C49+'Wind Loading'!$E$64*'Combined Stress'!C50+'Wind Loading'!$E$63*'Combined Stress'!C51+'Wind Loading'!$E$62*'Combined Stress'!C52+'Wind Loading'!$E$61*'Combined Stress'!C53+'Wind Loading'!$E$60*'Combined Stress'!C54+'Wind Loading'!$E$59*'Combined Stress'!C55+'Wind Loading'!$E$58*'Combined Stress'!C56+'Wind Loading'!$E$57*'Combined Stress'!C57+'Wind Loading'!$E$56*'Combined Stress'!C58+'Wind Loading'!$E$55*'Combined Stress'!C59+'Wind Loading'!$E$54*'Combined Stress'!C60+'Wind Loading'!$E$53*'Combined Stress'!C61+'Wind Loading'!$E$52*'Combined Stress'!C62+'Wind Loading'!$E$51*'Combined Stress'!C63+'Wind Loading'!$E$50*'Combined Stress'!C64+'Wind Loading'!$E$49*'Combined Stress'!C65+'Wind Loading'!$E$48*'Combined Stress'!C66+'Wind Loading'!$E$47*'Combined Stress'!C67+'Wind Loading'!$E$46*'Combined Stress'!C68+'Wind Loading'!$E$45*'Combined Stress'!C69</f>
        <v>9213350.6388623342</v>
      </c>
      <c r="E45" s="19">
        <f>((D45*'Baseline Given'!K46)/'Baseline Given'!L46)/1000000</f>
        <v>72.376679920432593</v>
      </c>
      <c r="F45" s="19">
        <f t="shared" si="22"/>
        <v>25</v>
      </c>
      <c r="G45" s="19">
        <f>'Baseline Given'!$B$3+'Baseline Given'!$B$5+('Baseline Given'!$B$38*F45)</f>
        <v>1585683.8805970149</v>
      </c>
      <c r="H45" s="19">
        <f>'Baseline Given'!M46</f>
        <v>7.662988686114077</v>
      </c>
      <c r="I45" s="19">
        <f t="shared" si="23"/>
        <v>0.20692760299521198</v>
      </c>
      <c r="J45" s="19">
        <f t="shared" si="11"/>
        <v>-72.583607523427801</v>
      </c>
      <c r="M45" s="18" t="str">
        <f>IF('Alternative 1'!F46&gt;0,'Alternative 1'!F46,"x")</f>
        <v>x</v>
      </c>
      <c r="N45" s="45">
        <f t="shared" si="12"/>
        <v>0</v>
      </c>
      <c r="O45" s="45">
        <f t="shared" si="13"/>
        <v>0</v>
      </c>
      <c r="P45" s="19">
        <f>'Dynamic Loading'!$Q$3*'Combined Stress'!N45+'Wind Loading'!$J$69*O45+'Wind Loading'!$J$68*'Combined Stress'!O46+'Wind Loading'!$J$67*'Combined Stress'!O47+'Wind Loading'!$J$66*'Combined Stress'!O48+'Wind Loading'!$J$65*'Combined Stress'!O49+'Wind Loading'!$J$64*'Combined Stress'!O50+'Wind Loading'!$J$63*'Combined Stress'!O51+'Wind Loading'!$J$62*'Combined Stress'!O52+'Wind Loading'!$J$61*'Combined Stress'!O53+'Wind Loading'!$J$60*'Combined Stress'!O54+'Wind Loading'!$J$59*'Combined Stress'!O55+'Wind Loading'!$J$58*'Combined Stress'!O56+'Wind Loading'!$J$57*'Combined Stress'!O57+'Wind Loading'!$J$56*'Combined Stress'!O58+'Wind Loading'!$J$55*'Combined Stress'!O59+'Wind Loading'!$J$54*'Combined Stress'!O60+'Wind Loading'!$J$53*'Combined Stress'!O61+'Wind Loading'!$J$52*'Combined Stress'!O62+'Wind Loading'!$J$51*'Combined Stress'!O63+'Wind Loading'!$J$50*'Combined Stress'!O64+'Wind Loading'!$J$49*'Combined Stress'!O65+'Wind Loading'!$J$48*'Combined Stress'!O66+'Wind Loading'!$J$47*'Combined Stress'!O67+'Wind Loading'!$J$46*'Combined Stress'!O68+'Wind Loading'!$J$45*'Combined Stress'!O69</f>
        <v>0</v>
      </c>
      <c r="Q45" s="19" t="e">
        <f>((P45*'Alternative 1'!K46)/'Alternative 1'!L46)/1000000</f>
        <v>#VALUE!</v>
      </c>
      <c r="R45" s="45">
        <f t="shared" si="14"/>
        <v>0</v>
      </c>
      <c r="S45" s="19">
        <f>IF(R45&gt;0,'Alternative 1'!$B$3+'Alternative 1'!$B$5+('Alternative 1'!$B$39*R45),0)</f>
        <v>0</v>
      </c>
      <c r="T45" s="19" t="e">
        <f>'Alternative 1'!M46</f>
        <v>#VALUE!</v>
      </c>
      <c r="U45" s="19" t="e">
        <f t="shared" si="24"/>
        <v>#VALUE!</v>
      </c>
      <c r="V45" s="19" t="e">
        <f t="shared" si="25"/>
        <v>#VALUE!</v>
      </c>
      <c r="X45" s="18" t="str">
        <f>IF('Alternative 2'!$F46&gt;0,'Alternative 2'!$F46,"x")</f>
        <v>x</v>
      </c>
      <c r="Y45" s="45">
        <f t="shared" si="15"/>
        <v>0</v>
      </c>
      <c r="Z45" s="45">
        <f t="shared" si="16"/>
        <v>0</v>
      </c>
      <c r="AA45" s="19">
        <f>'Dynamic Loading'!$Y$3*'Combined Stress'!Y45+'Wind Loading'!$O$69*Z45+'Wind Loading'!$O$68*'Combined Stress'!Z46+'Wind Loading'!$O$67*'Combined Stress'!Z47+'Wind Loading'!$O$66*'Combined Stress'!Z48+'Wind Loading'!$O$65*'Combined Stress'!Z49+'Wind Loading'!$O$64*'Combined Stress'!Z50+'Wind Loading'!$O$63*'Combined Stress'!Z51+'Wind Loading'!$O$62*'Combined Stress'!Z52+'Wind Loading'!$O$61*'Combined Stress'!Z53+'Wind Loading'!$O$60*'Combined Stress'!Z54+'Wind Loading'!$O$59*'Combined Stress'!Z55+'Wind Loading'!$O$58*'Combined Stress'!Z56+'Wind Loading'!$O$57*'Combined Stress'!Z57+'Wind Loading'!$O$56*'Combined Stress'!Z58+'Wind Loading'!$O$55*'Combined Stress'!Z59+'Wind Loading'!$O$54*'Combined Stress'!Z60+'Wind Loading'!$O$53*'Combined Stress'!Z61+'Wind Loading'!$O$52*'Combined Stress'!Z62+'Wind Loading'!$O$51*'Combined Stress'!Z63+'Wind Loading'!$O$50*'Combined Stress'!Z64+'Wind Loading'!$O$49*'Combined Stress'!Z65+'Wind Loading'!$O$48*'Combined Stress'!Z66+'Wind Loading'!$O$47*'Combined Stress'!Z67+'Wind Loading'!$O$46*'Combined Stress'!Z68+'Wind Loading'!$O$45*'Combined Stress'!Z69</f>
        <v>0</v>
      </c>
      <c r="AB45" s="19" t="e">
        <f>((AA45*'Alternative 2'!K46)/'Alternative 2'!L46)/1000000</f>
        <v>#VALUE!</v>
      </c>
      <c r="AC45" s="45">
        <f t="shared" si="17"/>
        <v>0</v>
      </c>
      <c r="AD45" s="19">
        <f>'Alternative 2'!$B$3+'Alternative 2'!$B$5+('Alternative 2'!$B$39*AC45)</f>
        <v>76491.87</v>
      </c>
      <c r="AE45" s="19" t="e">
        <f>'Alternative 2'!M46</f>
        <v>#VALUE!</v>
      </c>
      <c r="AF45" s="19" t="e">
        <f t="shared" si="26"/>
        <v>#VALUE!</v>
      </c>
      <c r="AG45" s="19" t="e">
        <f t="shared" si="27"/>
        <v>#VALUE!</v>
      </c>
      <c r="AI45" s="18" t="str">
        <f>'Alternative 3'!F46</f>
        <v>x</v>
      </c>
      <c r="AJ45" s="83">
        <f t="shared" si="18"/>
        <v>-7.5</v>
      </c>
      <c r="AK45" s="45">
        <f t="shared" si="19"/>
        <v>0</v>
      </c>
      <c r="AL45" s="84">
        <f>'Dynamic Loading'!$AG$3*'Combined Stress'!AJ45+'Wind Loading'!$T$69*AK45+'Wind Loading'!$T$68*'Combined Stress'!AK46+'Wind Loading'!$T$67*'Combined Stress'!AK47+'Wind Loading'!$T$66*'Combined Stress'!AK48+'Wind Loading'!$T$65*'Combined Stress'!AK49+'Wind Loading'!$T$64*'Combined Stress'!AK50+'Wind Loading'!$T$63*'Combined Stress'!AK51+'Wind Loading'!$T$62*'Combined Stress'!AK52+'Wind Loading'!$T$61*'Combined Stress'!AK53+'Wind Loading'!$T$60*'Combined Stress'!AK54+'Wind Loading'!$T$59*'Combined Stress'!AK55+'Wind Loading'!$T$58*'Combined Stress'!AK56+'Wind Loading'!$T$57*'Combined Stress'!AK57+'Wind Loading'!$T$56*'Combined Stress'!AK58+'Wind Loading'!$T$55*'Combined Stress'!AK59+'Wind Loading'!$T$54*'Combined Stress'!AK60+'Wind Loading'!$T$53*'Combined Stress'!AK61+'Wind Loading'!$T$52*'Combined Stress'!AK62+'Wind Loading'!$T$51*'Combined Stress'!AK63+'Wind Loading'!$T$50*'Combined Stress'!AK64+'Wind Loading'!$T$49*'Combined Stress'!AK65+'Wind Loading'!$T$48*'Combined Stress'!AK66+'Wind Loading'!$T$47*'Combined Stress'!AK67+'Wind Loading'!$T$46*'Combined Stress'!AK68+'Wind Loading'!$T$45*'Combined Stress'!AK69</f>
        <v>-1058429.6681405792</v>
      </c>
      <c r="AM45" s="84" t="e">
        <f>((AL45*'Alternative 3'!K46)/'Alternative 3'!L46)/1000000</f>
        <v>#VALUE!</v>
      </c>
      <c r="AN45" s="84">
        <f t="shared" si="28"/>
        <v>25</v>
      </c>
      <c r="AO45" s="19">
        <f>'Alternative 3'!$B$3+'Alternative 3'!$B$5+('Alternative 2'!$B$39*AN45)</f>
        <v>213440.73236751423</v>
      </c>
      <c r="AP45" s="84" t="e">
        <f>'Alternative 3'!M46</f>
        <v>#VALUE!</v>
      </c>
      <c r="AQ45" s="84" t="e">
        <f t="shared" si="29"/>
        <v>#VALUE!</v>
      </c>
      <c r="AR45" s="84" t="e">
        <f t="shared" si="30"/>
        <v>#VALUE!</v>
      </c>
    </row>
    <row r="46" spans="1:44" x14ac:dyDescent="0.25">
      <c r="A46" s="18">
        <f>'Baseline Given'!E47</f>
        <v>44</v>
      </c>
      <c r="B46" s="45">
        <f t="shared" si="20"/>
        <v>26.5</v>
      </c>
      <c r="C46" s="45">
        <f t="shared" si="21"/>
        <v>23.5</v>
      </c>
      <c r="D46" s="19">
        <f>'Dynamic Loading'!$I$3*'Combined Stress'!B46+'Wind Loading'!$E$69*C46+'Wind Loading'!$E$68*'Combined Stress'!C47+'Wind Loading'!$E$67*'Combined Stress'!C48+'Wind Loading'!$E$66*'Combined Stress'!C49+'Wind Loading'!$E$65*'Combined Stress'!C50+'Wind Loading'!$E$64*'Combined Stress'!C51+'Wind Loading'!$E$63*'Combined Stress'!C52+'Wind Loading'!$E$62*'Combined Stress'!C53+'Wind Loading'!$E$61*'Combined Stress'!C54+'Wind Loading'!$E$60*'Combined Stress'!C55+'Wind Loading'!$E$59*'Combined Stress'!C56+'Wind Loading'!$E$58*'Combined Stress'!C57+'Wind Loading'!$E$57*'Combined Stress'!C58+'Wind Loading'!$E$56*'Combined Stress'!C59+'Wind Loading'!$E$55*'Combined Stress'!C60+'Wind Loading'!$E$54*'Combined Stress'!C61+'Wind Loading'!$E$53*'Combined Stress'!C62+'Wind Loading'!$E$52*'Combined Stress'!C63+'Wind Loading'!$E$51*'Combined Stress'!C64+'Wind Loading'!$E$50*'Combined Stress'!C65+'Wind Loading'!$E$49*'Combined Stress'!C66+'Wind Loading'!$E$48*'Combined Stress'!C67+'Wind Loading'!$E$47*'Combined Stress'!C68+'Wind Loading'!$E$46*'Combined Stress'!C69</f>
        <v>8835904.4080682658</v>
      </c>
      <c r="E46" s="19">
        <f>((D46*'Baseline Given'!K47)/'Baseline Given'!L47)/1000000</f>
        <v>70.033817284095008</v>
      </c>
      <c r="F46" s="19">
        <f t="shared" si="22"/>
        <v>24</v>
      </c>
      <c r="G46" s="19">
        <f>'Baseline Given'!$B$3+'Baseline Given'!$B$5+('Baseline Given'!$B$38*F46)</f>
        <v>1569524.9253731342</v>
      </c>
      <c r="H46" s="19">
        <f>'Baseline Given'!M47</f>
        <v>7.5664864909216476</v>
      </c>
      <c r="I46" s="19">
        <f t="shared" si="23"/>
        <v>0.20743114089429318</v>
      </c>
      <c r="J46" s="19">
        <f t="shared" si="11"/>
        <v>-70.241248424989294</v>
      </c>
      <c r="M46" s="18" t="str">
        <f>IF('Alternative 1'!F47&gt;0,'Alternative 1'!F47,"x")</f>
        <v>x</v>
      </c>
      <c r="N46" s="45">
        <f t="shared" si="12"/>
        <v>0</v>
      </c>
      <c r="O46" s="45">
        <f t="shared" si="13"/>
        <v>0</v>
      </c>
      <c r="P46" s="19">
        <f>'Dynamic Loading'!$Q$3*'Combined Stress'!N46+'Wind Loading'!$J$69*O46+'Wind Loading'!$J$68*'Combined Stress'!O47+'Wind Loading'!$J$67*'Combined Stress'!O48+'Wind Loading'!$J$66*'Combined Stress'!O49+'Wind Loading'!$J$65*'Combined Stress'!O50+'Wind Loading'!$J$64*'Combined Stress'!O51+'Wind Loading'!$J$63*'Combined Stress'!O52+'Wind Loading'!$J$62*'Combined Stress'!O53+'Wind Loading'!$J$61*'Combined Stress'!O54+'Wind Loading'!$J$60*'Combined Stress'!O55+'Wind Loading'!$J$59*'Combined Stress'!O56+'Wind Loading'!$J$58*'Combined Stress'!O57+'Wind Loading'!$J$57*'Combined Stress'!O58+'Wind Loading'!$J$56*'Combined Stress'!O59+'Wind Loading'!$J$55*'Combined Stress'!O60+'Wind Loading'!$J$54*'Combined Stress'!O61+'Wind Loading'!$J$53*'Combined Stress'!O62+'Wind Loading'!$J$52*'Combined Stress'!O63+'Wind Loading'!$J$51*'Combined Stress'!O64+'Wind Loading'!$J$50*'Combined Stress'!O65+'Wind Loading'!$J$49*'Combined Stress'!O66+'Wind Loading'!$J$48*'Combined Stress'!O67+'Wind Loading'!$J$47*'Combined Stress'!O68+'Wind Loading'!$J$46*'Combined Stress'!O69</f>
        <v>0</v>
      </c>
      <c r="Q46" s="19" t="e">
        <f>((P46*'Alternative 1'!K47)/'Alternative 1'!L47)/1000000</f>
        <v>#VALUE!</v>
      </c>
      <c r="R46" s="45">
        <f t="shared" si="14"/>
        <v>0</v>
      </c>
      <c r="S46" s="19">
        <f>IF(R46&gt;0,'Alternative 1'!$B$3+'Alternative 1'!$B$5+('Alternative 1'!$B$39*R46),0)</f>
        <v>0</v>
      </c>
      <c r="T46" s="19" t="e">
        <f>'Alternative 1'!M47</f>
        <v>#VALUE!</v>
      </c>
      <c r="U46" s="19" t="e">
        <f t="shared" si="24"/>
        <v>#VALUE!</v>
      </c>
      <c r="V46" s="19" t="e">
        <f t="shared" si="25"/>
        <v>#VALUE!</v>
      </c>
      <c r="X46" s="18" t="str">
        <f>IF('Alternative 2'!$F47&gt;0,'Alternative 2'!$F47,"x")</f>
        <v>x</v>
      </c>
      <c r="Y46" s="45">
        <f t="shared" si="15"/>
        <v>0</v>
      </c>
      <c r="Z46" s="45">
        <f t="shared" si="16"/>
        <v>0</v>
      </c>
      <c r="AA46" s="19">
        <f>'Dynamic Loading'!$Y$3*'Combined Stress'!Y46+'Wind Loading'!$O$69*Z46+'Wind Loading'!$O$68*'Combined Stress'!Z47+'Wind Loading'!$O$67*'Combined Stress'!Z48+'Wind Loading'!$O$66*'Combined Stress'!Z49+'Wind Loading'!$O$65*'Combined Stress'!Z50+'Wind Loading'!$O$64*'Combined Stress'!Z51+'Wind Loading'!$O$63*'Combined Stress'!Z52+'Wind Loading'!$O$62*'Combined Stress'!Z53+'Wind Loading'!$O$61*'Combined Stress'!Z54+'Wind Loading'!$O$60*'Combined Stress'!Z55+'Wind Loading'!$O$59*'Combined Stress'!Z56+'Wind Loading'!$O$58*'Combined Stress'!Z57+'Wind Loading'!$O$57*'Combined Stress'!Z58+'Wind Loading'!$O$56*'Combined Stress'!Z59+'Wind Loading'!$O$55*'Combined Stress'!Z60+'Wind Loading'!$O$54*'Combined Stress'!Z61+'Wind Loading'!$O$53*'Combined Stress'!Z62+'Wind Loading'!$O$52*'Combined Stress'!Z63+'Wind Loading'!$O$51*'Combined Stress'!Z64+'Wind Loading'!$O$50*'Combined Stress'!Z65+'Wind Loading'!$O$49*'Combined Stress'!Z66+'Wind Loading'!$O$48*'Combined Stress'!Z67+'Wind Loading'!$O$47*'Combined Stress'!Z68+'Wind Loading'!$O$46*'Combined Stress'!Z69</f>
        <v>0</v>
      </c>
      <c r="AB46" s="19" t="e">
        <f>((AA46*'Alternative 2'!K47)/'Alternative 2'!L47)/1000000</f>
        <v>#VALUE!</v>
      </c>
      <c r="AC46" s="45">
        <f t="shared" si="17"/>
        <v>0</v>
      </c>
      <c r="AD46" s="19">
        <f>'Alternative 2'!$B$3+'Alternative 2'!$B$5+('Alternative 2'!$B$39*AC46)</f>
        <v>76491.87</v>
      </c>
      <c r="AE46" s="19" t="e">
        <f>'Alternative 2'!M47</f>
        <v>#VALUE!</v>
      </c>
      <c r="AF46" s="19" t="e">
        <f t="shared" si="26"/>
        <v>#VALUE!</v>
      </c>
      <c r="AG46" s="19" t="e">
        <f t="shared" si="27"/>
        <v>#VALUE!</v>
      </c>
      <c r="AI46" s="18" t="str">
        <f>'Alternative 3'!F47</f>
        <v>x</v>
      </c>
      <c r="AJ46" s="83">
        <f t="shared" si="18"/>
        <v>-8.5</v>
      </c>
      <c r="AK46" s="45">
        <f t="shared" si="19"/>
        <v>0</v>
      </c>
      <c r="AL46" s="84">
        <f>'Dynamic Loading'!$AG$3*'Combined Stress'!AJ46+'Wind Loading'!$T$69*AK46+'Wind Loading'!$T$68*'Combined Stress'!AK47+'Wind Loading'!$T$67*'Combined Stress'!AK48+'Wind Loading'!$T$66*'Combined Stress'!AK49+'Wind Loading'!$T$65*'Combined Stress'!AK50+'Wind Loading'!$T$64*'Combined Stress'!AK51+'Wind Loading'!$T$63*'Combined Stress'!AK52+'Wind Loading'!$T$62*'Combined Stress'!AK53+'Wind Loading'!$T$61*'Combined Stress'!AK54+'Wind Loading'!$T$60*'Combined Stress'!AK55+'Wind Loading'!$T$59*'Combined Stress'!AK56+'Wind Loading'!$T$58*'Combined Stress'!AK57+'Wind Loading'!$T$57*'Combined Stress'!AK58+'Wind Loading'!$T$56*'Combined Stress'!AK59+'Wind Loading'!$T$55*'Combined Stress'!AK60+'Wind Loading'!$T$54*'Combined Stress'!AK61+'Wind Loading'!$T$53*'Combined Stress'!AK62+'Wind Loading'!$T$52*'Combined Stress'!AK63+'Wind Loading'!$T$51*'Combined Stress'!AK64+'Wind Loading'!$T$50*'Combined Stress'!AK65+'Wind Loading'!$T$49*'Combined Stress'!AK66+'Wind Loading'!$T$48*'Combined Stress'!AK67+'Wind Loading'!$T$47*'Combined Stress'!AK68+'Wind Loading'!$T$46*'Combined Stress'!AK69</f>
        <v>-1199553.6238926563</v>
      </c>
      <c r="AM46" s="84" t="e">
        <f>((AL46*'Alternative 3'!K47)/'Alternative 3'!L47)/1000000</f>
        <v>#VALUE!</v>
      </c>
      <c r="AN46" s="84">
        <f t="shared" si="28"/>
        <v>24</v>
      </c>
      <c r="AO46" s="19">
        <f>'Alternative 3'!$B$3+'Alternative 3'!$B$5+('Alternative 2'!$B$39*AN46)</f>
        <v>210719.95674691367</v>
      </c>
      <c r="AP46" s="84" t="e">
        <f>'Alternative 3'!M47</f>
        <v>#VALUE!</v>
      </c>
      <c r="AQ46" s="84" t="e">
        <f t="shared" si="29"/>
        <v>#VALUE!</v>
      </c>
      <c r="AR46" s="84" t="e">
        <f t="shared" si="30"/>
        <v>#VALUE!</v>
      </c>
    </row>
    <row r="47" spans="1:44" x14ac:dyDescent="0.25">
      <c r="A47" s="18">
        <f>'Baseline Given'!E48</f>
        <v>45</v>
      </c>
      <c r="B47" s="45">
        <f t="shared" si="20"/>
        <v>25.5</v>
      </c>
      <c r="C47" s="45">
        <f t="shared" si="21"/>
        <v>22.5</v>
      </c>
      <c r="D47" s="19">
        <f>'Dynamic Loading'!$I$3*'Combined Stress'!B47+'Wind Loading'!$E$69*C47+'Wind Loading'!$E$68*'Combined Stress'!C48+'Wind Loading'!$E$67*'Combined Stress'!C49+'Wind Loading'!$E$66*'Combined Stress'!C50+'Wind Loading'!$E$65*'Combined Stress'!C51+'Wind Loading'!$E$64*'Combined Stress'!C52+'Wind Loading'!$E$63*'Combined Stress'!C53+'Wind Loading'!$E$62*'Combined Stress'!C54+'Wind Loading'!$E$61*'Combined Stress'!C55+'Wind Loading'!$E$60*'Combined Stress'!C56+'Wind Loading'!$E$59*'Combined Stress'!C57+'Wind Loading'!$E$58*'Combined Stress'!C58+'Wind Loading'!$E$57*'Combined Stress'!C59+'Wind Loading'!$E$56*'Combined Stress'!C60+'Wind Loading'!$E$55*'Combined Stress'!C61+'Wind Loading'!$E$54*'Combined Stress'!C62+'Wind Loading'!$E$53*'Combined Stress'!C63+'Wind Loading'!$E$52*'Combined Stress'!C64+'Wind Loading'!$E$51*'Combined Stress'!C65+'Wind Loading'!$E$50*'Combined Stress'!C66+'Wind Loading'!$E$49*'Combined Stress'!C67+'Wind Loading'!$E$48*'Combined Stress'!C68+'Wind Loading'!$E$47*'Combined Stress'!C69</f>
        <v>8461769.969876796</v>
      </c>
      <c r="E47" s="19">
        <f>((D47*'Baseline Given'!K48)/'Baseline Given'!L48)/1000000</f>
        <v>67.675058067824224</v>
      </c>
      <c r="F47" s="19">
        <f t="shared" si="22"/>
        <v>23</v>
      </c>
      <c r="G47" s="19">
        <f>'Baseline Given'!$B$3+'Baseline Given'!$B$5+('Baseline Given'!$B$38*F47)</f>
        <v>1553365.9701492537</v>
      </c>
      <c r="H47" s="19">
        <f>'Baseline Given'!M48</f>
        <v>7.4705957919922659</v>
      </c>
      <c r="I47" s="19">
        <f t="shared" si="23"/>
        <v>0.20793066756660925</v>
      </c>
      <c r="J47" s="19">
        <f t="shared" si="11"/>
        <v>-67.882988735390839</v>
      </c>
      <c r="M47" s="18" t="str">
        <f>IF('Alternative 1'!F48&gt;0,'Alternative 1'!F48,"x")</f>
        <v>x</v>
      </c>
      <c r="N47" s="45">
        <f t="shared" si="12"/>
        <v>0</v>
      </c>
      <c r="O47" s="45">
        <f t="shared" si="13"/>
        <v>0</v>
      </c>
      <c r="P47" s="19">
        <f>'Dynamic Loading'!$Q$3*'Combined Stress'!N47+'Wind Loading'!$J$69*O47+'Wind Loading'!$J$68*'Combined Stress'!O48+'Wind Loading'!$J$67*'Combined Stress'!O49+'Wind Loading'!$J$66*'Combined Stress'!O50+'Wind Loading'!$J$65*'Combined Stress'!O51+'Wind Loading'!$J$64*'Combined Stress'!O52+'Wind Loading'!$J$63*'Combined Stress'!O53+'Wind Loading'!$J$62*'Combined Stress'!O54+'Wind Loading'!$J$61*'Combined Stress'!O55+'Wind Loading'!$J$60*'Combined Stress'!O56+'Wind Loading'!$J$59*'Combined Stress'!O57+'Wind Loading'!$J$58*'Combined Stress'!O58+'Wind Loading'!$J$57*'Combined Stress'!O59+'Wind Loading'!$J$56*'Combined Stress'!O60+'Wind Loading'!$J$55*'Combined Stress'!O61+'Wind Loading'!$J$54*'Combined Stress'!O62+'Wind Loading'!$J$53*'Combined Stress'!O63+'Wind Loading'!$J$52*'Combined Stress'!O64+'Wind Loading'!$J$51*'Combined Stress'!O65+'Wind Loading'!$J$50*'Combined Stress'!O66+'Wind Loading'!$J$49*'Combined Stress'!O67+'Wind Loading'!$J$48*'Combined Stress'!O68+'Wind Loading'!$J$47*'Combined Stress'!O69</f>
        <v>0</v>
      </c>
      <c r="Q47" s="19" t="e">
        <f>((P47*'Alternative 1'!K48)/'Alternative 1'!L48)/1000000</f>
        <v>#VALUE!</v>
      </c>
      <c r="R47" s="45">
        <f t="shared" si="14"/>
        <v>0</v>
      </c>
      <c r="S47" s="19">
        <f>IF(R47&gt;0,'Alternative 1'!$B$3+'Alternative 1'!$B$5+('Alternative 1'!$B$39*R47),0)</f>
        <v>0</v>
      </c>
      <c r="T47" s="19" t="e">
        <f>'Alternative 1'!M48</f>
        <v>#VALUE!</v>
      </c>
      <c r="U47" s="19" t="e">
        <f t="shared" si="24"/>
        <v>#VALUE!</v>
      </c>
      <c r="V47" s="19" t="e">
        <f t="shared" si="25"/>
        <v>#VALUE!</v>
      </c>
      <c r="X47" s="18" t="str">
        <f>IF('Alternative 2'!$F48&gt;0,'Alternative 2'!$F48,"x")</f>
        <v>x</v>
      </c>
      <c r="Y47" s="45">
        <f t="shared" si="15"/>
        <v>0</v>
      </c>
      <c r="Z47" s="45">
        <f t="shared" si="16"/>
        <v>0</v>
      </c>
      <c r="AA47" s="19">
        <f>'Dynamic Loading'!$Y$3*'Combined Stress'!Y47+'Wind Loading'!$O$69*Z47+'Wind Loading'!$O$68*'Combined Stress'!Z48+'Wind Loading'!$O$67*'Combined Stress'!Z49+'Wind Loading'!$O$66*'Combined Stress'!Z50+'Wind Loading'!$O$65*'Combined Stress'!Z51+'Wind Loading'!$O$64*'Combined Stress'!Z52+'Wind Loading'!$O$63*'Combined Stress'!Z53+'Wind Loading'!$O$62*'Combined Stress'!Z54+'Wind Loading'!$O$61*'Combined Stress'!Z55+'Wind Loading'!$O$60*'Combined Stress'!Z56+'Wind Loading'!$O$59*'Combined Stress'!Z57+'Wind Loading'!$O$58*'Combined Stress'!Z58+'Wind Loading'!$O$57*'Combined Stress'!Z59+'Wind Loading'!$O$56*'Combined Stress'!Z60+'Wind Loading'!$O$55*'Combined Stress'!Z61+'Wind Loading'!$O$54*'Combined Stress'!Z62+'Wind Loading'!$O$53*'Combined Stress'!Z63+'Wind Loading'!$O$52*'Combined Stress'!Z64+'Wind Loading'!$O$51*'Combined Stress'!Z65+'Wind Loading'!$O$50*'Combined Stress'!Z66+'Wind Loading'!$O$49*'Combined Stress'!Z67+'Wind Loading'!$O$48*'Combined Stress'!Z68+'Wind Loading'!$O$47*'Combined Stress'!Z69</f>
        <v>0</v>
      </c>
      <c r="AB47" s="19" t="e">
        <f>((AA47*'Alternative 2'!K48)/'Alternative 2'!L48)/1000000</f>
        <v>#VALUE!</v>
      </c>
      <c r="AC47" s="45">
        <f t="shared" si="17"/>
        <v>0</v>
      </c>
      <c r="AD47" s="19">
        <f>'Alternative 2'!$B$3+'Alternative 2'!$B$5+('Alternative 2'!$B$39*AC47)</f>
        <v>76491.87</v>
      </c>
      <c r="AE47" s="19" t="e">
        <f>'Alternative 2'!M48</f>
        <v>#VALUE!</v>
      </c>
      <c r="AF47" s="19" t="e">
        <f t="shared" si="26"/>
        <v>#VALUE!</v>
      </c>
      <c r="AG47" s="19" t="e">
        <f t="shared" si="27"/>
        <v>#VALUE!</v>
      </c>
      <c r="AI47" s="18" t="str">
        <f>'Alternative 3'!F48</f>
        <v>x</v>
      </c>
      <c r="AJ47" s="83">
        <f t="shared" si="18"/>
        <v>-9.5</v>
      </c>
      <c r="AK47" s="45">
        <f t="shared" si="19"/>
        <v>0</v>
      </c>
      <c r="AL47" s="84">
        <f>'Dynamic Loading'!$AG$3*'Combined Stress'!AJ47+'Wind Loading'!$T$69*AK47+'Wind Loading'!$T$68*'Combined Stress'!AK48+'Wind Loading'!$T$67*'Combined Stress'!AK49+'Wind Loading'!$T$66*'Combined Stress'!AK50+'Wind Loading'!$T$65*'Combined Stress'!AK51+'Wind Loading'!$T$64*'Combined Stress'!AK52+'Wind Loading'!$T$63*'Combined Stress'!AK53+'Wind Loading'!$T$62*'Combined Stress'!AK54+'Wind Loading'!$T$61*'Combined Stress'!AK55+'Wind Loading'!$T$60*'Combined Stress'!AK56+'Wind Loading'!$T$59*'Combined Stress'!AK57+'Wind Loading'!$T$58*'Combined Stress'!AK58+'Wind Loading'!$T$57*'Combined Stress'!AK59+'Wind Loading'!$T$56*'Combined Stress'!AK60+'Wind Loading'!$T$55*'Combined Stress'!AK61+'Wind Loading'!$T$54*'Combined Stress'!AK62+'Wind Loading'!$T$53*'Combined Stress'!AK63+'Wind Loading'!$T$52*'Combined Stress'!AK64+'Wind Loading'!$T$51*'Combined Stress'!AK65+'Wind Loading'!$T$50*'Combined Stress'!AK66+'Wind Loading'!$T$49*'Combined Stress'!AK67+'Wind Loading'!$T$48*'Combined Stress'!AK68+'Wind Loading'!$T$47*'Combined Stress'!AK69</f>
        <v>-1340677.5796447336</v>
      </c>
      <c r="AM47" s="84" t="e">
        <f>((AL47*'Alternative 3'!K48)/'Alternative 3'!L48)/1000000</f>
        <v>#VALUE!</v>
      </c>
      <c r="AN47" s="84">
        <f t="shared" si="28"/>
        <v>23</v>
      </c>
      <c r="AO47" s="19">
        <f>'Alternative 3'!$B$3+'Alternative 3'!$B$5+('Alternative 2'!$B$39*AN47)</f>
        <v>207999.18112631308</v>
      </c>
      <c r="AP47" s="84" t="e">
        <f>'Alternative 3'!M48</f>
        <v>#VALUE!</v>
      </c>
      <c r="AQ47" s="84" t="e">
        <f t="shared" si="29"/>
        <v>#VALUE!</v>
      </c>
      <c r="AR47" s="84" t="e">
        <f t="shared" si="30"/>
        <v>#VALUE!</v>
      </c>
    </row>
    <row r="48" spans="1:44" x14ac:dyDescent="0.25">
      <c r="A48" s="18">
        <f>'Baseline Given'!E49</f>
        <v>46</v>
      </c>
      <c r="B48" s="45">
        <f t="shared" si="20"/>
        <v>24.5</v>
      </c>
      <c r="C48" s="45">
        <f t="shared" si="21"/>
        <v>21.5</v>
      </c>
      <c r="D48" s="19">
        <f>'Dynamic Loading'!$I$3*'Combined Stress'!B48+'Wind Loading'!$E$69*C48+'Wind Loading'!$E$68*'Combined Stress'!C49+'Wind Loading'!$E$67*'Combined Stress'!C50+'Wind Loading'!$E$66*'Combined Stress'!C51+'Wind Loading'!$E$65*'Combined Stress'!C52+'Wind Loading'!$E$64*'Combined Stress'!C53+'Wind Loading'!$E$63*'Combined Stress'!C54+'Wind Loading'!$E$62*'Combined Stress'!C55+'Wind Loading'!$E$61*'Combined Stress'!C56+'Wind Loading'!$E$60*'Combined Stress'!C57+'Wind Loading'!$E$59*'Combined Stress'!C58+'Wind Loading'!$E$58*'Combined Stress'!C59+'Wind Loading'!$E$57*'Combined Stress'!C60+'Wind Loading'!$E$56*'Combined Stress'!C61+'Wind Loading'!$E$55*'Combined Stress'!C62+'Wind Loading'!$E$54*'Combined Stress'!C63+'Wind Loading'!$E$53*'Combined Stress'!C64+'Wind Loading'!$E$52*'Combined Stress'!C65+'Wind Loading'!$E$51*'Combined Stress'!C66+'Wind Loading'!$E$50*'Combined Stress'!C67+'Wind Loading'!$E$49*'Combined Stress'!C68+'Wind Loading'!$E$48*'Combined Stress'!C69</f>
        <v>8090939.5356451729</v>
      </c>
      <c r="E48" s="19">
        <f>((D48*'Baseline Given'!K49)/'Baseline Given'!L49)/1000000</f>
        <v>65.299904109591651</v>
      </c>
      <c r="F48" s="19">
        <f t="shared" si="22"/>
        <v>22</v>
      </c>
      <c r="G48" s="19">
        <f>'Baseline Given'!$B$3+'Baseline Given'!$B$5+('Baseline Given'!$B$38*F48)</f>
        <v>1537207.0149253733</v>
      </c>
      <c r="H48" s="19">
        <f>'Baseline Given'!M49</f>
        <v>7.3753165893259238</v>
      </c>
      <c r="I48" s="19">
        <f t="shared" si="23"/>
        <v>0.20842590230636707</v>
      </c>
      <c r="J48" s="19">
        <f t="shared" si="11"/>
        <v>-65.508330011898025</v>
      </c>
      <c r="M48" s="18" t="str">
        <f>IF('Alternative 1'!F49&gt;0,'Alternative 1'!F49,"x")</f>
        <v>x</v>
      </c>
      <c r="N48" s="45">
        <f t="shared" si="12"/>
        <v>0</v>
      </c>
      <c r="O48" s="45">
        <f t="shared" si="13"/>
        <v>0</v>
      </c>
      <c r="P48" s="19">
        <f>'Dynamic Loading'!$Q$3*'Combined Stress'!N48+'Wind Loading'!$J$69*O48+'Wind Loading'!$J$68*'Combined Stress'!O49+'Wind Loading'!$J$67*'Combined Stress'!O50+'Wind Loading'!$J$66*'Combined Stress'!O51+'Wind Loading'!$J$65*'Combined Stress'!O52+'Wind Loading'!$J$64*'Combined Stress'!O53+'Wind Loading'!$J$63*'Combined Stress'!O54+'Wind Loading'!$J$62*'Combined Stress'!O55+'Wind Loading'!$J$61*'Combined Stress'!O56+'Wind Loading'!$J$60*'Combined Stress'!O57+'Wind Loading'!$J$59*'Combined Stress'!O58+'Wind Loading'!$J$58*'Combined Stress'!O59+'Wind Loading'!$J$57*'Combined Stress'!O60+'Wind Loading'!$J$56*'Combined Stress'!O61+'Wind Loading'!$J$55*'Combined Stress'!O62+'Wind Loading'!$J$54*'Combined Stress'!O63+'Wind Loading'!$J$53*'Combined Stress'!O64+'Wind Loading'!$J$52*'Combined Stress'!O65+'Wind Loading'!$J$51*'Combined Stress'!O66+'Wind Loading'!$J$50*'Combined Stress'!O67+'Wind Loading'!$J$49*'Combined Stress'!O68+'Wind Loading'!$J$48*'Combined Stress'!O69</f>
        <v>0</v>
      </c>
      <c r="Q48" s="19" t="e">
        <f>((P48*'Alternative 1'!K49)/'Alternative 1'!L49)/1000000</f>
        <v>#VALUE!</v>
      </c>
      <c r="R48" s="45">
        <f t="shared" si="14"/>
        <v>0</v>
      </c>
      <c r="S48" s="19">
        <f>IF(R48&gt;0,'Alternative 1'!$B$3+'Alternative 1'!$B$5+('Alternative 1'!$B$39*R48),0)</f>
        <v>0</v>
      </c>
      <c r="T48" s="19" t="e">
        <f>'Alternative 1'!M49</f>
        <v>#VALUE!</v>
      </c>
      <c r="U48" s="19" t="e">
        <f t="shared" si="24"/>
        <v>#VALUE!</v>
      </c>
      <c r="V48" s="19" t="e">
        <f t="shared" si="25"/>
        <v>#VALUE!</v>
      </c>
      <c r="X48" s="18" t="str">
        <f>IF('Alternative 2'!$F49&gt;0,'Alternative 2'!$F49,"x")</f>
        <v>x</v>
      </c>
      <c r="Y48" s="45">
        <f t="shared" si="15"/>
        <v>0</v>
      </c>
      <c r="Z48" s="45">
        <f t="shared" si="16"/>
        <v>0</v>
      </c>
      <c r="AA48" s="19">
        <f>'Dynamic Loading'!$Y$3*'Combined Stress'!Y48+'Wind Loading'!$O$69*Z48+'Wind Loading'!$O$68*'Combined Stress'!Z49+'Wind Loading'!$O$67*'Combined Stress'!Z50+'Wind Loading'!$O$66*'Combined Stress'!Z51+'Wind Loading'!$O$65*'Combined Stress'!Z52+'Wind Loading'!$O$64*'Combined Stress'!Z53+'Wind Loading'!$O$63*'Combined Stress'!Z54+'Wind Loading'!$O$62*'Combined Stress'!Z55+'Wind Loading'!$O$61*'Combined Stress'!Z56+'Wind Loading'!$O$60*'Combined Stress'!Z57+'Wind Loading'!$O$59*'Combined Stress'!Z58+'Wind Loading'!$O$58*'Combined Stress'!Z59+'Wind Loading'!$O$57*'Combined Stress'!Z60+'Wind Loading'!$O$56*'Combined Stress'!Z61+'Wind Loading'!$O$55*'Combined Stress'!Z62+'Wind Loading'!$O$54*'Combined Stress'!Z63+'Wind Loading'!$O$53*'Combined Stress'!Z64+'Wind Loading'!$O$52*'Combined Stress'!Z65+'Wind Loading'!$O$51*'Combined Stress'!Z66+'Wind Loading'!$O$50*'Combined Stress'!Z67+'Wind Loading'!$O$49*'Combined Stress'!Z68+'Wind Loading'!$O$48*'Combined Stress'!Z69</f>
        <v>0</v>
      </c>
      <c r="AB48" s="19" t="e">
        <f>((AA48*'Alternative 2'!K49)/'Alternative 2'!L49)/1000000</f>
        <v>#VALUE!</v>
      </c>
      <c r="AC48" s="45">
        <f t="shared" si="17"/>
        <v>0</v>
      </c>
      <c r="AD48" s="19">
        <f>'Alternative 2'!$B$3+'Alternative 2'!$B$5+('Alternative 2'!$B$39*AC48)</f>
        <v>76491.87</v>
      </c>
      <c r="AE48" s="19" t="e">
        <f>'Alternative 2'!M49</f>
        <v>#VALUE!</v>
      </c>
      <c r="AF48" s="19" t="e">
        <f t="shared" si="26"/>
        <v>#VALUE!</v>
      </c>
      <c r="AG48" s="19" t="e">
        <f t="shared" si="27"/>
        <v>#VALUE!</v>
      </c>
      <c r="AI48" s="18" t="str">
        <f>'Alternative 3'!F49</f>
        <v>x</v>
      </c>
      <c r="AJ48" s="83">
        <f t="shared" si="18"/>
        <v>-10.5</v>
      </c>
      <c r="AK48" s="45">
        <f t="shared" si="19"/>
        <v>0</v>
      </c>
      <c r="AL48" s="84">
        <f>'Dynamic Loading'!$AG$3*'Combined Stress'!AJ48+'Wind Loading'!$T$69*AK48+'Wind Loading'!$T$68*'Combined Stress'!AK49+'Wind Loading'!$T$67*'Combined Stress'!AK50+'Wind Loading'!$T$66*'Combined Stress'!AK51+'Wind Loading'!$T$65*'Combined Stress'!AK52+'Wind Loading'!$T$64*'Combined Stress'!AK53+'Wind Loading'!$T$63*'Combined Stress'!AK54+'Wind Loading'!$T$62*'Combined Stress'!AK55+'Wind Loading'!$T$61*'Combined Stress'!AK56+'Wind Loading'!$T$60*'Combined Stress'!AK57+'Wind Loading'!$T$59*'Combined Stress'!AK58+'Wind Loading'!$T$58*'Combined Stress'!AK59+'Wind Loading'!$T$57*'Combined Stress'!AK60+'Wind Loading'!$T$56*'Combined Stress'!AK61+'Wind Loading'!$T$55*'Combined Stress'!AK62+'Wind Loading'!$T$54*'Combined Stress'!AK63+'Wind Loading'!$T$53*'Combined Stress'!AK64+'Wind Loading'!$T$52*'Combined Stress'!AK65+'Wind Loading'!$T$51*'Combined Stress'!AK66+'Wind Loading'!$T$50*'Combined Stress'!AK67+'Wind Loading'!$T$49*'Combined Stress'!AK68+'Wind Loading'!$T$48*'Combined Stress'!AK69</f>
        <v>-1481801.5353968109</v>
      </c>
      <c r="AM48" s="84" t="e">
        <f>((AL48*'Alternative 3'!K49)/'Alternative 3'!L49)/1000000</f>
        <v>#VALUE!</v>
      </c>
      <c r="AN48" s="84">
        <f t="shared" si="28"/>
        <v>22</v>
      </c>
      <c r="AO48" s="19">
        <f>'Alternative 3'!$B$3+'Alternative 3'!$B$5+('Alternative 2'!$B$39*AN48)</f>
        <v>205278.40550571252</v>
      </c>
      <c r="AP48" s="84" t="e">
        <f>'Alternative 3'!M49</f>
        <v>#VALUE!</v>
      </c>
      <c r="AQ48" s="84" t="e">
        <f t="shared" si="29"/>
        <v>#VALUE!</v>
      </c>
      <c r="AR48" s="84" t="e">
        <f t="shared" si="30"/>
        <v>#VALUE!</v>
      </c>
    </row>
    <row r="49" spans="1:44" x14ac:dyDescent="0.25">
      <c r="A49" s="18">
        <f>'Baseline Given'!E50</f>
        <v>47</v>
      </c>
      <c r="B49" s="45">
        <f t="shared" si="20"/>
        <v>23.5</v>
      </c>
      <c r="C49" s="45">
        <f t="shared" si="21"/>
        <v>20.5</v>
      </c>
      <c r="D49" s="19">
        <f>'Dynamic Loading'!$I$3*'Combined Stress'!B49+'Wind Loading'!$E$69*C49+'Wind Loading'!$E$68*'Combined Stress'!C50+'Wind Loading'!$E$67*'Combined Stress'!C51+'Wind Loading'!$E$66*'Combined Stress'!C52+'Wind Loading'!$E$65*'Combined Stress'!C53+'Wind Loading'!$E$64*'Combined Stress'!C54+'Wind Loading'!$E$63*'Combined Stress'!C55+'Wind Loading'!$E$62*'Combined Stress'!C56+'Wind Loading'!$E$61*'Combined Stress'!C57+'Wind Loading'!$E$60*'Combined Stress'!C58+'Wind Loading'!$E$59*'Combined Stress'!C59+'Wind Loading'!$E$58*'Combined Stress'!C60+'Wind Loading'!$E$57*'Combined Stress'!C61+'Wind Loading'!$E$56*'Combined Stress'!C62+'Wind Loading'!$E$55*'Combined Stress'!C63+'Wind Loading'!$E$54*'Combined Stress'!C64+'Wind Loading'!$E$53*'Combined Stress'!C65+'Wind Loading'!$E$52*'Combined Stress'!C66+'Wind Loading'!$E$51*'Combined Stress'!C67+'Wind Loading'!$E$50*'Combined Stress'!C68+'Wind Loading'!$E$49*'Combined Stress'!C69</f>
        <v>7723404.9048822615</v>
      </c>
      <c r="E49" s="19">
        <f>((D49*'Baseline Given'!K50)/'Baseline Given'!L50)/1000000</f>
        <v>62.907835536804519</v>
      </c>
      <c r="F49" s="19">
        <f t="shared" si="22"/>
        <v>21</v>
      </c>
      <c r="G49" s="19">
        <f>'Baseline Given'!$B$3+'Baseline Given'!$B$5+('Baseline Given'!$B$38*F49)</f>
        <v>1521048.0597014925</v>
      </c>
      <c r="H49" s="19">
        <f>'Baseline Given'!M50</f>
        <v>7.2806488829226268</v>
      </c>
      <c r="I49" s="19">
        <f t="shared" si="23"/>
        <v>0.20891655182949948</v>
      </c>
      <c r="J49" s="19">
        <f t="shared" si="11"/>
        <v>-63.116752088634016</v>
      </c>
      <c r="M49" s="18" t="str">
        <f>IF('Alternative 1'!F50&gt;0,'Alternative 1'!F50,"x")</f>
        <v>x</v>
      </c>
      <c r="N49" s="45">
        <f t="shared" si="12"/>
        <v>0</v>
      </c>
      <c r="O49" s="45">
        <f t="shared" si="13"/>
        <v>0</v>
      </c>
      <c r="P49" s="19">
        <f>'Dynamic Loading'!$Q$3*'Combined Stress'!N49+'Wind Loading'!$J$69*O49+'Wind Loading'!$J$68*'Combined Stress'!O50+'Wind Loading'!$J$67*'Combined Stress'!O51+'Wind Loading'!$J$66*'Combined Stress'!O52+'Wind Loading'!$J$65*'Combined Stress'!O53+'Wind Loading'!$J$64*'Combined Stress'!O54+'Wind Loading'!$J$63*'Combined Stress'!O55+'Wind Loading'!$J$62*'Combined Stress'!O56+'Wind Loading'!$J$61*'Combined Stress'!O57+'Wind Loading'!$J$60*'Combined Stress'!O58+'Wind Loading'!$J$59*'Combined Stress'!O59+'Wind Loading'!$J$58*'Combined Stress'!O60+'Wind Loading'!$J$57*'Combined Stress'!O61+'Wind Loading'!$J$56*'Combined Stress'!O62+'Wind Loading'!$J$55*'Combined Stress'!O63+'Wind Loading'!$J$54*'Combined Stress'!O64+'Wind Loading'!$J$53*'Combined Stress'!O65+'Wind Loading'!$J$52*'Combined Stress'!O66+'Wind Loading'!$J$51*'Combined Stress'!O67+'Wind Loading'!$J$50*'Combined Stress'!O68+'Wind Loading'!$J$49*'Combined Stress'!O69</f>
        <v>0</v>
      </c>
      <c r="Q49" s="19" t="e">
        <f>((P49*'Alternative 1'!K50)/'Alternative 1'!L50)/1000000</f>
        <v>#VALUE!</v>
      </c>
      <c r="R49" s="45">
        <f t="shared" si="14"/>
        <v>0</v>
      </c>
      <c r="S49" s="19">
        <f>IF(R49&gt;0,'Alternative 1'!$B$3+'Alternative 1'!$B$5+('Alternative 1'!$B$39*R49),0)</f>
        <v>0</v>
      </c>
      <c r="T49" s="19" t="e">
        <f>'Alternative 1'!M50</f>
        <v>#VALUE!</v>
      </c>
      <c r="U49" s="19" t="e">
        <f t="shared" si="24"/>
        <v>#VALUE!</v>
      </c>
      <c r="V49" s="19" t="e">
        <f t="shared" si="25"/>
        <v>#VALUE!</v>
      </c>
      <c r="X49" s="18" t="str">
        <f>IF('Alternative 2'!$F50&gt;0,'Alternative 2'!$F50,"x")</f>
        <v>x</v>
      </c>
      <c r="Y49" s="45">
        <f t="shared" si="15"/>
        <v>0</v>
      </c>
      <c r="Z49" s="45">
        <f t="shared" si="16"/>
        <v>0</v>
      </c>
      <c r="AA49" s="19">
        <f>'Dynamic Loading'!$Y$3*'Combined Stress'!Y49+'Wind Loading'!$O$69*Z49+'Wind Loading'!$O$68*'Combined Stress'!Z50+'Wind Loading'!$O$67*'Combined Stress'!Z51+'Wind Loading'!$O$66*'Combined Stress'!Z52+'Wind Loading'!$O$65*'Combined Stress'!Z53+'Wind Loading'!$O$64*'Combined Stress'!Z54+'Wind Loading'!$O$63*'Combined Stress'!Z55+'Wind Loading'!$O$62*'Combined Stress'!Z56+'Wind Loading'!$O$61*'Combined Stress'!Z57+'Wind Loading'!$O$60*'Combined Stress'!Z58+'Wind Loading'!$O$59*'Combined Stress'!Z59+'Wind Loading'!$O$58*'Combined Stress'!Z60+'Wind Loading'!$O$57*'Combined Stress'!Z61+'Wind Loading'!$O$56*'Combined Stress'!Z62+'Wind Loading'!$O$55*'Combined Stress'!Z63+'Wind Loading'!$O$54*'Combined Stress'!Z64+'Wind Loading'!$O$53*'Combined Stress'!Z65+'Wind Loading'!$O$52*'Combined Stress'!Z66+'Wind Loading'!$O$51*'Combined Stress'!Z67+'Wind Loading'!$O$50*'Combined Stress'!Z68+'Wind Loading'!$O$49*'Combined Stress'!Z69</f>
        <v>0</v>
      </c>
      <c r="AB49" s="19" t="e">
        <f>((AA49*'Alternative 2'!K50)/'Alternative 2'!L50)/1000000</f>
        <v>#VALUE!</v>
      </c>
      <c r="AC49" s="45">
        <f t="shared" si="17"/>
        <v>0</v>
      </c>
      <c r="AD49" s="19">
        <f>'Alternative 2'!$B$3+'Alternative 2'!$B$5+('Alternative 2'!$B$39*AC49)</f>
        <v>76491.87</v>
      </c>
      <c r="AE49" s="19" t="e">
        <f>'Alternative 2'!M50</f>
        <v>#VALUE!</v>
      </c>
      <c r="AF49" s="19" t="e">
        <f t="shared" si="26"/>
        <v>#VALUE!</v>
      </c>
      <c r="AG49" s="19" t="e">
        <f t="shared" si="27"/>
        <v>#VALUE!</v>
      </c>
      <c r="AI49" s="18" t="str">
        <f>'Alternative 3'!F50</f>
        <v>x</v>
      </c>
      <c r="AJ49" s="83">
        <f t="shared" si="18"/>
        <v>-11.5</v>
      </c>
      <c r="AK49" s="45">
        <f t="shared" si="19"/>
        <v>0</v>
      </c>
      <c r="AL49" s="84">
        <f>'Dynamic Loading'!$AG$3*'Combined Stress'!AJ49+'Wind Loading'!$T$69*AK49+'Wind Loading'!$T$68*'Combined Stress'!AK50+'Wind Loading'!$T$67*'Combined Stress'!AK51+'Wind Loading'!$T$66*'Combined Stress'!AK52+'Wind Loading'!$T$65*'Combined Stress'!AK53+'Wind Loading'!$T$64*'Combined Stress'!AK54+'Wind Loading'!$T$63*'Combined Stress'!AK55+'Wind Loading'!$T$62*'Combined Stress'!AK56+'Wind Loading'!$T$61*'Combined Stress'!AK57+'Wind Loading'!$T$60*'Combined Stress'!AK58+'Wind Loading'!$T$59*'Combined Stress'!AK59+'Wind Loading'!$T$58*'Combined Stress'!AK60+'Wind Loading'!$T$57*'Combined Stress'!AK61+'Wind Loading'!$T$56*'Combined Stress'!AK62+'Wind Loading'!$T$55*'Combined Stress'!AK63+'Wind Loading'!$T$54*'Combined Stress'!AK64+'Wind Loading'!$T$53*'Combined Stress'!AK65+'Wind Loading'!$T$52*'Combined Stress'!AK66+'Wind Loading'!$T$51*'Combined Stress'!AK67+'Wind Loading'!$T$50*'Combined Stress'!AK68+'Wind Loading'!$T$49*'Combined Stress'!AK69</f>
        <v>-1622925.4911488881</v>
      </c>
      <c r="AM49" s="84" t="e">
        <f>((AL49*'Alternative 3'!K50)/'Alternative 3'!L50)/1000000</f>
        <v>#VALUE!</v>
      </c>
      <c r="AN49" s="84">
        <f t="shared" si="28"/>
        <v>21</v>
      </c>
      <c r="AO49" s="19">
        <f>'Alternative 3'!$B$3+'Alternative 3'!$B$5+('Alternative 2'!$B$39*AN49)</f>
        <v>202557.62988511194</v>
      </c>
      <c r="AP49" s="84" t="e">
        <f>'Alternative 3'!M50</f>
        <v>#VALUE!</v>
      </c>
      <c r="AQ49" s="84" t="e">
        <f t="shared" si="29"/>
        <v>#VALUE!</v>
      </c>
      <c r="AR49" s="84" t="e">
        <f t="shared" si="30"/>
        <v>#VALUE!</v>
      </c>
    </row>
    <row r="50" spans="1:44" x14ac:dyDescent="0.25">
      <c r="A50" s="18">
        <f>'Baseline Given'!E51</f>
        <v>48</v>
      </c>
      <c r="B50" s="45">
        <f t="shared" si="20"/>
        <v>22.5</v>
      </c>
      <c r="C50" s="45">
        <f t="shared" si="21"/>
        <v>19.5</v>
      </c>
      <c r="D50" s="19">
        <f>'Dynamic Loading'!$I$3*'Combined Stress'!B50+'Wind Loading'!$E$69*C50+'Wind Loading'!$E$68*'Combined Stress'!C51+'Wind Loading'!$E$67*'Combined Stress'!C52+'Wind Loading'!$E$66*'Combined Stress'!C53+'Wind Loading'!$E$65*'Combined Stress'!C54+'Wind Loading'!$E$64*'Combined Stress'!C55+'Wind Loading'!$E$63*'Combined Stress'!C56+'Wind Loading'!$E$62*'Combined Stress'!C57+'Wind Loading'!$E$61*'Combined Stress'!C58+'Wind Loading'!$E$60*'Combined Stress'!C59+'Wind Loading'!$E$59*'Combined Stress'!C60+'Wind Loading'!$E$58*'Combined Stress'!C61+'Wind Loading'!$E$57*'Combined Stress'!C62+'Wind Loading'!$E$56*'Combined Stress'!C63+'Wind Loading'!$E$55*'Combined Stress'!C64+'Wind Loading'!$E$54*'Combined Stress'!C65+'Wind Loading'!$E$53*'Combined Stress'!C66+'Wind Loading'!$E$52*'Combined Stress'!C67+'Wind Loading'!$E$51*'Combined Stress'!C68+'Wind Loading'!$E$50*'Combined Stress'!C69</f>
        <v>7359157.4796839366</v>
      </c>
      <c r="E50" s="19">
        <f>((D50*'Baseline Given'!K51)/'Baseline Given'!L51)/1000000</f>
        <v>60.498309875704756</v>
      </c>
      <c r="F50" s="19">
        <f t="shared" si="22"/>
        <v>20</v>
      </c>
      <c r="G50" s="19">
        <f>'Baseline Given'!$B$3+'Baseline Given'!$B$5+('Baseline Given'!$B$38*F50)</f>
        <v>1504889.1044776118</v>
      </c>
      <c r="H50" s="19">
        <f>'Baseline Given'!M51</f>
        <v>7.1865926727823775</v>
      </c>
      <c r="I50" s="19">
        <f t="shared" si="23"/>
        <v>0.20940230968940884</v>
      </c>
      <c r="J50" s="19">
        <f t="shared" si="11"/>
        <v>-60.707712185394165</v>
      </c>
      <c r="M50" s="18" t="str">
        <f>IF('Alternative 1'!F51&gt;0,'Alternative 1'!F51,"x")</f>
        <v>x</v>
      </c>
      <c r="N50" s="45">
        <f t="shared" si="12"/>
        <v>0</v>
      </c>
      <c r="O50" s="45">
        <f t="shared" si="13"/>
        <v>0</v>
      </c>
      <c r="P50" s="19">
        <f>'Dynamic Loading'!$Q$3*'Combined Stress'!N50+'Wind Loading'!$J$69*O50+'Wind Loading'!$J$68*'Combined Stress'!O51+'Wind Loading'!$J$67*'Combined Stress'!O52+'Wind Loading'!$J$66*'Combined Stress'!O53+'Wind Loading'!$J$65*'Combined Stress'!O54+'Wind Loading'!$J$64*'Combined Stress'!O55+'Wind Loading'!$J$63*'Combined Stress'!O56+'Wind Loading'!$J$62*'Combined Stress'!O57+'Wind Loading'!$J$61*'Combined Stress'!O58+'Wind Loading'!$J$60*'Combined Stress'!O59+'Wind Loading'!$J$59*'Combined Stress'!O60+'Wind Loading'!$J$58*'Combined Stress'!O61+'Wind Loading'!$J$57*'Combined Stress'!O62+'Wind Loading'!$J$56*'Combined Stress'!O63+'Wind Loading'!$J$55*'Combined Stress'!O64+'Wind Loading'!$J$54*'Combined Stress'!O65+'Wind Loading'!$J$53*'Combined Stress'!O66+'Wind Loading'!$J$52*'Combined Stress'!O67+'Wind Loading'!$J$51*'Combined Stress'!O68+'Wind Loading'!$J$50*'Combined Stress'!O69</f>
        <v>0</v>
      </c>
      <c r="Q50" s="19" t="e">
        <f>((P50*'Alternative 1'!K51)/'Alternative 1'!L51)/1000000</f>
        <v>#VALUE!</v>
      </c>
      <c r="R50" s="45">
        <f t="shared" si="14"/>
        <v>0</v>
      </c>
      <c r="S50" s="19">
        <f>IF(R50&gt;0,'Alternative 1'!$B$3+'Alternative 1'!$B$5+('Alternative 1'!$B$39*R50),0)</f>
        <v>0</v>
      </c>
      <c r="T50" s="19" t="e">
        <f>'Alternative 1'!M51</f>
        <v>#VALUE!</v>
      </c>
      <c r="U50" s="19" t="e">
        <f t="shared" si="24"/>
        <v>#VALUE!</v>
      </c>
      <c r="V50" s="19" t="e">
        <f t="shared" si="25"/>
        <v>#VALUE!</v>
      </c>
      <c r="X50" s="18" t="str">
        <f>IF('Alternative 2'!$F51&gt;0,'Alternative 2'!$F51,"x")</f>
        <v>x</v>
      </c>
      <c r="Y50" s="45">
        <f t="shared" si="15"/>
        <v>0</v>
      </c>
      <c r="Z50" s="45">
        <f t="shared" si="16"/>
        <v>0</v>
      </c>
      <c r="AA50" s="19">
        <f>'Dynamic Loading'!$Y$3*'Combined Stress'!Y50+'Wind Loading'!$O$69*Z50+'Wind Loading'!$O$68*'Combined Stress'!Z51+'Wind Loading'!$O$67*'Combined Stress'!Z52+'Wind Loading'!$O$66*'Combined Stress'!Z53+'Wind Loading'!$O$65*'Combined Stress'!Z54+'Wind Loading'!$O$64*'Combined Stress'!Z55+'Wind Loading'!$O$63*'Combined Stress'!Z56+'Wind Loading'!$O$62*'Combined Stress'!Z57+'Wind Loading'!$O$61*'Combined Stress'!Z58+'Wind Loading'!$O$60*'Combined Stress'!Z59+'Wind Loading'!$O$59*'Combined Stress'!Z60+'Wind Loading'!$O$58*'Combined Stress'!Z61+'Wind Loading'!$O$57*'Combined Stress'!Z62+'Wind Loading'!$O$56*'Combined Stress'!Z63+'Wind Loading'!$O$55*'Combined Stress'!Z64+'Wind Loading'!$O$54*'Combined Stress'!Z65+'Wind Loading'!$O$53*'Combined Stress'!Z66+'Wind Loading'!$O$52*'Combined Stress'!Z67+'Wind Loading'!$O$51*'Combined Stress'!Z68+'Wind Loading'!$O$50*'Combined Stress'!Z69</f>
        <v>0</v>
      </c>
      <c r="AB50" s="19" t="e">
        <f>((AA50*'Alternative 2'!K51)/'Alternative 2'!L51)/1000000</f>
        <v>#VALUE!</v>
      </c>
      <c r="AC50" s="45">
        <f t="shared" si="17"/>
        <v>0</v>
      </c>
      <c r="AD50" s="19">
        <f>'Alternative 2'!$B$3+'Alternative 2'!$B$5+('Alternative 2'!$B$39*AC50)</f>
        <v>76491.87</v>
      </c>
      <c r="AE50" s="19" t="e">
        <f>'Alternative 2'!M51</f>
        <v>#VALUE!</v>
      </c>
      <c r="AF50" s="19" t="e">
        <f t="shared" si="26"/>
        <v>#VALUE!</v>
      </c>
      <c r="AG50" s="19" t="e">
        <f t="shared" si="27"/>
        <v>#VALUE!</v>
      </c>
      <c r="AI50" s="18" t="str">
        <f>'Alternative 3'!F51</f>
        <v>x</v>
      </c>
      <c r="AJ50" s="83">
        <f t="shared" si="18"/>
        <v>-12.5</v>
      </c>
      <c r="AK50" s="45">
        <f t="shared" si="19"/>
        <v>0</v>
      </c>
      <c r="AL50" s="84">
        <f>'Dynamic Loading'!$AG$3*'Combined Stress'!AJ50+'Wind Loading'!$T$69*AK50+'Wind Loading'!$T$68*'Combined Stress'!AK51+'Wind Loading'!$T$67*'Combined Stress'!AK52+'Wind Loading'!$T$66*'Combined Stress'!AK53+'Wind Loading'!$T$65*'Combined Stress'!AK54+'Wind Loading'!$T$64*'Combined Stress'!AK55+'Wind Loading'!$T$63*'Combined Stress'!AK56+'Wind Loading'!$T$62*'Combined Stress'!AK57+'Wind Loading'!$T$61*'Combined Stress'!AK58+'Wind Loading'!$T$60*'Combined Stress'!AK59+'Wind Loading'!$T$59*'Combined Stress'!AK60+'Wind Loading'!$T$58*'Combined Stress'!AK61+'Wind Loading'!$T$57*'Combined Stress'!AK62+'Wind Loading'!$T$56*'Combined Stress'!AK63+'Wind Loading'!$T$55*'Combined Stress'!AK64+'Wind Loading'!$T$54*'Combined Stress'!AK65+'Wind Loading'!$T$53*'Combined Stress'!AK66+'Wind Loading'!$T$52*'Combined Stress'!AK67+'Wind Loading'!$T$51*'Combined Stress'!AK68+'Wind Loading'!$T$50*'Combined Stress'!AK69</f>
        <v>-1764049.4469009652</v>
      </c>
      <c r="AM50" s="84" t="e">
        <f>((AL50*'Alternative 3'!K51)/'Alternative 3'!L51)/1000000</f>
        <v>#VALUE!</v>
      </c>
      <c r="AN50" s="84">
        <f t="shared" si="28"/>
        <v>20</v>
      </c>
      <c r="AO50" s="19">
        <f>'Alternative 3'!$B$3+'Alternative 3'!$B$5+('Alternative 2'!$B$39*AN50)</f>
        <v>199836.85426451138</v>
      </c>
      <c r="AP50" s="84" t="e">
        <f>'Alternative 3'!M51</f>
        <v>#VALUE!</v>
      </c>
      <c r="AQ50" s="84" t="e">
        <f t="shared" si="29"/>
        <v>#VALUE!</v>
      </c>
      <c r="AR50" s="84" t="e">
        <f t="shared" si="30"/>
        <v>#VALUE!</v>
      </c>
    </row>
    <row r="51" spans="1:44" x14ac:dyDescent="0.25">
      <c r="A51" s="18">
        <f>'Baseline Given'!E52</f>
        <v>49</v>
      </c>
      <c r="B51" s="45">
        <f t="shared" si="20"/>
        <v>21.5</v>
      </c>
      <c r="C51" s="45">
        <f t="shared" si="21"/>
        <v>18.5</v>
      </c>
      <c r="D51" s="19">
        <f>'Dynamic Loading'!$I$3*'Combined Stress'!B51+'Wind Loading'!$E$69*C51+'Wind Loading'!$E$68*'Combined Stress'!C52+'Wind Loading'!$E$67*'Combined Stress'!C53+'Wind Loading'!$E$66*'Combined Stress'!C54+'Wind Loading'!$E$65*'Combined Stress'!C55+'Wind Loading'!$E$64*'Combined Stress'!C56+'Wind Loading'!$E$63*'Combined Stress'!C57+'Wind Loading'!$E$62*'Combined Stress'!C58+'Wind Loading'!$E$61*'Combined Stress'!C59+'Wind Loading'!$E$60*'Combined Stress'!C60+'Wind Loading'!$E$59*'Combined Stress'!C61+'Wind Loading'!$E$58*'Combined Stress'!C62+'Wind Loading'!$E$57*'Combined Stress'!C63+'Wind Loading'!$E$56*'Combined Stress'!C64+'Wind Loading'!$E$55*'Combined Stress'!C65+'Wind Loading'!$E$54*'Combined Stress'!C66+'Wind Loading'!$E$53*'Combined Stress'!C67+'Wind Loading'!$E$52*'Combined Stress'!C68+'Wind Loading'!$E$51*'Combined Stress'!C69</f>
        <v>6998188.2783269035</v>
      </c>
      <c r="E51" s="19">
        <f>((D51*'Baseline Given'!K52)/'Baseline Given'!L52)/1000000</f>
        <v>58.070761103635618</v>
      </c>
      <c r="F51" s="19">
        <f t="shared" si="22"/>
        <v>19</v>
      </c>
      <c r="G51" s="19">
        <f>'Baseline Given'!$B$3+'Baseline Given'!$B$5+('Baseline Given'!$B$38*F51)</f>
        <v>1488730.1492537314</v>
      </c>
      <c r="H51" s="19">
        <f>'Baseline Given'!M52</f>
        <v>7.0931479589051678</v>
      </c>
      <c r="I51" s="19">
        <f t="shared" si="23"/>
        <v>0.20988285566279344</v>
      </c>
      <c r="J51" s="19">
        <f t="shared" si="11"/>
        <v>-58.280643959298409</v>
      </c>
      <c r="M51" s="18" t="str">
        <f>IF('Alternative 1'!F52&gt;0,'Alternative 1'!F52,"x")</f>
        <v>x</v>
      </c>
      <c r="N51" s="45">
        <f t="shared" si="12"/>
        <v>0</v>
      </c>
      <c r="O51" s="45">
        <f t="shared" si="13"/>
        <v>0</v>
      </c>
      <c r="P51" s="19">
        <f>'Dynamic Loading'!$Q$3*'Combined Stress'!N51+'Wind Loading'!$J$69*O51+'Wind Loading'!$J$68*'Combined Stress'!O52+'Wind Loading'!$J$67*'Combined Stress'!O53+'Wind Loading'!$J$66*'Combined Stress'!O54+'Wind Loading'!$J$65*'Combined Stress'!O55+'Wind Loading'!$J$64*'Combined Stress'!O56+'Wind Loading'!$J$63*'Combined Stress'!O57+'Wind Loading'!$J$62*'Combined Stress'!O58+'Wind Loading'!$J$61*'Combined Stress'!O59+'Wind Loading'!$J$60*'Combined Stress'!O60+'Wind Loading'!$J$59*'Combined Stress'!O61+'Wind Loading'!$J$58*'Combined Stress'!O62+'Wind Loading'!$J$57*'Combined Stress'!O63+'Wind Loading'!$J$56*'Combined Stress'!O64+'Wind Loading'!$J$55*'Combined Stress'!O65+'Wind Loading'!$J$54*'Combined Stress'!O66+'Wind Loading'!$J$53*'Combined Stress'!O67+'Wind Loading'!$J$52*'Combined Stress'!O68+'Wind Loading'!$J$51*'Combined Stress'!O69</f>
        <v>0</v>
      </c>
      <c r="Q51" s="19" t="e">
        <f>((P51*'Alternative 1'!K52)/'Alternative 1'!L52)/1000000</f>
        <v>#VALUE!</v>
      </c>
      <c r="R51" s="45">
        <f t="shared" si="14"/>
        <v>0</v>
      </c>
      <c r="S51" s="19">
        <f>IF(R51&gt;0,'Alternative 1'!$B$3+'Alternative 1'!$B$5+('Alternative 1'!$B$39*R51),0)</f>
        <v>0</v>
      </c>
      <c r="T51" s="19" t="e">
        <f>'Alternative 1'!M52</f>
        <v>#VALUE!</v>
      </c>
      <c r="U51" s="19" t="e">
        <f t="shared" si="24"/>
        <v>#VALUE!</v>
      </c>
      <c r="V51" s="19" t="e">
        <f t="shared" si="25"/>
        <v>#VALUE!</v>
      </c>
      <c r="X51" s="18" t="str">
        <f>IF('Alternative 2'!$F52&gt;0,'Alternative 2'!$F52,"x")</f>
        <v>x</v>
      </c>
      <c r="Y51" s="45">
        <f t="shared" si="15"/>
        <v>0</v>
      </c>
      <c r="Z51" s="45">
        <f t="shared" si="16"/>
        <v>0</v>
      </c>
      <c r="AA51" s="19">
        <f>'Dynamic Loading'!$Y$3*'Combined Stress'!Y51+'Wind Loading'!$O$69*Z51+'Wind Loading'!$O$68*'Combined Stress'!Z52+'Wind Loading'!$O$67*'Combined Stress'!Z53+'Wind Loading'!$O$66*'Combined Stress'!Z54+'Wind Loading'!$O$65*'Combined Stress'!Z55+'Wind Loading'!$O$64*'Combined Stress'!Z56+'Wind Loading'!$O$63*'Combined Stress'!Z57+'Wind Loading'!$O$62*'Combined Stress'!Z58+'Wind Loading'!$O$61*'Combined Stress'!Z59+'Wind Loading'!$O$60*'Combined Stress'!Z60+'Wind Loading'!$O$59*'Combined Stress'!Z61+'Wind Loading'!$O$58*'Combined Stress'!Z62+'Wind Loading'!$O$57*'Combined Stress'!Z63+'Wind Loading'!$O$56*'Combined Stress'!Z64+'Wind Loading'!$O$55*'Combined Stress'!Z65+'Wind Loading'!$O$54*'Combined Stress'!Z66+'Wind Loading'!$O$53*'Combined Stress'!Z67+'Wind Loading'!$O$52*'Combined Stress'!Z68+'Wind Loading'!$O$51*'Combined Stress'!Z69</f>
        <v>0</v>
      </c>
      <c r="AB51" s="19" t="e">
        <f>((AA51*'Alternative 2'!K52)/'Alternative 2'!L52)/1000000</f>
        <v>#VALUE!</v>
      </c>
      <c r="AC51" s="45">
        <f t="shared" si="17"/>
        <v>0</v>
      </c>
      <c r="AD51" s="19">
        <f>'Alternative 2'!$B$3+'Alternative 2'!$B$5+('Alternative 2'!$B$39*AC51)</f>
        <v>76491.87</v>
      </c>
      <c r="AE51" s="19" t="e">
        <f>'Alternative 2'!M52</f>
        <v>#VALUE!</v>
      </c>
      <c r="AF51" s="19" t="e">
        <f t="shared" si="26"/>
        <v>#VALUE!</v>
      </c>
      <c r="AG51" s="19" t="e">
        <f t="shared" si="27"/>
        <v>#VALUE!</v>
      </c>
      <c r="AI51" s="18" t="str">
        <f>'Alternative 3'!F52</f>
        <v>x</v>
      </c>
      <c r="AJ51" s="83">
        <f t="shared" si="18"/>
        <v>-13.5</v>
      </c>
      <c r="AK51" s="45">
        <f t="shared" si="19"/>
        <v>0</v>
      </c>
      <c r="AL51" s="84">
        <f>'Dynamic Loading'!$AG$3*'Combined Stress'!AJ51+'Wind Loading'!$T$69*AK51+'Wind Loading'!$T$68*'Combined Stress'!AK52+'Wind Loading'!$T$67*'Combined Stress'!AK53+'Wind Loading'!$T$66*'Combined Stress'!AK54+'Wind Loading'!$T$65*'Combined Stress'!AK55+'Wind Loading'!$T$64*'Combined Stress'!AK56+'Wind Loading'!$T$63*'Combined Stress'!AK57+'Wind Loading'!$T$62*'Combined Stress'!AK58+'Wind Loading'!$T$61*'Combined Stress'!AK59+'Wind Loading'!$T$60*'Combined Stress'!AK60+'Wind Loading'!$T$59*'Combined Stress'!AK61+'Wind Loading'!$T$58*'Combined Stress'!AK62+'Wind Loading'!$T$57*'Combined Stress'!AK63+'Wind Loading'!$T$56*'Combined Stress'!AK64+'Wind Loading'!$T$55*'Combined Stress'!AK65+'Wind Loading'!$T$54*'Combined Stress'!AK66+'Wind Loading'!$T$53*'Combined Stress'!AK67+'Wind Loading'!$T$52*'Combined Stress'!AK68+'Wind Loading'!$T$51*'Combined Stress'!AK69</f>
        <v>-1905173.4026530425</v>
      </c>
      <c r="AM51" s="84" t="e">
        <f>((AL51*'Alternative 3'!K52)/'Alternative 3'!L52)/1000000</f>
        <v>#VALUE!</v>
      </c>
      <c r="AN51" s="84">
        <f t="shared" si="28"/>
        <v>19</v>
      </c>
      <c r="AO51" s="19">
        <f>'Alternative 3'!$B$3+'Alternative 3'!$B$5+('Alternative 2'!$B$39*AN51)</f>
        <v>197116.07864391082</v>
      </c>
      <c r="AP51" s="84" t="e">
        <f>'Alternative 3'!M52</f>
        <v>#VALUE!</v>
      </c>
      <c r="AQ51" s="84" t="e">
        <f t="shared" si="29"/>
        <v>#VALUE!</v>
      </c>
      <c r="AR51" s="84" t="e">
        <f t="shared" si="30"/>
        <v>#VALUE!</v>
      </c>
    </row>
    <row r="52" spans="1:44" x14ac:dyDescent="0.25">
      <c r="A52" s="18">
        <f>'Baseline Given'!E53</f>
        <v>50</v>
      </c>
      <c r="B52" s="45">
        <f t="shared" si="20"/>
        <v>20.5</v>
      </c>
      <c r="C52" s="45">
        <f t="shared" si="21"/>
        <v>17.5</v>
      </c>
      <c r="D52" s="19">
        <f>'Dynamic Loading'!$I$3*'Combined Stress'!B52+'Wind Loading'!$E$69*C52+'Wind Loading'!$E$68*'Combined Stress'!C53+'Wind Loading'!$E$67*'Combined Stress'!C54+'Wind Loading'!$E$66*'Combined Stress'!C55+'Wind Loading'!$E$65*'Combined Stress'!C56+'Wind Loading'!$E$64*'Combined Stress'!C57+'Wind Loading'!$E$63*'Combined Stress'!C58+'Wind Loading'!$E$62*'Combined Stress'!C59+'Wind Loading'!$E$61*'Combined Stress'!C60+'Wind Loading'!$E$60*'Combined Stress'!C61+'Wind Loading'!$E$59*'Combined Stress'!C62+'Wind Loading'!$E$58*'Combined Stress'!C63+'Wind Loading'!$E$57*'Combined Stress'!C64+'Wind Loading'!$E$56*'Combined Stress'!C65+'Wind Loading'!$E$55*'Combined Stress'!C66+'Wind Loading'!$E$54*'Combined Stress'!C67+'Wind Loading'!$E$53*'Combined Stress'!C68+'Wind Loading'!$E$52*'Combined Stress'!C69</f>
        <v>6640487.9480875703</v>
      </c>
      <c r="E52" s="19">
        <f>((D52*'Baseline Given'!K53)/'Baseline Given'!L53)/1000000</f>
        <v>55.624598640945941</v>
      </c>
      <c r="F52" s="19">
        <f t="shared" si="22"/>
        <v>18</v>
      </c>
      <c r="G52" s="19">
        <f>'Baseline Given'!$B$3+'Baseline Given'!$B$5+('Baseline Given'!$B$38*F52)</f>
        <v>1472571.1940298509</v>
      </c>
      <c r="H52" s="19">
        <f>'Baseline Given'!M53</f>
        <v>7.0003147412910049</v>
      </c>
      <c r="I52" s="19">
        <f t="shared" si="23"/>
        <v>0.2103578551038518</v>
      </c>
      <c r="J52" s="19">
        <f t="shared" si="11"/>
        <v>-55.834956496049791</v>
      </c>
      <c r="M52" s="18" t="str">
        <f>IF('Alternative 1'!F53&gt;0,'Alternative 1'!F53,"x")</f>
        <v>x</v>
      </c>
      <c r="N52" s="45">
        <f t="shared" si="12"/>
        <v>0</v>
      </c>
      <c r="O52" s="45">
        <f t="shared" si="13"/>
        <v>0</v>
      </c>
      <c r="P52" s="19">
        <f>'Dynamic Loading'!$Q$3*'Combined Stress'!N52+'Wind Loading'!$J$69*O52+'Wind Loading'!$J$68*'Combined Stress'!O53+'Wind Loading'!$J$67*'Combined Stress'!O54+'Wind Loading'!$J$66*'Combined Stress'!O55+'Wind Loading'!$J$65*'Combined Stress'!O56+'Wind Loading'!$J$64*'Combined Stress'!O57+'Wind Loading'!$J$63*'Combined Stress'!O58+'Wind Loading'!$J$62*'Combined Stress'!O59+'Wind Loading'!$J$61*'Combined Stress'!O60+'Wind Loading'!$J$60*'Combined Stress'!O61+'Wind Loading'!$J$59*'Combined Stress'!O62+'Wind Loading'!$J$58*'Combined Stress'!O63+'Wind Loading'!$J$57*'Combined Stress'!O64+'Wind Loading'!$J$56*'Combined Stress'!O65+'Wind Loading'!$J$55*'Combined Stress'!O66+'Wind Loading'!$J$54*'Combined Stress'!O67+'Wind Loading'!$J$53*'Combined Stress'!O68+'Wind Loading'!$J$52*'Combined Stress'!O69</f>
        <v>0</v>
      </c>
      <c r="Q52" s="19" t="e">
        <f>((P52*'Alternative 1'!K53)/'Alternative 1'!L53)/1000000</f>
        <v>#VALUE!</v>
      </c>
      <c r="R52" s="45">
        <f t="shared" si="14"/>
        <v>0</v>
      </c>
      <c r="S52" s="19">
        <f>IF(R52&gt;0,'Alternative 1'!$B$3+'Alternative 1'!$B$5+('Alternative 1'!$B$39*R52),0)</f>
        <v>0</v>
      </c>
      <c r="T52" s="19" t="e">
        <f>'Alternative 1'!M53</f>
        <v>#VALUE!</v>
      </c>
      <c r="U52" s="19" t="e">
        <f t="shared" si="24"/>
        <v>#VALUE!</v>
      </c>
      <c r="V52" s="19" t="e">
        <f t="shared" si="25"/>
        <v>#VALUE!</v>
      </c>
      <c r="X52" s="18" t="str">
        <f>IF('Alternative 2'!$F53&gt;0,'Alternative 2'!$F53,"x")</f>
        <v>x</v>
      </c>
      <c r="Y52" s="45">
        <f t="shared" si="15"/>
        <v>0</v>
      </c>
      <c r="Z52" s="45">
        <f t="shared" si="16"/>
        <v>0</v>
      </c>
      <c r="AA52" s="19">
        <f>'Dynamic Loading'!$Y$3*'Combined Stress'!Y52+'Wind Loading'!$O$69*Z52+'Wind Loading'!$O$68*'Combined Stress'!Z53+'Wind Loading'!$O$67*'Combined Stress'!Z54+'Wind Loading'!$O$66*'Combined Stress'!Z55+'Wind Loading'!$O$65*'Combined Stress'!Z56+'Wind Loading'!$O$64*'Combined Stress'!Z57+'Wind Loading'!$O$63*'Combined Stress'!Z58+'Wind Loading'!$O$62*'Combined Stress'!Z59+'Wind Loading'!$O$61*'Combined Stress'!Z60+'Wind Loading'!$O$60*'Combined Stress'!Z61+'Wind Loading'!$O$59*'Combined Stress'!Z62+'Wind Loading'!$O$58*'Combined Stress'!Z63+'Wind Loading'!$O$57*'Combined Stress'!Z64+'Wind Loading'!$O$56*'Combined Stress'!Z65+'Wind Loading'!$O$55*'Combined Stress'!Z66+'Wind Loading'!$O$54*'Combined Stress'!Z67+'Wind Loading'!$O$53*'Combined Stress'!Z68+'Wind Loading'!$O$52*'Combined Stress'!Z69</f>
        <v>0</v>
      </c>
      <c r="AB52" s="19" t="e">
        <f>((AA52*'Alternative 2'!K53)/'Alternative 2'!L53)/1000000</f>
        <v>#VALUE!</v>
      </c>
      <c r="AC52" s="45">
        <f t="shared" si="17"/>
        <v>0</v>
      </c>
      <c r="AD52" s="19">
        <f>'Alternative 2'!$B$3+'Alternative 2'!$B$5+('Alternative 2'!$B$39*AC52)</f>
        <v>76491.87</v>
      </c>
      <c r="AE52" s="19" t="e">
        <f>'Alternative 2'!M53</f>
        <v>#VALUE!</v>
      </c>
      <c r="AF52" s="19" t="e">
        <f t="shared" si="26"/>
        <v>#VALUE!</v>
      </c>
      <c r="AG52" s="19" t="e">
        <f t="shared" si="27"/>
        <v>#VALUE!</v>
      </c>
      <c r="AI52" s="18" t="str">
        <f>'Alternative 3'!F53</f>
        <v>x</v>
      </c>
      <c r="AJ52" s="83">
        <f t="shared" si="18"/>
        <v>-14.5</v>
      </c>
      <c r="AK52" s="45">
        <f t="shared" si="19"/>
        <v>0</v>
      </c>
      <c r="AL52" s="84">
        <f>'Dynamic Loading'!$AG$3*'Combined Stress'!AJ52+'Wind Loading'!$T$69*AK52+'Wind Loading'!$T$68*'Combined Stress'!AK53+'Wind Loading'!$T$67*'Combined Stress'!AK54+'Wind Loading'!$T$66*'Combined Stress'!AK55+'Wind Loading'!$T$65*'Combined Stress'!AK56+'Wind Loading'!$T$64*'Combined Stress'!AK57+'Wind Loading'!$T$63*'Combined Stress'!AK58+'Wind Loading'!$T$62*'Combined Stress'!AK59+'Wind Loading'!$T$61*'Combined Stress'!AK60+'Wind Loading'!$T$60*'Combined Stress'!AK61+'Wind Loading'!$T$59*'Combined Stress'!AK62+'Wind Loading'!$T$58*'Combined Stress'!AK63+'Wind Loading'!$T$57*'Combined Stress'!AK64+'Wind Loading'!$T$56*'Combined Stress'!AK65+'Wind Loading'!$T$55*'Combined Stress'!AK66+'Wind Loading'!$T$54*'Combined Stress'!AK67+'Wind Loading'!$T$53*'Combined Stress'!AK68+'Wind Loading'!$T$52*'Combined Stress'!AK69</f>
        <v>-2046297.3584051197</v>
      </c>
      <c r="AM52" s="84" t="e">
        <f>((AL52*'Alternative 3'!K53)/'Alternative 3'!L53)/1000000</f>
        <v>#VALUE!</v>
      </c>
      <c r="AN52" s="84">
        <f t="shared" si="28"/>
        <v>18</v>
      </c>
      <c r="AO52" s="19">
        <f>'Alternative 3'!$B$3+'Alternative 3'!$B$5+('Alternative 2'!$B$39*AN52)</f>
        <v>194395.30302331023</v>
      </c>
      <c r="AP52" s="84" t="e">
        <f>'Alternative 3'!M53</f>
        <v>#VALUE!</v>
      </c>
      <c r="AQ52" s="84" t="e">
        <f t="shared" si="29"/>
        <v>#VALUE!</v>
      </c>
      <c r="AR52" s="84" t="e">
        <f t="shared" si="30"/>
        <v>#VALUE!</v>
      </c>
    </row>
    <row r="53" spans="1:44" x14ac:dyDescent="0.25">
      <c r="A53" s="18">
        <f>'Baseline Given'!E54</f>
        <v>51</v>
      </c>
      <c r="B53" s="45">
        <f t="shared" si="20"/>
        <v>19.5</v>
      </c>
      <c r="C53" s="45">
        <f t="shared" si="21"/>
        <v>16.5</v>
      </c>
      <c r="D53" s="19">
        <f>'Dynamic Loading'!$I$3*'Combined Stress'!B53+'Wind Loading'!$E$69*C53+'Wind Loading'!$E$68*'Combined Stress'!C54+'Wind Loading'!$E$67*'Combined Stress'!C55+'Wind Loading'!$E$66*'Combined Stress'!C56+'Wind Loading'!$E$65*'Combined Stress'!C57+'Wind Loading'!$E$64*'Combined Stress'!C58+'Wind Loading'!$E$63*'Combined Stress'!C59+'Wind Loading'!$E$62*'Combined Stress'!C60+'Wind Loading'!$E$61*'Combined Stress'!C61+'Wind Loading'!$E$60*'Combined Stress'!C62+'Wind Loading'!$E$59*'Combined Stress'!C63+'Wind Loading'!$E$58*'Combined Stress'!C64+'Wind Loading'!$E$57*'Combined Stress'!C65+'Wind Loading'!$E$56*'Combined Stress'!C66+'Wind Loading'!$E$55*'Combined Stress'!C67+'Wind Loading'!$E$54*'Combined Stress'!C68+'Wind Loading'!$E$53*'Combined Stress'!C69</f>
        <v>6286046.777345744</v>
      </c>
      <c r="E53" s="19">
        <f>((D53*'Baseline Given'!K54)/'Baseline Given'!L54)/1000000</f>
        <v>53.159206278995995</v>
      </c>
      <c r="F53" s="19">
        <f t="shared" si="22"/>
        <v>17</v>
      </c>
      <c r="G53" s="19">
        <f>'Baseline Given'!$B$3+'Baseline Given'!$B$5+('Baseline Given'!$B$38*F53)</f>
        <v>1456412.2388059702</v>
      </c>
      <c r="H53" s="19">
        <f>'Baseline Given'!M54</f>
        <v>6.9080930199398844</v>
      </c>
      <c r="I53" s="19">
        <f t="shared" si="23"/>
        <v>0.21082695826505302</v>
      </c>
      <c r="J53" s="19">
        <f t="shared" si="11"/>
        <v>-53.370033237261048</v>
      </c>
      <c r="M53" s="18" t="str">
        <f>IF('Alternative 1'!F54&gt;0,'Alternative 1'!F54,"x")</f>
        <v>x</v>
      </c>
      <c r="N53" s="45">
        <f t="shared" si="12"/>
        <v>0</v>
      </c>
      <c r="O53" s="45">
        <f t="shared" si="13"/>
        <v>0</v>
      </c>
      <c r="P53" s="19">
        <f>'Dynamic Loading'!$Q$3*'Combined Stress'!N53+'Wind Loading'!$J$69*O53+'Wind Loading'!$J$68*'Combined Stress'!O54+'Wind Loading'!$J$67*'Combined Stress'!O55+'Wind Loading'!$J$66*'Combined Stress'!O56+'Wind Loading'!$J$65*'Combined Stress'!O57+'Wind Loading'!$J$64*'Combined Stress'!O58+'Wind Loading'!$J$63*'Combined Stress'!O59+'Wind Loading'!$J$62*'Combined Stress'!O60+'Wind Loading'!$J$61*'Combined Stress'!O61+'Wind Loading'!$J$60*'Combined Stress'!O62+'Wind Loading'!$J$59*'Combined Stress'!O63+'Wind Loading'!$J$58*'Combined Stress'!O64+'Wind Loading'!$J$57*'Combined Stress'!O65+'Wind Loading'!$J$56*'Combined Stress'!O66+'Wind Loading'!$J$55*'Combined Stress'!O67+'Wind Loading'!$J$54*'Combined Stress'!O68+'Wind Loading'!$J$53*'Combined Stress'!O69</f>
        <v>0</v>
      </c>
      <c r="Q53" s="19" t="e">
        <f>((P53*'Alternative 1'!K54)/'Alternative 1'!L54)/1000000</f>
        <v>#VALUE!</v>
      </c>
      <c r="R53" s="45">
        <f t="shared" si="14"/>
        <v>0</v>
      </c>
      <c r="S53" s="19">
        <f>IF(R53&gt;0,'Alternative 1'!$B$3+'Alternative 1'!$B$5+('Alternative 1'!$B$39*R53),0)</f>
        <v>0</v>
      </c>
      <c r="T53" s="19" t="e">
        <f>'Alternative 1'!M54</f>
        <v>#VALUE!</v>
      </c>
      <c r="U53" s="19" t="e">
        <f t="shared" si="24"/>
        <v>#VALUE!</v>
      </c>
      <c r="V53" s="19" t="e">
        <f t="shared" si="25"/>
        <v>#VALUE!</v>
      </c>
      <c r="X53" s="18" t="str">
        <f>IF('Alternative 2'!$F54&gt;0,'Alternative 2'!$F54,"x")</f>
        <v>x</v>
      </c>
      <c r="Y53" s="45">
        <f t="shared" si="15"/>
        <v>0</v>
      </c>
      <c r="Z53" s="45">
        <f t="shared" si="16"/>
        <v>0</v>
      </c>
      <c r="AA53" s="19">
        <f>'Dynamic Loading'!$Y$3*'Combined Stress'!Y53+'Wind Loading'!$O$69*Z53+'Wind Loading'!$O$68*'Combined Stress'!Z54+'Wind Loading'!$O$67*'Combined Stress'!Z55+'Wind Loading'!$O$66*'Combined Stress'!Z56+'Wind Loading'!$O$65*'Combined Stress'!Z57+'Wind Loading'!$O$64*'Combined Stress'!Z58+'Wind Loading'!$O$63*'Combined Stress'!Z59+'Wind Loading'!$O$62*'Combined Stress'!Z60+'Wind Loading'!$O$61*'Combined Stress'!Z61+'Wind Loading'!$O$60*'Combined Stress'!Z62+'Wind Loading'!$O$59*'Combined Stress'!Z63+'Wind Loading'!$O$58*'Combined Stress'!Z64+'Wind Loading'!$O$57*'Combined Stress'!Z65+'Wind Loading'!$O$56*'Combined Stress'!Z66+'Wind Loading'!$O$55*'Combined Stress'!Z67+'Wind Loading'!$O$54*'Combined Stress'!Z68+'Wind Loading'!$O$53*'Combined Stress'!Z69</f>
        <v>0</v>
      </c>
      <c r="AB53" s="19" t="e">
        <f>((AA53*'Alternative 2'!K54)/'Alternative 2'!L54)/1000000</f>
        <v>#VALUE!</v>
      </c>
      <c r="AC53" s="45">
        <f t="shared" si="17"/>
        <v>0</v>
      </c>
      <c r="AD53" s="19">
        <f>'Alternative 2'!$B$3+'Alternative 2'!$B$5+('Alternative 2'!$B$39*AC53)</f>
        <v>76491.87</v>
      </c>
      <c r="AE53" s="19" t="e">
        <f>'Alternative 2'!M54</f>
        <v>#VALUE!</v>
      </c>
      <c r="AF53" s="19" t="e">
        <f t="shared" si="26"/>
        <v>#VALUE!</v>
      </c>
      <c r="AG53" s="19" t="e">
        <f t="shared" si="27"/>
        <v>#VALUE!</v>
      </c>
      <c r="AI53" s="18" t="str">
        <f>'Alternative 3'!F54</f>
        <v>x</v>
      </c>
      <c r="AJ53" s="83">
        <f t="shared" si="18"/>
        <v>-15.5</v>
      </c>
      <c r="AK53" s="45">
        <f t="shared" si="19"/>
        <v>0</v>
      </c>
      <c r="AL53" s="84">
        <f>'Dynamic Loading'!$AG$3*'Combined Stress'!AJ53+'Wind Loading'!$T$69*AK53+'Wind Loading'!$T$68*'Combined Stress'!AK54+'Wind Loading'!$T$67*'Combined Stress'!AK55+'Wind Loading'!$T$66*'Combined Stress'!AK56+'Wind Loading'!$T$65*'Combined Stress'!AK57+'Wind Loading'!$T$64*'Combined Stress'!AK58+'Wind Loading'!$T$63*'Combined Stress'!AK59+'Wind Loading'!$T$62*'Combined Stress'!AK60+'Wind Loading'!$T$61*'Combined Stress'!AK61+'Wind Loading'!$T$60*'Combined Stress'!AK62+'Wind Loading'!$T$59*'Combined Stress'!AK63+'Wind Loading'!$T$58*'Combined Stress'!AK64+'Wind Loading'!$T$57*'Combined Stress'!AK65+'Wind Loading'!$T$56*'Combined Stress'!AK66+'Wind Loading'!$T$55*'Combined Stress'!AK67+'Wind Loading'!$T$54*'Combined Stress'!AK68+'Wind Loading'!$T$53*'Combined Stress'!AK69</f>
        <v>-2187421.3141571968</v>
      </c>
      <c r="AM53" s="84" t="e">
        <f>((AL53*'Alternative 3'!K54)/'Alternative 3'!L54)/1000000</f>
        <v>#VALUE!</v>
      </c>
      <c r="AN53" s="84">
        <f t="shared" si="28"/>
        <v>17</v>
      </c>
      <c r="AO53" s="19">
        <f>'Alternative 3'!$B$3+'Alternative 3'!$B$5+('Alternative 2'!$B$39*AN53)</f>
        <v>191674.52740270967</v>
      </c>
      <c r="AP53" s="84" t="e">
        <f>'Alternative 3'!M54</f>
        <v>#VALUE!</v>
      </c>
      <c r="AQ53" s="84" t="e">
        <f t="shared" si="29"/>
        <v>#VALUE!</v>
      </c>
      <c r="AR53" s="84" t="e">
        <f t="shared" si="30"/>
        <v>#VALUE!</v>
      </c>
    </row>
    <row r="54" spans="1:44" x14ac:dyDescent="0.25">
      <c r="A54" s="18">
        <f>'Baseline Given'!E55</f>
        <v>52</v>
      </c>
      <c r="B54" s="45">
        <f t="shared" si="20"/>
        <v>18.5</v>
      </c>
      <c r="C54" s="45">
        <f t="shared" si="21"/>
        <v>15.5</v>
      </c>
      <c r="D54" s="19">
        <f>'Dynamic Loading'!$I$3*'Combined Stress'!B54+'Wind Loading'!$E$69*C54+'Wind Loading'!$E$68*'Combined Stress'!C55+'Wind Loading'!$E$67*'Combined Stress'!C56+'Wind Loading'!$E$66*'Combined Stress'!C57+'Wind Loading'!$E$65*'Combined Stress'!C58+'Wind Loading'!$E$64*'Combined Stress'!C59+'Wind Loading'!$E$63*'Combined Stress'!C60+'Wind Loading'!$E$62*'Combined Stress'!C61+'Wind Loading'!$E$61*'Combined Stress'!C62+'Wind Loading'!$E$60*'Combined Stress'!C63+'Wind Loading'!$E$59*'Combined Stress'!C64+'Wind Loading'!$E$58*'Combined Stress'!C65+'Wind Loading'!$E$57*'Combined Stress'!C66+'Wind Loading'!$E$56*'Combined Stress'!C67+'Wind Loading'!$E$55*'Combined Stress'!C68+'Wind Loading'!$E$54*'Combined Stress'!C69</f>
        <v>5934854.7070274642</v>
      </c>
      <c r="E54" s="19">
        <f>((D54*'Baseline Given'!K55)/'Baseline Given'!L55)/1000000</f>
        <v>50.673941040409396</v>
      </c>
      <c r="F54" s="19">
        <f t="shared" si="22"/>
        <v>16</v>
      </c>
      <c r="G54" s="19">
        <f>'Baseline Given'!$B$3+'Baseline Given'!$B$5+('Baseline Given'!$B$38*F54)</f>
        <v>1440253.2835820895</v>
      </c>
      <c r="H54" s="19">
        <f>'Baseline Given'!M55</f>
        <v>6.816482794851809</v>
      </c>
      <c r="I54" s="19">
        <f t="shared" si="23"/>
        <v>0.21128979958254274</v>
      </c>
      <c r="J54" s="19">
        <f t="shared" si="11"/>
        <v>-50.885230839991941</v>
      </c>
      <c r="M54" s="18" t="str">
        <f>IF('Alternative 1'!F55&gt;0,'Alternative 1'!F55,"x")</f>
        <v>x</v>
      </c>
      <c r="N54" s="45">
        <f t="shared" si="12"/>
        <v>0</v>
      </c>
      <c r="O54" s="45">
        <f t="shared" si="13"/>
        <v>0</v>
      </c>
      <c r="P54" s="19">
        <f>'Dynamic Loading'!$Q$3*'Combined Stress'!N54+'Wind Loading'!$J$69*O54+'Wind Loading'!$J$68*'Combined Stress'!O55+'Wind Loading'!$J$67*'Combined Stress'!O56+'Wind Loading'!$J$66*'Combined Stress'!O57+'Wind Loading'!$J$65*'Combined Stress'!O58+'Wind Loading'!$J$64*'Combined Stress'!O59+'Wind Loading'!$J$63*'Combined Stress'!O60+'Wind Loading'!$J$62*'Combined Stress'!O61+'Wind Loading'!$J$61*'Combined Stress'!O62+'Wind Loading'!$J$60*'Combined Stress'!O63+'Wind Loading'!$J$59*'Combined Stress'!O64+'Wind Loading'!$J$58*'Combined Stress'!O65+'Wind Loading'!$J$57*'Combined Stress'!O66+'Wind Loading'!$J$56*'Combined Stress'!O67+'Wind Loading'!$J$55*'Combined Stress'!O68+'Wind Loading'!$J$54*'Combined Stress'!O69</f>
        <v>0</v>
      </c>
      <c r="Q54" s="19" t="e">
        <f>((P54*'Alternative 1'!K55)/'Alternative 1'!L55)/1000000</f>
        <v>#VALUE!</v>
      </c>
      <c r="R54" s="45">
        <f t="shared" si="14"/>
        <v>0</v>
      </c>
      <c r="S54" s="19">
        <f>IF(R54&gt;0,'Alternative 1'!$B$3+'Alternative 1'!$B$5+('Alternative 1'!$B$39*R54),0)</f>
        <v>0</v>
      </c>
      <c r="T54" s="19" t="e">
        <f>'Alternative 1'!M55</f>
        <v>#VALUE!</v>
      </c>
      <c r="U54" s="19" t="e">
        <f t="shared" si="24"/>
        <v>#VALUE!</v>
      </c>
      <c r="V54" s="19" t="e">
        <f t="shared" si="25"/>
        <v>#VALUE!</v>
      </c>
      <c r="X54" s="18" t="str">
        <f>IF('Alternative 2'!$F55&gt;0,'Alternative 2'!$F55,"x")</f>
        <v>x</v>
      </c>
      <c r="Y54" s="45">
        <f t="shared" si="15"/>
        <v>0</v>
      </c>
      <c r="Z54" s="45">
        <f t="shared" si="16"/>
        <v>0</v>
      </c>
      <c r="AA54" s="19">
        <f>'Dynamic Loading'!$Y$3*'Combined Stress'!Y54+'Wind Loading'!$O$69*Z54+'Wind Loading'!$O$68*'Combined Stress'!Z55+'Wind Loading'!$O$67*'Combined Stress'!Z56+'Wind Loading'!$O$66*'Combined Stress'!Z57+'Wind Loading'!$O$65*'Combined Stress'!Z58+'Wind Loading'!$O$64*'Combined Stress'!Z59+'Wind Loading'!$O$63*'Combined Stress'!Z60+'Wind Loading'!$O$62*'Combined Stress'!Z61+'Wind Loading'!$O$61*'Combined Stress'!Z62+'Wind Loading'!$O$60*'Combined Stress'!Z63+'Wind Loading'!$O$59*'Combined Stress'!Z64+'Wind Loading'!$O$58*'Combined Stress'!Z65+'Wind Loading'!$O$57*'Combined Stress'!Z66+'Wind Loading'!$O$56*'Combined Stress'!Z67+'Wind Loading'!$O$55*'Combined Stress'!Z68+'Wind Loading'!$O$54*'Combined Stress'!Z69</f>
        <v>0</v>
      </c>
      <c r="AB54" s="19" t="e">
        <f>((AA54*'Alternative 2'!K55)/'Alternative 2'!L55)/1000000</f>
        <v>#VALUE!</v>
      </c>
      <c r="AC54" s="45">
        <f t="shared" si="17"/>
        <v>0</v>
      </c>
      <c r="AD54" s="19">
        <f>'Alternative 2'!$B$3+'Alternative 2'!$B$5+('Alternative 2'!$B$39*AC54)</f>
        <v>76491.87</v>
      </c>
      <c r="AE54" s="19" t="e">
        <f>'Alternative 2'!M55</f>
        <v>#VALUE!</v>
      </c>
      <c r="AF54" s="19" t="e">
        <f t="shared" si="26"/>
        <v>#VALUE!</v>
      </c>
      <c r="AG54" s="19" t="e">
        <f t="shared" si="27"/>
        <v>#VALUE!</v>
      </c>
      <c r="AI54" s="18" t="str">
        <f>'Alternative 3'!F55</f>
        <v>x</v>
      </c>
      <c r="AJ54" s="83">
        <f t="shared" si="18"/>
        <v>-16.5</v>
      </c>
      <c r="AK54" s="45">
        <f t="shared" si="19"/>
        <v>0</v>
      </c>
      <c r="AL54" s="84">
        <f>'Dynamic Loading'!$AG$3*'Combined Stress'!AJ54+'Wind Loading'!$T$69*AK54+'Wind Loading'!$T$68*'Combined Stress'!AK55+'Wind Loading'!$T$67*'Combined Stress'!AK56+'Wind Loading'!$T$66*'Combined Stress'!AK57+'Wind Loading'!$T$65*'Combined Stress'!AK58+'Wind Loading'!$T$64*'Combined Stress'!AK59+'Wind Loading'!$T$63*'Combined Stress'!AK60+'Wind Loading'!$T$62*'Combined Stress'!AK61+'Wind Loading'!$T$61*'Combined Stress'!AK62+'Wind Loading'!$T$60*'Combined Stress'!AK63+'Wind Loading'!$T$59*'Combined Stress'!AK64+'Wind Loading'!$T$58*'Combined Stress'!AK65+'Wind Loading'!$T$57*'Combined Stress'!AK66+'Wind Loading'!$T$56*'Combined Stress'!AK67+'Wind Loading'!$T$55*'Combined Stress'!AK68+'Wind Loading'!$T$54*'Combined Stress'!AK69</f>
        <v>-2328545.2699092743</v>
      </c>
      <c r="AM54" s="84" t="e">
        <f>((AL54*'Alternative 3'!K55)/'Alternative 3'!L55)/1000000</f>
        <v>#VALUE!</v>
      </c>
      <c r="AN54" s="84">
        <f t="shared" si="28"/>
        <v>16</v>
      </c>
      <c r="AO54" s="19">
        <f>'Alternative 3'!$B$3+'Alternative 3'!$B$5+('Alternative 2'!$B$39*AN54)</f>
        <v>188953.75178210909</v>
      </c>
      <c r="AP54" s="84" t="e">
        <f>'Alternative 3'!M55</f>
        <v>#VALUE!</v>
      </c>
      <c r="AQ54" s="84" t="e">
        <f t="shared" si="29"/>
        <v>#VALUE!</v>
      </c>
      <c r="AR54" s="84" t="e">
        <f t="shared" si="30"/>
        <v>#VALUE!</v>
      </c>
    </row>
    <row r="55" spans="1:44" x14ac:dyDescent="0.25">
      <c r="A55" s="18">
        <f>'Baseline Given'!E56</f>
        <v>53</v>
      </c>
      <c r="B55" s="45">
        <f t="shared" si="20"/>
        <v>17.5</v>
      </c>
      <c r="C55" s="45">
        <f t="shared" si="21"/>
        <v>14.5</v>
      </c>
      <c r="D55" s="19">
        <f>'Dynamic Loading'!$I$3*'Combined Stress'!B55+'Wind Loading'!$E$69*C55+'Wind Loading'!$E$68*'Combined Stress'!C56+'Wind Loading'!$E$67*'Combined Stress'!C57+'Wind Loading'!$E$66*'Combined Stress'!C58+'Wind Loading'!$E$65*'Combined Stress'!C59+'Wind Loading'!$E$64*'Combined Stress'!C60+'Wind Loading'!$E$63*'Combined Stress'!C61+'Wind Loading'!$E$62*'Combined Stress'!C62+'Wind Loading'!$E$61*'Combined Stress'!C63+'Wind Loading'!$E$60*'Combined Stress'!C64+'Wind Loading'!$E$59*'Combined Stress'!C65+'Wind Loading'!$E$58*'Combined Stress'!C66+'Wind Loading'!$E$57*'Combined Stress'!C67+'Wind Loading'!$E$56*'Combined Stress'!C68+'Wind Loading'!$E$55*'Combined Stress'!C69</f>
        <v>5586901.3414359502</v>
      </c>
      <c r="E55" s="19">
        <f>((D55*'Baseline Given'!K56)/'Baseline Given'!L56)/1000000</f>
        <v>48.168131967368609</v>
      </c>
      <c r="F55" s="19">
        <f t="shared" si="22"/>
        <v>15</v>
      </c>
      <c r="G55" s="19">
        <f>'Baseline Given'!$B$3+'Baseline Given'!$B$5+('Baseline Given'!$B$38*F55)</f>
        <v>1424094.328358209</v>
      </c>
      <c r="H55" s="19">
        <f>'Baseline Given'!M56</f>
        <v>6.725484066026775</v>
      </c>
      <c r="I55" s="19">
        <f t="shared" si="23"/>
        <v>0.21174599692413268</v>
      </c>
      <c r="J55" s="19">
        <f t="shared" si="11"/>
        <v>-48.379877964292739</v>
      </c>
      <c r="M55" s="18" t="str">
        <f>IF('Alternative 1'!F56&gt;0,'Alternative 1'!F56,"x")</f>
        <v>x</v>
      </c>
      <c r="N55" s="45">
        <f t="shared" si="12"/>
        <v>0</v>
      </c>
      <c r="O55" s="45">
        <f t="shared" si="13"/>
        <v>0</v>
      </c>
      <c r="P55" s="19">
        <f>'Dynamic Loading'!$Q$3*'Combined Stress'!N55+'Wind Loading'!$J$69*O55+'Wind Loading'!$J$68*'Combined Stress'!O56+'Wind Loading'!$J$67*'Combined Stress'!O57+'Wind Loading'!$J$66*'Combined Stress'!O58+'Wind Loading'!$J$65*'Combined Stress'!O59+'Wind Loading'!$J$64*'Combined Stress'!O60+'Wind Loading'!$J$63*'Combined Stress'!O61+'Wind Loading'!$J$62*'Combined Stress'!O62+'Wind Loading'!$J$61*'Combined Stress'!O63+'Wind Loading'!$J$60*'Combined Stress'!O64+'Wind Loading'!$J$59*'Combined Stress'!O65+'Wind Loading'!$J$58*'Combined Stress'!O66+'Wind Loading'!$J$57*'Combined Stress'!O67+'Wind Loading'!$J$56*'Combined Stress'!O68+'Wind Loading'!$J$55*'Combined Stress'!O69</f>
        <v>0</v>
      </c>
      <c r="Q55" s="19" t="e">
        <f>((P55*'Alternative 1'!K56)/'Alternative 1'!L56)/1000000</f>
        <v>#VALUE!</v>
      </c>
      <c r="R55" s="45">
        <f t="shared" si="14"/>
        <v>0</v>
      </c>
      <c r="S55" s="19">
        <f>IF(R55&gt;0,'Alternative 1'!$B$3+'Alternative 1'!$B$5+('Alternative 1'!$B$39*R55),0)</f>
        <v>0</v>
      </c>
      <c r="T55" s="19" t="e">
        <f>'Alternative 1'!M56</f>
        <v>#VALUE!</v>
      </c>
      <c r="U55" s="19" t="e">
        <f t="shared" si="24"/>
        <v>#VALUE!</v>
      </c>
      <c r="V55" s="19" t="e">
        <f t="shared" si="25"/>
        <v>#VALUE!</v>
      </c>
      <c r="X55" s="18" t="str">
        <f>IF('Alternative 2'!$F56&gt;0,'Alternative 2'!$F56,"x")</f>
        <v>x</v>
      </c>
      <c r="Y55" s="45">
        <f t="shared" si="15"/>
        <v>0</v>
      </c>
      <c r="Z55" s="45">
        <f t="shared" si="16"/>
        <v>0</v>
      </c>
      <c r="AA55" s="19">
        <f>'Dynamic Loading'!$Y$3*'Combined Stress'!Y55+'Wind Loading'!$O$69*Z55+'Wind Loading'!$O$68*'Combined Stress'!Z56+'Wind Loading'!$O$67*'Combined Stress'!Z57+'Wind Loading'!$O$66*'Combined Stress'!Z58+'Wind Loading'!$O$65*'Combined Stress'!Z59+'Wind Loading'!$O$64*'Combined Stress'!Z60+'Wind Loading'!$O$63*'Combined Stress'!Z61+'Wind Loading'!$O$62*'Combined Stress'!Z62+'Wind Loading'!$O$61*'Combined Stress'!Z63+'Wind Loading'!$O$60*'Combined Stress'!Z64+'Wind Loading'!$O$59*'Combined Stress'!Z65+'Wind Loading'!$O$58*'Combined Stress'!Z66+'Wind Loading'!$O$57*'Combined Stress'!Z67+'Wind Loading'!$O$56*'Combined Stress'!Z68+'Wind Loading'!$O$55*'Combined Stress'!Z69</f>
        <v>0</v>
      </c>
      <c r="AB55" s="19" t="e">
        <f>((AA55*'Alternative 2'!K56)/'Alternative 2'!L56)/1000000</f>
        <v>#VALUE!</v>
      </c>
      <c r="AC55" s="45">
        <f t="shared" si="17"/>
        <v>0</v>
      </c>
      <c r="AD55" s="19">
        <f>'Alternative 2'!$B$3+'Alternative 2'!$B$5+('Alternative 2'!$B$39*AC55)</f>
        <v>76491.87</v>
      </c>
      <c r="AE55" s="19" t="e">
        <f>'Alternative 2'!M56</f>
        <v>#VALUE!</v>
      </c>
      <c r="AF55" s="19" t="e">
        <f t="shared" si="26"/>
        <v>#VALUE!</v>
      </c>
      <c r="AG55" s="19" t="e">
        <f t="shared" si="27"/>
        <v>#VALUE!</v>
      </c>
      <c r="AI55" s="18" t="str">
        <f>'Alternative 3'!F56</f>
        <v>x</v>
      </c>
      <c r="AJ55" s="83">
        <f t="shared" si="18"/>
        <v>-17.5</v>
      </c>
      <c r="AK55" s="45">
        <f t="shared" si="19"/>
        <v>0</v>
      </c>
      <c r="AL55" s="84">
        <f>'Dynamic Loading'!$AG$3*'Combined Stress'!AJ55+'Wind Loading'!$T$69*AK55+'Wind Loading'!$T$68*'Combined Stress'!AK56+'Wind Loading'!$T$67*'Combined Stress'!AK57+'Wind Loading'!$T$66*'Combined Stress'!AK58+'Wind Loading'!$T$65*'Combined Stress'!AK59+'Wind Loading'!$T$64*'Combined Stress'!AK60+'Wind Loading'!$T$63*'Combined Stress'!AK61+'Wind Loading'!$T$62*'Combined Stress'!AK62+'Wind Loading'!$T$61*'Combined Stress'!AK63+'Wind Loading'!$T$60*'Combined Stress'!AK64+'Wind Loading'!$T$59*'Combined Stress'!AK65+'Wind Loading'!$T$58*'Combined Stress'!AK66+'Wind Loading'!$T$57*'Combined Stress'!AK67+'Wind Loading'!$T$56*'Combined Stress'!AK68+'Wind Loading'!$T$55*'Combined Stress'!AK69</f>
        <v>-2469669.2256613513</v>
      </c>
      <c r="AM55" s="84" t="e">
        <f>((AL55*'Alternative 3'!K56)/'Alternative 3'!L56)/1000000</f>
        <v>#VALUE!</v>
      </c>
      <c r="AN55" s="84">
        <f t="shared" si="28"/>
        <v>15</v>
      </c>
      <c r="AO55" s="19">
        <f>'Alternative 3'!$B$3+'Alternative 3'!$B$5+('Alternative 2'!$B$39*AN55)</f>
        <v>186232.97616150853</v>
      </c>
      <c r="AP55" s="84" t="e">
        <f>'Alternative 3'!M56</f>
        <v>#VALUE!</v>
      </c>
      <c r="AQ55" s="84" t="e">
        <f t="shared" si="29"/>
        <v>#VALUE!</v>
      </c>
      <c r="AR55" s="84" t="e">
        <f t="shared" si="30"/>
        <v>#VALUE!</v>
      </c>
    </row>
    <row r="56" spans="1:44" x14ac:dyDescent="0.25">
      <c r="A56" s="18">
        <f>'Baseline Given'!E57</f>
        <v>54</v>
      </c>
      <c r="B56" s="45">
        <f t="shared" si="20"/>
        <v>16.5</v>
      </c>
      <c r="C56" s="45">
        <f t="shared" si="21"/>
        <v>13.5</v>
      </c>
      <c r="D56" s="19">
        <f>'Dynamic Loading'!$I$3*'Combined Stress'!B56+'Wind Loading'!$E$69*C56+'Wind Loading'!$E$68*'Combined Stress'!C57+'Wind Loading'!$E$67*'Combined Stress'!C58+'Wind Loading'!$E$66*'Combined Stress'!C59+'Wind Loading'!$E$65*'Combined Stress'!C60+'Wind Loading'!$E$64*'Combined Stress'!C61+'Wind Loading'!$E$63*'Combined Stress'!C62+'Wind Loading'!$E$62*'Combined Stress'!C63+'Wind Loading'!$E$61*'Combined Stress'!C64+'Wind Loading'!$E$60*'Combined Stress'!C65+'Wind Loading'!$E$59*'Combined Stress'!C66+'Wind Loading'!$E$58*'Combined Stress'!C67+'Wind Loading'!$E$57*'Combined Stress'!C68+'Wind Loading'!$E$56*'Combined Stress'!C69</f>
        <v>5242175.9585151495</v>
      </c>
      <c r="E56" s="19">
        <f>((D56*'Baseline Given'!K57)/'Baseline Given'!L57)/1000000</f>
        <v>45.641078833381997</v>
      </c>
      <c r="F56" s="19">
        <f t="shared" si="22"/>
        <v>14</v>
      </c>
      <c r="G56" s="19">
        <f>'Baseline Given'!$B$3+'Baseline Given'!$B$5+('Baseline Given'!$B$38*F56)</f>
        <v>1407935.3731343283</v>
      </c>
      <c r="H56" s="19">
        <f>'Baseline Given'!M57</f>
        <v>6.6350968334647868</v>
      </c>
      <c r="I56" s="19">
        <f t="shared" si="23"/>
        <v>0.21219515079768886</v>
      </c>
      <c r="J56" s="19">
        <f t="shared" si="11"/>
        <v>-45.853273984179687</v>
      </c>
      <c r="M56" s="18" t="str">
        <f>IF('Alternative 1'!F57&gt;0,'Alternative 1'!F57,"x")</f>
        <v>x</v>
      </c>
      <c r="N56" s="45">
        <f t="shared" si="12"/>
        <v>0</v>
      </c>
      <c r="O56" s="45">
        <f t="shared" si="13"/>
        <v>0</v>
      </c>
      <c r="P56" s="19">
        <f>'Dynamic Loading'!$Q$3*'Combined Stress'!N56+'Wind Loading'!$J$69*O56+'Wind Loading'!$J$68*'Combined Stress'!O57+'Wind Loading'!$J$67*'Combined Stress'!O58+'Wind Loading'!$J$66*'Combined Stress'!O59+'Wind Loading'!$J$65*'Combined Stress'!O60+'Wind Loading'!$J$64*'Combined Stress'!O61+'Wind Loading'!$J$63*'Combined Stress'!O62+'Wind Loading'!$J$62*'Combined Stress'!O63+'Wind Loading'!$J$61*'Combined Stress'!O64+'Wind Loading'!$J$60*'Combined Stress'!O65+'Wind Loading'!$J$59*'Combined Stress'!O66+'Wind Loading'!$J$58*'Combined Stress'!O67+'Wind Loading'!$J$57*'Combined Stress'!O68+'Wind Loading'!$J$56*'Combined Stress'!O69</f>
        <v>0</v>
      </c>
      <c r="Q56" s="19" t="e">
        <f>((P56*'Alternative 1'!K57)/'Alternative 1'!L57)/1000000</f>
        <v>#VALUE!</v>
      </c>
      <c r="R56" s="45">
        <f t="shared" si="14"/>
        <v>0</v>
      </c>
      <c r="S56" s="19">
        <f>IF(R56&gt;0,'Alternative 1'!$B$3+'Alternative 1'!$B$5+('Alternative 1'!$B$39*R56),0)</f>
        <v>0</v>
      </c>
      <c r="T56" s="19" t="e">
        <f>'Alternative 1'!M57</f>
        <v>#VALUE!</v>
      </c>
      <c r="U56" s="19" t="e">
        <f t="shared" si="24"/>
        <v>#VALUE!</v>
      </c>
      <c r="V56" s="19" t="e">
        <f t="shared" si="25"/>
        <v>#VALUE!</v>
      </c>
      <c r="X56" s="18" t="str">
        <f>IF('Alternative 2'!$F57&gt;0,'Alternative 2'!$F57,"x")</f>
        <v>x</v>
      </c>
      <c r="Y56" s="45">
        <f t="shared" si="15"/>
        <v>0</v>
      </c>
      <c r="Z56" s="45">
        <f t="shared" si="16"/>
        <v>0</v>
      </c>
      <c r="AA56" s="19">
        <f>'Dynamic Loading'!$Y$3*'Combined Stress'!Y56+'Wind Loading'!$O$69*Z56+'Wind Loading'!$O$68*'Combined Stress'!Z57+'Wind Loading'!$O$67*'Combined Stress'!Z58+'Wind Loading'!$O$66*'Combined Stress'!Z59+'Wind Loading'!$O$65*'Combined Stress'!Z60+'Wind Loading'!$O$64*'Combined Stress'!Z61+'Wind Loading'!$O$63*'Combined Stress'!Z62+'Wind Loading'!$O$62*'Combined Stress'!Z63+'Wind Loading'!$O$61*'Combined Stress'!Z64+'Wind Loading'!$O$60*'Combined Stress'!Z65+'Wind Loading'!$O$59*'Combined Stress'!Z66+'Wind Loading'!$O$58*'Combined Stress'!Z67+'Wind Loading'!$O$57*'Combined Stress'!Z68+'Wind Loading'!$O$56*'Combined Stress'!Z69</f>
        <v>0</v>
      </c>
      <c r="AB56" s="19" t="e">
        <f>((AA56*'Alternative 2'!K57)/'Alternative 2'!L57)/1000000</f>
        <v>#VALUE!</v>
      </c>
      <c r="AC56" s="45">
        <f t="shared" si="17"/>
        <v>0</v>
      </c>
      <c r="AD56" s="19">
        <f>'Alternative 2'!$B$3+'Alternative 2'!$B$5+('Alternative 2'!$B$39*AC56)</f>
        <v>76491.87</v>
      </c>
      <c r="AE56" s="19" t="e">
        <f>'Alternative 2'!M57</f>
        <v>#VALUE!</v>
      </c>
      <c r="AF56" s="19" t="e">
        <f t="shared" si="26"/>
        <v>#VALUE!</v>
      </c>
      <c r="AG56" s="19" t="e">
        <f t="shared" si="27"/>
        <v>#VALUE!</v>
      </c>
      <c r="AI56" s="18" t="str">
        <f>'Alternative 3'!F57</f>
        <v>x</v>
      </c>
      <c r="AJ56" s="83">
        <f t="shared" si="18"/>
        <v>-18.5</v>
      </c>
      <c r="AK56" s="45">
        <f t="shared" si="19"/>
        <v>0</v>
      </c>
      <c r="AL56" s="84">
        <f>'Dynamic Loading'!$AG$3*'Combined Stress'!AJ56+'Wind Loading'!$T$69*AK56+'Wind Loading'!$T$68*'Combined Stress'!AK57+'Wind Loading'!$T$67*'Combined Stress'!AK58+'Wind Loading'!$T$66*'Combined Stress'!AK59+'Wind Loading'!$T$65*'Combined Stress'!AK60+'Wind Loading'!$T$64*'Combined Stress'!AK61+'Wind Loading'!$T$63*'Combined Stress'!AK62+'Wind Loading'!$T$62*'Combined Stress'!AK63+'Wind Loading'!$T$61*'Combined Stress'!AK64+'Wind Loading'!$T$60*'Combined Stress'!AK65+'Wind Loading'!$T$59*'Combined Stress'!AK66+'Wind Loading'!$T$58*'Combined Stress'!AK67+'Wind Loading'!$T$57*'Combined Stress'!AK68+'Wind Loading'!$T$56*'Combined Stress'!AK69</f>
        <v>-2610793.1814134284</v>
      </c>
      <c r="AM56" s="84" t="e">
        <f>((AL56*'Alternative 3'!K57)/'Alternative 3'!L57)/1000000</f>
        <v>#VALUE!</v>
      </c>
      <c r="AN56" s="84">
        <f t="shared" si="28"/>
        <v>14</v>
      </c>
      <c r="AO56" s="19">
        <f>'Alternative 3'!$B$3+'Alternative 3'!$B$5+('Alternative 2'!$B$39*AN56)</f>
        <v>183512.20054090797</v>
      </c>
      <c r="AP56" s="84" t="e">
        <f>'Alternative 3'!M57</f>
        <v>#VALUE!</v>
      </c>
      <c r="AQ56" s="84" t="e">
        <f t="shared" si="29"/>
        <v>#VALUE!</v>
      </c>
      <c r="AR56" s="84" t="e">
        <f t="shared" si="30"/>
        <v>#VALUE!</v>
      </c>
    </row>
    <row r="57" spans="1:44" x14ac:dyDescent="0.25">
      <c r="A57" s="18">
        <f>'Baseline Given'!E58</f>
        <v>55</v>
      </c>
      <c r="B57" s="45">
        <f t="shared" si="20"/>
        <v>15.5</v>
      </c>
      <c r="C57" s="45">
        <f t="shared" si="21"/>
        <v>12.5</v>
      </c>
      <c r="D57" s="19">
        <f>'Dynamic Loading'!$I$3*'Combined Stress'!B57+'Wind Loading'!$E$69*C57+'Wind Loading'!$E$68*'Combined Stress'!C58+'Wind Loading'!$E$67*'Combined Stress'!C59+'Wind Loading'!$E$66*'Combined Stress'!C60+'Wind Loading'!$E$65*'Combined Stress'!C61+'Wind Loading'!$E$64*'Combined Stress'!C62+'Wind Loading'!$E$63*'Combined Stress'!C63+'Wind Loading'!$E$62*'Combined Stress'!C64+'Wind Loading'!$E$61*'Combined Stress'!C65+'Wind Loading'!$E$60*'Combined Stress'!C66+'Wind Loading'!$E$59*'Combined Stress'!C67+'Wind Loading'!$E$58*'Combined Stress'!C68+'Wind Loading'!$E$57*'Combined Stress'!C69</f>
        <v>4900667.5195864039</v>
      </c>
      <c r="E57" s="19">
        <f>((D57*'Baseline Given'!K58)/'Baseline Given'!L58)/1000000</f>
        <v>43.092050773550753</v>
      </c>
      <c r="F57" s="19">
        <f t="shared" si="22"/>
        <v>13</v>
      </c>
      <c r="G57" s="19">
        <f>'Baseline Given'!$B$3+'Baseline Given'!$B$5+('Baseline Given'!$B$38*F57)</f>
        <v>1391776.4179104478</v>
      </c>
      <c r="H57" s="19">
        <f>'Baseline Given'!M58</f>
        <v>6.5453210971658438</v>
      </c>
      <c r="I57" s="19">
        <f t="shared" si="23"/>
        <v>0.21263684351759213</v>
      </c>
      <c r="J57" s="19">
        <f t="shared" si="11"/>
        <v>-43.304687617068346</v>
      </c>
      <c r="M57" s="18" t="str">
        <f>IF('Alternative 1'!F58&gt;0,'Alternative 1'!F58,"x")</f>
        <v>x</v>
      </c>
      <c r="N57" s="45">
        <f t="shared" si="12"/>
        <v>0</v>
      </c>
      <c r="O57" s="45">
        <f t="shared" si="13"/>
        <v>0</v>
      </c>
      <c r="P57" s="19">
        <f>'Dynamic Loading'!$Q$3*'Combined Stress'!N57+'Wind Loading'!$J$69*O57+'Wind Loading'!$J$68*'Combined Stress'!O58+'Wind Loading'!$J$67*'Combined Stress'!O59+'Wind Loading'!$J$66*'Combined Stress'!O60+'Wind Loading'!$J$65*'Combined Stress'!O61+'Wind Loading'!$J$64*'Combined Stress'!O62+'Wind Loading'!$J$63*'Combined Stress'!O63+'Wind Loading'!$J$62*'Combined Stress'!O64+'Wind Loading'!$J$61*'Combined Stress'!O65+'Wind Loading'!$J$60*'Combined Stress'!O66+'Wind Loading'!$J$59*'Combined Stress'!O67+'Wind Loading'!$J$58*'Combined Stress'!O68+'Wind Loading'!$J$57*'Combined Stress'!O69</f>
        <v>0</v>
      </c>
      <c r="Q57" s="19" t="e">
        <f>((P57*'Alternative 1'!K58)/'Alternative 1'!L58)/1000000</f>
        <v>#VALUE!</v>
      </c>
      <c r="R57" s="45">
        <f t="shared" si="14"/>
        <v>0</v>
      </c>
      <c r="S57" s="19">
        <f>IF(R57&gt;0,'Alternative 1'!$B$3+'Alternative 1'!$B$5+('Alternative 1'!$B$39*R57),0)</f>
        <v>0</v>
      </c>
      <c r="T57" s="19" t="e">
        <f>'Alternative 1'!M58</f>
        <v>#VALUE!</v>
      </c>
      <c r="U57" s="19" t="e">
        <f t="shared" si="24"/>
        <v>#VALUE!</v>
      </c>
      <c r="V57" s="19" t="e">
        <f t="shared" si="25"/>
        <v>#VALUE!</v>
      </c>
      <c r="X57" s="18" t="str">
        <f>IF('Alternative 2'!$F58&gt;0,'Alternative 2'!$F58,"x")</f>
        <v>x</v>
      </c>
      <c r="Y57" s="45">
        <f t="shared" si="15"/>
        <v>0</v>
      </c>
      <c r="Z57" s="45">
        <f t="shared" si="16"/>
        <v>0</v>
      </c>
      <c r="AA57" s="19">
        <f>'Dynamic Loading'!$Y$3*'Combined Stress'!Y57+'Wind Loading'!$O$69*Z57+'Wind Loading'!$O$68*'Combined Stress'!Z58+'Wind Loading'!$O$67*'Combined Stress'!Z59+'Wind Loading'!$O$66*'Combined Stress'!Z60+'Wind Loading'!$O$65*'Combined Stress'!Z61+'Wind Loading'!$O$64*'Combined Stress'!Z62+'Wind Loading'!$O$63*'Combined Stress'!Z63+'Wind Loading'!$O$62*'Combined Stress'!Z64+'Wind Loading'!$O$61*'Combined Stress'!Z65+'Wind Loading'!$O$60*'Combined Stress'!Z66+'Wind Loading'!$O$59*'Combined Stress'!Z67+'Wind Loading'!$O$58*'Combined Stress'!Z68+'Wind Loading'!$O$57*'Combined Stress'!Z69</f>
        <v>0</v>
      </c>
      <c r="AB57" s="19" t="e">
        <f>((AA57*'Alternative 2'!K58)/'Alternative 2'!L58)/1000000</f>
        <v>#VALUE!</v>
      </c>
      <c r="AC57" s="45">
        <f t="shared" si="17"/>
        <v>0</v>
      </c>
      <c r="AD57" s="19">
        <f>'Alternative 2'!$B$3+'Alternative 2'!$B$5+('Alternative 2'!$B$39*AC57)</f>
        <v>76491.87</v>
      </c>
      <c r="AE57" s="19" t="e">
        <f>'Alternative 2'!M58</f>
        <v>#VALUE!</v>
      </c>
      <c r="AF57" s="19" t="e">
        <f t="shared" si="26"/>
        <v>#VALUE!</v>
      </c>
      <c r="AG57" s="19" t="e">
        <f t="shared" si="27"/>
        <v>#VALUE!</v>
      </c>
      <c r="AI57" s="18" t="str">
        <f>'Alternative 3'!F58</f>
        <v>x</v>
      </c>
      <c r="AJ57" s="83">
        <f t="shared" si="18"/>
        <v>-19.5</v>
      </c>
      <c r="AK57" s="45">
        <f t="shared" si="19"/>
        <v>0</v>
      </c>
      <c r="AL57" s="84">
        <f>'Dynamic Loading'!$AG$3*'Combined Stress'!AJ57+'Wind Loading'!$T$69*AK57+'Wind Loading'!$T$68*'Combined Stress'!AK58+'Wind Loading'!$T$67*'Combined Stress'!AK59+'Wind Loading'!$T$66*'Combined Stress'!AK60+'Wind Loading'!$T$65*'Combined Stress'!AK61+'Wind Loading'!$T$64*'Combined Stress'!AK62+'Wind Loading'!$T$63*'Combined Stress'!AK63+'Wind Loading'!$T$62*'Combined Stress'!AK64+'Wind Loading'!$T$61*'Combined Stress'!AK65+'Wind Loading'!$T$60*'Combined Stress'!AK66+'Wind Loading'!$T$59*'Combined Stress'!AK67+'Wind Loading'!$T$58*'Combined Stress'!AK68+'Wind Loading'!$T$57*'Combined Stress'!AK69</f>
        <v>-2751917.1371655059</v>
      </c>
      <c r="AM57" s="84" t="e">
        <f>((AL57*'Alternative 3'!K58)/'Alternative 3'!L58)/1000000</f>
        <v>#VALUE!</v>
      </c>
      <c r="AN57" s="84">
        <f t="shared" si="28"/>
        <v>13</v>
      </c>
      <c r="AO57" s="19">
        <f>'Alternative 3'!$B$3+'Alternative 3'!$B$5+('Alternative 2'!$B$39*AN57)</f>
        <v>180791.42492030739</v>
      </c>
      <c r="AP57" s="84" t="e">
        <f>'Alternative 3'!M58</f>
        <v>#VALUE!</v>
      </c>
      <c r="AQ57" s="84" t="e">
        <f t="shared" si="29"/>
        <v>#VALUE!</v>
      </c>
      <c r="AR57" s="84" t="e">
        <f t="shared" si="30"/>
        <v>#VALUE!</v>
      </c>
    </row>
    <row r="58" spans="1:44" x14ac:dyDescent="0.25">
      <c r="A58" s="18">
        <f>'Baseline Given'!E59</f>
        <v>56</v>
      </c>
      <c r="B58" s="45">
        <f t="shared" si="20"/>
        <v>14.5</v>
      </c>
      <c r="C58" s="45">
        <f t="shared" si="21"/>
        <v>11.5</v>
      </c>
      <c r="D58" s="19">
        <f>'Dynamic Loading'!$I$3*'Combined Stress'!B58+'Wind Loading'!$E$69*C58+'Wind Loading'!$E$68*'Combined Stress'!C59+'Wind Loading'!$E$67*'Combined Stress'!C60+'Wind Loading'!$E$66*'Combined Stress'!C61+'Wind Loading'!$E$65*'Combined Stress'!C62+'Wind Loading'!$E$64*'Combined Stress'!C63+'Wind Loading'!$E$63*'Combined Stress'!C64+'Wind Loading'!$E$62*'Combined Stress'!C65+'Wind Loading'!$E$61*'Combined Stress'!C66+'Wind Loading'!$E$60*'Combined Stress'!C67+'Wind Loading'!$E$59*'Combined Stress'!C68+'Wind Loading'!$E$58*'Combined Stress'!C69</f>
        <v>4562364.6785950186</v>
      </c>
      <c r="E58" s="19">
        <f>((D58*'Baseline Given'!K59)/'Baseline Given'!L59)/1000000</f>
        <v>40.520284827932322</v>
      </c>
      <c r="F58" s="19">
        <f t="shared" si="22"/>
        <v>12</v>
      </c>
      <c r="G58" s="19">
        <f>'Baseline Given'!$B$3+'Baseline Given'!$B$5+('Baseline Given'!$B$38*F58)</f>
        <v>1375617.4626865671</v>
      </c>
      <c r="H58" s="19">
        <f>'Baseline Given'!M59</f>
        <v>6.456156857129943</v>
      </c>
      <c r="I58" s="19">
        <f t="shared" si="23"/>
        <v>0.21307063832679121</v>
      </c>
      <c r="J58" s="19">
        <f t="shared" si="11"/>
        <v>-40.733355466259113</v>
      </c>
      <c r="M58" s="18" t="str">
        <f>IF('Alternative 1'!F59&gt;0,'Alternative 1'!F59,"x")</f>
        <v>x</v>
      </c>
      <c r="N58" s="45">
        <f t="shared" si="12"/>
        <v>0</v>
      </c>
      <c r="O58" s="45">
        <f t="shared" si="13"/>
        <v>0</v>
      </c>
      <c r="P58" s="19">
        <f>'Dynamic Loading'!$Q$3*'Combined Stress'!N58+'Wind Loading'!$J$69*O58+'Wind Loading'!$J$68*'Combined Stress'!O59+'Wind Loading'!$J$67*'Combined Stress'!O60+'Wind Loading'!$J$66*'Combined Stress'!O61+'Wind Loading'!$J$65*'Combined Stress'!O62+'Wind Loading'!$J$64*'Combined Stress'!O63+'Wind Loading'!$J$63*'Combined Stress'!O64+'Wind Loading'!$J$62*'Combined Stress'!O65+'Wind Loading'!$J$61*'Combined Stress'!O66+'Wind Loading'!$J$60*'Combined Stress'!O67+'Wind Loading'!$J$59*'Combined Stress'!O68+'Wind Loading'!$J$58*'Combined Stress'!O69</f>
        <v>0</v>
      </c>
      <c r="Q58" s="19" t="e">
        <f>((P58*'Alternative 1'!K59)/'Alternative 1'!L59)/1000000</f>
        <v>#VALUE!</v>
      </c>
      <c r="R58" s="45">
        <f t="shared" si="14"/>
        <v>0</v>
      </c>
      <c r="S58" s="19">
        <f>IF(R58&gt;0,'Alternative 1'!$B$3+'Alternative 1'!$B$5+('Alternative 1'!$B$39*R58),0)</f>
        <v>0</v>
      </c>
      <c r="T58" s="19" t="e">
        <f>'Alternative 1'!M59</f>
        <v>#VALUE!</v>
      </c>
      <c r="U58" s="19" t="e">
        <f t="shared" si="24"/>
        <v>#VALUE!</v>
      </c>
      <c r="V58" s="19" t="e">
        <f t="shared" si="25"/>
        <v>#VALUE!</v>
      </c>
      <c r="X58" s="18" t="str">
        <f>IF('Alternative 2'!$F59&gt;0,'Alternative 2'!$F59,"x")</f>
        <v>x</v>
      </c>
      <c r="Y58" s="45">
        <f t="shared" si="15"/>
        <v>0</v>
      </c>
      <c r="Z58" s="45">
        <f t="shared" si="16"/>
        <v>0</v>
      </c>
      <c r="AA58" s="19">
        <f>'Dynamic Loading'!$Y$3*'Combined Stress'!Y58+'Wind Loading'!$O$69*Z58+'Wind Loading'!$O$68*'Combined Stress'!Z59+'Wind Loading'!$O$67*'Combined Stress'!Z60+'Wind Loading'!$O$66*'Combined Stress'!Z61+'Wind Loading'!$O$65*'Combined Stress'!Z62+'Wind Loading'!$O$64*'Combined Stress'!Z63+'Wind Loading'!$O$63*'Combined Stress'!Z64+'Wind Loading'!$O$62*'Combined Stress'!Z65+'Wind Loading'!$O$61*'Combined Stress'!Z66+'Wind Loading'!$O$60*'Combined Stress'!Z67+'Wind Loading'!$O$59*'Combined Stress'!Z68+'Wind Loading'!$O$58*'Combined Stress'!Z69</f>
        <v>0</v>
      </c>
      <c r="AB58" s="19" t="e">
        <f>((AA58*'Alternative 2'!K59)/'Alternative 2'!L59)/1000000</f>
        <v>#VALUE!</v>
      </c>
      <c r="AC58" s="45">
        <f t="shared" si="17"/>
        <v>0</v>
      </c>
      <c r="AD58" s="19">
        <f>'Alternative 2'!$B$3+'Alternative 2'!$B$5+('Alternative 2'!$B$39*AC58)</f>
        <v>76491.87</v>
      </c>
      <c r="AE58" s="19" t="e">
        <f>'Alternative 2'!M59</f>
        <v>#VALUE!</v>
      </c>
      <c r="AF58" s="19" t="e">
        <f t="shared" si="26"/>
        <v>#VALUE!</v>
      </c>
      <c r="AG58" s="19" t="e">
        <f t="shared" si="27"/>
        <v>#VALUE!</v>
      </c>
      <c r="AI58" s="18" t="str">
        <f>'Alternative 3'!F59</f>
        <v>x</v>
      </c>
      <c r="AJ58" s="83">
        <f t="shared" si="18"/>
        <v>-20.5</v>
      </c>
      <c r="AK58" s="45">
        <f t="shared" si="19"/>
        <v>0</v>
      </c>
      <c r="AL58" s="84">
        <f>'Dynamic Loading'!$AG$3*'Combined Stress'!AJ58+'Wind Loading'!$T$69*AK58+'Wind Loading'!$T$68*'Combined Stress'!AK59+'Wind Loading'!$T$67*'Combined Stress'!AK60+'Wind Loading'!$T$66*'Combined Stress'!AK61+'Wind Loading'!$T$65*'Combined Stress'!AK62+'Wind Loading'!$T$64*'Combined Stress'!AK63+'Wind Loading'!$T$63*'Combined Stress'!AK64+'Wind Loading'!$T$62*'Combined Stress'!AK65+'Wind Loading'!$T$61*'Combined Stress'!AK66+'Wind Loading'!$T$60*'Combined Stress'!AK67+'Wind Loading'!$T$59*'Combined Stress'!AK68+'Wind Loading'!$T$58*'Combined Stress'!AK69</f>
        <v>-2893041.092917583</v>
      </c>
      <c r="AM58" s="84" t="e">
        <f>((AL58*'Alternative 3'!K59)/'Alternative 3'!L59)/1000000</f>
        <v>#VALUE!</v>
      </c>
      <c r="AN58" s="84">
        <f t="shared" si="28"/>
        <v>12</v>
      </c>
      <c r="AO58" s="19">
        <f>'Alternative 3'!$B$3+'Alternative 3'!$B$5+('Alternative 2'!$B$39*AN58)</f>
        <v>178070.64929970683</v>
      </c>
      <c r="AP58" s="84" t="e">
        <f>'Alternative 3'!M59</f>
        <v>#VALUE!</v>
      </c>
      <c r="AQ58" s="84" t="e">
        <f t="shared" si="29"/>
        <v>#VALUE!</v>
      </c>
      <c r="AR58" s="84" t="e">
        <f t="shared" si="30"/>
        <v>#VALUE!</v>
      </c>
    </row>
    <row r="59" spans="1:44" x14ac:dyDescent="0.25">
      <c r="A59" s="18">
        <f>'Baseline Given'!E60</f>
        <v>57</v>
      </c>
      <c r="B59" s="45">
        <f t="shared" si="20"/>
        <v>13.5</v>
      </c>
      <c r="C59" s="45">
        <f t="shared" si="21"/>
        <v>10.5</v>
      </c>
      <c r="D59" s="19">
        <f>'Dynamic Loading'!$I$3*'Combined Stress'!B59+'Wind Loading'!$E$69*C59+'Wind Loading'!$E$68*'Combined Stress'!C60+'Wind Loading'!$E$67*'Combined Stress'!C61+'Wind Loading'!$E$66*'Combined Stress'!C62+'Wind Loading'!$E$65*'Combined Stress'!C63+'Wind Loading'!$E$64*'Combined Stress'!C64+'Wind Loading'!$E$63*'Combined Stress'!C65+'Wind Loading'!$E$62*'Combined Stress'!C66+'Wind Loading'!$E$61*'Combined Stress'!C67+'Wind Loading'!$E$60*'Combined Stress'!C68+'Wind Loading'!$E$59*'Combined Stress'!C69</f>
        <v>4227255.790900412</v>
      </c>
      <c r="E59" s="19">
        <f>((D59*'Baseline Given'!K60)/'Baseline Given'!L60)/1000000</f>
        <v>37.924984392129865</v>
      </c>
      <c r="F59" s="19">
        <f t="shared" si="22"/>
        <v>11</v>
      </c>
      <c r="G59" s="19">
        <f>'Baseline Given'!$B$3+'Baseline Given'!$B$5+('Baseline Given'!$B$38*F59)</f>
        <v>1359458.5074626866</v>
      </c>
      <c r="H59" s="19">
        <f>'Baseline Given'!M60</f>
        <v>6.3676041133570846</v>
      </c>
      <c r="I59" s="19">
        <f t="shared" si="23"/>
        <v>0.21349607847180724</v>
      </c>
      <c r="J59" s="19">
        <f t="shared" si="11"/>
        <v>-38.138480470601671</v>
      </c>
      <c r="M59" s="18" t="str">
        <f>IF('Alternative 1'!F60&gt;0,'Alternative 1'!F60,"x")</f>
        <v>x</v>
      </c>
      <c r="N59" s="45">
        <f t="shared" si="12"/>
        <v>0</v>
      </c>
      <c r="O59" s="45">
        <f t="shared" si="13"/>
        <v>0</v>
      </c>
      <c r="P59" s="19">
        <f>'Dynamic Loading'!$Q$3*'Combined Stress'!N59+'Wind Loading'!$J$69*O59+'Wind Loading'!$J$68*'Combined Stress'!O60+'Wind Loading'!$J$67*'Combined Stress'!O61+'Wind Loading'!$J$66*'Combined Stress'!O62+'Wind Loading'!$J$65*'Combined Stress'!O63+'Wind Loading'!$J$64*'Combined Stress'!O64+'Wind Loading'!$J$63*'Combined Stress'!O65+'Wind Loading'!$J$62*'Combined Stress'!O66+'Wind Loading'!$J$61*'Combined Stress'!O67+'Wind Loading'!$J$60*'Combined Stress'!O68+'Wind Loading'!$J$59*'Combined Stress'!O69</f>
        <v>0</v>
      </c>
      <c r="Q59" s="19" t="e">
        <f>((P59*'Alternative 1'!K60)/'Alternative 1'!L60)/1000000</f>
        <v>#VALUE!</v>
      </c>
      <c r="R59" s="45">
        <f t="shared" si="14"/>
        <v>0</v>
      </c>
      <c r="S59" s="19">
        <f>IF(R59&gt;0,'Alternative 1'!$B$3+'Alternative 1'!$B$5+('Alternative 1'!$B$39*R59),0)</f>
        <v>0</v>
      </c>
      <c r="T59" s="19" t="e">
        <f>'Alternative 1'!M60</f>
        <v>#VALUE!</v>
      </c>
      <c r="U59" s="19" t="e">
        <f t="shared" si="24"/>
        <v>#VALUE!</v>
      </c>
      <c r="V59" s="19" t="e">
        <f t="shared" si="25"/>
        <v>#VALUE!</v>
      </c>
      <c r="X59" s="18" t="str">
        <f>IF('Alternative 2'!$F60&gt;0,'Alternative 2'!$F60,"x")</f>
        <v>x</v>
      </c>
      <c r="Y59" s="45">
        <f t="shared" si="15"/>
        <v>0</v>
      </c>
      <c r="Z59" s="45">
        <f t="shared" si="16"/>
        <v>0</v>
      </c>
      <c r="AA59" s="19">
        <f>'Dynamic Loading'!$Y$3*'Combined Stress'!Y59+'Wind Loading'!$O$69*Z59+'Wind Loading'!$O$68*'Combined Stress'!Z60+'Wind Loading'!$O$67*'Combined Stress'!Z61+'Wind Loading'!$O$66*'Combined Stress'!Z62+'Wind Loading'!$O$65*'Combined Stress'!Z63+'Wind Loading'!$O$64*'Combined Stress'!Z64+'Wind Loading'!$O$63*'Combined Stress'!Z65+'Wind Loading'!$O$62*'Combined Stress'!Z66+'Wind Loading'!$O$61*'Combined Stress'!Z67+'Wind Loading'!$O$60*'Combined Stress'!Z68+'Wind Loading'!$O$59*'Combined Stress'!Z69</f>
        <v>0</v>
      </c>
      <c r="AB59" s="19" t="e">
        <f>((AA59*'Alternative 2'!K60)/'Alternative 2'!L60)/1000000</f>
        <v>#VALUE!</v>
      </c>
      <c r="AC59" s="45">
        <f t="shared" si="17"/>
        <v>0</v>
      </c>
      <c r="AD59" s="19">
        <f>'Alternative 2'!$B$3+'Alternative 2'!$B$5+('Alternative 2'!$B$39*AC59)</f>
        <v>76491.87</v>
      </c>
      <c r="AE59" s="19" t="e">
        <f>'Alternative 2'!M60</f>
        <v>#VALUE!</v>
      </c>
      <c r="AF59" s="19" t="e">
        <f t="shared" si="26"/>
        <v>#VALUE!</v>
      </c>
      <c r="AG59" s="19" t="e">
        <f t="shared" si="27"/>
        <v>#VALUE!</v>
      </c>
      <c r="AI59" s="18" t="str">
        <f>'Alternative 3'!F60</f>
        <v>x</v>
      </c>
      <c r="AJ59" s="83">
        <f t="shared" si="18"/>
        <v>-21.5</v>
      </c>
      <c r="AK59" s="45">
        <f t="shared" si="19"/>
        <v>0</v>
      </c>
      <c r="AL59" s="84">
        <f>'Dynamic Loading'!$AG$3*'Combined Stress'!AJ59+'Wind Loading'!$T$69*AK59+'Wind Loading'!$T$68*'Combined Stress'!AK60+'Wind Loading'!$T$67*'Combined Stress'!AK61+'Wind Loading'!$T$66*'Combined Stress'!AK62+'Wind Loading'!$T$65*'Combined Stress'!AK63+'Wind Loading'!$T$64*'Combined Stress'!AK64+'Wind Loading'!$T$63*'Combined Stress'!AK65+'Wind Loading'!$T$62*'Combined Stress'!AK66+'Wind Loading'!$T$61*'Combined Stress'!AK67+'Wind Loading'!$T$60*'Combined Stress'!AK68+'Wind Loading'!$T$59*'Combined Stress'!AK69</f>
        <v>-3034165.0486696605</v>
      </c>
      <c r="AM59" s="84" t="e">
        <f>((AL59*'Alternative 3'!K60)/'Alternative 3'!L60)/1000000</f>
        <v>#VALUE!</v>
      </c>
      <c r="AN59" s="84">
        <f t="shared" si="28"/>
        <v>11</v>
      </c>
      <c r="AO59" s="19">
        <f>'Alternative 3'!$B$3+'Alternative 3'!$B$5+('Alternative 2'!$B$39*AN59)</f>
        <v>175349.87367910624</v>
      </c>
      <c r="AP59" s="84" t="e">
        <f>'Alternative 3'!M60</f>
        <v>#VALUE!</v>
      </c>
      <c r="AQ59" s="84" t="e">
        <f t="shared" si="29"/>
        <v>#VALUE!</v>
      </c>
      <c r="AR59" s="84" t="e">
        <f t="shared" si="30"/>
        <v>#VALUE!</v>
      </c>
    </row>
    <row r="60" spans="1:44" x14ac:dyDescent="0.25">
      <c r="A60" s="18">
        <f>'Baseline Given'!E61</f>
        <v>58</v>
      </c>
      <c r="B60" s="45">
        <f t="shared" si="20"/>
        <v>12.5</v>
      </c>
      <c r="C60" s="45">
        <f t="shared" si="21"/>
        <v>9.5</v>
      </c>
      <c r="D60" s="19">
        <f>'Dynamic Loading'!$I$3*'Combined Stress'!B60+'Wind Loading'!$E$69*C60+'Wind Loading'!$E$68*'Combined Stress'!C61+'Wind Loading'!$E$67*'Combined Stress'!C62+'Wind Loading'!$E$66*'Combined Stress'!C63+'Wind Loading'!$E$65*'Combined Stress'!C64+'Wind Loading'!$E$64*'Combined Stress'!C65+'Wind Loading'!$E$63*'Combined Stress'!C66+'Wind Loading'!$E$62*'Combined Stress'!C67+'Wind Loading'!$E$61*'Combined Stress'!C68+'Wind Loading'!$E$60*'Combined Stress'!C69</f>
        <v>3895328.9216405638</v>
      </c>
      <c r="E60" s="19">
        <f>((D60*'Baseline Given'!K61)/'Baseline Given'!L61)/1000000</f>
        <v>35.305317568729429</v>
      </c>
      <c r="F60" s="19">
        <f t="shared" si="22"/>
        <v>10</v>
      </c>
      <c r="G60" s="19">
        <f>'Baseline Given'!$B$3+'Baseline Given'!$B$5+('Baseline Given'!$B$38*F60)</f>
        <v>1343299.5522388059</v>
      </c>
      <c r="H60" s="19">
        <f>'Baseline Given'!M61</f>
        <v>6.2796628658472722</v>
      </c>
      <c r="I60" s="19">
        <f t="shared" si="23"/>
        <v>0.21391268622787182</v>
      </c>
      <c r="J60" s="19">
        <f t="shared" si="11"/>
        <v>-35.5192302549573</v>
      </c>
      <c r="M60" s="18" t="str">
        <f>IF('Alternative 1'!F61&gt;0,'Alternative 1'!F61,"x")</f>
        <v>x</v>
      </c>
      <c r="N60" s="45">
        <f t="shared" si="12"/>
        <v>0</v>
      </c>
      <c r="O60" s="45">
        <f t="shared" si="13"/>
        <v>0</v>
      </c>
      <c r="P60" s="19">
        <f>'Dynamic Loading'!$Q$3*'Combined Stress'!N60+'Wind Loading'!$J$69*O60+'Wind Loading'!$J$68*'Combined Stress'!O61+'Wind Loading'!$J$67*'Combined Stress'!O62+'Wind Loading'!$J$66*'Combined Stress'!O63+'Wind Loading'!$J$65*'Combined Stress'!O64+'Wind Loading'!$J$64*'Combined Stress'!O65+'Wind Loading'!$J$63*'Combined Stress'!O66+'Wind Loading'!$J$62*'Combined Stress'!O67+'Wind Loading'!$J$61*'Combined Stress'!O68+'Wind Loading'!$J$60*'Combined Stress'!O69</f>
        <v>0</v>
      </c>
      <c r="Q60" s="19" t="e">
        <f>((P60*'Alternative 1'!K61)/'Alternative 1'!L61)/1000000</f>
        <v>#VALUE!</v>
      </c>
      <c r="R60" s="45">
        <f t="shared" si="14"/>
        <v>0</v>
      </c>
      <c r="S60" s="19">
        <f>IF(R60&gt;0,'Alternative 1'!$B$3+'Alternative 1'!$B$5+('Alternative 1'!$B$39*R60),0)</f>
        <v>0</v>
      </c>
      <c r="T60" s="19" t="e">
        <f>'Alternative 1'!M61</f>
        <v>#VALUE!</v>
      </c>
      <c r="U60" s="19" t="e">
        <f t="shared" si="24"/>
        <v>#VALUE!</v>
      </c>
      <c r="V60" s="19" t="e">
        <f t="shared" si="25"/>
        <v>#VALUE!</v>
      </c>
      <c r="X60" s="18" t="str">
        <f>IF('Alternative 2'!$F61&gt;0,'Alternative 2'!$F61,"x")</f>
        <v>x</v>
      </c>
      <c r="Y60" s="45">
        <f t="shared" si="15"/>
        <v>0</v>
      </c>
      <c r="Z60" s="45">
        <f t="shared" si="16"/>
        <v>0</v>
      </c>
      <c r="AA60" s="19">
        <f>'Dynamic Loading'!$Y$3*'Combined Stress'!Y60+'Wind Loading'!$O$69*Z60+'Wind Loading'!$O$68*'Combined Stress'!Z61+'Wind Loading'!$O$67*'Combined Stress'!Z62+'Wind Loading'!$O$66*'Combined Stress'!Z63+'Wind Loading'!$O$65*'Combined Stress'!Z64+'Wind Loading'!$O$64*'Combined Stress'!Z65+'Wind Loading'!$O$63*'Combined Stress'!Z66+'Wind Loading'!$O$62*'Combined Stress'!Z67+'Wind Loading'!$O$61*'Combined Stress'!Z68+'Wind Loading'!$O$60*'Combined Stress'!Z69</f>
        <v>0</v>
      </c>
      <c r="AB60" s="19" t="e">
        <f>((AA60*'Alternative 2'!K61)/'Alternative 2'!L61)/1000000</f>
        <v>#VALUE!</v>
      </c>
      <c r="AC60" s="45">
        <f t="shared" si="17"/>
        <v>0</v>
      </c>
      <c r="AD60" s="19">
        <f>'Alternative 2'!$B$3+'Alternative 2'!$B$5+('Alternative 2'!$B$39*AC60)</f>
        <v>76491.87</v>
      </c>
      <c r="AE60" s="19" t="e">
        <f>'Alternative 2'!M61</f>
        <v>#VALUE!</v>
      </c>
      <c r="AF60" s="19" t="e">
        <f t="shared" si="26"/>
        <v>#VALUE!</v>
      </c>
      <c r="AG60" s="19" t="e">
        <f t="shared" si="27"/>
        <v>#VALUE!</v>
      </c>
      <c r="AI60" s="18" t="str">
        <f>'Alternative 3'!F61</f>
        <v>x</v>
      </c>
      <c r="AJ60" s="83">
        <f t="shared" si="18"/>
        <v>-22.5</v>
      </c>
      <c r="AK60" s="45">
        <f t="shared" si="19"/>
        <v>0</v>
      </c>
      <c r="AL60" s="84">
        <f>'Dynamic Loading'!$AG$3*'Combined Stress'!AJ60+'Wind Loading'!$T$69*AK60+'Wind Loading'!$T$68*'Combined Stress'!AK61+'Wind Loading'!$T$67*'Combined Stress'!AK62+'Wind Loading'!$T$66*'Combined Stress'!AK63+'Wind Loading'!$T$65*'Combined Stress'!AK64+'Wind Loading'!$T$64*'Combined Stress'!AK65+'Wind Loading'!$T$63*'Combined Stress'!AK66+'Wind Loading'!$T$62*'Combined Stress'!AK67+'Wind Loading'!$T$61*'Combined Stress'!AK68+'Wind Loading'!$T$60*'Combined Stress'!AK69</f>
        <v>-3175289.0044217375</v>
      </c>
      <c r="AM60" s="84" t="e">
        <f>((AL60*'Alternative 3'!K61)/'Alternative 3'!L61)/1000000</f>
        <v>#VALUE!</v>
      </c>
      <c r="AN60" s="84">
        <f t="shared" si="28"/>
        <v>10</v>
      </c>
      <c r="AO60" s="19">
        <f>'Alternative 3'!$B$3+'Alternative 3'!$B$5+('Alternative 2'!$B$39*AN60)</f>
        <v>172629.09805850568</v>
      </c>
      <c r="AP60" s="84" t="e">
        <f>'Alternative 3'!M61</f>
        <v>#VALUE!</v>
      </c>
      <c r="AQ60" s="84" t="e">
        <f t="shared" si="29"/>
        <v>#VALUE!</v>
      </c>
      <c r="AR60" s="84" t="e">
        <f t="shared" si="30"/>
        <v>#VALUE!</v>
      </c>
    </row>
    <row r="61" spans="1:44" x14ac:dyDescent="0.25">
      <c r="A61" s="18">
        <f>'Baseline Given'!E62</f>
        <v>59</v>
      </c>
      <c r="B61" s="45">
        <f t="shared" si="20"/>
        <v>11.5</v>
      </c>
      <c r="C61" s="45">
        <f t="shared" si="21"/>
        <v>8.5</v>
      </c>
      <c r="D61" s="19">
        <f>'Dynamic Loading'!$I$3*'Combined Stress'!B61+'Wind Loading'!$E$69*C61+'Wind Loading'!$E$68*'Combined Stress'!C62+'Wind Loading'!$E$67*'Combined Stress'!C63+'Wind Loading'!$E$66*'Combined Stress'!C64+'Wind Loading'!$E$65*'Combined Stress'!C65+'Wind Loading'!$E$64*'Combined Stress'!C66+'Wind Loading'!$E$63*'Combined Stress'!C67+'Wind Loading'!$E$62*'Combined Stress'!C68+'Wind Loading'!$E$61*'Combined Stress'!C69</f>
        <v>3566571.8536989084</v>
      </c>
      <c r="E61" s="19">
        <f>((D61*'Baseline Given'!K62)/'Baseline Given'!L62)/1000000</f>
        <v>32.660415412654068</v>
      </c>
      <c r="F61" s="19">
        <f t="shared" si="22"/>
        <v>9</v>
      </c>
      <c r="G61" s="19">
        <f>'Baseline Given'!$B$3+'Baseline Given'!$B$5+('Baseline Given'!$B$38*F61)</f>
        <v>1327140.5970149254</v>
      </c>
      <c r="H61" s="19">
        <f>'Baseline Given'!M62</f>
        <v>6.1923331146005038</v>
      </c>
      <c r="I61" s="19">
        <f t="shared" si="23"/>
        <v>0.21431996187119617</v>
      </c>
      <c r="J61" s="19">
        <f t="shared" si="11"/>
        <v>-32.874735374525265</v>
      </c>
      <c r="M61" s="18" t="str">
        <f>IF('Alternative 1'!F62&gt;0,'Alternative 1'!F62,"x")</f>
        <v>x</v>
      </c>
      <c r="N61" s="45">
        <f t="shared" si="12"/>
        <v>0</v>
      </c>
      <c r="O61" s="45">
        <f t="shared" si="13"/>
        <v>0</v>
      </c>
      <c r="P61" s="19">
        <f>'Dynamic Loading'!$Q$3*'Combined Stress'!N61+'Wind Loading'!$J$69*O61+'Wind Loading'!$J$68*'Combined Stress'!O62+'Wind Loading'!$J$67*'Combined Stress'!O63+'Wind Loading'!$J$66*'Combined Stress'!O64+'Wind Loading'!$J$65*'Combined Stress'!O65+'Wind Loading'!$J$64*'Combined Stress'!O66+'Wind Loading'!$J$63*'Combined Stress'!O67+'Wind Loading'!$J$62*'Combined Stress'!O68+'Wind Loading'!$J$61*'Combined Stress'!O69</f>
        <v>0</v>
      </c>
      <c r="Q61" s="19" t="e">
        <f>((P61*'Alternative 1'!K62)/'Alternative 1'!L62)/1000000</f>
        <v>#VALUE!</v>
      </c>
      <c r="R61" s="45">
        <f t="shared" si="14"/>
        <v>0</v>
      </c>
      <c r="S61" s="19">
        <f>IF(R61&gt;0,'Alternative 1'!$B$3+'Alternative 1'!$B$5+('Alternative 1'!$B$39*R61),0)</f>
        <v>0</v>
      </c>
      <c r="T61" s="19" t="e">
        <f>'Alternative 1'!M62</f>
        <v>#VALUE!</v>
      </c>
      <c r="U61" s="19" t="e">
        <f t="shared" si="24"/>
        <v>#VALUE!</v>
      </c>
      <c r="V61" s="19" t="e">
        <f t="shared" si="25"/>
        <v>#VALUE!</v>
      </c>
      <c r="X61" s="18" t="str">
        <f>IF('Alternative 2'!$F62&gt;0,'Alternative 2'!$F62,"x")</f>
        <v>x</v>
      </c>
      <c r="Y61" s="45">
        <f t="shared" si="15"/>
        <v>0</v>
      </c>
      <c r="Z61" s="45">
        <f t="shared" si="16"/>
        <v>0</v>
      </c>
      <c r="AA61" s="19">
        <f>'Dynamic Loading'!$Y$3*'Combined Stress'!Y61+'Wind Loading'!$O$69*Z61+'Wind Loading'!$O$68*'Combined Stress'!Z62+'Wind Loading'!$O$67*'Combined Stress'!Z63+'Wind Loading'!$O$66*'Combined Stress'!Z64+'Wind Loading'!$O$65*'Combined Stress'!Z65+'Wind Loading'!$O$64*'Combined Stress'!Z66+'Wind Loading'!$O$63*'Combined Stress'!Z67+'Wind Loading'!$O$62*'Combined Stress'!Z68+'Wind Loading'!$O$61*'Combined Stress'!Z69</f>
        <v>0</v>
      </c>
      <c r="AB61" s="19" t="e">
        <f>((AA61*'Alternative 2'!K62)/'Alternative 2'!L62)/1000000</f>
        <v>#VALUE!</v>
      </c>
      <c r="AC61" s="45">
        <f t="shared" si="17"/>
        <v>0</v>
      </c>
      <c r="AD61" s="19">
        <f>'Alternative 2'!$B$3+'Alternative 2'!$B$5+('Alternative 2'!$B$39*AC61)</f>
        <v>76491.87</v>
      </c>
      <c r="AE61" s="19" t="e">
        <f>'Alternative 2'!M62</f>
        <v>#VALUE!</v>
      </c>
      <c r="AF61" s="19" t="e">
        <f t="shared" si="26"/>
        <v>#VALUE!</v>
      </c>
      <c r="AG61" s="19" t="e">
        <f t="shared" si="27"/>
        <v>#VALUE!</v>
      </c>
      <c r="AI61" s="18" t="str">
        <f>'Alternative 3'!F62</f>
        <v>x</v>
      </c>
      <c r="AJ61" s="83">
        <f t="shared" si="18"/>
        <v>-23.5</v>
      </c>
      <c r="AK61" s="45">
        <f t="shared" si="19"/>
        <v>0</v>
      </c>
      <c r="AL61" s="84">
        <f>'Dynamic Loading'!$AG$3*'Combined Stress'!AJ61+'Wind Loading'!$T$69*AK61+'Wind Loading'!$T$68*'Combined Stress'!AK62+'Wind Loading'!$T$67*'Combined Stress'!AK63+'Wind Loading'!$T$66*'Combined Stress'!AK64+'Wind Loading'!$T$65*'Combined Stress'!AK65+'Wind Loading'!$T$64*'Combined Stress'!AK66+'Wind Loading'!$T$63*'Combined Stress'!AK67+'Wind Loading'!$T$62*'Combined Stress'!AK68+'Wind Loading'!$T$61*'Combined Stress'!AK69</f>
        <v>-3316412.9601738146</v>
      </c>
      <c r="AM61" s="84" t="e">
        <f>((AL61*'Alternative 3'!K62)/'Alternative 3'!L62)/1000000</f>
        <v>#VALUE!</v>
      </c>
      <c r="AN61" s="84">
        <f t="shared" si="28"/>
        <v>9</v>
      </c>
      <c r="AO61" s="19">
        <f>'Alternative 3'!$B$3+'Alternative 3'!$B$5+('Alternative 2'!$B$39*AN61)</f>
        <v>169908.32243790512</v>
      </c>
      <c r="AP61" s="84" t="e">
        <f>'Alternative 3'!M62</f>
        <v>#VALUE!</v>
      </c>
      <c r="AQ61" s="84" t="e">
        <f t="shared" si="29"/>
        <v>#VALUE!</v>
      </c>
      <c r="AR61" s="84" t="e">
        <f t="shared" si="30"/>
        <v>#VALUE!</v>
      </c>
    </row>
    <row r="62" spans="1:44" x14ac:dyDescent="0.25">
      <c r="A62" s="18">
        <f>'Baseline Given'!E63</f>
        <v>60</v>
      </c>
      <c r="B62" s="45">
        <f t="shared" si="20"/>
        <v>10.5</v>
      </c>
      <c r="C62" s="45">
        <f t="shared" si="21"/>
        <v>7.5</v>
      </c>
      <c r="D62" s="19">
        <f>'Dynamic Loading'!$I$3*'Combined Stress'!B62+'Wind Loading'!$E$69*C62+'Wind Loading'!$E$68*'Combined Stress'!C63+'Wind Loading'!$E$67*'Combined Stress'!C64+'Wind Loading'!$E$66*'Combined Stress'!C65+'Wind Loading'!$E$65*'Combined Stress'!C66+'Wind Loading'!$E$64*'Combined Stress'!C67+'Wind Loading'!$E$63*'Combined Stress'!C68+'Wind Loading'!$E$62*'Combined Stress'!C69</f>
        <v>3240972.0952995117</v>
      </c>
      <c r="E62" s="19">
        <f>((D62*'Baseline Given'!K63)/'Baseline Given'!L63)/1000000</f>
        <v>29.989370062903102</v>
      </c>
      <c r="F62" s="19">
        <f t="shared" si="22"/>
        <v>8</v>
      </c>
      <c r="G62" s="19">
        <f>'Baseline Given'!$B$3+'Baseline Given'!$B$5+('Baseline Given'!$B$38*F62)</f>
        <v>1310981.6417910447</v>
      </c>
      <c r="H62" s="19">
        <f>'Baseline Given'!M63</f>
        <v>6.105614859616777</v>
      </c>
      <c r="I62" s="19">
        <f t="shared" si="23"/>
        <v>0.21471738259516249</v>
      </c>
      <c r="J62" s="19">
        <f t="shared" si="11"/>
        <v>-30.204087445498264</v>
      </c>
      <c r="M62" s="18" t="str">
        <f>IF('Alternative 1'!F63&gt;0,'Alternative 1'!F63,"x")</f>
        <v>x</v>
      </c>
      <c r="N62" s="45">
        <f t="shared" si="12"/>
        <v>0</v>
      </c>
      <c r="O62" s="45">
        <f t="shared" si="13"/>
        <v>0</v>
      </c>
      <c r="P62" s="19">
        <f>'Dynamic Loading'!$Q$3*'Combined Stress'!N62+'Wind Loading'!$J$69*O62+'Wind Loading'!$J$68*'Combined Stress'!O63+'Wind Loading'!$J$67*'Combined Stress'!O64+'Wind Loading'!$J$66*'Combined Stress'!O65+'Wind Loading'!$J$65*'Combined Stress'!O66+'Wind Loading'!$J$64*'Combined Stress'!O67+'Wind Loading'!$J$63*'Combined Stress'!O68+'Wind Loading'!$J$62*'Combined Stress'!O69</f>
        <v>0</v>
      </c>
      <c r="Q62" s="19" t="e">
        <f>((P62*'Alternative 1'!K63)/'Alternative 1'!L63)/1000000</f>
        <v>#VALUE!</v>
      </c>
      <c r="R62" s="45">
        <f t="shared" si="14"/>
        <v>0</v>
      </c>
      <c r="S62" s="19">
        <f>IF(R62&gt;0,'Alternative 1'!$B$3+'Alternative 1'!$B$5+('Alternative 1'!$B$39*R62),0)</f>
        <v>0</v>
      </c>
      <c r="T62" s="19" t="e">
        <f>'Alternative 1'!M63</f>
        <v>#VALUE!</v>
      </c>
      <c r="U62" s="19" t="e">
        <f t="shared" si="24"/>
        <v>#VALUE!</v>
      </c>
      <c r="V62" s="19" t="e">
        <f t="shared" si="25"/>
        <v>#VALUE!</v>
      </c>
      <c r="X62" s="18" t="str">
        <f>IF('Alternative 2'!$F63&gt;0,'Alternative 2'!$F63,"x")</f>
        <v>x</v>
      </c>
      <c r="Y62" s="45">
        <f t="shared" si="15"/>
        <v>0</v>
      </c>
      <c r="Z62" s="45">
        <f t="shared" si="16"/>
        <v>0</v>
      </c>
      <c r="AA62" s="19">
        <f>'Dynamic Loading'!$Y$3*'Combined Stress'!Y62+'Wind Loading'!$O$69*Z62+'Wind Loading'!$O$68*'Combined Stress'!Z63+'Wind Loading'!$O$67*'Combined Stress'!Z64+'Wind Loading'!$O$66*'Combined Stress'!Z65+'Wind Loading'!$O$65*'Combined Stress'!Z66+'Wind Loading'!$O$64*'Combined Stress'!Z67+'Wind Loading'!$O$63*'Combined Stress'!Z68+'Wind Loading'!$O$62*'Combined Stress'!Z69</f>
        <v>0</v>
      </c>
      <c r="AB62" s="19" t="e">
        <f>((AA62*'Alternative 2'!K63)/'Alternative 2'!L63)/1000000</f>
        <v>#VALUE!</v>
      </c>
      <c r="AC62" s="45">
        <f t="shared" si="17"/>
        <v>0</v>
      </c>
      <c r="AD62" s="19">
        <f>'Alternative 2'!$B$3+'Alternative 2'!$B$5+('Alternative 2'!$B$39*AC62)</f>
        <v>76491.87</v>
      </c>
      <c r="AE62" s="19" t="e">
        <f>'Alternative 2'!M63</f>
        <v>#VALUE!</v>
      </c>
      <c r="AF62" s="19" t="e">
        <f t="shared" si="26"/>
        <v>#VALUE!</v>
      </c>
      <c r="AG62" s="19" t="e">
        <f t="shared" si="27"/>
        <v>#VALUE!</v>
      </c>
      <c r="AI62" s="18" t="str">
        <f>'Alternative 3'!F63</f>
        <v>x</v>
      </c>
      <c r="AJ62" s="83">
        <f t="shared" si="18"/>
        <v>-24.5</v>
      </c>
      <c r="AK62" s="45">
        <f t="shared" si="19"/>
        <v>0</v>
      </c>
      <c r="AL62" s="84">
        <f>'Dynamic Loading'!$AG$3*'Combined Stress'!AJ62+'Wind Loading'!$T$69*AK62+'Wind Loading'!$T$68*'Combined Stress'!AK63+'Wind Loading'!$T$67*'Combined Stress'!AK64+'Wind Loading'!$T$66*'Combined Stress'!AK65+'Wind Loading'!$T$65*'Combined Stress'!AK66+'Wind Loading'!$T$64*'Combined Stress'!AK67+'Wind Loading'!$T$63*'Combined Stress'!AK68+'Wind Loading'!$T$62*'Combined Stress'!AK69</f>
        <v>-3457536.9159258921</v>
      </c>
      <c r="AM62" s="84" t="e">
        <f>((AL62*'Alternative 3'!K63)/'Alternative 3'!L63)/1000000</f>
        <v>#VALUE!</v>
      </c>
      <c r="AN62" s="84">
        <f t="shared" si="28"/>
        <v>8</v>
      </c>
      <c r="AO62" s="19">
        <f>'Alternative 3'!$B$3+'Alternative 3'!$B$5+('Alternative 2'!$B$39*AN62)</f>
        <v>167187.54681730454</v>
      </c>
      <c r="AP62" s="84" t="e">
        <f>'Alternative 3'!M63</f>
        <v>#VALUE!</v>
      </c>
      <c r="AQ62" s="84" t="e">
        <f t="shared" si="29"/>
        <v>#VALUE!</v>
      </c>
      <c r="AR62" s="84" t="e">
        <f t="shared" si="30"/>
        <v>#VALUE!</v>
      </c>
    </row>
    <row r="63" spans="1:44" x14ac:dyDescent="0.25">
      <c r="A63" s="18">
        <f>'Baseline Given'!E64</f>
        <v>61</v>
      </c>
      <c r="B63" s="45">
        <f t="shared" si="20"/>
        <v>9.5</v>
      </c>
      <c r="C63" s="45">
        <f t="shared" si="21"/>
        <v>6.5</v>
      </c>
      <c r="D63" s="19">
        <f>'Dynamic Loading'!$I$3*'Combined Stress'!B63+'Wind Loading'!$E$69*C63+'Wind Loading'!$E$68*'Combined Stress'!C64+'Wind Loading'!$E$67*'Combined Stress'!C65+'Wind Loading'!$E$66*'Combined Stress'!C66+'Wind Loading'!$E$65*'Combined Stress'!C67+'Wind Loading'!$E$64*'Combined Stress'!C68+'Wind Loading'!$E$63*'Combined Stress'!C69</f>
        <v>2918516.8872542228</v>
      </c>
      <c r="E63" s="19">
        <f>((D63*'Baseline Given'!K64)/'Baseline Given'!L64)/1000000</f>
        <v>27.291232752486881</v>
      </c>
      <c r="F63" s="19">
        <f t="shared" si="22"/>
        <v>7</v>
      </c>
      <c r="G63" s="19">
        <f>'Baseline Given'!$B$3+'Baseline Given'!$B$5+('Baseline Given'!$B$38*F63)</f>
        <v>1294822.6865671643</v>
      </c>
      <c r="H63" s="19">
        <f>'Baseline Given'!M64</f>
        <v>6.0195081008960969</v>
      </c>
      <c r="I63" s="19">
        <f t="shared" si="23"/>
        <v>0.21510440136701697</v>
      </c>
      <c r="J63" s="19">
        <f t="shared" si="11"/>
        <v>-27.506337153853899</v>
      </c>
      <c r="M63" s="18" t="str">
        <f>IF('Alternative 1'!F64&gt;0,'Alternative 1'!F64,"x")</f>
        <v>x</v>
      </c>
      <c r="N63" s="45">
        <f t="shared" si="12"/>
        <v>0</v>
      </c>
      <c r="O63" s="45">
        <f t="shared" si="13"/>
        <v>0</v>
      </c>
      <c r="P63" s="19">
        <f>'Dynamic Loading'!$Q$3*'Combined Stress'!N63+'Wind Loading'!$J$69*O63+'Wind Loading'!$J$68*'Combined Stress'!O64+'Wind Loading'!$J$67*'Combined Stress'!O65+'Wind Loading'!$J$66*'Combined Stress'!O66+'Wind Loading'!$J$65*'Combined Stress'!O67+'Wind Loading'!$J$64*'Combined Stress'!O68+'Wind Loading'!$J$63*'Combined Stress'!O69</f>
        <v>0</v>
      </c>
      <c r="Q63" s="19" t="e">
        <f>((P63*'Alternative 1'!K64)/'Alternative 1'!L64)/1000000</f>
        <v>#VALUE!</v>
      </c>
      <c r="R63" s="45">
        <f t="shared" si="14"/>
        <v>0</v>
      </c>
      <c r="S63" s="19">
        <f>IF(R63&gt;0,'Alternative 1'!$B$3+'Alternative 1'!$B$5+('Alternative 1'!$B$39*R63),0)</f>
        <v>0</v>
      </c>
      <c r="T63" s="19" t="e">
        <f>'Alternative 1'!M64</f>
        <v>#VALUE!</v>
      </c>
      <c r="U63" s="19" t="e">
        <f t="shared" si="24"/>
        <v>#VALUE!</v>
      </c>
      <c r="V63" s="19" t="e">
        <f t="shared" si="25"/>
        <v>#VALUE!</v>
      </c>
      <c r="X63" s="18" t="str">
        <f>IF('Alternative 2'!$F64&gt;0,'Alternative 2'!$F64,"x")</f>
        <v>x</v>
      </c>
      <c r="Y63" s="45">
        <f t="shared" si="15"/>
        <v>0</v>
      </c>
      <c r="Z63" s="45">
        <f t="shared" si="16"/>
        <v>0</v>
      </c>
      <c r="AA63" s="19">
        <f>'Dynamic Loading'!$Y$3*'Combined Stress'!Y63+'Wind Loading'!$O$69*Z63+'Wind Loading'!$O$68*'Combined Stress'!Z64+'Wind Loading'!$O$67*'Combined Stress'!Z65+'Wind Loading'!$O$66*'Combined Stress'!Z66+'Wind Loading'!$O$65*'Combined Stress'!Z67+'Wind Loading'!$O$64*'Combined Stress'!Z68+'Wind Loading'!$O$63*'Combined Stress'!Z69</f>
        <v>0</v>
      </c>
      <c r="AB63" s="19" t="e">
        <f>((AA63*'Alternative 2'!K64)/'Alternative 2'!L64)/1000000</f>
        <v>#VALUE!</v>
      </c>
      <c r="AC63" s="45">
        <f t="shared" si="17"/>
        <v>0</v>
      </c>
      <c r="AD63" s="19">
        <f>'Alternative 2'!$B$3+'Alternative 2'!$B$5+('Alternative 2'!$B$39*AC63)</f>
        <v>76491.87</v>
      </c>
      <c r="AE63" s="19" t="e">
        <f>'Alternative 2'!M64</f>
        <v>#VALUE!</v>
      </c>
      <c r="AF63" s="19" t="e">
        <f t="shared" si="26"/>
        <v>#VALUE!</v>
      </c>
      <c r="AG63" s="19" t="e">
        <f t="shared" si="27"/>
        <v>#VALUE!</v>
      </c>
      <c r="AI63" s="18" t="str">
        <f>'Alternative 3'!F64</f>
        <v>x</v>
      </c>
      <c r="AJ63" s="83">
        <f t="shared" si="18"/>
        <v>-25.5</v>
      </c>
      <c r="AK63" s="45">
        <f t="shared" si="19"/>
        <v>0</v>
      </c>
      <c r="AL63" s="84">
        <f>'Dynamic Loading'!$AG$3*'Combined Stress'!AJ63+'Wind Loading'!$T$69*AK63+'Wind Loading'!$T$68*'Combined Stress'!AK64+'Wind Loading'!$T$67*'Combined Stress'!AK65+'Wind Loading'!$T$66*'Combined Stress'!AK66+'Wind Loading'!$T$65*'Combined Stress'!AK67+'Wind Loading'!$T$64*'Combined Stress'!AK68+'Wind Loading'!$T$63*'Combined Stress'!AK69</f>
        <v>-3598660.8716779691</v>
      </c>
      <c r="AM63" s="84" t="e">
        <f>((AL63*'Alternative 3'!K64)/'Alternative 3'!L64)/1000000</f>
        <v>#VALUE!</v>
      </c>
      <c r="AN63" s="84">
        <f t="shared" si="28"/>
        <v>7</v>
      </c>
      <c r="AO63" s="19">
        <f>'Alternative 3'!$B$3+'Alternative 3'!$B$5+('Alternative 2'!$B$39*AN63)</f>
        <v>164466.77119670398</v>
      </c>
      <c r="AP63" s="84" t="e">
        <f>'Alternative 3'!M64</f>
        <v>#VALUE!</v>
      </c>
      <c r="AQ63" s="84" t="e">
        <f t="shared" si="29"/>
        <v>#VALUE!</v>
      </c>
      <c r="AR63" s="84" t="e">
        <f t="shared" si="30"/>
        <v>#VALUE!</v>
      </c>
    </row>
    <row r="64" spans="1:44" x14ac:dyDescent="0.25">
      <c r="A64" s="18">
        <f>'Baseline Given'!E65</f>
        <v>62</v>
      </c>
      <c r="B64" s="45">
        <f t="shared" si="20"/>
        <v>8.5</v>
      </c>
      <c r="C64" s="45">
        <f t="shared" si="21"/>
        <v>5.5</v>
      </c>
      <c r="D64" s="19">
        <f>'Dynamic Loading'!$I$3*'Combined Stress'!B64+'Wind Loading'!$E$69*C64+'Wind Loading'!$E$68*'Combined Stress'!C65+'Wind Loading'!$E$67*'Combined Stress'!C66+'Wind Loading'!$E$66*'Combined Stress'!C67+'Wind Loading'!$E$65*'Combined Stress'!C68+'Wind Loading'!$E$64*'Combined Stress'!C69</f>
        <v>2599193.2098836373</v>
      </c>
      <c r="E64" s="19">
        <f>((D64*'Baseline Given'!K65)/'Baseline Given'!L65)/1000000</f>
        <v>24.5650116876498</v>
      </c>
      <c r="F64" s="19">
        <f t="shared" si="22"/>
        <v>6</v>
      </c>
      <c r="G64" s="19">
        <f>'Baseline Given'!$B$3+'Baseline Given'!$B$5+('Baseline Given'!$B$38*F64)</f>
        <v>1278663.7313432836</v>
      </c>
      <c r="H64" s="19">
        <f>'Baseline Given'!M65</f>
        <v>5.9340128384384601</v>
      </c>
      <c r="I64" s="19">
        <f t="shared" si="23"/>
        <v>0.21548044572140915</v>
      </c>
      <c r="J64" s="19">
        <f t="shared" si="11"/>
        <v>-24.780492133371208</v>
      </c>
      <c r="M64" s="18" t="str">
        <f>IF('Alternative 1'!F65&gt;0,'Alternative 1'!F65,"x")</f>
        <v>x</v>
      </c>
      <c r="N64" s="45">
        <f t="shared" si="12"/>
        <v>0</v>
      </c>
      <c r="O64" s="45">
        <f t="shared" si="13"/>
        <v>0</v>
      </c>
      <c r="P64" s="19">
        <f>'Dynamic Loading'!$Q$3*'Combined Stress'!N64+'Wind Loading'!$J$69*O64+'Wind Loading'!$J$68*'Combined Stress'!O65+'Wind Loading'!$J$67*'Combined Stress'!O66+'Wind Loading'!$J$66*'Combined Stress'!O67+'Wind Loading'!$J$65*'Combined Stress'!O68+'Wind Loading'!$J$64*'Combined Stress'!O69</f>
        <v>0</v>
      </c>
      <c r="Q64" s="19" t="e">
        <f>((P64*'Alternative 1'!K65)/'Alternative 1'!L65)/1000000</f>
        <v>#VALUE!</v>
      </c>
      <c r="R64" s="45">
        <f t="shared" si="14"/>
        <v>0</v>
      </c>
      <c r="S64" s="19">
        <f>IF(R64&gt;0,'Alternative 1'!$B$3+'Alternative 1'!$B$5+('Alternative 1'!$B$39*R64),0)</f>
        <v>0</v>
      </c>
      <c r="T64" s="19" t="e">
        <f>'Alternative 1'!M65</f>
        <v>#VALUE!</v>
      </c>
      <c r="U64" s="19" t="e">
        <f t="shared" si="24"/>
        <v>#VALUE!</v>
      </c>
      <c r="V64" s="19" t="e">
        <f t="shared" si="25"/>
        <v>#VALUE!</v>
      </c>
      <c r="X64" s="18" t="str">
        <f>IF('Alternative 2'!$F65&gt;0,'Alternative 2'!$F65,"x")</f>
        <v>x</v>
      </c>
      <c r="Y64" s="45">
        <f t="shared" si="15"/>
        <v>0</v>
      </c>
      <c r="Z64" s="45">
        <f t="shared" si="16"/>
        <v>0</v>
      </c>
      <c r="AA64" s="19">
        <f>'Dynamic Loading'!$Y$3*'Combined Stress'!Y64+'Wind Loading'!$O$69*Z64+'Wind Loading'!$O$68*'Combined Stress'!Z65+'Wind Loading'!$O$67*'Combined Stress'!Z66+'Wind Loading'!$O$66*'Combined Stress'!Z67+'Wind Loading'!$O$65*'Combined Stress'!Z68+'Wind Loading'!$O$64*'Combined Stress'!Z69</f>
        <v>0</v>
      </c>
      <c r="AB64" s="19" t="e">
        <f>((AA64*'Alternative 2'!K65)/'Alternative 2'!L65)/1000000</f>
        <v>#VALUE!</v>
      </c>
      <c r="AC64" s="45">
        <f t="shared" si="17"/>
        <v>0</v>
      </c>
      <c r="AD64" s="19">
        <f>'Alternative 2'!$B$3+'Alternative 2'!$B$5+('Alternative 2'!$B$39*AC64)</f>
        <v>76491.87</v>
      </c>
      <c r="AE64" s="19" t="e">
        <f>'Alternative 2'!M65</f>
        <v>#VALUE!</v>
      </c>
      <c r="AF64" s="19" t="e">
        <f t="shared" si="26"/>
        <v>#VALUE!</v>
      </c>
      <c r="AG64" s="19" t="e">
        <f t="shared" si="27"/>
        <v>#VALUE!</v>
      </c>
      <c r="AI64" s="18" t="str">
        <f>'Alternative 3'!F65</f>
        <v>x</v>
      </c>
      <c r="AJ64" s="83">
        <f t="shared" si="18"/>
        <v>-26.5</v>
      </c>
      <c r="AK64" s="45">
        <f t="shared" si="19"/>
        <v>0</v>
      </c>
      <c r="AL64" s="84">
        <f>'Dynamic Loading'!$AG$3*'Combined Stress'!AJ64+'Wind Loading'!$T$69*AK64+'Wind Loading'!$T$68*'Combined Stress'!AK65+'Wind Loading'!$T$67*'Combined Stress'!AK66+'Wind Loading'!$T$66*'Combined Stress'!AK67+'Wind Loading'!$T$65*'Combined Stress'!AK68+'Wind Loading'!$T$64*'Combined Stress'!AK69</f>
        <v>-3739784.8274300462</v>
      </c>
      <c r="AM64" s="84" t="e">
        <f>((AL64*'Alternative 3'!K65)/'Alternative 3'!L65)/1000000</f>
        <v>#VALUE!</v>
      </c>
      <c r="AN64" s="84">
        <f t="shared" si="28"/>
        <v>6</v>
      </c>
      <c r="AO64" s="19">
        <f>'Alternative 3'!$B$3+'Alternative 3'!$B$5+('Alternative 2'!$B$39*AN64)</f>
        <v>161745.99557610339</v>
      </c>
      <c r="AP64" s="84" t="e">
        <f>'Alternative 3'!M65</f>
        <v>#VALUE!</v>
      </c>
      <c r="AQ64" s="84" t="e">
        <f t="shared" si="29"/>
        <v>#VALUE!</v>
      </c>
      <c r="AR64" s="84" t="e">
        <f t="shared" si="30"/>
        <v>#VALUE!</v>
      </c>
    </row>
    <row r="65" spans="1:44" x14ac:dyDescent="0.25">
      <c r="A65" s="18">
        <f>'Baseline Given'!E66</f>
        <v>63</v>
      </c>
      <c r="B65" s="45">
        <f t="shared" si="20"/>
        <v>7.5</v>
      </c>
      <c r="C65" s="45">
        <f t="shared" si="21"/>
        <v>4.5</v>
      </c>
      <c r="D65" s="19">
        <f>'Dynamic Loading'!$I$3*'Combined Stress'!B65+'Wind Loading'!$E$69*C65+'Wind Loading'!$E$68*'Combined Stress'!C66+'Wind Loading'!$E$67*'Combined Stress'!C67+'Wind Loading'!$E$66*'Combined Stress'!C68+'Wind Loading'!$E$65*'Combined Stress'!C69</f>
        <v>2282987.7896319698</v>
      </c>
      <c r="E65" s="19">
        <f>((D65*'Baseline Given'!K66)/'Baseline Given'!L66)/1000000</f>
        <v>21.809669786687941</v>
      </c>
      <c r="F65" s="19">
        <f t="shared" si="22"/>
        <v>5</v>
      </c>
      <c r="G65" s="19">
        <f>'Baseline Given'!$B$3+'Baseline Given'!$B$5+('Baseline Given'!$B$38*F65)</f>
        <v>1262504.7761194031</v>
      </c>
      <c r="H65" s="19">
        <f>'Baseline Given'!M66</f>
        <v>5.8491290722438647</v>
      </c>
      <c r="I65" s="19">
        <f t="shared" si="23"/>
        <v>0.21584491648687046</v>
      </c>
      <c r="J65" s="19">
        <f t="shared" si="11"/>
        <v>-22.02551470317481</v>
      </c>
      <c r="M65" s="18" t="str">
        <f>IF('Alternative 1'!F66&gt;0,'Alternative 1'!F66,"x")</f>
        <v>x</v>
      </c>
      <c r="N65" s="45">
        <f t="shared" si="12"/>
        <v>0</v>
      </c>
      <c r="O65" s="45">
        <f t="shared" si="13"/>
        <v>0</v>
      </c>
      <c r="P65" s="19">
        <f>'Dynamic Loading'!$Q$3*'Combined Stress'!N65+'Wind Loading'!$J$69*O65+'Wind Loading'!$J$68*'Combined Stress'!O66+'Wind Loading'!$J$67*'Combined Stress'!O67+'Wind Loading'!$J$66*'Combined Stress'!O68+'Wind Loading'!$J$65*'Combined Stress'!O69</f>
        <v>0</v>
      </c>
      <c r="Q65" s="19" t="e">
        <f>((P65*'Alternative 1'!K66)/'Alternative 1'!L66)/1000000</f>
        <v>#VALUE!</v>
      </c>
      <c r="R65" s="45">
        <f t="shared" si="14"/>
        <v>0</v>
      </c>
      <c r="S65" s="19">
        <f>IF(R65&gt;0,'Alternative 1'!$B$3+'Alternative 1'!$B$5+('Alternative 1'!$B$39*R65),0)</f>
        <v>0</v>
      </c>
      <c r="T65" s="19" t="e">
        <f>'Alternative 1'!M66</f>
        <v>#VALUE!</v>
      </c>
      <c r="U65" s="19" t="e">
        <f t="shared" si="24"/>
        <v>#VALUE!</v>
      </c>
      <c r="V65" s="19" t="e">
        <f t="shared" si="25"/>
        <v>#VALUE!</v>
      </c>
      <c r="X65" s="18" t="str">
        <f>IF('Alternative 2'!$F66&gt;0,'Alternative 2'!$F66,"x")</f>
        <v>x</v>
      </c>
      <c r="Y65" s="45">
        <f t="shared" si="15"/>
        <v>0</v>
      </c>
      <c r="Z65" s="45">
        <f t="shared" si="16"/>
        <v>0</v>
      </c>
      <c r="AA65" s="19">
        <f>'Dynamic Loading'!$Y$3*'Combined Stress'!Y65+'Wind Loading'!$O$69*Z65+'Wind Loading'!$O$68*'Combined Stress'!Z66+'Wind Loading'!$O$67*'Combined Stress'!Z67+'Wind Loading'!$O$66*'Combined Stress'!Z68+'Wind Loading'!$O$65*'Combined Stress'!Z69</f>
        <v>0</v>
      </c>
      <c r="AB65" s="19" t="e">
        <f>((AA65*'Alternative 2'!K66)/'Alternative 2'!L66)/1000000</f>
        <v>#VALUE!</v>
      </c>
      <c r="AC65" s="45">
        <f t="shared" si="17"/>
        <v>0</v>
      </c>
      <c r="AD65" s="19">
        <f>'Alternative 2'!$B$3+'Alternative 2'!$B$5+('Alternative 2'!$B$39*AC65)</f>
        <v>76491.87</v>
      </c>
      <c r="AE65" s="19" t="e">
        <f>'Alternative 2'!M66</f>
        <v>#VALUE!</v>
      </c>
      <c r="AF65" s="19" t="e">
        <f t="shared" si="26"/>
        <v>#VALUE!</v>
      </c>
      <c r="AG65" s="19" t="e">
        <f t="shared" si="27"/>
        <v>#VALUE!</v>
      </c>
      <c r="AI65" s="18" t="str">
        <f>'Alternative 3'!F66</f>
        <v>x</v>
      </c>
      <c r="AJ65" s="83">
        <f t="shared" si="18"/>
        <v>-27.5</v>
      </c>
      <c r="AK65" s="45">
        <f t="shared" si="19"/>
        <v>0</v>
      </c>
      <c r="AL65" s="84">
        <f>'Dynamic Loading'!$AG$3*'Combined Stress'!AJ65+'Wind Loading'!$T$69*AK65+'Wind Loading'!$T$68*'Combined Stress'!AK66+'Wind Loading'!$T$67*'Combined Stress'!AK67+'Wind Loading'!$T$66*'Combined Stress'!AK68+'Wind Loading'!$T$65*'Combined Stress'!AK69</f>
        <v>-3880908.7831821237</v>
      </c>
      <c r="AM65" s="84" t="e">
        <f>((AL65*'Alternative 3'!K66)/'Alternative 3'!L66)/1000000</f>
        <v>#VALUE!</v>
      </c>
      <c r="AN65" s="84">
        <f t="shared" si="28"/>
        <v>5</v>
      </c>
      <c r="AO65" s="19">
        <f>'Alternative 3'!$B$3+'Alternative 3'!$B$5+('Alternative 2'!$B$39*AN65)</f>
        <v>159025.21995550283</v>
      </c>
      <c r="AP65" s="84" t="e">
        <f>'Alternative 3'!M66</f>
        <v>#VALUE!</v>
      </c>
      <c r="AQ65" s="84" t="e">
        <f t="shared" si="29"/>
        <v>#VALUE!</v>
      </c>
      <c r="AR65" s="84" t="e">
        <f t="shared" si="30"/>
        <v>#VALUE!</v>
      </c>
    </row>
    <row r="66" spans="1:44" x14ac:dyDescent="0.25">
      <c r="A66" s="18">
        <f>'Baseline Given'!E67</f>
        <v>64</v>
      </c>
      <c r="B66" s="45">
        <f t="shared" si="20"/>
        <v>6.5</v>
      </c>
      <c r="C66" s="45">
        <f t="shared" si="21"/>
        <v>3.5</v>
      </c>
      <c r="D66" s="19">
        <f>'Dynamic Loading'!$I$3*'Combined Stress'!B66+'Wind Loading'!$E$69*C66+'Wind Loading'!$E$68*'Combined Stress'!C67+'Wind Loading'!$E$67*'Combined Stress'!C68+'Wind Loading'!$E$66*'Combined Stress'!C69</f>
        <v>1969887.105394382</v>
      </c>
      <c r="E66" s="19">
        <f>((D66*'Baseline Given'!K67)/'Baseline Given'!L67)/1000000</f>
        <v>19.024122267805414</v>
      </c>
      <c r="F66" s="19">
        <f t="shared" si="22"/>
        <v>4</v>
      </c>
      <c r="G66" s="19">
        <f>'Baseline Given'!$B$3+'Baseline Given'!$B$5+('Baseline Given'!$B$38*F66)</f>
        <v>1246345.8208955224</v>
      </c>
      <c r="H66" s="19">
        <f>'Baseline Given'!M67</f>
        <v>5.7648568023123161</v>
      </c>
      <c r="I66" s="19">
        <f t="shared" si="23"/>
        <v>0.21619718644105887</v>
      </c>
      <c r="J66" s="19">
        <f t="shared" si="11"/>
        <v>-19.240319454246471</v>
      </c>
      <c r="M66" s="18" t="str">
        <f>IF('Alternative 1'!F67&gt;0,'Alternative 1'!F67,"x")</f>
        <v>x</v>
      </c>
      <c r="N66" s="45">
        <f t="shared" si="12"/>
        <v>0</v>
      </c>
      <c r="O66" s="45">
        <f t="shared" si="13"/>
        <v>0</v>
      </c>
      <c r="P66" s="19">
        <f>'Dynamic Loading'!$Q$3*'Combined Stress'!N66+'Wind Loading'!$J$69*O66+'Wind Loading'!$J$68*'Combined Stress'!O67+'Wind Loading'!$J$67*'Combined Stress'!O68+'Wind Loading'!$J$66*'Combined Stress'!O69</f>
        <v>0</v>
      </c>
      <c r="Q66" s="19" t="e">
        <f>((P66*'Alternative 1'!K67)/'Alternative 1'!L67)/1000000</f>
        <v>#VALUE!</v>
      </c>
      <c r="R66" s="45">
        <f t="shared" si="14"/>
        <v>0</v>
      </c>
      <c r="S66" s="19">
        <f>IF(R66&gt;0,'Alternative 1'!$B$3+'Alternative 1'!$B$5+('Alternative 1'!$B$39*R66),0)</f>
        <v>0</v>
      </c>
      <c r="T66" s="19" t="e">
        <f>'Alternative 1'!M67</f>
        <v>#VALUE!</v>
      </c>
      <c r="U66" s="19" t="e">
        <f t="shared" si="24"/>
        <v>#VALUE!</v>
      </c>
      <c r="V66" s="19" t="e">
        <f t="shared" si="25"/>
        <v>#VALUE!</v>
      </c>
      <c r="X66" s="18" t="str">
        <f>IF('Alternative 2'!$F67&gt;0,'Alternative 2'!$F67,"x")</f>
        <v>x</v>
      </c>
      <c r="Y66" s="45">
        <f t="shared" si="15"/>
        <v>0</v>
      </c>
      <c r="Z66" s="45">
        <f t="shared" si="16"/>
        <v>0</v>
      </c>
      <c r="AA66" s="19">
        <f>'Dynamic Loading'!$Y$3*'Combined Stress'!Y66+'Wind Loading'!$O$69*Z66+'Wind Loading'!$O$68*'Combined Stress'!Z67+'Wind Loading'!$O$67*'Combined Stress'!Z68+'Wind Loading'!$O$66*'Combined Stress'!Z69</f>
        <v>0</v>
      </c>
      <c r="AB66" s="19" t="e">
        <f>((AA66*'Alternative 2'!K67)/'Alternative 2'!L67)/1000000</f>
        <v>#VALUE!</v>
      </c>
      <c r="AC66" s="45">
        <f t="shared" si="17"/>
        <v>0</v>
      </c>
      <c r="AD66" s="19">
        <f>'Alternative 2'!$B$3+'Alternative 2'!$B$5+('Alternative 2'!$B$39*AC66)</f>
        <v>76491.87</v>
      </c>
      <c r="AE66" s="19" t="e">
        <f>'Alternative 2'!M67</f>
        <v>#VALUE!</v>
      </c>
      <c r="AF66" s="19" t="e">
        <f t="shared" si="26"/>
        <v>#VALUE!</v>
      </c>
      <c r="AG66" s="19" t="e">
        <f t="shared" si="27"/>
        <v>#VALUE!</v>
      </c>
      <c r="AI66" s="18" t="str">
        <f>'Alternative 3'!F67</f>
        <v>x</v>
      </c>
      <c r="AJ66" s="83">
        <f t="shared" si="18"/>
        <v>-28.5</v>
      </c>
      <c r="AK66" s="45">
        <f t="shared" si="19"/>
        <v>0</v>
      </c>
      <c r="AL66" s="84">
        <f>'Dynamic Loading'!$AG$3*'Combined Stress'!AJ66+'Wind Loading'!$T$69*AK66+'Wind Loading'!$T$68*'Combined Stress'!AK67+'Wind Loading'!$T$67*'Combined Stress'!AK68+'Wind Loading'!$T$66*'Combined Stress'!AK69</f>
        <v>-4022032.7389342007</v>
      </c>
      <c r="AM66" s="84" t="e">
        <f>((AL66*'Alternative 3'!K67)/'Alternative 3'!L67)/1000000</f>
        <v>#VALUE!</v>
      </c>
      <c r="AN66" s="84">
        <f t="shared" si="28"/>
        <v>4</v>
      </c>
      <c r="AO66" s="19">
        <f>'Alternative 3'!$B$3+'Alternative 3'!$B$5+('Alternative 2'!$B$39*AN66)</f>
        <v>156304.44433490228</v>
      </c>
      <c r="AP66" s="84" t="e">
        <f>'Alternative 3'!M67</f>
        <v>#VALUE!</v>
      </c>
      <c r="AQ66" s="84" t="e">
        <f t="shared" si="29"/>
        <v>#VALUE!</v>
      </c>
      <c r="AR66" s="84" t="e">
        <f t="shared" si="30"/>
        <v>#VALUE!</v>
      </c>
    </row>
    <row r="67" spans="1:44" x14ac:dyDescent="0.25">
      <c r="A67" s="18">
        <f>'Baseline Given'!E68</f>
        <v>65</v>
      </c>
      <c r="B67" s="45">
        <f t="shared" si="20"/>
        <v>5.5</v>
      </c>
      <c r="C67" s="45">
        <f t="shared" si="21"/>
        <v>2.5</v>
      </c>
      <c r="D67" s="19">
        <f>'Dynamic Loading'!$I$3*'Combined Stress'!B67+'Wind Loading'!$E$69*C67+'Wind Loading'!$E$68*'Combined Stress'!C68+'Wind Loading'!$E$67*'Combined Stress'!C69</f>
        <v>1659877.3945739204</v>
      </c>
      <c r="E67" s="19">
        <f>((D67*'Baseline Given'!K68)/'Baseline Given'!L68)/1000000</f>
        <v>16.20723407450761</v>
      </c>
      <c r="F67" s="19">
        <f t="shared" si="22"/>
        <v>3</v>
      </c>
      <c r="G67" s="19">
        <f>'Baseline Given'!$B$3+'Baseline Given'!$B$5+('Baseline Given'!$B$38*F67)</f>
        <v>1230186.8656716419</v>
      </c>
      <c r="H67" s="19">
        <f>'Baseline Given'!M68</f>
        <v>5.6811960286438108</v>
      </c>
      <c r="I67" s="19">
        <f>(G67/H67)/1000000</f>
        <v>0.21653659889030558</v>
      </c>
      <c r="J67" s="19">
        <f t="shared" si="11"/>
        <v>-16.423770673397915</v>
      </c>
      <c r="M67" s="18" t="str">
        <f>IF('Alternative 1'!F68&gt;0,'Alternative 1'!F68,"x")</f>
        <v>x</v>
      </c>
      <c r="N67" s="45">
        <f t="shared" si="12"/>
        <v>0</v>
      </c>
      <c r="O67" s="45">
        <f t="shared" si="13"/>
        <v>0</v>
      </c>
      <c r="P67" s="19">
        <f>'Dynamic Loading'!$Q$3*'Combined Stress'!N67+'Wind Loading'!$J$69*O67+'Wind Loading'!$J$68*'Combined Stress'!O68+'Wind Loading'!$J$67*'Combined Stress'!O69</f>
        <v>0</v>
      </c>
      <c r="Q67" s="19" t="e">
        <f>((P67*'Alternative 1'!K68)/'Alternative 1'!L68)/1000000</f>
        <v>#VALUE!</v>
      </c>
      <c r="R67" s="45">
        <f t="shared" si="14"/>
        <v>0</v>
      </c>
      <c r="S67" s="19">
        <f>IF(R67&gt;0,'Alternative 1'!$B$3+'Alternative 1'!$B$5+('Alternative 1'!$B$39*R67),0)</f>
        <v>0</v>
      </c>
      <c r="T67" s="19" t="e">
        <f>'Alternative 1'!M68</f>
        <v>#VALUE!</v>
      </c>
      <c r="U67" s="19" t="e">
        <f>(S67/T67)/1000000</f>
        <v>#VALUE!</v>
      </c>
      <c r="V67" s="19" t="e">
        <f>U67+Q67</f>
        <v>#VALUE!</v>
      </c>
      <c r="X67" s="18" t="str">
        <f>IF('Alternative 2'!$F68&gt;0,'Alternative 2'!$F68,"x")</f>
        <v>x</v>
      </c>
      <c r="Y67" s="45">
        <f t="shared" si="15"/>
        <v>0</v>
      </c>
      <c r="Z67" s="45">
        <f t="shared" si="16"/>
        <v>0</v>
      </c>
      <c r="AA67" s="19">
        <f>'Dynamic Loading'!$Y$3*'Combined Stress'!Y67+'Wind Loading'!$O$69*Z67+'Wind Loading'!$O$68*'Combined Stress'!Z68+'Wind Loading'!$O$67*'Combined Stress'!Z69</f>
        <v>0</v>
      </c>
      <c r="AB67" s="19" t="e">
        <f>((AA67*'Alternative 2'!K68)/'Alternative 2'!L68)/1000000</f>
        <v>#VALUE!</v>
      </c>
      <c r="AC67" s="45">
        <f t="shared" si="17"/>
        <v>0</v>
      </c>
      <c r="AD67" s="19">
        <f>'Alternative 2'!$B$3+'Alternative 2'!$B$5+('Alternative 2'!$B$39*AC67)</f>
        <v>76491.87</v>
      </c>
      <c r="AE67" s="19" t="e">
        <f>'Alternative 2'!M68</f>
        <v>#VALUE!</v>
      </c>
      <c r="AF67" s="19" t="e">
        <f>(AD67/AE67)/1000000</f>
        <v>#VALUE!</v>
      </c>
      <c r="AG67" s="19" t="e">
        <f>AF67+AB67</f>
        <v>#VALUE!</v>
      </c>
      <c r="AI67" s="18" t="str">
        <f>'Alternative 3'!F68</f>
        <v>x</v>
      </c>
      <c r="AJ67" s="83">
        <f t="shared" si="18"/>
        <v>-29.5</v>
      </c>
      <c r="AK67" s="45">
        <f t="shared" si="19"/>
        <v>0</v>
      </c>
      <c r="AL67" s="84">
        <f>'Dynamic Loading'!$AG$3*'Combined Stress'!AJ67+'Wind Loading'!$T$69*AK67+'Wind Loading'!$T$68*'Combined Stress'!AK68+'Wind Loading'!$T$67*'Combined Stress'!AK69</f>
        <v>-4163156.6946862782</v>
      </c>
      <c r="AM67" s="84" t="e">
        <f>((AL67*'Alternative 3'!K68)/'Alternative 3'!L68)/1000000</f>
        <v>#VALUE!</v>
      </c>
      <c r="AN67" s="84">
        <f t="shared" si="28"/>
        <v>3</v>
      </c>
      <c r="AO67" s="19">
        <f>'Alternative 3'!$B$3+'Alternative 3'!$B$5+('Alternative 2'!$B$39*AN67)</f>
        <v>153583.66871430169</v>
      </c>
      <c r="AP67" s="84" t="e">
        <f>'Alternative 3'!M68</f>
        <v>#VALUE!</v>
      </c>
      <c r="AQ67" s="84" t="e">
        <f>(AO67/AP67)/1000000</f>
        <v>#VALUE!</v>
      </c>
      <c r="AR67" s="84" t="e">
        <f>AQ67+AM67</f>
        <v>#VALUE!</v>
      </c>
    </row>
    <row r="68" spans="1:44" x14ac:dyDescent="0.25">
      <c r="A68" s="18">
        <f>'Baseline Given'!E69</f>
        <v>66</v>
      </c>
      <c r="B68" s="45">
        <f t="shared" si="20"/>
        <v>4.5</v>
      </c>
      <c r="C68" s="45">
        <f t="shared" si="21"/>
        <v>1.5</v>
      </c>
      <c r="D68" s="19">
        <f>'Dynamic Loading'!$I$3*'Combined Stress'!B68+'Wind Loading'!$E$69*C68+'Wind Loading'!$E$68*'Combined Stress'!C69</f>
        <v>1352944.6588838897</v>
      </c>
      <c r="E68" s="19">
        <f>((D68*'Baseline Given'!K69)/'Baseline Given'!L69)/1000000</f>
        <v>13.357817125988801</v>
      </c>
      <c r="F68" s="19">
        <f t="shared" si="22"/>
        <v>2</v>
      </c>
      <c r="G68" s="19">
        <f>'Baseline Given'!$B$3+'Baseline Given'!$B$5+('Baseline Given'!$B$38*F68)</f>
        <v>1214027.9104477612</v>
      </c>
      <c r="H68" s="19">
        <f>'Baseline Given'!M69</f>
        <v>5.5981467512383523</v>
      </c>
      <c r="I68" s="19">
        <f>(G68/H68)/1000000</f>
        <v>0.21686246616868504</v>
      </c>
      <c r="J68" s="19">
        <f t="shared" ref="J68:J69" si="31">-(I68+E68)</f>
        <v>-13.574679592157485</v>
      </c>
      <c r="M68" s="18" t="str">
        <f>IF('Alternative 1'!F69&gt;0,'Alternative 1'!F69,"x")</f>
        <v>x</v>
      </c>
      <c r="N68" s="45">
        <f t="shared" si="12"/>
        <v>0</v>
      </c>
      <c r="O68" s="45">
        <f t="shared" si="13"/>
        <v>0</v>
      </c>
      <c r="P68" s="19">
        <f>'Dynamic Loading'!$Q$3*'Combined Stress'!N68+'Wind Loading'!$J$69*O68+'Wind Loading'!$J$68*'Combined Stress'!O69</f>
        <v>0</v>
      </c>
      <c r="Q68" s="19" t="e">
        <f>((P68*'Alternative 1'!K69)/'Alternative 1'!L69)/1000000</f>
        <v>#VALUE!</v>
      </c>
      <c r="R68" s="45">
        <f t="shared" si="14"/>
        <v>0</v>
      </c>
      <c r="S68" s="19">
        <f>IF(R68&gt;0,'Alternative 1'!$B$3+'Alternative 1'!$B$5+('Alternative 1'!$B$39*R68),0)</f>
        <v>0</v>
      </c>
      <c r="T68" s="19" t="e">
        <f>'Alternative 1'!M69</f>
        <v>#VALUE!</v>
      </c>
      <c r="U68" s="19" t="e">
        <f>(S68/T68)/1000000</f>
        <v>#VALUE!</v>
      </c>
      <c r="V68" s="19" t="e">
        <f>U68+Q68</f>
        <v>#VALUE!</v>
      </c>
      <c r="X68" s="18" t="str">
        <f>IF('Alternative 2'!$F69&gt;0,'Alternative 2'!$F69,"x")</f>
        <v>x</v>
      </c>
      <c r="Y68" s="45">
        <f t="shared" si="15"/>
        <v>0</v>
      </c>
      <c r="Z68" s="45">
        <f t="shared" si="16"/>
        <v>0</v>
      </c>
      <c r="AA68" s="19">
        <f>'Dynamic Loading'!$Y$3*'Combined Stress'!Y68+'Wind Loading'!$O$69*Z68+'Wind Loading'!$O$68*'Combined Stress'!Z69</f>
        <v>0</v>
      </c>
      <c r="AB68" s="19" t="e">
        <f>((AA68*'Alternative 2'!K69)/'Alternative 2'!L69)/1000000</f>
        <v>#VALUE!</v>
      </c>
      <c r="AC68" s="45">
        <f t="shared" si="17"/>
        <v>0</v>
      </c>
      <c r="AD68" s="19">
        <f>'Alternative 2'!$B$3+'Alternative 2'!$B$5+('Alternative 2'!$B$39*AC68)</f>
        <v>76491.87</v>
      </c>
      <c r="AE68" s="19" t="e">
        <f>'Alternative 2'!M69</f>
        <v>#VALUE!</v>
      </c>
      <c r="AF68" s="19" t="e">
        <f>(AD68/AE68)/1000000</f>
        <v>#VALUE!</v>
      </c>
      <c r="AG68" s="19" t="e">
        <f>AF68+AB68</f>
        <v>#VALUE!</v>
      </c>
      <c r="AI68" s="18" t="str">
        <f>'Alternative 3'!F69</f>
        <v>x</v>
      </c>
      <c r="AJ68" s="83">
        <f t="shared" si="18"/>
        <v>-30.5</v>
      </c>
      <c r="AK68" s="45">
        <f t="shared" si="19"/>
        <v>0</v>
      </c>
      <c r="AL68" s="84">
        <f>'Dynamic Loading'!$AG$3*'Combined Stress'!AJ68+'Wind Loading'!$T$69*AK68+'Wind Loading'!$T$68*'Combined Stress'!AK69</f>
        <v>-4304280.6504383553</v>
      </c>
      <c r="AM68" s="84" t="e">
        <f>((AL68*'Alternative 3'!K69)/'Alternative 3'!L69)/1000000</f>
        <v>#VALUE!</v>
      </c>
      <c r="AN68" s="84">
        <f t="shared" si="28"/>
        <v>2</v>
      </c>
      <c r="AO68" s="19">
        <f>'Alternative 3'!$B$3+'Alternative 3'!$B$5+('Alternative 2'!$B$39*AN68)</f>
        <v>150862.89309370113</v>
      </c>
      <c r="AP68" s="84" t="e">
        <f>'Alternative 3'!M69</f>
        <v>#VALUE!</v>
      </c>
      <c r="AQ68" s="84" t="e">
        <f>(AO68/AP68)/1000000</f>
        <v>#VALUE!</v>
      </c>
      <c r="AR68" s="84" t="e">
        <f>AQ68+AM68</f>
        <v>#VALUE!</v>
      </c>
    </row>
    <row r="69" spans="1:44" x14ac:dyDescent="0.25">
      <c r="A69" s="18">
        <f>'Baseline Given'!E70</f>
        <v>67</v>
      </c>
      <c r="B69" s="46">
        <v>3.5</v>
      </c>
      <c r="C69" s="47">
        <v>0.5</v>
      </c>
      <c r="D69" s="19">
        <f>'Dynamic Loading'!$I$3*'Combined Stress'!B69+'Wind Loading'!$E$69*C69</f>
        <v>1049074.6699103797</v>
      </c>
      <c r="E69" s="19">
        <f>((D69*'Baseline Given'!K70)/'Baseline Given'!L70)/1000000</f>
        <v>10.474627378827503</v>
      </c>
      <c r="F69" s="48">
        <v>1</v>
      </c>
      <c r="G69" s="19">
        <f>'Baseline Given'!$B$3+'Baseline Given'!$B$5+('Baseline Given'!$B$38*F69)</f>
        <v>1197868.9552238807</v>
      </c>
      <c r="H69" s="19">
        <f>'Baseline Given'!M70</f>
        <v>5.5157089700959308</v>
      </c>
      <c r="I69" s="19">
        <f>(G69/H69)/1000000</f>
        <v>0.21717406805149964</v>
      </c>
      <c r="J69" s="19">
        <f t="shared" si="31"/>
        <v>-10.691801446879003</v>
      </c>
      <c r="M69" s="18" t="str">
        <f>IF('Alternative 1'!F70&gt;0,'Alternative 1'!F70,"x")</f>
        <v>x</v>
      </c>
      <c r="N69" s="45">
        <f t="shared" ref="N69:N92" si="32">IF(N68-1&gt;1,N68-1,0)</f>
        <v>0</v>
      </c>
      <c r="O69" s="45">
        <f t="shared" ref="O69:O92" si="33">IF(O68-1&gt;0,O68-1,0)</f>
        <v>0</v>
      </c>
      <c r="P69" s="19">
        <f>'Dynamic Loading'!$Q$3*'Combined Stress'!N69+'Wind Loading'!$J$69*O69</f>
        <v>0</v>
      </c>
      <c r="Q69" s="19" t="e">
        <f>((P69*'Alternative 1'!K70)/'Alternative 1'!L70)/1000000</f>
        <v>#VALUE!</v>
      </c>
      <c r="R69" s="45">
        <f t="shared" ref="R69:R92" si="34">IF(R68-1&gt;0,R68-1,0)</f>
        <v>0</v>
      </c>
      <c r="S69" s="19">
        <f>IF(R69&gt;0,'Alternative 1'!$B$3+'Alternative 1'!$B$5+('Alternative 1'!$B$39*R69),0)</f>
        <v>0</v>
      </c>
      <c r="T69" s="19" t="e">
        <f>'Alternative 1'!M70</f>
        <v>#VALUE!</v>
      </c>
      <c r="U69" s="19" t="e">
        <f>(S69/T69)/1000000</f>
        <v>#VALUE!</v>
      </c>
      <c r="V69" s="19" t="e">
        <f>U69+Q69</f>
        <v>#VALUE!</v>
      </c>
      <c r="X69" s="18" t="str">
        <f>IF('Alternative 2'!$F70&gt;0,'Alternative 2'!$F70,"x")</f>
        <v>x</v>
      </c>
      <c r="Y69" s="45">
        <f t="shared" ref="Y69:Y92" si="35">IF(Y68-1&gt;1,Y68-1,0)</f>
        <v>0</v>
      </c>
      <c r="Z69" s="45">
        <f t="shared" ref="Z69:Z92" si="36">IF(Z68-1&gt;0,Z68-1,0)</f>
        <v>0</v>
      </c>
      <c r="AA69" s="19">
        <f>'Dynamic Loading'!$Y$3*'Combined Stress'!Y69+'Wind Loading'!$O$69*Z69</f>
        <v>0</v>
      </c>
      <c r="AB69" s="19" t="e">
        <f>((AA69*'Alternative 2'!K70)/'Alternative 2'!L70)/1000000</f>
        <v>#VALUE!</v>
      </c>
      <c r="AC69" s="45">
        <f t="shared" ref="AC69:AC92" si="37">IF(AC68-1&gt;0,AC68-1,0)</f>
        <v>0</v>
      </c>
      <c r="AD69" s="19">
        <f>'Alternative 2'!$B$3+'Alternative 2'!$B$5+('Alternative 2'!$B$39*AC69)</f>
        <v>76491.87</v>
      </c>
      <c r="AE69" s="19" t="e">
        <f>'Alternative 2'!M70</f>
        <v>#VALUE!</v>
      </c>
      <c r="AF69" s="19" t="e">
        <f>(AD69/AE69)/1000000</f>
        <v>#VALUE!</v>
      </c>
      <c r="AG69" s="19" t="e">
        <f>AF69+AB69</f>
        <v>#VALUE!</v>
      </c>
      <c r="AI69" s="18" t="str">
        <f>'Alternative 3'!F70</f>
        <v>x</v>
      </c>
      <c r="AJ69" s="83">
        <f t="shared" ref="AJ69:AJ92" si="38">IF(AI69&gt;0,AJ68-1,0)</f>
        <v>-31.5</v>
      </c>
      <c r="AK69" s="45">
        <f t="shared" ref="AK69:AK92" si="39">IF(AK68-1&gt;0,AK68-1,0)</f>
        <v>0</v>
      </c>
      <c r="AL69" s="84">
        <f>'Dynamic Loading'!$AG$3*'Combined Stress'!AJ69+'Wind Loading'!$T$69*AK69</f>
        <v>-4445404.6061904328</v>
      </c>
      <c r="AM69" s="84" t="e">
        <f>((AL69*'Alternative 3'!K70)/'Alternative 3'!L70)/1000000</f>
        <v>#VALUE!</v>
      </c>
      <c r="AN69" s="84">
        <v>1</v>
      </c>
      <c r="AO69" s="19">
        <f>'Alternative 3'!$B$3+'Alternative 3'!$B$5+('Alternative 2'!$B$39*AN69)</f>
        <v>148142.11747310054</v>
      </c>
      <c r="AP69" s="84" t="e">
        <f>'Alternative 3'!M70</f>
        <v>#VALUE!</v>
      </c>
      <c r="AQ69" s="84" t="e">
        <f>(AO69/AP69)/1000000</f>
        <v>#VALUE!</v>
      </c>
      <c r="AR69" s="84" t="e">
        <f>AQ69+AM69</f>
        <v>#VALUE!</v>
      </c>
    </row>
    <row r="70" spans="1:44" x14ac:dyDescent="0.25">
      <c r="M70" s="18" t="str">
        <f>IF('Alternative 1'!F71&gt;0,'Alternative 1'!F71,"x")</f>
        <v>x</v>
      </c>
      <c r="N70" s="45">
        <f t="shared" si="32"/>
        <v>0</v>
      </c>
      <c r="O70" s="45">
        <f t="shared" si="33"/>
        <v>0</v>
      </c>
      <c r="P70" s="19">
        <f>'Dynamic Loading'!$Q$3*'Combined Stress'!N70+'Wind Loading'!$J$69*O70</f>
        <v>0</v>
      </c>
      <c r="Q70" s="19" t="e">
        <f>((P70*'Alternative 1'!K71)/'Alternative 1'!L71)/1000000</f>
        <v>#VALUE!</v>
      </c>
      <c r="R70" s="45">
        <f t="shared" si="34"/>
        <v>0</v>
      </c>
      <c r="S70" s="19">
        <f>IF(R70&gt;0,'Alternative 1'!$B$3+'Alternative 1'!$B$5+('Alternative 1'!$B$39*R70),0)</f>
        <v>0</v>
      </c>
      <c r="T70" s="19" t="e">
        <f>'Alternative 1'!M71</f>
        <v>#VALUE!</v>
      </c>
      <c r="U70" s="19" t="e">
        <f t="shared" ref="U70:U92" si="40">(S70/T70)/1000000</f>
        <v>#VALUE!</v>
      </c>
      <c r="V70" s="19" t="e">
        <f t="shared" ref="V70:V92" si="41">U70+Q70</f>
        <v>#VALUE!</v>
      </c>
      <c r="X70" s="18" t="str">
        <f>IF('Alternative 2'!$F71&gt;0,'Alternative 2'!$F71,"x")</f>
        <v>x</v>
      </c>
      <c r="Y70" s="45">
        <f t="shared" si="35"/>
        <v>0</v>
      </c>
      <c r="Z70" s="45">
        <f t="shared" si="36"/>
        <v>0</v>
      </c>
      <c r="AA70" s="19">
        <f>'Dynamic Loading'!$Y$3*'Combined Stress'!Y70+'Wind Loading'!$O$69*Z70</f>
        <v>0</v>
      </c>
      <c r="AB70" s="19" t="e">
        <f>((AA70*'Alternative 2'!K71)/'Alternative 2'!L71)/1000000</f>
        <v>#VALUE!</v>
      </c>
      <c r="AC70" s="45">
        <f t="shared" si="37"/>
        <v>0</v>
      </c>
      <c r="AD70" s="19">
        <f>'Alternative 2'!$B$3+'Alternative 2'!$B$5+('Alternative 2'!$B$39*AC70)</f>
        <v>76491.87</v>
      </c>
      <c r="AE70" s="19" t="e">
        <f>'Alternative 2'!M71</f>
        <v>#VALUE!</v>
      </c>
      <c r="AF70" s="19" t="e">
        <f t="shared" ref="AF70:AF92" si="42">(AD70/AE70)/1000000</f>
        <v>#VALUE!</v>
      </c>
      <c r="AG70" s="19" t="e">
        <f t="shared" ref="AG70:AG92" si="43">AF70+AB70</f>
        <v>#VALUE!</v>
      </c>
      <c r="AI70" s="18" t="str">
        <f>'Alternative 3'!F71</f>
        <v>x</v>
      </c>
      <c r="AJ70" s="83">
        <f t="shared" si="38"/>
        <v>-32.5</v>
      </c>
      <c r="AK70" s="45">
        <f t="shared" si="39"/>
        <v>0</v>
      </c>
      <c r="AL70" s="84">
        <f>'Dynamic Loading'!$AG$3*'Combined Stress'!AJ70+'Wind Loading'!$T$69*AK70</f>
        <v>-4586528.5619425094</v>
      </c>
      <c r="AM70" s="84" t="e">
        <f>((AL70*'Alternative 3'!K71)/'Alternative 3'!L71)/1000000</f>
        <v>#VALUE!</v>
      </c>
      <c r="AN70" s="84">
        <v>2</v>
      </c>
      <c r="AO70" s="19">
        <f>'Alternative 3'!$B$3+'Alternative 3'!$B$5+('Alternative 2'!$B$39*AN70)</f>
        <v>150862.89309370113</v>
      </c>
      <c r="AP70" s="84" t="e">
        <f>'Alternative 3'!M71</f>
        <v>#VALUE!</v>
      </c>
      <c r="AQ70" s="84" t="e">
        <f t="shared" ref="AQ70:AQ86" si="44">(AO70/AP70)/1000000</f>
        <v>#VALUE!</v>
      </c>
      <c r="AR70" s="84" t="e">
        <f t="shared" ref="AR70:AR86" si="45">AQ70+AM70</f>
        <v>#VALUE!</v>
      </c>
    </row>
    <row r="71" spans="1:44" x14ac:dyDescent="0.25">
      <c r="M71" s="18" t="str">
        <f>IF('Alternative 1'!F72&gt;0,'Alternative 1'!F72,"x")</f>
        <v>x</v>
      </c>
      <c r="N71" s="45">
        <f t="shared" si="32"/>
        <v>0</v>
      </c>
      <c r="O71" s="45">
        <f t="shared" si="33"/>
        <v>0</v>
      </c>
      <c r="P71" s="19">
        <f>'Dynamic Loading'!$Q$3*'Combined Stress'!N71+'Wind Loading'!$J$69*O71</f>
        <v>0</v>
      </c>
      <c r="Q71" s="19" t="e">
        <f>((P71*'Alternative 1'!K72)/'Alternative 1'!L72)/1000000</f>
        <v>#VALUE!</v>
      </c>
      <c r="R71" s="45">
        <f t="shared" si="34"/>
        <v>0</v>
      </c>
      <c r="S71" s="19">
        <f>IF(R71&gt;0,'Alternative 1'!$B$3+'Alternative 1'!$B$5+('Alternative 1'!$B$39*R71),0)</f>
        <v>0</v>
      </c>
      <c r="T71" s="19" t="e">
        <f>'Alternative 1'!M72</f>
        <v>#VALUE!</v>
      </c>
      <c r="U71" s="19" t="e">
        <f t="shared" si="40"/>
        <v>#VALUE!</v>
      </c>
      <c r="V71" s="19" t="e">
        <f t="shared" si="41"/>
        <v>#VALUE!</v>
      </c>
      <c r="X71" s="18" t="str">
        <f>IF('Alternative 2'!$F72&gt;0,'Alternative 2'!$F72,"x")</f>
        <v>x</v>
      </c>
      <c r="Y71" s="45">
        <f t="shared" si="35"/>
        <v>0</v>
      </c>
      <c r="Z71" s="45">
        <f t="shared" si="36"/>
        <v>0</v>
      </c>
      <c r="AA71" s="19">
        <f>'Dynamic Loading'!$Y$3*'Combined Stress'!Y71+'Wind Loading'!$O$69*Z71</f>
        <v>0</v>
      </c>
      <c r="AB71" s="19" t="e">
        <f>((AA71*'Alternative 2'!K72)/'Alternative 2'!L72)/1000000</f>
        <v>#VALUE!</v>
      </c>
      <c r="AC71" s="45">
        <f t="shared" si="37"/>
        <v>0</v>
      </c>
      <c r="AD71" s="19">
        <f>'Alternative 2'!$B$3+'Alternative 2'!$B$5+('Alternative 2'!$B$39*AC71)</f>
        <v>76491.87</v>
      </c>
      <c r="AE71" s="19" t="e">
        <f>'Alternative 2'!M72</f>
        <v>#VALUE!</v>
      </c>
      <c r="AF71" s="19" t="e">
        <f t="shared" si="42"/>
        <v>#VALUE!</v>
      </c>
      <c r="AG71" s="19" t="e">
        <f t="shared" si="43"/>
        <v>#VALUE!</v>
      </c>
      <c r="AI71" s="18" t="str">
        <f>'Alternative 3'!F72</f>
        <v>x</v>
      </c>
      <c r="AJ71" s="83">
        <f t="shared" si="38"/>
        <v>-33.5</v>
      </c>
      <c r="AK71" s="45">
        <f t="shared" si="39"/>
        <v>0</v>
      </c>
      <c r="AL71" s="84">
        <f>'Dynamic Loading'!$AG$3*'Combined Stress'!AJ71+'Wind Loading'!$T$69*AK71</f>
        <v>-4727652.5176945869</v>
      </c>
      <c r="AM71" s="84" t="e">
        <f>((AL71*'Alternative 3'!K72)/'Alternative 3'!L72)/1000000</f>
        <v>#VALUE!</v>
      </c>
      <c r="AN71" s="84">
        <v>3</v>
      </c>
      <c r="AO71" s="19">
        <f>'Alternative 3'!$B$3+'Alternative 3'!$B$5+('Alternative 2'!$B$39*AN71)</f>
        <v>153583.66871430169</v>
      </c>
      <c r="AP71" s="84" t="e">
        <f>'Alternative 3'!M72</f>
        <v>#VALUE!</v>
      </c>
      <c r="AQ71" s="84" t="e">
        <f t="shared" si="44"/>
        <v>#VALUE!</v>
      </c>
      <c r="AR71" s="84" t="e">
        <f t="shared" si="45"/>
        <v>#VALUE!</v>
      </c>
    </row>
    <row r="72" spans="1:44" x14ac:dyDescent="0.25">
      <c r="M72" s="18" t="str">
        <f>IF('Alternative 1'!F73&gt;0,'Alternative 1'!F73,"x")</f>
        <v>x</v>
      </c>
      <c r="N72" s="45">
        <f t="shared" si="32"/>
        <v>0</v>
      </c>
      <c r="O72" s="45">
        <f t="shared" si="33"/>
        <v>0</v>
      </c>
      <c r="P72" s="19">
        <f>'Dynamic Loading'!$Q$3*'Combined Stress'!N72+'Wind Loading'!$J$69*O72</f>
        <v>0</v>
      </c>
      <c r="Q72" s="19" t="e">
        <f>((P72*'Alternative 1'!K73)/'Alternative 1'!L73)/1000000</f>
        <v>#VALUE!</v>
      </c>
      <c r="R72" s="45">
        <f t="shared" si="34"/>
        <v>0</v>
      </c>
      <c r="S72" s="19">
        <f>IF(R72&gt;0,'Alternative 1'!$B$3+'Alternative 1'!$B$5+('Alternative 1'!$B$39*R72),0)</f>
        <v>0</v>
      </c>
      <c r="T72" s="19" t="e">
        <f>'Alternative 1'!M73</f>
        <v>#VALUE!</v>
      </c>
      <c r="U72" s="19" t="e">
        <f t="shared" si="40"/>
        <v>#VALUE!</v>
      </c>
      <c r="V72" s="19" t="e">
        <f t="shared" si="41"/>
        <v>#VALUE!</v>
      </c>
      <c r="X72" s="18" t="str">
        <f>IF('Alternative 2'!$F73&gt;0,'Alternative 2'!$F73,"x")</f>
        <v>x</v>
      </c>
      <c r="Y72" s="45">
        <f t="shared" si="35"/>
        <v>0</v>
      </c>
      <c r="Z72" s="45">
        <f t="shared" si="36"/>
        <v>0</v>
      </c>
      <c r="AA72" s="19">
        <f>'Dynamic Loading'!$Y$3*'Combined Stress'!Y72+'Wind Loading'!$O$69*Z72</f>
        <v>0</v>
      </c>
      <c r="AB72" s="19" t="e">
        <f>((AA72*'Alternative 2'!K73)/'Alternative 2'!L73)/1000000</f>
        <v>#VALUE!</v>
      </c>
      <c r="AC72" s="45">
        <f t="shared" si="37"/>
        <v>0</v>
      </c>
      <c r="AD72" s="19">
        <f>'Alternative 2'!$B$3+'Alternative 2'!$B$5+('Alternative 2'!$B$39*AC72)</f>
        <v>76491.87</v>
      </c>
      <c r="AE72" s="19" t="e">
        <f>'Alternative 2'!M73</f>
        <v>#VALUE!</v>
      </c>
      <c r="AF72" s="19" t="e">
        <f t="shared" si="42"/>
        <v>#VALUE!</v>
      </c>
      <c r="AG72" s="19" t="e">
        <f t="shared" si="43"/>
        <v>#VALUE!</v>
      </c>
      <c r="AI72" s="18" t="str">
        <f>'Alternative 3'!F73</f>
        <v>x</v>
      </c>
      <c r="AJ72" s="83">
        <f t="shared" si="38"/>
        <v>-34.5</v>
      </c>
      <c r="AK72" s="45">
        <f t="shared" si="39"/>
        <v>0</v>
      </c>
      <c r="AL72" s="84">
        <f>'Dynamic Loading'!$AG$3*'Combined Stress'!AJ72+'Wind Loading'!$T$69*AK72</f>
        <v>-4868776.4734466644</v>
      </c>
      <c r="AM72" s="84" t="e">
        <f>((AL72*'Alternative 3'!K73)/'Alternative 3'!L73)/1000000</f>
        <v>#VALUE!</v>
      </c>
      <c r="AN72" s="84">
        <v>4</v>
      </c>
      <c r="AO72" s="19">
        <f>'Alternative 3'!$B$3+'Alternative 3'!$B$5+('Alternative 2'!$B$39*AN72)</f>
        <v>156304.44433490228</v>
      </c>
      <c r="AP72" s="84" t="e">
        <f>'Alternative 3'!M73</f>
        <v>#VALUE!</v>
      </c>
      <c r="AQ72" s="84" t="e">
        <f t="shared" si="44"/>
        <v>#VALUE!</v>
      </c>
      <c r="AR72" s="84" t="e">
        <f t="shared" si="45"/>
        <v>#VALUE!</v>
      </c>
    </row>
    <row r="73" spans="1:44" x14ac:dyDescent="0.25">
      <c r="M73" s="18" t="str">
        <f>IF('Alternative 1'!F74&gt;0,'Alternative 1'!F74,"x")</f>
        <v>x</v>
      </c>
      <c r="N73" s="45">
        <f t="shared" si="32"/>
        <v>0</v>
      </c>
      <c r="O73" s="45">
        <f t="shared" si="33"/>
        <v>0</v>
      </c>
      <c r="P73" s="19">
        <f>'Dynamic Loading'!$Q$3*'Combined Stress'!N73+'Wind Loading'!$J$69*O73</f>
        <v>0</v>
      </c>
      <c r="Q73" s="19" t="e">
        <f>((P73*'Alternative 1'!K74)/'Alternative 1'!L74)/1000000</f>
        <v>#VALUE!</v>
      </c>
      <c r="R73" s="45">
        <f t="shared" si="34"/>
        <v>0</v>
      </c>
      <c r="S73" s="19">
        <f>IF(R73&gt;0,'Alternative 1'!$B$3+'Alternative 1'!$B$5+('Alternative 1'!$B$39*R73),0)</f>
        <v>0</v>
      </c>
      <c r="T73" s="19" t="e">
        <f>'Alternative 1'!M74</f>
        <v>#VALUE!</v>
      </c>
      <c r="U73" s="19" t="e">
        <f t="shared" si="40"/>
        <v>#VALUE!</v>
      </c>
      <c r="V73" s="19" t="e">
        <f t="shared" si="41"/>
        <v>#VALUE!</v>
      </c>
      <c r="X73" s="18" t="str">
        <f>IF('Alternative 2'!$F74&gt;0,'Alternative 2'!$F74,"x")</f>
        <v>x</v>
      </c>
      <c r="Y73" s="45">
        <f t="shared" si="35"/>
        <v>0</v>
      </c>
      <c r="Z73" s="45">
        <f t="shared" si="36"/>
        <v>0</v>
      </c>
      <c r="AA73" s="19">
        <f>'Dynamic Loading'!$Y$3*'Combined Stress'!Y73+'Wind Loading'!$O$69*Z73</f>
        <v>0</v>
      </c>
      <c r="AB73" s="19" t="e">
        <f>((AA73*'Alternative 2'!K74)/'Alternative 2'!L74)/1000000</f>
        <v>#VALUE!</v>
      </c>
      <c r="AC73" s="45">
        <f t="shared" si="37"/>
        <v>0</v>
      </c>
      <c r="AD73" s="19">
        <f>'Alternative 2'!$B$3+'Alternative 2'!$B$5+('Alternative 2'!$B$39*AC73)</f>
        <v>76491.87</v>
      </c>
      <c r="AE73" s="19" t="e">
        <f>'Alternative 2'!M74</f>
        <v>#VALUE!</v>
      </c>
      <c r="AF73" s="19" t="e">
        <f t="shared" si="42"/>
        <v>#VALUE!</v>
      </c>
      <c r="AG73" s="19" t="e">
        <f t="shared" si="43"/>
        <v>#VALUE!</v>
      </c>
      <c r="AI73" s="18" t="str">
        <f>'Alternative 3'!F74</f>
        <v>x</v>
      </c>
      <c r="AJ73" s="83">
        <f t="shared" si="38"/>
        <v>-35.5</v>
      </c>
      <c r="AK73" s="45">
        <f t="shared" si="39"/>
        <v>0</v>
      </c>
      <c r="AL73" s="84">
        <f>'Dynamic Loading'!$AG$3*'Combined Stress'!AJ73+'Wind Loading'!$T$69*AK73</f>
        <v>-5009900.429198741</v>
      </c>
      <c r="AM73" s="84" t="e">
        <f>((AL73*'Alternative 3'!K74)/'Alternative 3'!L74)/1000000</f>
        <v>#VALUE!</v>
      </c>
      <c r="AN73" s="84">
        <v>5</v>
      </c>
      <c r="AO73" s="19">
        <f>'Alternative 3'!$B$3+'Alternative 3'!$B$5+('Alternative 2'!$B$39*AN73)</f>
        <v>159025.21995550283</v>
      </c>
      <c r="AP73" s="84" t="e">
        <f>'Alternative 3'!M74</f>
        <v>#VALUE!</v>
      </c>
      <c r="AQ73" s="84" t="e">
        <f t="shared" si="44"/>
        <v>#VALUE!</v>
      </c>
      <c r="AR73" s="84" t="e">
        <f t="shared" si="45"/>
        <v>#VALUE!</v>
      </c>
    </row>
    <row r="74" spans="1:44" x14ac:dyDescent="0.25">
      <c r="M74" s="18" t="str">
        <f>IF('Alternative 1'!F75&gt;0,'Alternative 1'!F75,"x")</f>
        <v>x</v>
      </c>
      <c r="N74" s="45">
        <f t="shared" si="32"/>
        <v>0</v>
      </c>
      <c r="O74" s="45">
        <f t="shared" si="33"/>
        <v>0</v>
      </c>
      <c r="P74" s="19">
        <f>'Dynamic Loading'!$Q$3*'Combined Stress'!N74+'Wind Loading'!$J$69*O74</f>
        <v>0</v>
      </c>
      <c r="Q74" s="19" t="e">
        <f>((P74*'Alternative 1'!K75)/'Alternative 1'!L75)/1000000</f>
        <v>#VALUE!</v>
      </c>
      <c r="R74" s="45">
        <f t="shared" si="34"/>
        <v>0</v>
      </c>
      <c r="S74" s="19">
        <f>IF(R74&gt;0,'Alternative 1'!$B$3+'Alternative 1'!$B$5+('Alternative 1'!$B$39*R74),0)</f>
        <v>0</v>
      </c>
      <c r="T74" s="19" t="e">
        <f>'Alternative 1'!M75</f>
        <v>#VALUE!</v>
      </c>
      <c r="U74" s="19" t="e">
        <f t="shared" si="40"/>
        <v>#VALUE!</v>
      </c>
      <c r="V74" s="19" t="e">
        <f t="shared" si="41"/>
        <v>#VALUE!</v>
      </c>
      <c r="X74" s="18" t="str">
        <f>IF('Alternative 2'!$F75&gt;0,'Alternative 2'!$F75,"x")</f>
        <v>x</v>
      </c>
      <c r="Y74" s="45">
        <f t="shared" si="35"/>
        <v>0</v>
      </c>
      <c r="Z74" s="45">
        <f t="shared" si="36"/>
        <v>0</v>
      </c>
      <c r="AA74" s="19">
        <f>'Dynamic Loading'!$Y$3*'Combined Stress'!Y74+'Wind Loading'!$O$69*Z74</f>
        <v>0</v>
      </c>
      <c r="AB74" s="19" t="e">
        <f>((AA74*'Alternative 2'!K75)/'Alternative 2'!L75)/1000000</f>
        <v>#VALUE!</v>
      </c>
      <c r="AC74" s="45">
        <f t="shared" si="37"/>
        <v>0</v>
      </c>
      <c r="AD74" s="19">
        <f>'Alternative 2'!$B$3+'Alternative 2'!$B$5+('Alternative 2'!$B$39*AC74)</f>
        <v>76491.87</v>
      </c>
      <c r="AE74" s="19" t="e">
        <f>'Alternative 2'!M75</f>
        <v>#VALUE!</v>
      </c>
      <c r="AF74" s="19" t="e">
        <f t="shared" si="42"/>
        <v>#VALUE!</v>
      </c>
      <c r="AG74" s="19" t="e">
        <f t="shared" si="43"/>
        <v>#VALUE!</v>
      </c>
      <c r="AI74" s="18" t="str">
        <f>'Alternative 3'!F75</f>
        <v>x</v>
      </c>
      <c r="AJ74" s="83">
        <f t="shared" si="38"/>
        <v>-36.5</v>
      </c>
      <c r="AK74" s="45">
        <f t="shared" si="39"/>
        <v>0</v>
      </c>
      <c r="AL74" s="84">
        <f>'Dynamic Loading'!$AG$3*'Combined Stress'!AJ74+'Wind Loading'!$T$69*AK74</f>
        <v>-5151024.3849508185</v>
      </c>
      <c r="AM74" s="84" t="e">
        <f>((AL74*'Alternative 3'!K75)/'Alternative 3'!L75)/1000000</f>
        <v>#VALUE!</v>
      </c>
      <c r="AN74" s="84">
        <v>6</v>
      </c>
      <c r="AO74" s="19">
        <f>'Alternative 3'!$B$3+'Alternative 3'!$B$5+('Alternative 2'!$B$39*AN74)</f>
        <v>161745.99557610339</v>
      </c>
      <c r="AP74" s="84" t="e">
        <f>'Alternative 3'!M75</f>
        <v>#VALUE!</v>
      </c>
      <c r="AQ74" s="84" t="e">
        <f t="shared" si="44"/>
        <v>#VALUE!</v>
      </c>
      <c r="AR74" s="84" t="e">
        <f t="shared" si="45"/>
        <v>#VALUE!</v>
      </c>
    </row>
    <row r="75" spans="1:44" x14ac:dyDescent="0.25">
      <c r="M75" s="18" t="str">
        <f>IF('Alternative 1'!F76&gt;0,'Alternative 1'!F76,"x")</f>
        <v>x</v>
      </c>
      <c r="N75" s="45">
        <f t="shared" si="32"/>
        <v>0</v>
      </c>
      <c r="O75" s="45">
        <f t="shared" si="33"/>
        <v>0</v>
      </c>
      <c r="P75" s="19">
        <f>'Dynamic Loading'!$Q$3*'Combined Stress'!N75+'Wind Loading'!$J$69*O75</f>
        <v>0</v>
      </c>
      <c r="Q75" s="19" t="e">
        <f>((P75*'Alternative 1'!K76)/'Alternative 1'!L76)/1000000</f>
        <v>#VALUE!</v>
      </c>
      <c r="R75" s="45">
        <f t="shared" si="34"/>
        <v>0</v>
      </c>
      <c r="S75" s="19">
        <f>IF(R75&gt;0,'Alternative 1'!$B$3+'Alternative 1'!$B$5+('Alternative 1'!$B$39*R75),0)</f>
        <v>0</v>
      </c>
      <c r="T75" s="19" t="e">
        <f>'Alternative 1'!M76</f>
        <v>#VALUE!</v>
      </c>
      <c r="U75" s="19" t="e">
        <f t="shared" si="40"/>
        <v>#VALUE!</v>
      </c>
      <c r="V75" s="19" t="e">
        <f t="shared" si="41"/>
        <v>#VALUE!</v>
      </c>
      <c r="X75" s="18" t="str">
        <f>IF('Alternative 2'!$F76&gt;0,'Alternative 2'!$F76,"x")</f>
        <v>x</v>
      </c>
      <c r="Y75" s="45">
        <f t="shared" si="35"/>
        <v>0</v>
      </c>
      <c r="Z75" s="45">
        <f t="shared" si="36"/>
        <v>0</v>
      </c>
      <c r="AA75" s="19">
        <f>'Dynamic Loading'!$Y$3*'Combined Stress'!Y75+'Wind Loading'!$O$69*Z75</f>
        <v>0</v>
      </c>
      <c r="AB75" s="19" t="e">
        <f>((AA75*'Alternative 2'!K76)/'Alternative 2'!L76)/1000000</f>
        <v>#VALUE!</v>
      </c>
      <c r="AC75" s="45">
        <f t="shared" si="37"/>
        <v>0</v>
      </c>
      <c r="AD75" s="19">
        <f>'Alternative 2'!$B$3+'Alternative 2'!$B$5+('Alternative 2'!$B$39*AC75)</f>
        <v>76491.87</v>
      </c>
      <c r="AE75" s="19" t="e">
        <f>'Alternative 2'!M76</f>
        <v>#VALUE!</v>
      </c>
      <c r="AF75" s="19" t="e">
        <f t="shared" si="42"/>
        <v>#VALUE!</v>
      </c>
      <c r="AG75" s="19" t="e">
        <f t="shared" si="43"/>
        <v>#VALUE!</v>
      </c>
      <c r="AI75" s="18" t="str">
        <f>'Alternative 3'!F76</f>
        <v>x</v>
      </c>
      <c r="AJ75" s="83">
        <f t="shared" si="38"/>
        <v>-37.5</v>
      </c>
      <c r="AK75" s="45">
        <f t="shared" si="39"/>
        <v>0</v>
      </c>
      <c r="AL75" s="84">
        <f>'Dynamic Loading'!$AG$3*'Combined Stress'!AJ75+'Wind Loading'!$T$69*AK75</f>
        <v>-5292148.340702896</v>
      </c>
      <c r="AM75" s="84" t="e">
        <f>((AL75*'Alternative 3'!K76)/'Alternative 3'!L76)/1000000</f>
        <v>#VALUE!</v>
      </c>
      <c r="AN75" s="84">
        <v>7</v>
      </c>
      <c r="AO75" s="19">
        <f>'Alternative 3'!$B$3+'Alternative 3'!$B$5+('Alternative 2'!$B$39*AN75)</f>
        <v>164466.77119670398</v>
      </c>
      <c r="AP75" s="84" t="e">
        <f>'Alternative 3'!M76</f>
        <v>#VALUE!</v>
      </c>
      <c r="AQ75" s="84" t="e">
        <f t="shared" si="44"/>
        <v>#VALUE!</v>
      </c>
      <c r="AR75" s="84" t="e">
        <f t="shared" si="45"/>
        <v>#VALUE!</v>
      </c>
    </row>
    <row r="76" spans="1:44" x14ac:dyDescent="0.25">
      <c r="M76" s="18" t="str">
        <f>IF('Alternative 1'!F77&gt;0,'Alternative 1'!F77,"x")</f>
        <v>x</v>
      </c>
      <c r="N76" s="45">
        <f t="shared" si="32"/>
        <v>0</v>
      </c>
      <c r="O76" s="45">
        <f t="shared" si="33"/>
        <v>0</v>
      </c>
      <c r="P76" s="19">
        <f>'Dynamic Loading'!$Q$3*'Combined Stress'!N76+'Wind Loading'!$J$69*O76</f>
        <v>0</v>
      </c>
      <c r="Q76" s="19" t="e">
        <f>((P76*'Alternative 1'!K77)/'Alternative 1'!L77)/1000000</f>
        <v>#VALUE!</v>
      </c>
      <c r="R76" s="45">
        <f t="shared" si="34"/>
        <v>0</v>
      </c>
      <c r="S76" s="19">
        <f>IF(R76&gt;0,'Alternative 1'!$B$3+'Alternative 1'!$B$5+('Alternative 1'!$B$39*R76),0)</f>
        <v>0</v>
      </c>
      <c r="T76" s="19" t="e">
        <f>'Alternative 1'!M77</f>
        <v>#VALUE!</v>
      </c>
      <c r="U76" s="19" t="e">
        <f t="shared" si="40"/>
        <v>#VALUE!</v>
      </c>
      <c r="V76" s="19" t="e">
        <f t="shared" si="41"/>
        <v>#VALUE!</v>
      </c>
      <c r="X76" s="18" t="str">
        <f>IF('Alternative 2'!$F77&gt;0,'Alternative 2'!$F77,"x")</f>
        <v>x</v>
      </c>
      <c r="Y76" s="45">
        <f t="shared" si="35"/>
        <v>0</v>
      </c>
      <c r="Z76" s="45">
        <f t="shared" si="36"/>
        <v>0</v>
      </c>
      <c r="AA76" s="19">
        <f>'Dynamic Loading'!$Y$3*'Combined Stress'!Y76+'Wind Loading'!$O$69*Z76</f>
        <v>0</v>
      </c>
      <c r="AB76" s="19" t="e">
        <f>((AA76*'Alternative 2'!K77)/'Alternative 2'!L77)/1000000</f>
        <v>#VALUE!</v>
      </c>
      <c r="AC76" s="45">
        <f t="shared" si="37"/>
        <v>0</v>
      </c>
      <c r="AD76" s="19">
        <f>'Alternative 2'!$B$3+'Alternative 2'!$B$5+('Alternative 2'!$B$39*AC76)</f>
        <v>76491.87</v>
      </c>
      <c r="AE76" s="19" t="e">
        <f>'Alternative 2'!M77</f>
        <v>#VALUE!</v>
      </c>
      <c r="AF76" s="19" t="e">
        <f t="shared" si="42"/>
        <v>#VALUE!</v>
      </c>
      <c r="AG76" s="19" t="e">
        <f t="shared" si="43"/>
        <v>#VALUE!</v>
      </c>
      <c r="AI76" s="18" t="str">
        <f>'Alternative 3'!F77</f>
        <v>x</v>
      </c>
      <c r="AJ76" s="83">
        <f t="shared" si="38"/>
        <v>-38.5</v>
      </c>
      <c r="AK76" s="45">
        <f t="shared" si="39"/>
        <v>0</v>
      </c>
      <c r="AL76" s="84">
        <f>'Dynamic Loading'!$AG$3*'Combined Stress'!AJ76+'Wind Loading'!$T$69*AK76</f>
        <v>-5433272.2964549726</v>
      </c>
      <c r="AM76" s="84" t="e">
        <f>((AL76*'Alternative 3'!K77)/'Alternative 3'!L77)/1000000</f>
        <v>#VALUE!</v>
      </c>
      <c r="AN76" s="84">
        <v>8</v>
      </c>
      <c r="AO76" s="19">
        <f>'Alternative 3'!$B$3+'Alternative 3'!$B$5+('Alternative 2'!$B$39*AN76)</f>
        <v>167187.54681730454</v>
      </c>
      <c r="AP76" s="84" t="e">
        <f>'Alternative 3'!M77</f>
        <v>#VALUE!</v>
      </c>
      <c r="AQ76" s="84" t="e">
        <f t="shared" si="44"/>
        <v>#VALUE!</v>
      </c>
      <c r="AR76" s="84" t="e">
        <f t="shared" si="45"/>
        <v>#VALUE!</v>
      </c>
    </row>
    <row r="77" spans="1:44" x14ac:dyDescent="0.25">
      <c r="M77" s="18" t="str">
        <f>IF('Alternative 1'!F78&gt;0,'Alternative 1'!F78,"x")</f>
        <v>x</v>
      </c>
      <c r="N77" s="45">
        <f t="shared" si="32"/>
        <v>0</v>
      </c>
      <c r="O77" s="45">
        <f t="shared" si="33"/>
        <v>0</v>
      </c>
      <c r="P77" s="19">
        <f>'Dynamic Loading'!$Q$3*'Combined Stress'!N77+'Wind Loading'!$J$69*O77</f>
        <v>0</v>
      </c>
      <c r="Q77" s="19" t="e">
        <f>((P77*'Alternative 1'!K78)/'Alternative 1'!L78)/1000000</f>
        <v>#VALUE!</v>
      </c>
      <c r="R77" s="45">
        <f t="shared" si="34"/>
        <v>0</v>
      </c>
      <c r="S77" s="19">
        <f>IF(R77&gt;0,'Alternative 1'!$B$3+'Alternative 1'!$B$5+('Alternative 1'!$B$39*R77),0)</f>
        <v>0</v>
      </c>
      <c r="T77" s="19" t="e">
        <f>'Alternative 1'!M78</f>
        <v>#VALUE!</v>
      </c>
      <c r="U77" s="19" t="e">
        <f t="shared" si="40"/>
        <v>#VALUE!</v>
      </c>
      <c r="V77" s="19" t="e">
        <f t="shared" si="41"/>
        <v>#VALUE!</v>
      </c>
      <c r="X77" s="18" t="str">
        <f>IF('Alternative 2'!$F78&gt;0,'Alternative 2'!$F78,"x")</f>
        <v>x</v>
      </c>
      <c r="Y77" s="45">
        <f t="shared" si="35"/>
        <v>0</v>
      </c>
      <c r="Z77" s="45">
        <f t="shared" si="36"/>
        <v>0</v>
      </c>
      <c r="AA77" s="19">
        <f>'Dynamic Loading'!$Y$3*'Combined Stress'!Y77+'Wind Loading'!$O$69*Z77</f>
        <v>0</v>
      </c>
      <c r="AB77" s="19" t="e">
        <f>((AA77*'Alternative 2'!K78)/'Alternative 2'!L78)/1000000</f>
        <v>#VALUE!</v>
      </c>
      <c r="AC77" s="45">
        <f t="shared" si="37"/>
        <v>0</v>
      </c>
      <c r="AD77" s="19">
        <f>'Alternative 2'!$B$3+'Alternative 2'!$B$5+('Alternative 2'!$B$39*AC77)</f>
        <v>76491.87</v>
      </c>
      <c r="AE77" s="19" t="e">
        <f>'Alternative 2'!M78</f>
        <v>#VALUE!</v>
      </c>
      <c r="AF77" s="19" t="e">
        <f t="shared" si="42"/>
        <v>#VALUE!</v>
      </c>
      <c r="AG77" s="19" t="e">
        <f t="shared" si="43"/>
        <v>#VALUE!</v>
      </c>
      <c r="AI77" s="18" t="str">
        <f>'Alternative 3'!F78</f>
        <v>x</v>
      </c>
      <c r="AJ77" s="83">
        <f t="shared" si="38"/>
        <v>-39.5</v>
      </c>
      <c r="AK77" s="45">
        <f t="shared" si="39"/>
        <v>0</v>
      </c>
      <c r="AL77" s="84">
        <f>'Dynamic Loading'!$AG$3*'Combined Stress'!AJ77+'Wind Loading'!$T$69*AK77</f>
        <v>-5574396.2522070501</v>
      </c>
      <c r="AM77" s="84" t="e">
        <f>((AL77*'Alternative 3'!K78)/'Alternative 3'!L78)/1000000</f>
        <v>#VALUE!</v>
      </c>
      <c r="AN77" s="84">
        <v>9</v>
      </c>
      <c r="AO77" s="19">
        <f>'Alternative 3'!$B$3+'Alternative 3'!$B$5+('Alternative 2'!$B$39*AN77)</f>
        <v>169908.32243790512</v>
      </c>
      <c r="AP77" s="84" t="e">
        <f>'Alternative 3'!M78</f>
        <v>#VALUE!</v>
      </c>
      <c r="AQ77" s="84" t="e">
        <f t="shared" si="44"/>
        <v>#VALUE!</v>
      </c>
      <c r="AR77" s="84" t="e">
        <f t="shared" si="45"/>
        <v>#VALUE!</v>
      </c>
    </row>
    <row r="78" spans="1:44" x14ac:dyDescent="0.25">
      <c r="M78" s="18" t="str">
        <f>IF('Alternative 1'!F79&gt;0,'Alternative 1'!F79,"x")</f>
        <v>x</v>
      </c>
      <c r="N78" s="45">
        <f t="shared" si="32"/>
        <v>0</v>
      </c>
      <c r="O78" s="45">
        <f t="shared" si="33"/>
        <v>0</v>
      </c>
      <c r="P78" s="19">
        <f>'Dynamic Loading'!$Q$3*'Combined Stress'!N78+'Wind Loading'!$J$69*O78</f>
        <v>0</v>
      </c>
      <c r="Q78" s="19" t="e">
        <f>((P78*'Alternative 1'!K79)/'Alternative 1'!L79)/1000000</f>
        <v>#VALUE!</v>
      </c>
      <c r="R78" s="45">
        <f t="shared" si="34"/>
        <v>0</v>
      </c>
      <c r="S78" s="19">
        <f>IF(R78&gt;0,'Alternative 1'!$B$3+'Alternative 1'!$B$5+('Alternative 1'!$B$39*R78),0)</f>
        <v>0</v>
      </c>
      <c r="T78" s="19" t="e">
        <f>'Alternative 1'!M79</f>
        <v>#VALUE!</v>
      </c>
      <c r="U78" s="19" t="e">
        <f t="shared" si="40"/>
        <v>#VALUE!</v>
      </c>
      <c r="V78" s="19" t="e">
        <f t="shared" si="41"/>
        <v>#VALUE!</v>
      </c>
      <c r="X78" s="18" t="str">
        <f>IF('Alternative 2'!$F79&gt;0,'Alternative 2'!$F79,"x")</f>
        <v>x</v>
      </c>
      <c r="Y78" s="45">
        <f t="shared" si="35"/>
        <v>0</v>
      </c>
      <c r="Z78" s="45">
        <f t="shared" si="36"/>
        <v>0</v>
      </c>
      <c r="AA78" s="19">
        <f>'Dynamic Loading'!$Y$3*'Combined Stress'!Y78+'Wind Loading'!$O$69*Z78</f>
        <v>0</v>
      </c>
      <c r="AB78" s="19" t="e">
        <f>((AA78*'Alternative 2'!K79)/'Alternative 2'!L79)/1000000</f>
        <v>#VALUE!</v>
      </c>
      <c r="AC78" s="45">
        <f t="shared" si="37"/>
        <v>0</v>
      </c>
      <c r="AD78" s="19">
        <f>'Alternative 2'!$B$3+'Alternative 2'!$B$5+('Alternative 2'!$B$39*AC78)</f>
        <v>76491.87</v>
      </c>
      <c r="AE78" s="19" t="e">
        <f>'Alternative 2'!M79</f>
        <v>#VALUE!</v>
      </c>
      <c r="AF78" s="19" t="e">
        <f t="shared" si="42"/>
        <v>#VALUE!</v>
      </c>
      <c r="AG78" s="19" t="e">
        <f t="shared" si="43"/>
        <v>#VALUE!</v>
      </c>
      <c r="AI78" s="18" t="str">
        <f>'Alternative 3'!F79</f>
        <v>x</v>
      </c>
      <c r="AJ78" s="83">
        <f t="shared" si="38"/>
        <v>-40.5</v>
      </c>
      <c r="AK78" s="45">
        <f t="shared" si="39"/>
        <v>0</v>
      </c>
      <c r="AL78" s="84">
        <f>'Dynamic Loading'!$AG$3*'Combined Stress'!AJ78+'Wind Loading'!$T$69*AK78</f>
        <v>-5715520.2079591276</v>
      </c>
      <c r="AM78" s="84" t="e">
        <f>((AL78*'Alternative 3'!K79)/'Alternative 3'!L79)/1000000</f>
        <v>#VALUE!</v>
      </c>
      <c r="AN78" s="84">
        <v>10</v>
      </c>
      <c r="AO78" s="19">
        <f>'Alternative 3'!$B$3+'Alternative 3'!$B$5+('Alternative 2'!$B$39*AN78)</f>
        <v>172629.09805850568</v>
      </c>
      <c r="AP78" s="84" t="e">
        <f>'Alternative 3'!M79</f>
        <v>#VALUE!</v>
      </c>
      <c r="AQ78" s="84" t="e">
        <f t="shared" si="44"/>
        <v>#VALUE!</v>
      </c>
      <c r="AR78" s="84" t="e">
        <f t="shared" si="45"/>
        <v>#VALUE!</v>
      </c>
    </row>
    <row r="79" spans="1:44" x14ac:dyDescent="0.25">
      <c r="M79" s="18" t="str">
        <f>IF('Alternative 1'!F80&gt;0,'Alternative 1'!F80,"x")</f>
        <v>x</v>
      </c>
      <c r="N79" s="45">
        <f t="shared" si="32"/>
        <v>0</v>
      </c>
      <c r="O79" s="45">
        <f t="shared" si="33"/>
        <v>0</v>
      </c>
      <c r="P79" s="19">
        <f>'Dynamic Loading'!$Q$3*'Combined Stress'!N79+'Wind Loading'!$J$69*O79</f>
        <v>0</v>
      </c>
      <c r="Q79" s="19" t="e">
        <f>((P79*'Alternative 1'!K80)/'Alternative 1'!L80)/1000000</f>
        <v>#VALUE!</v>
      </c>
      <c r="R79" s="45">
        <f t="shared" si="34"/>
        <v>0</v>
      </c>
      <c r="S79" s="19">
        <f>IF(R79&gt;0,'Alternative 1'!$B$3+'Alternative 1'!$B$5+('Alternative 1'!$B$39*R79),0)</f>
        <v>0</v>
      </c>
      <c r="T79" s="19" t="e">
        <f>'Alternative 1'!M80</f>
        <v>#VALUE!</v>
      </c>
      <c r="U79" s="19" t="e">
        <f t="shared" si="40"/>
        <v>#VALUE!</v>
      </c>
      <c r="V79" s="19" t="e">
        <f t="shared" si="41"/>
        <v>#VALUE!</v>
      </c>
      <c r="X79" s="18" t="str">
        <f>IF('Alternative 2'!$F80&gt;0,'Alternative 2'!$F80,"x")</f>
        <v>x</v>
      </c>
      <c r="Y79" s="45">
        <f t="shared" si="35"/>
        <v>0</v>
      </c>
      <c r="Z79" s="45">
        <f t="shared" si="36"/>
        <v>0</v>
      </c>
      <c r="AA79" s="19">
        <f>'Dynamic Loading'!$Y$3*'Combined Stress'!Y79+'Wind Loading'!$O$69*Z79</f>
        <v>0</v>
      </c>
      <c r="AB79" s="19" t="e">
        <f>((AA79*'Alternative 2'!K80)/'Alternative 2'!L80)/1000000</f>
        <v>#VALUE!</v>
      </c>
      <c r="AC79" s="45">
        <f t="shared" si="37"/>
        <v>0</v>
      </c>
      <c r="AD79" s="19">
        <f>'Alternative 2'!$B$3+'Alternative 2'!$B$5+('Alternative 2'!$B$39*AC79)</f>
        <v>76491.87</v>
      </c>
      <c r="AE79" s="19" t="e">
        <f>'Alternative 2'!M80</f>
        <v>#VALUE!</v>
      </c>
      <c r="AF79" s="19" t="e">
        <f t="shared" si="42"/>
        <v>#VALUE!</v>
      </c>
      <c r="AG79" s="19" t="e">
        <f t="shared" si="43"/>
        <v>#VALUE!</v>
      </c>
      <c r="AI79" s="18" t="str">
        <f>'Alternative 3'!F80</f>
        <v>x</v>
      </c>
      <c r="AJ79" s="83">
        <f t="shared" si="38"/>
        <v>-41.5</v>
      </c>
      <c r="AK79" s="45">
        <f t="shared" si="39"/>
        <v>0</v>
      </c>
      <c r="AL79" s="84">
        <f>'Dynamic Loading'!$AG$3*'Combined Stress'!AJ79+'Wind Loading'!$T$69*AK79</f>
        <v>-5856644.1637112051</v>
      </c>
      <c r="AM79" s="84" t="e">
        <f>((AL79*'Alternative 3'!K80)/'Alternative 3'!L80)/1000000</f>
        <v>#VALUE!</v>
      </c>
      <c r="AN79" s="84">
        <v>11</v>
      </c>
      <c r="AO79" s="19">
        <f>'Alternative 3'!$B$3+'Alternative 3'!$B$5+('Alternative 2'!$B$39*AN79)</f>
        <v>175349.87367910624</v>
      </c>
      <c r="AP79" s="84" t="e">
        <f>'Alternative 3'!M80</f>
        <v>#VALUE!</v>
      </c>
      <c r="AQ79" s="84" t="e">
        <f t="shared" si="44"/>
        <v>#VALUE!</v>
      </c>
      <c r="AR79" s="84" t="e">
        <f t="shared" si="45"/>
        <v>#VALUE!</v>
      </c>
    </row>
    <row r="80" spans="1:44" x14ac:dyDescent="0.25">
      <c r="M80" s="18" t="str">
        <f>IF('Alternative 1'!F81&gt;0,'Alternative 1'!F81,"x")</f>
        <v>x</v>
      </c>
      <c r="N80" s="45">
        <f t="shared" si="32"/>
        <v>0</v>
      </c>
      <c r="O80" s="45">
        <f t="shared" si="33"/>
        <v>0</v>
      </c>
      <c r="P80" s="19">
        <f>'Dynamic Loading'!$Q$3*'Combined Stress'!N80+'Wind Loading'!$J$69*O80</f>
        <v>0</v>
      </c>
      <c r="Q80" s="19" t="e">
        <f>((P80*'Alternative 1'!K81)/'Alternative 1'!L81)/1000000</f>
        <v>#VALUE!</v>
      </c>
      <c r="R80" s="45">
        <f t="shared" si="34"/>
        <v>0</v>
      </c>
      <c r="S80" s="19">
        <f>IF(R80&gt;0,'Alternative 1'!$B$3+'Alternative 1'!$B$5+('Alternative 1'!$B$39*R80),0)</f>
        <v>0</v>
      </c>
      <c r="T80" s="19" t="e">
        <f>'Alternative 1'!M81</f>
        <v>#VALUE!</v>
      </c>
      <c r="U80" s="19" t="e">
        <f t="shared" si="40"/>
        <v>#VALUE!</v>
      </c>
      <c r="V80" s="19" t="e">
        <f t="shared" si="41"/>
        <v>#VALUE!</v>
      </c>
      <c r="X80" s="18" t="str">
        <f>IF('Alternative 2'!$F81&gt;0,'Alternative 2'!$F81,"x")</f>
        <v>x</v>
      </c>
      <c r="Y80" s="45">
        <f t="shared" si="35"/>
        <v>0</v>
      </c>
      <c r="Z80" s="45">
        <f t="shared" si="36"/>
        <v>0</v>
      </c>
      <c r="AA80" s="19">
        <f>'Dynamic Loading'!$Y$3*'Combined Stress'!Y80+'Wind Loading'!$O$69*Z80</f>
        <v>0</v>
      </c>
      <c r="AB80" s="19" t="e">
        <f>((AA80*'Alternative 2'!K81)/'Alternative 2'!L81)/1000000</f>
        <v>#VALUE!</v>
      </c>
      <c r="AC80" s="45">
        <f t="shared" si="37"/>
        <v>0</v>
      </c>
      <c r="AD80" s="19">
        <f>'Alternative 2'!$B$3+'Alternative 2'!$B$5+('Alternative 2'!$B$39*AC80)</f>
        <v>76491.87</v>
      </c>
      <c r="AE80" s="19" t="e">
        <f>'Alternative 2'!M81</f>
        <v>#VALUE!</v>
      </c>
      <c r="AF80" s="19" t="e">
        <f t="shared" si="42"/>
        <v>#VALUE!</v>
      </c>
      <c r="AG80" s="19" t="e">
        <f t="shared" si="43"/>
        <v>#VALUE!</v>
      </c>
      <c r="AI80" s="18" t="str">
        <f>'Alternative 3'!F81</f>
        <v>x</v>
      </c>
      <c r="AJ80" s="83">
        <f t="shared" si="38"/>
        <v>-42.5</v>
      </c>
      <c r="AK80" s="45">
        <f t="shared" si="39"/>
        <v>0</v>
      </c>
      <c r="AL80" s="84">
        <f>'Dynamic Loading'!$AG$3*'Combined Stress'!AJ80+'Wind Loading'!$T$69*AK80</f>
        <v>-5997768.1194632817</v>
      </c>
      <c r="AM80" s="84" t="e">
        <f>((AL80*'Alternative 3'!K81)/'Alternative 3'!L81)/1000000</f>
        <v>#VALUE!</v>
      </c>
      <c r="AN80" s="84">
        <v>12</v>
      </c>
      <c r="AO80" s="19">
        <f>'Alternative 3'!$B$3+'Alternative 3'!$B$5+('Alternative 2'!$B$39*AN80)</f>
        <v>178070.64929970683</v>
      </c>
      <c r="AP80" s="84" t="e">
        <f>'Alternative 3'!M81</f>
        <v>#VALUE!</v>
      </c>
      <c r="AQ80" s="84" t="e">
        <f t="shared" si="44"/>
        <v>#VALUE!</v>
      </c>
      <c r="AR80" s="84" t="e">
        <f t="shared" si="45"/>
        <v>#VALUE!</v>
      </c>
    </row>
    <row r="81" spans="13:44" x14ac:dyDescent="0.25">
      <c r="M81" s="18" t="str">
        <f>IF('Alternative 1'!F82&gt;0,'Alternative 1'!F82,"x")</f>
        <v>x</v>
      </c>
      <c r="N81" s="45">
        <f t="shared" si="32"/>
        <v>0</v>
      </c>
      <c r="O81" s="45">
        <f t="shared" si="33"/>
        <v>0</v>
      </c>
      <c r="P81" s="19">
        <f>'Dynamic Loading'!$Q$3*'Combined Stress'!N81+'Wind Loading'!$J$69*O81</f>
        <v>0</v>
      </c>
      <c r="Q81" s="19" t="e">
        <f>((P81*'Alternative 1'!K82)/'Alternative 1'!L82)/1000000</f>
        <v>#VALUE!</v>
      </c>
      <c r="R81" s="45">
        <f t="shared" si="34"/>
        <v>0</v>
      </c>
      <c r="S81" s="19">
        <f>IF(R81&gt;0,'Alternative 1'!$B$3+'Alternative 1'!$B$5+('Alternative 1'!$B$39*R81),0)</f>
        <v>0</v>
      </c>
      <c r="T81" s="19" t="e">
        <f>'Alternative 1'!M82</f>
        <v>#VALUE!</v>
      </c>
      <c r="U81" s="19" t="e">
        <f t="shared" si="40"/>
        <v>#VALUE!</v>
      </c>
      <c r="V81" s="19" t="e">
        <f t="shared" si="41"/>
        <v>#VALUE!</v>
      </c>
      <c r="X81" s="18" t="str">
        <f>IF('Alternative 2'!$F82&gt;0,'Alternative 2'!$F82,"x")</f>
        <v>x</v>
      </c>
      <c r="Y81" s="45">
        <f t="shared" si="35"/>
        <v>0</v>
      </c>
      <c r="Z81" s="45">
        <f t="shared" si="36"/>
        <v>0</v>
      </c>
      <c r="AA81" s="19">
        <f>'Dynamic Loading'!$Y$3*'Combined Stress'!Y81+'Wind Loading'!$O$69*Z81</f>
        <v>0</v>
      </c>
      <c r="AB81" s="19" t="e">
        <f>((AA81*'Alternative 2'!K82)/'Alternative 2'!L82)/1000000</f>
        <v>#VALUE!</v>
      </c>
      <c r="AC81" s="45">
        <f t="shared" si="37"/>
        <v>0</v>
      </c>
      <c r="AD81" s="19">
        <f>'Alternative 2'!$B$3+'Alternative 2'!$B$5+('Alternative 2'!$B$39*AC81)</f>
        <v>76491.87</v>
      </c>
      <c r="AE81" s="19" t="e">
        <f>'Alternative 2'!M82</f>
        <v>#VALUE!</v>
      </c>
      <c r="AF81" s="19" t="e">
        <f t="shared" si="42"/>
        <v>#VALUE!</v>
      </c>
      <c r="AG81" s="19" t="e">
        <f t="shared" si="43"/>
        <v>#VALUE!</v>
      </c>
      <c r="AI81" s="18" t="str">
        <f>'Alternative 3'!F82</f>
        <v>x</v>
      </c>
      <c r="AJ81" s="83">
        <f t="shared" si="38"/>
        <v>-43.5</v>
      </c>
      <c r="AK81" s="45">
        <f t="shared" si="39"/>
        <v>0</v>
      </c>
      <c r="AL81" s="84">
        <f>'Dynamic Loading'!$AG$3*'Combined Stress'!AJ81+'Wind Loading'!$T$69*AK81</f>
        <v>-6138892.0752153592</v>
      </c>
      <c r="AM81" s="84" t="e">
        <f>((AL81*'Alternative 3'!K82)/'Alternative 3'!L82)/1000000</f>
        <v>#VALUE!</v>
      </c>
      <c r="AN81" s="84">
        <v>13</v>
      </c>
      <c r="AO81" s="19">
        <f>'Alternative 3'!$B$3+'Alternative 3'!$B$5+('Alternative 2'!$B$39*AN81)</f>
        <v>180791.42492030739</v>
      </c>
      <c r="AP81" s="84" t="e">
        <f>'Alternative 3'!M82</f>
        <v>#VALUE!</v>
      </c>
      <c r="AQ81" s="84" t="e">
        <f t="shared" si="44"/>
        <v>#VALUE!</v>
      </c>
      <c r="AR81" s="84" t="e">
        <f t="shared" si="45"/>
        <v>#VALUE!</v>
      </c>
    </row>
    <row r="82" spans="13:44" x14ac:dyDescent="0.25">
      <c r="M82" s="18" t="str">
        <f>IF('Alternative 1'!F83&gt;0,'Alternative 1'!F83,"x")</f>
        <v>x</v>
      </c>
      <c r="N82" s="45">
        <f t="shared" si="32"/>
        <v>0</v>
      </c>
      <c r="O82" s="45">
        <f t="shared" si="33"/>
        <v>0</v>
      </c>
      <c r="P82" s="19">
        <f>'Dynamic Loading'!$Q$3*'Combined Stress'!N82+'Wind Loading'!$J$69*O82</f>
        <v>0</v>
      </c>
      <c r="Q82" s="19" t="e">
        <f>((P82*'Alternative 1'!K83)/'Alternative 1'!L83)/1000000</f>
        <v>#VALUE!</v>
      </c>
      <c r="R82" s="45">
        <f t="shared" si="34"/>
        <v>0</v>
      </c>
      <c r="S82" s="19">
        <f>IF(R82&gt;0,'Alternative 1'!$B$3+'Alternative 1'!$B$5+('Alternative 1'!$B$39*R82),0)</f>
        <v>0</v>
      </c>
      <c r="T82" s="19" t="e">
        <f>'Alternative 1'!M83</f>
        <v>#VALUE!</v>
      </c>
      <c r="U82" s="19" t="e">
        <f t="shared" si="40"/>
        <v>#VALUE!</v>
      </c>
      <c r="V82" s="19" t="e">
        <f t="shared" si="41"/>
        <v>#VALUE!</v>
      </c>
      <c r="X82" s="18" t="str">
        <f>IF('Alternative 2'!$F83&gt;0,'Alternative 2'!$F83,"x")</f>
        <v>x</v>
      </c>
      <c r="Y82" s="45">
        <f t="shared" si="35"/>
        <v>0</v>
      </c>
      <c r="Z82" s="45">
        <f t="shared" si="36"/>
        <v>0</v>
      </c>
      <c r="AA82" s="19">
        <f>'Dynamic Loading'!$Y$3*'Combined Stress'!Y82+'Wind Loading'!$O$69*Z82</f>
        <v>0</v>
      </c>
      <c r="AB82" s="19" t="e">
        <f>((AA82*'Alternative 2'!K83)/'Alternative 2'!L83)/1000000</f>
        <v>#VALUE!</v>
      </c>
      <c r="AC82" s="45">
        <f t="shared" si="37"/>
        <v>0</v>
      </c>
      <c r="AD82" s="19">
        <f>'Alternative 2'!$B$3+'Alternative 2'!$B$5+('Alternative 2'!$B$39*AC82)</f>
        <v>76491.87</v>
      </c>
      <c r="AE82" s="19" t="e">
        <f>'Alternative 2'!M83</f>
        <v>#VALUE!</v>
      </c>
      <c r="AF82" s="19" t="e">
        <f t="shared" si="42"/>
        <v>#VALUE!</v>
      </c>
      <c r="AG82" s="19" t="e">
        <f t="shared" si="43"/>
        <v>#VALUE!</v>
      </c>
      <c r="AI82" s="18" t="str">
        <f>'Alternative 3'!F83</f>
        <v>x</v>
      </c>
      <c r="AJ82" s="83">
        <f t="shared" si="38"/>
        <v>-44.5</v>
      </c>
      <c r="AK82" s="45">
        <f t="shared" si="39"/>
        <v>0</v>
      </c>
      <c r="AL82" s="84">
        <f>'Dynamic Loading'!$AG$3*'Combined Stress'!AJ82+'Wind Loading'!$T$69*AK82</f>
        <v>-6280016.0309674367</v>
      </c>
      <c r="AM82" s="84" t="e">
        <f>((AL82*'Alternative 3'!K83)/'Alternative 3'!L83)/1000000</f>
        <v>#VALUE!</v>
      </c>
      <c r="AN82" s="84">
        <v>14</v>
      </c>
      <c r="AO82" s="19">
        <f>'Alternative 3'!$B$3+'Alternative 3'!$B$5+('Alternative 2'!$B$39*AN82)</f>
        <v>183512.20054090797</v>
      </c>
      <c r="AP82" s="84" t="e">
        <f>'Alternative 3'!M83</f>
        <v>#VALUE!</v>
      </c>
      <c r="AQ82" s="84" t="e">
        <f t="shared" si="44"/>
        <v>#VALUE!</v>
      </c>
      <c r="AR82" s="84" t="e">
        <f t="shared" si="45"/>
        <v>#VALUE!</v>
      </c>
    </row>
    <row r="83" spans="13:44" x14ac:dyDescent="0.25">
      <c r="M83" s="18" t="str">
        <f>IF('Alternative 1'!F84&gt;0,'Alternative 1'!F84,"x")</f>
        <v>x</v>
      </c>
      <c r="N83" s="45">
        <f t="shared" si="32"/>
        <v>0</v>
      </c>
      <c r="O83" s="45">
        <f t="shared" si="33"/>
        <v>0</v>
      </c>
      <c r="P83" s="19">
        <f>'Dynamic Loading'!$Q$3*'Combined Stress'!N83+'Wind Loading'!$J$69*O83</f>
        <v>0</v>
      </c>
      <c r="Q83" s="19" t="e">
        <f>((P83*'Alternative 1'!K84)/'Alternative 1'!L84)/1000000</f>
        <v>#VALUE!</v>
      </c>
      <c r="R83" s="45">
        <f t="shared" si="34"/>
        <v>0</v>
      </c>
      <c r="S83" s="19">
        <f>IF(R83&gt;0,'Alternative 1'!$B$3+'Alternative 1'!$B$5+('Alternative 1'!$B$39*R83),0)</f>
        <v>0</v>
      </c>
      <c r="T83" s="19" t="e">
        <f>'Alternative 1'!M84</f>
        <v>#VALUE!</v>
      </c>
      <c r="U83" s="19" t="e">
        <f t="shared" si="40"/>
        <v>#VALUE!</v>
      </c>
      <c r="V83" s="19" t="e">
        <f t="shared" si="41"/>
        <v>#VALUE!</v>
      </c>
      <c r="X83" s="18" t="str">
        <f>IF('Alternative 2'!$F84&gt;0,'Alternative 2'!$F84,"x")</f>
        <v>x</v>
      </c>
      <c r="Y83" s="45">
        <f t="shared" si="35"/>
        <v>0</v>
      </c>
      <c r="Z83" s="45">
        <f t="shared" si="36"/>
        <v>0</v>
      </c>
      <c r="AA83" s="19">
        <f>'Dynamic Loading'!$Y$3*'Combined Stress'!Y83+'Wind Loading'!$O$69*Z83</f>
        <v>0</v>
      </c>
      <c r="AB83" s="19" t="e">
        <f>((AA83*'Alternative 2'!K84)/'Alternative 2'!L84)/1000000</f>
        <v>#VALUE!</v>
      </c>
      <c r="AC83" s="45">
        <f t="shared" si="37"/>
        <v>0</v>
      </c>
      <c r="AD83" s="19">
        <f>'Alternative 2'!$B$3+'Alternative 2'!$B$5+('Alternative 2'!$B$39*AC83)</f>
        <v>76491.87</v>
      </c>
      <c r="AE83" s="19" t="e">
        <f>'Alternative 2'!M84</f>
        <v>#VALUE!</v>
      </c>
      <c r="AF83" s="19" t="e">
        <f t="shared" si="42"/>
        <v>#VALUE!</v>
      </c>
      <c r="AG83" s="19" t="e">
        <f t="shared" si="43"/>
        <v>#VALUE!</v>
      </c>
      <c r="AI83" s="18" t="str">
        <f>'Alternative 3'!F84</f>
        <v>x</v>
      </c>
      <c r="AJ83" s="83">
        <f t="shared" si="38"/>
        <v>-45.5</v>
      </c>
      <c r="AK83" s="45">
        <f t="shared" si="39"/>
        <v>0</v>
      </c>
      <c r="AL83" s="84">
        <f>'Dynamic Loading'!$AG$3*'Combined Stress'!AJ83+'Wind Loading'!$T$69*AK83</f>
        <v>-6421139.9867195133</v>
      </c>
      <c r="AM83" s="84" t="e">
        <f>((AL83*'Alternative 3'!K84)/'Alternative 3'!L84)/1000000</f>
        <v>#VALUE!</v>
      </c>
      <c r="AN83" s="84">
        <v>15</v>
      </c>
      <c r="AO83" s="19">
        <f>'Alternative 3'!$B$3+'Alternative 3'!$B$5+('Alternative 2'!$B$39*AN83)</f>
        <v>186232.97616150853</v>
      </c>
      <c r="AP83" s="84" t="e">
        <f>'Alternative 3'!M84</f>
        <v>#VALUE!</v>
      </c>
      <c r="AQ83" s="84" t="e">
        <f t="shared" si="44"/>
        <v>#VALUE!</v>
      </c>
      <c r="AR83" s="84" t="e">
        <f t="shared" si="45"/>
        <v>#VALUE!</v>
      </c>
    </row>
    <row r="84" spans="13:44" x14ac:dyDescent="0.25">
      <c r="M84" s="18" t="str">
        <f>IF('Alternative 1'!F85&gt;0,'Alternative 1'!F85,"x")</f>
        <v>x</v>
      </c>
      <c r="N84" s="45">
        <f t="shared" si="32"/>
        <v>0</v>
      </c>
      <c r="O84" s="45">
        <f t="shared" si="33"/>
        <v>0</v>
      </c>
      <c r="P84" s="19">
        <f>'Dynamic Loading'!$Q$3*'Combined Stress'!N84+'Wind Loading'!$J$69*O84</f>
        <v>0</v>
      </c>
      <c r="Q84" s="19" t="e">
        <f>((P84*'Alternative 1'!K85)/'Alternative 1'!L85)/1000000</f>
        <v>#VALUE!</v>
      </c>
      <c r="R84" s="45">
        <f t="shared" si="34"/>
        <v>0</v>
      </c>
      <c r="S84" s="19">
        <f>IF(R84&gt;0,'Alternative 1'!$B$3+'Alternative 1'!$B$5+('Alternative 1'!$B$39*R84),0)</f>
        <v>0</v>
      </c>
      <c r="T84" s="19" t="e">
        <f>'Alternative 1'!M85</f>
        <v>#VALUE!</v>
      </c>
      <c r="U84" s="19" t="e">
        <f t="shared" si="40"/>
        <v>#VALUE!</v>
      </c>
      <c r="V84" s="19" t="e">
        <f t="shared" si="41"/>
        <v>#VALUE!</v>
      </c>
      <c r="X84" s="18" t="str">
        <f>IF('Alternative 2'!$F85&gt;0,'Alternative 2'!$F85,"x")</f>
        <v>x</v>
      </c>
      <c r="Y84" s="45">
        <f t="shared" si="35"/>
        <v>0</v>
      </c>
      <c r="Z84" s="45">
        <f t="shared" si="36"/>
        <v>0</v>
      </c>
      <c r="AA84" s="19">
        <f>'Dynamic Loading'!$Y$3*'Combined Stress'!Y84+'Wind Loading'!$O$69*Z84</f>
        <v>0</v>
      </c>
      <c r="AB84" s="19" t="e">
        <f>((AA84*'Alternative 2'!K85)/'Alternative 2'!L85)/1000000</f>
        <v>#VALUE!</v>
      </c>
      <c r="AC84" s="45">
        <f t="shared" si="37"/>
        <v>0</v>
      </c>
      <c r="AD84" s="19">
        <f>'Alternative 2'!$B$3+'Alternative 2'!$B$5+('Alternative 2'!$B$39*AC84)</f>
        <v>76491.87</v>
      </c>
      <c r="AE84" s="19" t="e">
        <f>'Alternative 2'!M85</f>
        <v>#VALUE!</v>
      </c>
      <c r="AF84" s="19" t="e">
        <f t="shared" si="42"/>
        <v>#VALUE!</v>
      </c>
      <c r="AG84" s="19" t="e">
        <f t="shared" si="43"/>
        <v>#VALUE!</v>
      </c>
      <c r="AI84" s="18" t="str">
        <f>'Alternative 3'!F85</f>
        <v>x</v>
      </c>
      <c r="AJ84" s="83">
        <f t="shared" si="38"/>
        <v>-46.5</v>
      </c>
      <c r="AK84" s="45">
        <f t="shared" si="39"/>
        <v>0</v>
      </c>
      <c r="AL84" s="84">
        <f>'Dynamic Loading'!$AG$3*'Combined Stress'!AJ84+'Wind Loading'!$T$69*AK84</f>
        <v>-6562263.9424715908</v>
      </c>
      <c r="AM84" s="84" t="e">
        <f>((AL84*'Alternative 3'!K85)/'Alternative 3'!L85)/1000000</f>
        <v>#VALUE!</v>
      </c>
      <c r="AN84" s="84">
        <v>16</v>
      </c>
      <c r="AO84" s="19">
        <f>'Alternative 3'!$B$3+'Alternative 3'!$B$5+('Alternative 2'!$B$39*AN84)</f>
        <v>188953.75178210909</v>
      </c>
      <c r="AP84" s="84" t="e">
        <f>'Alternative 3'!M85</f>
        <v>#VALUE!</v>
      </c>
      <c r="AQ84" s="84" t="e">
        <f t="shared" si="44"/>
        <v>#VALUE!</v>
      </c>
      <c r="AR84" s="84" t="e">
        <f t="shared" si="45"/>
        <v>#VALUE!</v>
      </c>
    </row>
    <row r="85" spans="13:44" x14ac:dyDescent="0.25">
      <c r="M85" s="18" t="str">
        <f>IF('Alternative 1'!F86&gt;0,'Alternative 1'!F86,"x")</f>
        <v>x</v>
      </c>
      <c r="N85" s="45">
        <f t="shared" si="32"/>
        <v>0</v>
      </c>
      <c r="O85" s="45">
        <f t="shared" si="33"/>
        <v>0</v>
      </c>
      <c r="P85" s="19">
        <f>'Dynamic Loading'!$Q$3*'Combined Stress'!N85+'Wind Loading'!$J$69*O85</f>
        <v>0</v>
      </c>
      <c r="Q85" s="19" t="e">
        <f>((P85*'Alternative 1'!K86)/'Alternative 1'!L86)/1000000</f>
        <v>#VALUE!</v>
      </c>
      <c r="R85" s="45">
        <f t="shared" si="34"/>
        <v>0</v>
      </c>
      <c r="S85" s="19">
        <f>IF(R85&gt;0,'Alternative 1'!$B$3+'Alternative 1'!$B$5+('Alternative 1'!$B$39*R85),0)</f>
        <v>0</v>
      </c>
      <c r="T85" s="19" t="e">
        <f>'Alternative 1'!M86</f>
        <v>#VALUE!</v>
      </c>
      <c r="U85" s="19" t="e">
        <f t="shared" si="40"/>
        <v>#VALUE!</v>
      </c>
      <c r="V85" s="19" t="e">
        <f t="shared" si="41"/>
        <v>#VALUE!</v>
      </c>
      <c r="X85" s="18" t="str">
        <f>IF('Alternative 2'!$F86&gt;0,'Alternative 2'!$F86,"x")</f>
        <v>x</v>
      </c>
      <c r="Y85" s="45">
        <f t="shared" si="35"/>
        <v>0</v>
      </c>
      <c r="Z85" s="45">
        <f t="shared" si="36"/>
        <v>0</v>
      </c>
      <c r="AA85" s="19">
        <f>'Dynamic Loading'!$Y$3*'Combined Stress'!Y85+'Wind Loading'!$O$69*Z85</f>
        <v>0</v>
      </c>
      <c r="AB85" s="19" t="e">
        <f>((AA85*'Alternative 2'!K86)/'Alternative 2'!L86)/1000000</f>
        <v>#VALUE!</v>
      </c>
      <c r="AC85" s="45">
        <f t="shared" si="37"/>
        <v>0</v>
      </c>
      <c r="AD85" s="19">
        <f>'Alternative 2'!$B$3+'Alternative 2'!$B$5+('Alternative 2'!$B$39*AC85)</f>
        <v>76491.87</v>
      </c>
      <c r="AE85" s="19" t="e">
        <f>'Alternative 2'!M86</f>
        <v>#VALUE!</v>
      </c>
      <c r="AF85" s="19" t="e">
        <f t="shared" si="42"/>
        <v>#VALUE!</v>
      </c>
      <c r="AG85" s="19" t="e">
        <f t="shared" si="43"/>
        <v>#VALUE!</v>
      </c>
      <c r="AI85" s="18" t="str">
        <f>'Alternative 3'!F86</f>
        <v>x</v>
      </c>
      <c r="AJ85" s="83">
        <f t="shared" si="38"/>
        <v>-47.5</v>
      </c>
      <c r="AK85" s="45">
        <f t="shared" si="39"/>
        <v>0</v>
      </c>
      <c r="AL85" s="84">
        <f>'Dynamic Loading'!$AG$3*'Combined Stress'!AJ85+'Wind Loading'!$T$69*AK85</f>
        <v>-6703387.8982236683</v>
      </c>
      <c r="AM85" s="84" t="e">
        <f>((AL85*'Alternative 3'!K86)/'Alternative 3'!L86)/1000000</f>
        <v>#VALUE!</v>
      </c>
      <c r="AN85" s="84">
        <v>17</v>
      </c>
      <c r="AO85" s="19">
        <f>'Alternative 3'!$B$3+'Alternative 3'!$B$5+('Alternative 2'!$B$39*AN85)</f>
        <v>191674.52740270967</v>
      </c>
      <c r="AP85" s="84" t="e">
        <f>'Alternative 3'!M86</f>
        <v>#VALUE!</v>
      </c>
      <c r="AQ85" s="84" t="e">
        <f t="shared" si="44"/>
        <v>#VALUE!</v>
      </c>
      <c r="AR85" s="84" t="e">
        <f t="shared" si="45"/>
        <v>#VALUE!</v>
      </c>
    </row>
    <row r="86" spans="13:44" x14ac:dyDescent="0.25">
      <c r="M86" s="18" t="str">
        <f>IF('Alternative 1'!F87&gt;0,'Alternative 1'!F87,"x")</f>
        <v>x</v>
      </c>
      <c r="N86" s="45">
        <f t="shared" si="32"/>
        <v>0</v>
      </c>
      <c r="O86" s="45">
        <f t="shared" si="33"/>
        <v>0</v>
      </c>
      <c r="P86" s="19">
        <f>'Dynamic Loading'!$Q$3*'Combined Stress'!N86+'Wind Loading'!$J$69*O86</f>
        <v>0</v>
      </c>
      <c r="Q86" s="19" t="e">
        <f>((P86*'Alternative 1'!K87)/'Alternative 1'!L87)/1000000</f>
        <v>#VALUE!</v>
      </c>
      <c r="R86" s="45">
        <f t="shared" si="34"/>
        <v>0</v>
      </c>
      <c r="S86" s="19">
        <f>IF(R86&gt;0,'Alternative 1'!$B$3+'Alternative 1'!$B$5+('Alternative 1'!$B$39*R86),0)</f>
        <v>0</v>
      </c>
      <c r="T86" s="19" t="e">
        <f>'Alternative 1'!M87</f>
        <v>#VALUE!</v>
      </c>
      <c r="U86" s="19" t="e">
        <f t="shared" si="40"/>
        <v>#VALUE!</v>
      </c>
      <c r="V86" s="19" t="e">
        <f t="shared" si="41"/>
        <v>#VALUE!</v>
      </c>
      <c r="X86" s="18" t="str">
        <f>IF('Alternative 2'!$F87&gt;0,'Alternative 2'!$F87,"x")</f>
        <v>x</v>
      </c>
      <c r="Y86" s="45">
        <f t="shared" si="35"/>
        <v>0</v>
      </c>
      <c r="Z86" s="45">
        <f t="shared" si="36"/>
        <v>0</v>
      </c>
      <c r="AA86" s="19">
        <f>'Dynamic Loading'!$Y$3*'Combined Stress'!Y86+'Wind Loading'!$O$69*Z86</f>
        <v>0</v>
      </c>
      <c r="AB86" s="19" t="e">
        <f>((AA86*'Alternative 2'!K87)/'Alternative 2'!L87)/1000000</f>
        <v>#VALUE!</v>
      </c>
      <c r="AC86" s="45">
        <f t="shared" si="37"/>
        <v>0</v>
      </c>
      <c r="AD86" s="19">
        <f>'Alternative 2'!$B$3+'Alternative 2'!$B$5+('Alternative 2'!$B$39*AC86)</f>
        <v>76491.87</v>
      </c>
      <c r="AE86" s="19" t="e">
        <f>'Alternative 2'!M87</f>
        <v>#VALUE!</v>
      </c>
      <c r="AF86" s="19" t="e">
        <f t="shared" si="42"/>
        <v>#VALUE!</v>
      </c>
      <c r="AG86" s="19" t="e">
        <f t="shared" si="43"/>
        <v>#VALUE!</v>
      </c>
      <c r="AI86" s="18" t="str">
        <f>'Alternative 3'!F87</f>
        <v>x</v>
      </c>
      <c r="AJ86" s="83">
        <f t="shared" si="38"/>
        <v>-48.5</v>
      </c>
      <c r="AK86" s="45">
        <f t="shared" si="39"/>
        <v>0</v>
      </c>
      <c r="AL86" s="84">
        <f>'Dynamic Loading'!$AG$3*'Combined Stress'!AJ86+'Wind Loading'!$T$69*AK86</f>
        <v>-6844511.8539757449</v>
      </c>
      <c r="AM86" s="84" t="e">
        <f>((AL86*'Alternative 3'!K87)/'Alternative 3'!L87)/1000000</f>
        <v>#VALUE!</v>
      </c>
      <c r="AN86" s="84">
        <v>18</v>
      </c>
      <c r="AO86" s="19">
        <f>'Alternative 3'!$B$3+'Alternative 3'!$B$5+('Alternative 2'!$B$39*AN86)</f>
        <v>194395.30302331023</v>
      </c>
      <c r="AP86" s="84" t="e">
        <f>'Alternative 3'!M87</f>
        <v>#VALUE!</v>
      </c>
      <c r="AQ86" s="84" t="e">
        <f t="shared" si="44"/>
        <v>#VALUE!</v>
      </c>
      <c r="AR86" s="84" t="e">
        <f t="shared" si="45"/>
        <v>#VALUE!</v>
      </c>
    </row>
    <row r="87" spans="13:44" x14ac:dyDescent="0.25">
      <c r="M87" s="18" t="str">
        <f>IF('Alternative 1'!F88&gt;0,'Alternative 1'!F88,"x")</f>
        <v>x</v>
      </c>
      <c r="N87" s="45">
        <f t="shared" si="32"/>
        <v>0</v>
      </c>
      <c r="O87" s="45">
        <f t="shared" si="33"/>
        <v>0</v>
      </c>
      <c r="P87" s="19">
        <f>'Dynamic Loading'!$Q$3*'Combined Stress'!N87+'Wind Loading'!$J$69*O87</f>
        <v>0</v>
      </c>
      <c r="Q87" s="19" t="e">
        <f>((P87*'Alternative 1'!K88)/'Alternative 1'!L88)/1000000</f>
        <v>#VALUE!</v>
      </c>
      <c r="R87" s="45">
        <f t="shared" si="34"/>
        <v>0</v>
      </c>
      <c r="S87" s="19">
        <f>IF(R87&gt;0,'Alternative 1'!$B$3+'Alternative 1'!$B$5+('Alternative 1'!$B$39*R87),0)</f>
        <v>0</v>
      </c>
      <c r="T87" s="19" t="e">
        <f>'Alternative 1'!M88</f>
        <v>#VALUE!</v>
      </c>
      <c r="U87" s="19" t="e">
        <f t="shared" si="40"/>
        <v>#VALUE!</v>
      </c>
      <c r="V87" s="19" t="e">
        <f t="shared" si="41"/>
        <v>#VALUE!</v>
      </c>
      <c r="X87" s="18" t="str">
        <f>IF('Alternative 2'!$F88&gt;0,'Alternative 2'!$F88,"x")</f>
        <v>x</v>
      </c>
      <c r="Y87" s="45">
        <f t="shared" si="35"/>
        <v>0</v>
      </c>
      <c r="Z87" s="45">
        <f t="shared" si="36"/>
        <v>0</v>
      </c>
      <c r="AA87" s="19">
        <f>'Dynamic Loading'!$Y$3*'Combined Stress'!Y87+'Wind Loading'!$O$69*Z87</f>
        <v>0</v>
      </c>
      <c r="AB87" s="19" t="e">
        <f>((AA87*'Alternative 2'!K88)/'Alternative 2'!L88)/1000000</f>
        <v>#VALUE!</v>
      </c>
      <c r="AC87" s="45">
        <f t="shared" si="37"/>
        <v>0</v>
      </c>
      <c r="AD87" s="19">
        <f>'Alternative 2'!$B$3+'Alternative 2'!$B$5+('Alternative 2'!$B$39*AC87)</f>
        <v>76491.87</v>
      </c>
      <c r="AE87" s="19" t="e">
        <f>'Alternative 2'!M88</f>
        <v>#VALUE!</v>
      </c>
      <c r="AF87" s="19" t="e">
        <f t="shared" si="42"/>
        <v>#VALUE!</v>
      </c>
      <c r="AG87" s="19" t="e">
        <f t="shared" si="43"/>
        <v>#VALUE!</v>
      </c>
      <c r="AI87" s="18" t="str">
        <f>'Alternative 3'!F88</f>
        <v>x</v>
      </c>
      <c r="AJ87" s="83">
        <f t="shared" si="38"/>
        <v>-49.5</v>
      </c>
      <c r="AK87" s="45">
        <f t="shared" si="39"/>
        <v>0</v>
      </c>
      <c r="AL87" s="84">
        <f>'Dynamic Loading'!$AG$3*'Combined Stress'!AJ87+'Wind Loading'!$T$69*AK87</f>
        <v>-6985635.8097278224</v>
      </c>
      <c r="AM87" s="84" t="e">
        <f>((AL87*'Alternative 3'!K88)/'Alternative 3'!L88)/1000000</f>
        <v>#VALUE!</v>
      </c>
      <c r="AN87" s="84">
        <v>19</v>
      </c>
      <c r="AO87" s="19">
        <f>'Alternative 3'!$B$3+'Alternative 3'!$B$5+('Alternative 2'!$B$39*AN87)</f>
        <v>197116.07864391082</v>
      </c>
      <c r="AP87" s="84" t="e">
        <f>'Alternative 3'!M88</f>
        <v>#VALUE!</v>
      </c>
      <c r="AQ87" s="84" t="e">
        <f t="shared" ref="AQ87:AQ92" si="46">(AO87/AP87)/1000000</f>
        <v>#VALUE!</v>
      </c>
      <c r="AR87" s="84" t="e">
        <f t="shared" ref="AR87:AR92" si="47">AQ87+AM87</f>
        <v>#VALUE!</v>
      </c>
    </row>
    <row r="88" spans="13:44" x14ac:dyDescent="0.25">
      <c r="M88" s="18" t="str">
        <f>IF('Alternative 1'!F89&gt;0,'Alternative 1'!F89,"x")</f>
        <v>x</v>
      </c>
      <c r="N88" s="45">
        <f t="shared" si="32"/>
        <v>0</v>
      </c>
      <c r="O88" s="45">
        <f t="shared" si="33"/>
        <v>0</v>
      </c>
      <c r="P88" s="19">
        <f>'Dynamic Loading'!$Q$3*'Combined Stress'!N88+'Wind Loading'!$J$69*O88</f>
        <v>0</v>
      </c>
      <c r="Q88" s="19" t="e">
        <f>((P88*'Alternative 1'!K89)/'Alternative 1'!L89)/1000000</f>
        <v>#VALUE!</v>
      </c>
      <c r="R88" s="45">
        <f t="shared" si="34"/>
        <v>0</v>
      </c>
      <c r="S88" s="19">
        <f>IF(R88&gt;0,'Alternative 1'!$B$3+'Alternative 1'!$B$5+('Alternative 1'!$B$39*R88),0)</f>
        <v>0</v>
      </c>
      <c r="T88" s="19" t="e">
        <f>'Alternative 1'!M89</f>
        <v>#VALUE!</v>
      </c>
      <c r="U88" s="19" t="e">
        <f t="shared" si="40"/>
        <v>#VALUE!</v>
      </c>
      <c r="V88" s="19" t="e">
        <f t="shared" si="41"/>
        <v>#VALUE!</v>
      </c>
      <c r="X88" s="18" t="str">
        <f>IF('Alternative 2'!$F89&gt;0,'Alternative 2'!$F89,"x")</f>
        <v>x</v>
      </c>
      <c r="Y88" s="45">
        <f t="shared" si="35"/>
        <v>0</v>
      </c>
      <c r="Z88" s="45">
        <f t="shared" si="36"/>
        <v>0</v>
      </c>
      <c r="AA88" s="19">
        <f>'Dynamic Loading'!$Y$3*'Combined Stress'!Y88+'Wind Loading'!$O$69*Z88</f>
        <v>0</v>
      </c>
      <c r="AB88" s="19" t="e">
        <f>((AA88*'Alternative 2'!K89)/'Alternative 2'!L89)/1000000</f>
        <v>#VALUE!</v>
      </c>
      <c r="AC88" s="45">
        <f t="shared" si="37"/>
        <v>0</v>
      </c>
      <c r="AD88" s="19">
        <f>'Alternative 2'!$B$3+'Alternative 2'!$B$5+('Alternative 2'!$B$39*AC88)</f>
        <v>76491.87</v>
      </c>
      <c r="AE88" s="19" t="e">
        <f>'Alternative 2'!M89</f>
        <v>#VALUE!</v>
      </c>
      <c r="AF88" s="19" t="e">
        <f t="shared" si="42"/>
        <v>#VALUE!</v>
      </c>
      <c r="AG88" s="19" t="e">
        <f t="shared" si="43"/>
        <v>#VALUE!</v>
      </c>
      <c r="AI88" s="18" t="str">
        <f>'Alternative 3'!F89</f>
        <v>x</v>
      </c>
      <c r="AJ88" s="83">
        <f t="shared" si="38"/>
        <v>-50.5</v>
      </c>
      <c r="AK88" s="45">
        <f t="shared" si="39"/>
        <v>0</v>
      </c>
      <c r="AL88" s="84">
        <f>'Dynamic Loading'!$AG$3*'Combined Stress'!AJ88+'Wind Loading'!$T$69*AK88</f>
        <v>-7126759.7654798999</v>
      </c>
      <c r="AM88" s="84" t="e">
        <f>((AL88*'Alternative 3'!K89)/'Alternative 3'!L89)/1000000</f>
        <v>#VALUE!</v>
      </c>
      <c r="AN88" s="84">
        <v>20</v>
      </c>
      <c r="AO88" s="19">
        <f>'Alternative 3'!$B$3+'Alternative 3'!$B$5+('Alternative 2'!$B$39*AN88)</f>
        <v>199836.85426451138</v>
      </c>
      <c r="AP88" s="84" t="e">
        <f>'Alternative 3'!M89</f>
        <v>#VALUE!</v>
      </c>
      <c r="AQ88" s="84" t="e">
        <f t="shared" si="46"/>
        <v>#VALUE!</v>
      </c>
      <c r="AR88" s="84" t="e">
        <f t="shared" si="47"/>
        <v>#VALUE!</v>
      </c>
    </row>
    <row r="89" spans="13:44" x14ac:dyDescent="0.25">
      <c r="M89" s="18" t="str">
        <f>IF('Alternative 1'!F90&gt;0,'Alternative 1'!F90,"x")</f>
        <v>x</v>
      </c>
      <c r="N89" s="45">
        <f t="shared" si="32"/>
        <v>0</v>
      </c>
      <c r="O89" s="45">
        <f t="shared" si="33"/>
        <v>0</v>
      </c>
      <c r="P89" s="19">
        <f>'Dynamic Loading'!$Q$3*'Combined Stress'!N89+'Wind Loading'!$J$69*O89</f>
        <v>0</v>
      </c>
      <c r="Q89" s="19" t="e">
        <f>((P89*'Alternative 1'!K90)/'Alternative 1'!L90)/1000000</f>
        <v>#VALUE!</v>
      </c>
      <c r="R89" s="45">
        <f t="shared" si="34"/>
        <v>0</v>
      </c>
      <c r="S89" s="19">
        <f>IF(R89&gt;0,'Alternative 1'!$B$3+'Alternative 1'!$B$5+('Alternative 1'!$B$39*R89),0)</f>
        <v>0</v>
      </c>
      <c r="T89" s="19" t="e">
        <f>'Alternative 1'!M90</f>
        <v>#VALUE!</v>
      </c>
      <c r="U89" s="19" t="e">
        <f t="shared" si="40"/>
        <v>#VALUE!</v>
      </c>
      <c r="V89" s="19" t="e">
        <f t="shared" si="41"/>
        <v>#VALUE!</v>
      </c>
      <c r="X89" s="18" t="str">
        <f>IF('Alternative 2'!$F90&gt;0,'Alternative 2'!$F90,"x")</f>
        <v>x</v>
      </c>
      <c r="Y89" s="45">
        <f t="shared" si="35"/>
        <v>0</v>
      </c>
      <c r="Z89" s="45">
        <f t="shared" si="36"/>
        <v>0</v>
      </c>
      <c r="AA89" s="19">
        <f>'Dynamic Loading'!$Y$3*'Combined Stress'!Y89+'Wind Loading'!$O$69*Z89</f>
        <v>0</v>
      </c>
      <c r="AB89" s="19" t="e">
        <f>((AA89*'Alternative 2'!K90)/'Alternative 2'!L90)/1000000</f>
        <v>#VALUE!</v>
      </c>
      <c r="AC89" s="45">
        <f t="shared" si="37"/>
        <v>0</v>
      </c>
      <c r="AD89" s="19">
        <f>'Alternative 2'!$B$3+'Alternative 2'!$B$5+('Alternative 2'!$B$39*AC89)</f>
        <v>76491.87</v>
      </c>
      <c r="AE89" s="19" t="e">
        <f>'Alternative 2'!M90</f>
        <v>#VALUE!</v>
      </c>
      <c r="AF89" s="19" t="e">
        <f t="shared" si="42"/>
        <v>#VALUE!</v>
      </c>
      <c r="AG89" s="19" t="e">
        <f t="shared" si="43"/>
        <v>#VALUE!</v>
      </c>
      <c r="AI89" s="18" t="str">
        <f>'Alternative 3'!F90</f>
        <v>x</v>
      </c>
      <c r="AJ89" s="83">
        <f t="shared" si="38"/>
        <v>-51.5</v>
      </c>
      <c r="AK89" s="45">
        <f t="shared" si="39"/>
        <v>0</v>
      </c>
      <c r="AL89" s="84">
        <f>'Dynamic Loading'!$AG$3*'Combined Stress'!AJ89+'Wind Loading'!$T$69*AK89</f>
        <v>-7267883.7212319765</v>
      </c>
      <c r="AM89" s="84" t="e">
        <f>((AL89*'Alternative 3'!K90)/'Alternative 3'!L90)/1000000</f>
        <v>#VALUE!</v>
      </c>
      <c r="AN89" s="84">
        <v>21</v>
      </c>
      <c r="AO89" s="19">
        <f>'Alternative 3'!$B$3+'Alternative 3'!$B$5+('Alternative 2'!$B$39*AN89)</f>
        <v>202557.62988511194</v>
      </c>
      <c r="AP89" s="84" t="e">
        <f>'Alternative 3'!M90</f>
        <v>#VALUE!</v>
      </c>
      <c r="AQ89" s="84" t="e">
        <f t="shared" si="46"/>
        <v>#VALUE!</v>
      </c>
      <c r="AR89" s="84" t="e">
        <f t="shared" si="47"/>
        <v>#VALUE!</v>
      </c>
    </row>
    <row r="90" spans="13:44" x14ac:dyDescent="0.25">
      <c r="M90" s="18" t="str">
        <f>IF('Alternative 1'!F91&gt;0,'Alternative 1'!F91,"x")</f>
        <v>x</v>
      </c>
      <c r="N90" s="45">
        <f t="shared" si="32"/>
        <v>0</v>
      </c>
      <c r="O90" s="45">
        <f t="shared" si="33"/>
        <v>0</v>
      </c>
      <c r="P90" s="19">
        <f>'Dynamic Loading'!$Q$3*'Combined Stress'!N90+'Wind Loading'!$J$69*O90</f>
        <v>0</v>
      </c>
      <c r="Q90" s="19" t="e">
        <f>((P90*'Alternative 1'!K91)/'Alternative 1'!L91)/1000000</f>
        <v>#VALUE!</v>
      </c>
      <c r="R90" s="45">
        <f t="shared" si="34"/>
        <v>0</v>
      </c>
      <c r="S90" s="19">
        <f>IF(R90&gt;0,'Alternative 1'!$B$3+'Alternative 1'!$B$5+('Alternative 1'!$B$39*R90),0)</f>
        <v>0</v>
      </c>
      <c r="T90" s="19" t="e">
        <f>'Alternative 1'!M91</f>
        <v>#VALUE!</v>
      </c>
      <c r="U90" s="19" t="e">
        <f t="shared" si="40"/>
        <v>#VALUE!</v>
      </c>
      <c r="V90" s="19" t="e">
        <f t="shared" si="41"/>
        <v>#VALUE!</v>
      </c>
      <c r="X90" s="18" t="str">
        <f>IF('Alternative 2'!$F91&gt;0,'Alternative 2'!$F91,"x")</f>
        <v>x</v>
      </c>
      <c r="Y90" s="45">
        <f t="shared" si="35"/>
        <v>0</v>
      </c>
      <c r="Z90" s="45">
        <f t="shared" si="36"/>
        <v>0</v>
      </c>
      <c r="AA90" s="19">
        <f>'Dynamic Loading'!$Y$3*'Combined Stress'!Y90+'Wind Loading'!$O$69*Z90</f>
        <v>0</v>
      </c>
      <c r="AB90" s="19" t="e">
        <f>((AA90*'Alternative 2'!K91)/'Alternative 2'!L91)/1000000</f>
        <v>#VALUE!</v>
      </c>
      <c r="AC90" s="45">
        <f t="shared" si="37"/>
        <v>0</v>
      </c>
      <c r="AD90" s="19">
        <f>'Alternative 2'!$B$3+'Alternative 2'!$B$5+('Alternative 2'!$B$39*AC90)</f>
        <v>76491.87</v>
      </c>
      <c r="AE90" s="19" t="e">
        <f>'Alternative 2'!M91</f>
        <v>#VALUE!</v>
      </c>
      <c r="AF90" s="19" t="e">
        <f t="shared" si="42"/>
        <v>#VALUE!</v>
      </c>
      <c r="AG90" s="19" t="e">
        <f t="shared" si="43"/>
        <v>#VALUE!</v>
      </c>
      <c r="AI90" s="18" t="str">
        <f>'Alternative 3'!F91</f>
        <v>x</v>
      </c>
      <c r="AJ90" s="83">
        <f t="shared" si="38"/>
        <v>-52.5</v>
      </c>
      <c r="AK90" s="45">
        <f t="shared" si="39"/>
        <v>0</v>
      </c>
      <c r="AL90" s="84">
        <f>'Dynamic Loading'!$AG$3*'Combined Stress'!AJ90+'Wind Loading'!$T$69*AK90</f>
        <v>-7409007.676984054</v>
      </c>
      <c r="AM90" s="84" t="e">
        <f>((AL90*'Alternative 3'!K91)/'Alternative 3'!L91)/1000000</f>
        <v>#VALUE!</v>
      </c>
      <c r="AN90" s="84">
        <v>22</v>
      </c>
      <c r="AO90" s="19">
        <f>'Alternative 3'!$B$3+'Alternative 3'!$B$5+('Alternative 2'!$B$39*AN90)</f>
        <v>205278.40550571252</v>
      </c>
      <c r="AP90" s="84" t="e">
        <f>'Alternative 3'!M91</f>
        <v>#VALUE!</v>
      </c>
      <c r="AQ90" s="84" t="e">
        <f t="shared" si="46"/>
        <v>#VALUE!</v>
      </c>
      <c r="AR90" s="84" t="e">
        <f t="shared" si="47"/>
        <v>#VALUE!</v>
      </c>
    </row>
    <row r="91" spans="13:44" x14ac:dyDescent="0.25">
      <c r="M91" s="18" t="str">
        <f>IF('Alternative 1'!F92&gt;0,'Alternative 1'!F92,"x")</f>
        <v>x</v>
      </c>
      <c r="N91" s="45">
        <f t="shared" si="32"/>
        <v>0</v>
      </c>
      <c r="O91" s="45">
        <f t="shared" si="33"/>
        <v>0</v>
      </c>
      <c r="P91" s="19">
        <f>'Dynamic Loading'!$Q$3*'Combined Stress'!N91+'Wind Loading'!$J$69*O91</f>
        <v>0</v>
      </c>
      <c r="Q91" s="19" t="e">
        <f>((P91*'Alternative 1'!K92)/'Alternative 1'!L92)/1000000</f>
        <v>#VALUE!</v>
      </c>
      <c r="R91" s="45">
        <f t="shared" si="34"/>
        <v>0</v>
      </c>
      <c r="S91" s="19">
        <f>IF(R91&gt;0,'Alternative 1'!$B$3+'Alternative 1'!$B$5+('Alternative 1'!$B$39*R91),0)</f>
        <v>0</v>
      </c>
      <c r="T91" s="19" t="e">
        <f>'Alternative 1'!M92</f>
        <v>#VALUE!</v>
      </c>
      <c r="U91" s="19" t="e">
        <f t="shared" si="40"/>
        <v>#VALUE!</v>
      </c>
      <c r="V91" s="19" t="e">
        <f t="shared" si="41"/>
        <v>#VALUE!</v>
      </c>
      <c r="X91" s="18" t="str">
        <f>IF('Alternative 2'!$F92&gt;0,'Alternative 2'!$F92,"x")</f>
        <v>x</v>
      </c>
      <c r="Y91" s="45">
        <f t="shared" si="35"/>
        <v>0</v>
      </c>
      <c r="Z91" s="45">
        <f t="shared" si="36"/>
        <v>0</v>
      </c>
      <c r="AA91" s="19">
        <f>'Dynamic Loading'!$Y$3*'Combined Stress'!Y91+'Wind Loading'!$O$69*Z91</f>
        <v>0</v>
      </c>
      <c r="AB91" s="19" t="e">
        <f>((AA91*'Alternative 2'!K92)/'Alternative 2'!L92)/1000000</f>
        <v>#VALUE!</v>
      </c>
      <c r="AC91" s="45">
        <f t="shared" si="37"/>
        <v>0</v>
      </c>
      <c r="AD91" s="19">
        <f>'Alternative 2'!$B$3+'Alternative 2'!$B$5+('Alternative 2'!$B$39*AC91)</f>
        <v>76491.87</v>
      </c>
      <c r="AE91" s="19" t="e">
        <f>'Alternative 2'!M92</f>
        <v>#VALUE!</v>
      </c>
      <c r="AF91" s="19" t="e">
        <f t="shared" si="42"/>
        <v>#VALUE!</v>
      </c>
      <c r="AG91" s="19" t="e">
        <f t="shared" si="43"/>
        <v>#VALUE!</v>
      </c>
      <c r="AI91" s="18" t="str">
        <f>'Alternative 3'!F92</f>
        <v>x</v>
      </c>
      <c r="AJ91" s="83">
        <f t="shared" si="38"/>
        <v>-53.5</v>
      </c>
      <c r="AK91" s="45">
        <f t="shared" si="39"/>
        <v>0</v>
      </c>
      <c r="AL91" s="84">
        <f>'Dynamic Loading'!$AG$3*'Combined Stress'!AJ91+'Wind Loading'!$T$69*AK91</f>
        <v>-7550131.6327361315</v>
      </c>
      <c r="AM91" s="84" t="e">
        <f>((AL91*'Alternative 3'!K92)/'Alternative 3'!L92)/1000000</f>
        <v>#VALUE!</v>
      </c>
      <c r="AN91" s="84">
        <v>23</v>
      </c>
      <c r="AO91" s="19">
        <f>'Alternative 3'!$B$3+'Alternative 3'!$B$5+('Alternative 2'!$B$39*AN91)</f>
        <v>207999.18112631308</v>
      </c>
      <c r="AP91" s="84" t="e">
        <f>'Alternative 3'!M92</f>
        <v>#VALUE!</v>
      </c>
      <c r="AQ91" s="84" t="e">
        <f t="shared" si="46"/>
        <v>#VALUE!</v>
      </c>
      <c r="AR91" s="84" t="e">
        <f t="shared" si="47"/>
        <v>#VALUE!</v>
      </c>
    </row>
    <row r="92" spans="13:44" x14ac:dyDescent="0.25">
      <c r="M92" s="18" t="str">
        <f>IF('Alternative 1'!F93&gt;0,'Alternative 1'!F93,"x")</f>
        <v>x</v>
      </c>
      <c r="N92" s="45">
        <f t="shared" si="32"/>
        <v>0</v>
      </c>
      <c r="O92" s="45">
        <f t="shared" si="33"/>
        <v>0</v>
      </c>
      <c r="P92" s="19">
        <f>'Dynamic Loading'!$Q$3*'Combined Stress'!N92+'Wind Loading'!$J$69*O92</f>
        <v>0</v>
      </c>
      <c r="Q92" s="19" t="e">
        <f>((P92*'Alternative 1'!K93)/'Alternative 1'!L93)/1000000</f>
        <v>#VALUE!</v>
      </c>
      <c r="R92" s="45">
        <f t="shared" si="34"/>
        <v>0</v>
      </c>
      <c r="S92" s="19">
        <f>IF(R92&gt;0,'Alternative 1'!$B$3+'Alternative 1'!$B$5+('Alternative 1'!$B$39*R92),0)</f>
        <v>0</v>
      </c>
      <c r="T92" s="19" t="e">
        <f>'Alternative 1'!M93</f>
        <v>#VALUE!</v>
      </c>
      <c r="U92" s="19" t="e">
        <f t="shared" si="40"/>
        <v>#VALUE!</v>
      </c>
      <c r="V92" s="19" t="e">
        <f t="shared" si="41"/>
        <v>#VALUE!</v>
      </c>
      <c r="X92" s="18" t="str">
        <f>IF('Alternative 2'!$F93&gt;0,'Alternative 2'!$F93,"x")</f>
        <v>x</v>
      </c>
      <c r="Y92" s="45">
        <f t="shared" si="35"/>
        <v>0</v>
      </c>
      <c r="Z92" s="45">
        <f t="shared" si="36"/>
        <v>0</v>
      </c>
      <c r="AA92" s="19">
        <f>'Dynamic Loading'!$Y$3*'Combined Stress'!Y92+'Wind Loading'!$O$69*Z92</f>
        <v>0</v>
      </c>
      <c r="AB92" s="19" t="e">
        <f>((AA92*'Alternative 2'!K93)/'Alternative 2'!L93)/1000000</f>
        <v>#VALUE!</v>
      </c>
      <c r="AC92" s="45">
        <f t="shared" si="37"/>
        <v>0</v>
      </c>
      <c r="AD92" s="19">
        <f>'Alternative 2'!$B$3+'Alternative 2'!$B$5+('Alternative 2'!$B$39*AC92)</f>
        <v>76491.87</v>
      </c>
      <c r="AE92" s="19" t="e">
        <f>'Alternative 2'!M93</f>
        <v>#VALUE!</v>
      </c>
      <c r="AF92" s="19" t="e">
        <f t="shared" si="42"/>
        <v>#VALUE!</v>
      </c>
      <c r="AG92" s="19" t="e">
        <f t="shared" si="43"/>
        <v>#VALUE!</v>
      </c>
      <c r="AI92" s="18" t="str">
        <f>'Alternative 3'!F93</f>
        <v>x</v>
      </c>
      <c r="AJ92" s="83">
        <f t="shared" si="38"/>
        <v>-54.5</v>
      </c>
      <c r="AK92" s="45">
        <f t="shared" si="39"/>
        <v>0</v>
      </c>
      <c r="AL92" s="84">
        <f>'Dynamic Loading'!$AG$3*'Combined Stress'!AJ92+'Wind Loading'!$T$69*AK92</f>
        <v>-7691255.5884882081</v>
      </c>
      <c r="AM92" s="84" t="e">
        <f>((AL92*'Alternative 3'!K93)/'Alternative 3'!L93)/1000000</f>
        <v>#VALUE!</v>
      </c>
      <c r="AN92" s="84">
        <v>24</v>
      </c>
      <c r="AO92" s="19">
        <f>'Alternative 3'!$B$3+'Alternative 3'!$B$5+('Alternative 2'!$B$39*AN92)</f>
        <v>210719.95674691367</v>
      </c>
      <c r="AP92" s="84" t="e">
        <f>'Alternative 3'!M93</f>
        <v>#VALUE!</v>
      </c>
      <c r="AQ92" s="84" t="e">
        <f t="shared" si="46"/>
        <v>#VALUE!</v>
      </c>
      <c r="AR92" s="84" t="e">
        <f t="shared" si="47"/>
        <v>#VALUE!</v>
      </c>
    </row>
    <row r="93" spans="13:44" x14ac:dyDescent="0.25">
      <c r="M93" s="18"/>
      <c r="X93" s="18"/>
    </row>
    <row r="103" ht="13.9" customHeight="1" x14ac:dyDescent="0.25"/>
  </sheetData>
  <customSheetViews>
    <customSheetView guid="{73608749-DAD6-470A-871E-DA0A326E9E7B}" scale="80" topLeftCell="V1">
      <selection activeCell="AE3" sqref="AE3"/>
      <pageMargins left="0.7" right="0.7" top="0.75" bottom="0.75" header="0.3" footer="0.3"/>
      <pageSetup orientation="portrait" r:id="rId1"/>
    </customSheetView>
  </customSheetViews>
  <mergeCells count="1">
    <mergeCell ref="AI1:AR1"/>
  </mergeCells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7" tint="-0.249977111117893"/>
  </sheetPr>
  <dimension ref="A1:IZ94"/>
  <sheetViews>
    <sheetView topLeftCell="J1" zoomScale="60" zoomScaleNormal="60" workbookViewId="0">
      <selection activeCell="AD1" sqref="AD1:AH1"/>
    </sheetView>
  </sheetViews>
  <sheetFormatPr defaultColWidth="9.140625" defaultRowHeight="51.75" customHeight="1" x14ac:dyDescent="0.25"/>
  <cols>
    <col min="1" max="1" width="11.140625" style="15" hidden="1" customWidth="1"/>
    <col min="2" max="2" width="19.5703125" style="15" hidden="1" customWidth="1"/>
    <col min="3" max="3" width="14.7109375" style="15" hidden="1" customWidth="1"/>
    <col min="4" max="4" width="0" style="15" hidden="1" customWidth="1"/>
    <col min="5" max="5" width="16.28515625" style="15" hidden="1" customWidth="1"/>
    <col min="6" max="6" width="16.140625" style="15" hidden="1" customWidth="1"/>
    <col min="7" max="7" width="14.28515625" style="15" hidden="1" customWidth="1"/>
    <col min="8" max="8" width="12.140625" style="15" hidden="1" customWidth="1"/>
    <col min="9" max="9" width="14.140625" style="15" hidden="1" customWidth="1"/>
    <col min="10" max="10" width="0.42578125" style="15" customWidth="1"/>
    <col min="11" max="11" width="8.42578125" style="15" bestFit="1" customWidth="1"/>
    <col min="12" max="12" width="12" style="8" customWidth="1"/>
    <col min="13" max="13" width="11.5703125" style="8" customWidth="1"/>
    <col min="14" max="14" width="11.7109375" style="8" customWidth="1"/>
    <col min="15" max="15" width="13.85546875" style="8" customWidth="1"/>
    <col min="16" max="16" width="13.140625" style="8" customWidth="1"/>
    <col min="17" max="17" width="1" style="8" customWidth="1"/>
    <col min="18" max="18" width="8.85546875" style="15" customWidth="1"/>
    <col min="19" max="19" width="13" style="15" bestFit="1" customWidth="1"/>
    <col min="20" max="20" width="10" style="15" customWidth="1"/>
    <col min="21" max="21" width="15.7109375" style="15" bestFit="1" customWidth="1"/>
    <col min="22" max="22" width="3.85546875" style="224" customWidth="1"/>
    <col min="23" max="23" width="12.7109375" style="8" hidden="1" customWidth="1"/>
    <col min="24" max="24" width="8.42578125" style="8" bestFit="1" customWidth="1"/>
    <col min="25" max="25" width="8.85546875" style="8" bestFit="1" customWidth="1"/>
    <col min="26" max="26" width="9.42578125" style="8" bestFit="1" customWidth="1"/>
    <col min="27" max="27" width="10" style="8" bestFit="1" customWidth="1"/>
    <col min="28" max="28" width="15.7109375" style="15" customWidth="1"/>
    <col min="29" max="29" width="4.140625" style="15" customWidth="1"/>
    <col min="30" max="30" width="8.42578125" style="63" bestFit="1" customWidth="1"/>
    <col min="31" max="33" width="9.140625" style="15"/>
    <col min="34" max="34" width="15.7109375" style="15" bestFit="1" customWidth="1"/>
    <col min="35" max="35" width="4.140625" style="15" customWidth="1"/>
    <col min="36" max="36" width="8.42578125" style="63" bestFit="1" customWidth="1"/>
    <col min="37" max="37" width="9.140625" style="15"/>
    <col min="38" max="38" width="9.42578125" style="15" bestFit="1" customWidth="1"/>
    <col min="39" max="39" width="10" style="15" bestFit="1" customWidth="1"/>
    <col min="40" max="40" width="15.7109375" style="15" bestFit="1" customWidth="1"/>
    <col min="41" max="16384" width="9.140625" style="15"/>
  </cols>
  <sheetData>
    <row r="1" spans="1:260" ht="51.75" customHeight="1" x14ac:dyDescent="0.25">
      <c r="A1" s="210" t="s">
        <v>70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X1" s="210" t="s">
        <v>147</v>
      </c>
      <c r="Y1" s="210"/>
      <c r="Z1" s="210"/>
      <c r="AA1" s="210"/>
      <c r="AB1" s="210"/>
      <c r="AC1" s="217"/>
      <c r="AD1" s="209" t="s">
        <v>148</v>
      </c>
      <c r="AE1" s="210"/>
      <c r="AF1" s="210"/>
      <c r="AG1" s="210"/>
      <c r="AH1" s="210"/>
      <c r="AI1" s="217"/>
      <c r="AJ1" s="209" t="s">
        <v>149</v>
      </c>
      <c r="AK1" s="210"/>
      <c r="AL1" s="210"/>
      <c r="AM1" s="210"/>
      <c r="AN1" s="210"/>
    </row>
    <row r="2" spans="1:260" s="27" customFormat="1" ht="51.75" customHeight="1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19" t="s">
        <v>202</v>
      </c>
      <c r="L2" s="219"/>
      <c r="M2" s="219"/>
      <c r="N2" s="219"/>
      <c r="O2" s="219"/>
      <c r="P2" s="220"/>
      <c r="Q2" s="214"/>
      <c r="R2" s="221" t="s">
        <v>39</v>
      </c>
      <c r="S2" s="222"/>
      <c r="T2" s="222"/>
      <c r="U2" s="223"/>
      <c r="V2" s="224"/>
      <c r="X2" s="218" t="s">
        <v>39</v>
      </c>
      <c r="Y2" s="218"/>
      <c r="Z2" s="218"/>
      <c r="AA2" s="218"/>
      <c r="AB2" s="218"/>
      <c r="AC2" s="217"/>
      <c r="AD2" s="218" t="s">
        <v>39</v>
      </c>
      <c r="AE2" s="218"/>
      <c r="AF2" s="218"/>
      <c r="AG2" s="218"/>
      <c r="AH2" s="218"/>
      <c r="AI2" s="217"/>
      <c r="AJ2" s="211" t="s">
        <v>39</v>
      </c>
      <c r="AK2" s="212"/>
      <c r="AL2" s="212"/>
      <c r="AM2" s="212"/>
      <c r="AN2" s="213"/>
    </row>
    <row r="3" spans="1:260" ht="83.25" customHeight="1" x14ac:dyDescent="0.25">
      <c r="A3" s="4" t="s">
        <v>5</v>
      </c>
      <c r="B3" s="4" t="s">
        <v>7</v>
      </c>
      <c r="C3" s="4" t="s">
        <v>36</v>
      </c>
      <c r="D3" s="4" t="s">
        <v>37</v>
      </c>
      <c r="E3" s="4" t="s">
        <v>8</v>
      </c>
      <c r="F3" s="4" t="s">
        <v>9</v>
      </c>
      <c r="G3" s="4" t="s">
        <v>10</v>
      </c>
      <c r="H3" s="4" t="s">
        <v>12</v>
      </c>
      <c r="I3" s="5" t="s">
        <v>11</v>
      </c>
      <c r="J3" s="9" t="s">
        <v>35</v>
      </c>
      <c r="K3" s="52" t="s">
        <v>49</v>
      </c>
      <c r="L3" s="28" t="s">
        <v>13</v>
      </c>
      <c r="M3" s="28" t="s">
        <v>4</v>
      </c>
      <c r="N3" s="28" t="s">
        <v>6</v>
      </c>
      <c r="O3" s="28" t="s">
        <v>34</v>
      </c>
      <c r="P3" s="28" t="s">
        <v>38</v>
      </c>
      <c r="Q3" s="215"/>
      <c r="R3" s="28" t="s">
        <v>33</v>
      </c>
      <c r="S3" s="28" t="s">
        <v>31</v>
      </c>
      <c r="T3" s="28" t="s">
        <v>32</v>
      </c>
      <c r="U3" s="28" t="s">
        <v>175</v>
      </c>
      <c r="X3" s="28" t="s">
        <v>49</v>
      </c>
      <c r="Y3" s="28" t="s">
        <v>33</v>
      </c>
      <c r="Z3" s="28" t="s">
        <v>31</v>
      </c>
      <c r="AA3" s="28" t="s">
        <v>32</v>
      </c>
      <c r="AB3" s="28" t="s">
        <v>175</v>
      </c>
      <c r="AC3" s="217"/>
      <c r="AD3" s="28" t="s">
        <v>49</v>
      </c>
      <c r="AE3" s="28" t="s">
        <v>33</v>
      </c>
      <c r="AF3" s="28" t="s">
        <v>31</v>
      </c>
      <c r="AG3" s="28" t="s">
        <v>32</v>
      </c>
      <c r="AH3" s="28" t="s">
        <v>175</v>
      </c>
      <c r="AI3" s="217"/>
      <c r="AJ3" s="87" t="s">
        <v>49</v>
      </c>
      <c r="AK3" s="28" t="s">
        <v>33</v>
      </c>
      <c r="AL3" s="28" t="s">
        <v>31</v>
      </c>
      <c r="AM3" s="28" t="s">
        <v>32</v>
      </c>
      <c r="AN3" s="28" t="s">
        <v>175</v>
      </c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</row>
    <row r="4" spans="1:260" s="3" customFormat="1" ht="15" customHeight="1" x14ac:dyDescent="0.25">
      <c r="A4" s="10">
        <v>1</v>
      </c>
      <c r="B4" s="10">
        <v>2.7699999999999836E-2</v>
      </c>
      <c r="C4" s="10">
        <v>1.9902</v>
      </c>
      <c r="D4" s="10">
        <v>1.9763500000000001</v>
      </c>
      <c r="E4" s="14">
        <f t="shared" ref="E4:E34" si="0">AVERAGE(C4:D4)</f>
        <v>1.9832749999999999</v>
      </c>
      <c r="F4" s="10">
        <f t="shared" ref="F4:F34" si="1">3.14159*(E4^3)*(B4)</f>
        <v>0.67885666661720756</v>
      </c>
      <c r="G4" s="10">
        <f t="shared" ref="G4:G34" si="2">(3.141593)*(E4^2)</f>
        <v>12.357078212365419</v>
      </c>
      <c r="H4" s="10">
        <f t="shared" ref="H4:H34" si="3">SQRT(F4/G4)</f>
        <v>0.23438571850542553</v>
      </c>
      <c r="I4" s="11">
        <f>('Baseline Given'!$B$20*A4)/H4</f>
        <v>9.713704505492375</v>
      </c>
      <c r="J4" s="12">
        <f>('Baseline Given'!$B$20*A4)/E4</f>
        <v>1.1479767605950861</v>
      </c>
      <c r="K4" s="53">
        <v>1</v>
      </c>
      <c r="L4" s="95">
        <v>1689.9824784762477</v>
      </c>
      <c r="M4" s="95">
        <v>0.63360924639094041</v>
      </c>
      <c r="N4" s="95">
        <v>0.70274718159696992</v>
      </c>
      <c r="O4" s="95">
        <v>209.53229643710253</v>
      </c>
      <c r="P4" s="95">
        <v>125.46844098030093</v>
      </c>
      <c r="Q4" s="215"/>
      <c r="R4" s="14">
        <f>3300/'Baseline Given'!$B$22</f>
        <v>66</v>
      </c>
      <c r="S4" s="14">
        <f>('Baseline Given'!$K4*2)/'Baseline Given'!$H4</f>
        <v>142.06576391943935</v>
      </c>
      <c r="T4" s="14">
        <f>13000/'Baseline Given'!$B$22</f>
        <v>260</v>
      </c>
      <c r="U4" s="14">
        <f>IF(AND(R4&lt;S4,S4&lt;=T4),((((662/S4)+0.399*'Baseline Given'!$B$22))/0.1450377),(0.6*'Baseline Given'!$B$22))</f>
        <v>169.67873697102945</v>
      </c>
      <c r="V4" s="224"/>
      <c r="W4" s="8"/>
      <c r="X4" s="36">
        <f>'Alternative 1'!F4</f>
        <v>1</v>
      </c>
      <c r="Y4" s="14">
        <f>3300/'Alternative 1'!$B$21</f>
        <v>66</v>
      </c>
      <c r="Z4" s="14">
        <f>2*'Alternative 1'!$K4/'Alternative 1'!$B$17</f>
        <v>104.80555555555554</v>
      </c>
      <c r="AA4" s="14">
        <f>13000/'Alternative 1'!$B$21</f>
        <v>260</v>
      </c>
      <c r="AB4" s="14">
        <f>IF(AND(Y4&lt;Z4,Z4&lt;=AA4),((((662/Z4)+0.399*'Baseline Given'!$B$22))/0.1450377),(0.6*'Baseline Given'!$B$22))</f>
        <v>181.10090722034982</v>
      </c>
      <c r="AC4" s="217"/>
      <c r="AD4" s="36">
        <f>'Alternative 2'!F4</f>
        <v>1</v>
      </c>
      <c r="AE4" s="14">
        <f>3300/'Alternative 2'!$B$21</f>
        <v>66</v>
      </c>
      <c r="AF4" s="14">
        <f>2*'Alternative 2'!$K4/'Alternative 2'!$B$17</f>
        <v>133.04347826086956</v>
      </c>
      <c r="AG4" s="14">
        <f>13000/'Alternative 2'!$B$21</f>
        <v>260</v>
      </c>
      <c r="AH4" s="14">
        <f>IF(AND(AE4&lt;AF4,AF4&lt;=AG4),((((662/AF4)+0.399*'Alternative 2'!$B$21))/0.1450377),(0.6*'Alternative 2'!$B$21))</f>
        <v>171.85750321098621</v>
      </c>
      <c r="AI4" s="217"/>
      <c r="AJ4" s="36">
        <f>'Alternative 3'!F4</f>
        <v>1</v>
      </c>
      <c r="AK4" s="14">
        <f>3300/'Alternative 3'!$B$21</f>
        <v>66</v>
      </c>
      <c r="AL4" s="14">
        <f>2*'Alternative 3'!$K4/'Alternative 3'!$B$17</f>
        <v>205.02857142857147</v>
      </c>
      <c r="AM4" s="14">
        <f>13000/'Alternative 3'!$B$21</f>
        <v>260</v>
      </c>
      <c r="AN4" s="14">
        <f>IF(AND(AK4&lt;AL4,AL4&lt;=AM4),((((662/AL4)+0.399*'Alternative 3'!$B$21))/0.1450377),(0.6*'Alternative 3'!$B$21))</f>
        <v>159.81236797857463</v>
      </c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</row>
    <row r="5" spans="1:260" s="3" customFormat="1" ht="15" customHeight="1" x14ac:dyDescent="0.25">
      <c r="A5" s="10">
        <v>2</v>
      </c>
      <c r="B5" s="10">
        <v>2.7400000000000091E-2</v>
      </c>
      <c r="C5" s="10">
        <v>1.9803999999999999</v>
      </c>
      <c r="D5" s="10">
        <v>1.9666999999999999</v>
      </c>
      <c r="E5" s="10">
        <f t="shared" si="0"/>
        <v>1.9735499999999999</v>
      </c>
      <c r="F5" s="10">
        <f t="shared" si="1"/>
        <v>0.66167460977090253</v>
      </c>
      <c r="G5" s="10">
        <f t="shared" si="2"/>
        <v>12.236189326916781</v>
      </c>
      <c r="H5" s="10">
        <f t="shared" si="3"/>
        <v>0.23254078859831614</v>
      </c>
      <c r="I5" s="11">
        <f>('Baseline Given'!$B$20*A5)/H5</f>
        <v>19.581542004676127</v>
      </c>
      <c r="J5" s="12">
        <f>('Baseline Given'!$B$20*A5)/E5</f>
        <v>2.3072672188383567</v>
      </c>
      <c r="K5" s="53">
        <v>2</v>
      </c>
      <c r="L5" s="95">
        <v>1679.9169010159414</v>
      </c>
      <c r="M5" s="95">
        <v>0.63281871516209254</v>
      </c>
      <c r="N5" s="95">
        <v>0.70210582361100571</v>
      </c>
      <c r="O5" s="95">
        <v>209.36473242296694</v>
      </c>
      <c r="P5" s="95">
        <v>125.3681032472856</v>
      </c>
      <c r="Q5" s="215"/>
      <c r="R5" s="14">
        <f>3300/'Baseline Given'!$B$22</f>
        <v>66</v>
      </c>
      <c r="S5" s="14">
        <f>('Baseline Given'!$K5*2)/'Baseline Given'!$H5</f>
        <v>142.2771021880466</v>
      </c>
      <c r="T5" s="14">
        <f>13000/'Baseline Given'!$B$22</f>
        <v>260</v>
      </c>
      <c r="U5" s="14">
        <f>IF(AND(R5&lt;S5,S5&lt;=T5),((((662/S5)+0.399*'Baseline Given'!$B$22))/0.1450377),(0.6*'Baseline Given'!$B$22))</f>
        <v>169.63101363570965</v>
      </c>
      <c r="V5" s="224"/>
      <c r="W5" s="8"/>
      <c r="X5" s="36">
        <f>'Alternative 1'!F5</f>
        <v>2</v>
      </c>
      <c r="Y5" s="14">
        <f>3300/'Alternative 1'!$B$21</f>
        <v>66</v>
      </c>
      <c r="Z5" s="14">
        <f>2*'Alternative 1'!$K5/'Alternative 1'!$B$17</f>
        <v>103.81111111111112</v>
      </c>
      <c r="AA5" s="14">
        <f>13000/'Alternative 1'!$B$21</f>
        <v>260</v>
      </c>
      <c r="AB5" s="14">
        <f>IF(AND(Y5&lt;Z5,Z5&lt;=AA5),((((662/Z5)+0.399*'Baseline Given'!$B$22))/0.1450377),(0.6*'Baseline Given'!$B$22))</f>
        <v>181.5180929720149</v>
      </c>
      <c r="AC5" s="217"/>
      <c r="AD5" s="36">
        <f>'Alternative 2'!F5</f>
        <v>2</v>
      </c>
      <c r="AE5" s="14">
        <f>3300/'Alternative 2'!$B$21</f>
        <v>66</v>
      </c>
      <c r="AF5" s="14">
        <f>2*'Alternative 2'!$K5/'Alternative 2'!$B$17</f>
        <v>131.08695652173913</v>
      </c>
      <c r="AG5" s="14">
        <f>13000/'Alternative 2'!$B$21</f>
        <v>260</v>
      </c>
      <c r="AH5" s="14">
        <f>IF(AND(AE5&lt;AF5,AF5&lt;=AG5),((((662/AF5)+0.399*'Alternative 2'!$B$21))/0.1450377),(0.6*'Alternative 2'!$B$21))</f>
        <v>172.36954887411781</v>
      </c>
      <c r="AI5" s="217"/>
      <c r="AJ5" s="36">
        <f>'Alternative 3'!F5</f>
        <v>2</v>
      </c>
      <c r="AK5" s="14">
        <f>3300/'Alternative 3'!$B$21</f>
        <v>66</v>
      </c>
      <c r="AL5" s="14">
        <f>2*'Alternative 3'!$K5/'Alternative 3'!$B$17</f>
        <v>203.05714285714282</v>
      </c>
      <c r="AM5" s="14">
        <f>13000/'Alternative 3'!$B$21</f>
        <v>260</v>
      </c>
      <c r="AN5" s="14">
        <f>IF(AND(AK5&lt;AL5,AL5&lt;=AM5),((((662/AL5)+0.399*'Alternative 3'!$B$21))/0.1450377),(0.6*'Alternative 3'!$B$21))</f>
        <v>160.02850316495721</v>
      </c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</row>
    <row r="6" spans="1:260" s="3" customFormat="1" ht="15" customHeight="1" x14ac:dyDescent="0.25">
      <c r="A6" s="10">
        <v>3</v>
      </c>
      <c r="B6" s="10">
        <v>2.7099999999999902E-2</v>
      </c>
      <c r="C6" s="10">
        <v>1.9705999999999999</v>
      </c>
      <c r="D6" s="10">
        <v>1.95705</v>
      </c>
      <c r="E6" s="10">
        <f t="shared" si="0"/>
        <v>1.9638249999999999</v>
      </c>
      <c r="F6" s="10">
        <f t="shared" si="1"/>
        <v>0.64480314931168303</v>
      </c>
      <c r="G6" s="10">
        <f t="shared" si="2"/>
        <v>12.115894677711085</v>
      </c>
      <c r="H6" s="10">
        <f t="shared" si="3"/>
        <v>0.23069375084508909</v>
      </c>
      <c r="I6" s="11">
        <f>('Baseline Given'!$B$20*A6)/H6</f>
        <v>29.607480933431006</v>
      </c>
      <c r="J6" s="12">
        <f>('Baseline Given'!$B$20*A6)/E6</f>
        <v>3.4780394534175185</v>
      </c>
      <c r="K6" s="53">
        <v>3</v>
      </c>
      <c r="L6" s="95">
        <v>1669.7516326556533</v>
      </c>
      <c r="M6" s="95">
        <v>0.6320137315902109</v>
      </c>
      <c r="N6" s="95">
        <v>0.70145274043913808</v>
      </c>
      <c r="O6" s="95">
        <v>209.19370425100897</v>
      </c>
      <c r="P6" s="95">
        <v>125.26569116826884</v>
      </c>
      <c r="Q6" s="215"/>
      <c r="R6" s="14">
        <f>3300/'Baseline Given'!$B$22</f>
        <v>66</v>
      </c>
      <c r="S6" s="14">
        <f>('Baseline Given'!$K6*2)/'Baseline Given'!$H6</f>
        <v>142.49121109673757</v>
      </c>
      <c r="T6" s="14">
        <f>13000/'Baseline Given'!$B$22</f>
        <v>260</v>
      </c>
      <c r="U6" s="14">
        <f>IF(AND(R6&lt;S6,S6&lt;=T6),((((662/S6)+0.399*'Baseline Given'!$B$22))/0.1450377),(0.6*'Baseline Given'!$B$22))</f>
        <v>169.58280900786718</v>
      </c>
      <c r="V6" s="224"/>
      <c r="W6" s="8"/>
      <c r="X6" s="36">
        <f>'Alternative 1'!F6</f>
        <v>3</v>
      </c>
      <c r="Y6" s="14">
        <f>3300/'Alternative 1'!$B$21</f>
        <v>66</v>
      </c>
      <c r="Z6" s="14">
        <f>2*'Alternative 1'!$K6/'Alternative 1'!$B$17</f>
        <v>102.81666666666666</v>
      </c>
      <c r="AA6" s="14">
        <f>13000/'Alternative 1'!$B$21</f>
        <v>260</v>
      </c>
      <c r="AB6" s="14">
        <f>IF(AND(Y6&lt;Z6,Z6&lt;=AA6),((((662/Z6)+0.399*'Baseline Given'!$B$22))/0.1450377),(0.6*'Baseline Given'!$B$22))</f>
        <v>181.94334877820509</v>
      </c>
      <c r="AC6" s="217"/>
      <c r="AD6" s="36">
        <f>'Alternative 2'!F6</f>
        <v>3</v>
      </c>
      <c r="AE6" s="14">
        <f>3300/'Alternative 2'!$B$21</f>
        <v>66</v>
      </c>
      <c r="AF6" s="14">
        <f>2*'Alternative 2'!$K6/'Alternative 2'!$B$17</f>
        <v>129.13043478260869</v>
      </c>
      <c r="AG6" s="14">
        <f>13000/'Alternative 2'!$B$21</f>
        <v>260</v>
      </c>
      <c r="AH6" s="14">
        <f>IF(AND(AE6&lt;AF6,AF6&lt;=AG6),((((662/AF6)+0.399*'Alternative 2'!$B$21))/0.1450377),(0.6*'Alternative 2'!$B$21))</f>
        <v>172.89711107249585</v>
      </c>
      <c r="AI6" s="217"/>
      <c r="AJ6" s="36">
        <f>'Alternative 3'!F6</f>
        <v>3</v>
      </c>
      <c r="AK6" s="14">
        <f>3300/'Alternative 3'!$B$21</f>
        <v>66</v>
      </c>
      <c r="AL6" s="14">
        <f>2*'Alternative 3'!$K6/'Alternative 3'!$B$17</f>
        <v>201.08571428571426</v>
      </c>
      <c r="AM6" s="14">
        <f>13000/'Alternative 3'!$B$21</f>
        <v>260</v>
      </c>
      <c r="AN6" s="14">
        <f>IF(AND(AK6&lt;AL6,AL6&lt;=AM6),((((662/AL6)+0.399*'Alternative 3'!$B$21))/0.1450377),(0.6*'Alternative 3'!$B$21))</f>
        <v>160.24887629617083</v>
      </c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</row>
    <row r="7" spans="1:260" s="3" customFormat="1" ht="15" customHeight="1" x14ac:dyDescent="0.25">
      <c r="A7" s="10">
        <v>4</v>
      </c>
      <c r="B7" s="10">
        <v>2.6800000000000157E-2</v>
      </c>
      <c r="C7" s="10">
        <v>1.9608000000000001</v>
      </c>
      <c r="D7" s="10">
        <v>1.9474</v>
      </c>
      <c r="E7" s="10">
        <f t="shared" si="0"/>
        <v>1.9540999999999999</v>
      </c>
      <c r="F7" s="10">
        <f t="shared" si="1"/>
        <v>0.6282386541773316</v>
      </c>
      <c r="G7" s="10">
        <f t="shared" si="2"/>
        <v>11.996194264748329</v>
      </c>
      <c r="H7" s="10">
        <f t="shared" si="3"/>
        <v>0.22884455420755415</v>
      </c>
      <c r="I7" s="11">
        <f>('Baseline Given'!$B$20*A7)/H7</f>
        <v>39.795635386705023</v>
      </c>
      <c r="J7" s="12">
        <f>('Baseline Given'!$B$20*A7)/E7</f>
        <v>4.660464888939603</v>
      </c>
      <c r="K7" s="53">
        <v>4</v>
      </c>
      <c r="L7" s="95">
        <v>1659.4851849956599</v>
      </c>
      <c r="M7" s="95">
        <v>0.63119389368540013</v>
      </c>
      <c r="N7" s="95">
        <v>0.7007876059469651</v>
      </c>
      <c r="O7" s="95">
        <v>209.0191017364929</v>
      </c>
      <c r="P7" s="95">
        <v>125.16113876436701</v>
      </c>
      <c r="Q7" s="215"/>
      <c r="R7" s="14">
        <f>3300/'Baseline Given'!$B$22</f>
        <v>66</v>
      </c>
      <c r="S7" s="14">
        <f>('Baseline Given'!$K7*2)/'Baseline Given'!$H7</f>
        <v>142.70814548956085</v>
      </c>
      <c r="T7" s="14">
        <f>13000/'Baseline Given'!$B$22</f>
        <v>260</v>
      </c>
      <c r="U7" s="14">
        <f>IF(AND(R7&lt;S7,S7&lt;=T7),((((662/S7)+0.399*'Baseline Given'!$B$22))/0.1450377),(0.6*'Baseline Given'!$B$22))</f>
        <v>169.53411576980909</v>
      </c>
      <c r="V7" s="224"/>
      <c r="W7" s="8"/>
      <c r="X7" s="36">
        <f>'Alternative 1'!F7</f>
        <v>4</v>
      </c>
      <c r="Y7" s="14">
        <f>3300/'Alternative 1'!$B$21</f>
        <v>66</v>
      </c>
      <c r="Z7" s="14">
        <f>2*'Alternative 1'!$K7/'Alternative 1'!$B$17</f>
        <v>101.82222222222224</v>
      </c>
      <c r="AA7" s="14">
        <f>13000/'Alternative 1'!$B$21</f>
        <v>260</v>
      </c>
      <c r="AB7" s="14">
        <f>IF(AND(Y7&lt;Z7,Z7&lt;=AA7),((((662/Z7)+0.399*'Baseline Given'!$B$22))/0.1450377),(0.6*'Baseline Given'!$B$22))</f>
        <v>182.37691108693866</v>
      </c>
      <c r="AC7" s="217"/>
      <c r="AD7" s="36">
        <f>'Alternative 2'!F7</f>
        <v>4</v>
      </c>
      <c r="AE7" s="14">
        <f>3300/'Alternative 2'!$B$21</f>
        <v>66</v>
      </c>
      <c r="AF7" s="14">
        <f>2*'Alternative 2'!$K7/'Alternative 2'!$B$17</f>
        <v>127.17391304347827</v>
      </c>
      <c r="AG7" s="14">
        <f>13000/'Alternative 2'!$B$21</f>
        <v>260</v>
      </c>
      <c r="AH7" s="14">
        <f>IF(AND(AE7&lt;AF7,AF7&lt;=AG7),((((662/AF7)+0.399*'Alternative 2'!$B$21))/0.1450377),(0.6*'Alternative 2'!$B$21))</f>
        <v>173.44090595390088</v>
      </c>
      <c r="AI7" s="217"/>
      <c r="AJ7" s="36">
        <f>'Alternative 3'!F7</f>
        <v>4</v>
      </c>
      <c r="AK7" s="14">
        <f>3300/'Alternative 3'!$B$21</f>
        <v>66</v>
      </c>
      <c r="AL7" s="14">
        <f>2*'Alternative 3'!$K7/'Alternative 3'!$B$17</f>
        <v>199.11428571428573</v>
      </c>
      <c r="AM7" s="14">
        <f>13000/'Alternative 3'!$B$21</f>
        <v>260</v>
      </c>
      <c r="AN7" s="14">
        <f>IF(AND(AK7&lt;AL7,AL7&lt;=AM7),((((662/AL7)+0.399*'Alternative 3'!$B$21))/0.1450377),(0.6*'Alternative 3'!$B$21))</f>
        <v>160.4736132517649</v>
      </c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</row>
    <row r="8" spans="1:260" s="3" customFormat="1" ht="15" customHeight="1" x14ac:dyDescent="0.25">
      <c r="A8" s="10">
        <v>5</v>
      </c>
      <c r="B8" s="10">
        <v>2.6499999999999968E-2</v>
      </c>
      <c r="C8" s="10">
        <v>1.9510000000000001</v>
      </c>
      <c r="D8" s="10">
        <v>1.9377500000000001</v>
      </c>
      <c r="E8" s="10">
        <f t="shared" si="0"/>
        <v>1.944375</v>
      </c>
      <c r="F8" s="10">
        <f t="shared" si="1"/>
        <v>0.61197751410977874</v>
      </c>
      <c r="G8" s="10">
        <f t="shared" si="2"/>
        <v>11.877088088028515</v>
      </c>
      <c r="H8" s="10">
        <f t="shared" si="3"/>
        <v>0.22699314592374692</v>
      </c>
      <c r="I8" s="11">
        <f>('Baseline Given'!$B$20*A8)/H8</f>
        <v>50.150272172403874</v>
      </c>
      <c r="J8" s="12">
        <f>('Baseline Given'!$B$20*A8)/E8</f>
        <v>5.8547183796058357</v>
      </c>
      <c r="K8" s="53">
        <v>5</v>
      </c>
      <c r="L8" s="95">
        <v>1649.1160398585644</v>
      </c>
      <c r="M8" s="95">
        <v>0.63035878432841908</v>
      </c>
      <c r="N8" s="95">
        <v>0.70011008172564637</v>
      </c>
      <c r="O8" s="95">
        <v>208.84080992164525</v>
      </c>
      <c r="P8" s="95">
        <v>125.05437719858998</v>
      </c>
      <c r="Q8" s="215"/>
      <c r="R8" s="14">
        <f>3300/'Baseline Given'!$B$22</f>
        <v>66</v>
      </c>
      <c r="S8" s="14">
        <f>('Baseline Given'!$K8*2)/'Baseline Given'!$H8</f>
        <v>142.92796166767621</v>
      </c>
      <c r="T8" s="14">
        <f>13000/'Baseline Given'!$B$22</f>
        <v>260</v>
      </c>
      <c r="U8" s="14">
        <f>IF(AND(R8&lt;S8,S8&lt;=T8),((((662/S8)+0.399*'Baseline Given'!$B$22))/0.1450377),(0.6*'Baseline Given'!$B$22))</f>
        <v>169.48492645474013</v>
      </c>
      <c r="V8" s="224"/>
      <c r="W8" s="8"/>
      <c r="X8" s="36">
        <f>'Alternative 1'!F8</f>
        <v>5</v>
      </c>
      <c r="Y8" s="14">
        <f>3300/'Alternative 1'!$B$21</f>
        <v>66</v>
      </c>
      <c r="Z8" s="14">
        <f>2*'Alternative 1'!$K8/'Alternative 1'!$B$17</f>
        <v>100.82777777777778</v>
      </c>
      <c r="AA8" s="14">
        <f>13000/'Alternative 1'!$B$21</f>
        <v>260</v>
      </c>
      <c r="AB8" s="14">
        <f>IF(AND(Y8&lt;Z8,Z8&lt;=AA8),((((662/Z8)+0.399*'Baseline Given'!$B$22))/0.1450377),(0.6*'Baseline Given'!$B$22))</f>
        <v>182.81902567439434</v>
      </c>
      <c r="AC8" s="217"/>
      <c r="AD8" s="36">
        <f>'Alternative 2'!F8</f>
        <v>5</v>
      </c>
      <c r="AE8" s="14">
        <f>3300/'Alternative 2'!$B$21</f>
        <v>66</v>
      </c>
      <c r="AF8" s="14">
        <f>2*'Alternative 2'!$K8/'Alternative 2'!$B$17</f>
        <v>125.21739130434783</v>
      </c>
      <c r="AG8" s="14">
        <f>13000/'Alternative 2'!$B$21</f>
        <v>260</v>
      </c>
      <c r="AH8" s="14">
        <f>IF(AND(AE8&lt;AF8,AF8&lt;=AG8),((((662/AF8)+0.399*'Alternative 2'!$B$21))/0.1450377),(0.6*'Alternative 2'!$B$21))</f>
        <v>174.00169442534983</v>
      </c>
      <c r="AI8" s="217"/>
      <c r="AJ8" s="36">
        <f>'Alternative 3'!F8</f>
        <v>5</v>
      </c>
      <c r="AK8" s="14">
        <f>3300/'Alternative 3'!$B$21</f>
        <v>66</v>
      </c>
      <c r="AL8" s="14">
        <f>2*'Alternative 3'!$K8/'Alternative 3'!$B$17</f>
        <v>197.14285714285714</v>
      </c>
      <c r="AM8" s="14">
        <f>13000/'Alternative 3'!$B$21</f>
        <v>260</v>
      </c>
      <c r="AN8" s="14">
        <f>IF(AND(AK8&lt;AL8,AL8&lt;=AM8),((((662/AL8)+0.399*'Alternative 3'!$B$21))/0.1450377),(0.6*'Alternative 3'!$B$21))</f>
        <v>160.70284494647086</v>
      </c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</row>
    <row r="9" spans="1:260" s="3" customFormat="1" ht="15" customHeight="1" x14ac:dyDescent="0.25">
      <c r="A9" s="10">
        <v>6</v>
      </c>
      <c r="B9" s="10">
        <v>2.6200000000000223E-2</v>
      </c>
      <c r="C9" s="10">
        <v>1.9412</v>
      </c>
      <c r="D9" s="10">
        <v>1.9280999999999999</v>
      </c>
      <c r="E9" s="10">
        <f t="shared" si="0"/>
        <v>1.93465</v>
      </c>
      <c r="F9" s="10">
        <f t="shared" si="1"/>
        <v>0.59601613965518818</v>
      </c>
      <c r="G9" s="10">
        <f t="shared" si="2"/>
        <v>11.758576147551642</v>
      </c>
      <c r="H9" s="10">
        <f t="shared" si="3"/>
        <v>0.22513947143202939</v>
      </c>
      <c r="I9" s="11">
        <f>('Baseline Given'!$B$20*A9)/H9</f>
        <v>60.675818293104101</v>
      </c>
      <c r="J9" s="12">
        <f>('Baseline Given'!$B$20*A9)/E9</f>
        <v>7.0609782954101856</v>
      </c>
      <c r="K9" s="53">
        <v>6</v>
      </c>
      <c r="L9" s="95">
        <v>1638.6426485410939</v>
      </c>
      <c r="M9" s="95">
        <v>0.62950797054801444</v>
      </c>
      <c r="N9" s="95">
        <v>0.69941981650560414</v>
      </c>
      <c r="O9" s="95">
        <v>208.65870881240613</v>
      </c>
      <c r="P9" s="95">
        <v>124.94533461820727</v>
      </c>
      <c r="Q9" s="215"/>
      <c r="R9" s="14">
        <f>3300/'Baseline Given'!$B$22</f>
        <v>66</v>
      </c>
      <c r="S9" s="14">
        <f>('Baseline Given'!$K9*2)/'Baseline Given'!$H9</f>
        <v>143.15071743806953</v>
      </c>
      <c r="T9" s="14">
        <f>13000/'Baseline Given'!$B$22</f>
        <v>260</v>
      </c>
      <c r="U9" s="14">
        <f>IF(AND(R9&lt;S9,S9&lt;=T9),((((662/S9)+0.399*'Baseline Given'!$B$22))/0.1450377),(0.6*'Baseline Given'!$B$22))</f>
        <v>169.43523344294547</v>
      </c>
      <c r="V9" s="224"/>
      <c r="W9" s="8"/>
      <c r="X9" s="36">
        <f>'Alternative 1'!F9</f>
        <v>6</v>
      </c>
      <c r="Y9" s="14">
        <f>3300/'Alternative 1'!$B$21</f>
        <v>66</v>
      </c>
      <c r="Z9" s="14">
        <f>2*'Alternative 1'!$K9/'Alternative 1'!$B$17</f>
        <v>99.833333333333329</v>
      </c>
      <c r="AA9" s="14">
        <f>13000/'Alternative 1'!$B$21</f>
        <v>260</v>
      </c>
      <c r="AB9" s="14">
        <f>IF(AND(Y9&lt;Z9,Z9&lt;=AA9),((((662/Z9)+0.399*'Baseline Given'!$B$22))/0.1450377),(0.6*'Baseline Given'!$B$22))</f>
        <v>183.26994810950217</v>
      </c>
      <c r="AC9" s="217"/>
      <c r="AD9" s="36">
        <f>'Alternative 2'!F9</f>
        <v>6</v>
      </c>
      <c r="AE9" s="14">
        <f>3300/'Alternative 2'!$B$21</f>
        <v>66</v>
      </c>
      <c r="AF9" s="14">
        <f>2*'Alternative 2'!$K9/'Alternative 2'!$B$17</f>
        <v>123.2608695652174</v>
      </c>
      <c r="AG9" s="14">
        <f>13000/'Alternative 2'!$B$21</f>
        <v>260</v>
      </c>
      <c r="AH9" s="14">
        <f>IF(AND(AE9&lt;AF9,AF9&lt;=AG9),((((662/AF9)+0.399*'Alternative 2'!$B$21))/0.1450377),(0.6*'Alternative 2'!$B$21))</f>
        <v>174.5802857054162</v>
      </c>
      <c r="AI9" s="217"/>
      <c r="AJ9" s="36">
        <f>'Alternative 3'!F9</f>
        <v>6</v>
      </c>
      <c r="AK9" s="14">
        <f>3300/'Alternative 3'!$B$21</f>
        <v>66</v>
      </c>
      <c r="AL9" s="14">
        <f>2*'Alternative 3'!$K9/'Alternative 3'!$B$17</f>
        <v>195.17142857142858</v>
      </c>
      <c r="AM9" s="14">
        <f>13000/'Alternative 3'!$B$21</f>
        <v>260</v>
      </c>
      <c r="AN9" s="14">
        <f>IF(AND(AK9&lt;AL9,AL9&lt;=AM9),((((662/AL9)+0.399*'Alternative 3'!$B$21))/0.1450377),(0.6*'Alternative 3'!$B$21))</f>
        <v>160.93670758450423</v>
      </c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</row>
    <row r="10" spans="1:260" s="3" customFormat="1" ht="15" customHeight="1" x14ac:dyDescent="0.25">
      <c r="A10" s="10">
        <v>7</v>
      </c>
      <c r="B10" s="10">
        <v>2.5900000000000034E-2</v>
      </c>
      <c r="C10" s="10">
        <v>1.9314</v>
      </c>
      <c r="D10" s="10">
        <v>1.91845</v>
      </c>
      <c r="E10" s="10">
        <f t="shared" si="0"/>
        <v>1.924925</v>
      </c>
      <c r="F10" s="10">
        <f t="shared" si="1"/>
        <v>0.58035096216387316</v>
      </c>
      <c r="G10" s="10">
        <f t="shared" si="2"/>
        <v>11.64065844331771</v>
      </c>
      <c r="H10" s="10">
        <f t="shared" si="3"/>
        <v>0.22328347429098916</v>
      </c>
      <c r="I10" s="11">
        <f>('Baseline Given'!$B$20*A10)/H10</f>
        <v>71.376868886922821</v>
      </c>
      <c r="J10" s="12">
        <f>('Baseline Given'!$B$20*A10)/E10</f>
        <v>8.2794266109508357</v>
      </c>
      <c r="K10" s="53">
        <v>7</v>
      </c>
      <c r="L10" s="95">
        <v>1628.0634310427699</v>
      </c>
      <c r="M10" s="95">
        <v>0.62864100275613644</v>
      </c>
      <c r="N10" s="95">
        <v>0.6987164455360535</v>
      </c>
      <c r="O10" s="95">
        <v>208.47267309745882</v>
      </c>
      <c r="P10" s="95">
        <v>124.8339359865023</v>
      </c>
      <c r="Q10" s="215"/>
      <c r="R10" s="14">
        <f>3300/'Baseline Given'!$B$22</f>
        <v>66</v>
      </c>
      <c r="S10" s="14">
        <f>('Baseline Given'!$K10*2)/'Baseline Given'!$H10</f>
        <v>143.37647216423477</v>
      </c>
      <c r="T10" s="14">
        <f>13000/'Baseline Given'!$B$22</f>
        <v>260</v>
      </c>
      <c r="U10" s="14">
        <f>IF(AND(R10&lt;S10,S10&lt;=T10),((((662/S10)+0.399*'Baseline Given'!$B$22))/0.1450377),(0.6*'Baseline Given'!$B$22))</f>
        <v>169.38502895785615</v>
      </c>
      <c r="V10" s="224"/>
      <c r="W10" s="8"/>
      <c r="X10" s="36">
        <f>'Alternative 1'!F10</f>
        <v>7</v>
      </c>
      <c r="Y10" s="14">
        <f>3300/'Alternative 1'!$B$21</f>
        <v>66</v>
      </c>
      <c r="Z10" s="14">
        <f>2*'Alternative 1'!$K10/'Alternative 1'!$B$17</f>
        <v>98.838888888888903</v>
      </c>
      <c r="AA10" s="14">
        <f>13000/'Alternative 1'!$B$21</f>
        <v>260</v>
      </c>
      <c r="AB10" s="14">
        <f>IF(AND(Y10&lt;Z10,Z10&lt;=AA10),((((662/Z10)+0.399*'Baseline Given'!$B$22))/0.1450377),(0.6*'Baseline Given'!$B$22))</f>
        <v>183.72994424658108</v>
      </c>
      <c r="AC10" s="217"/>
      <c r="AD10" s="36">
        <f>'Alternative 2'!F10</f>
        <v>7</v>
      </c>
      <c r="AE10" s="14">
        <f>3300/'Alternative 2'!$B$21</f>
        <v>66</v>
      </c>
      <c r="AF10" s="14">
        <f>2*'Alternative 2'!$K10/'Alternative 2'!$B$17</f>
        <v>121.30434782608697</v>
      </c>
      <c r="AG10" s="14">
        <f>13000/'Alternative 2'!$B$21</f>
        <v>260</v>
      </c>
      <c r="AH10" s="14">
        <f>IF(AND(AE10&lt;AF10,AF10&lt;=AG10),((((662/AF10)+0.399*'Alternative 2'!$B$21))/0.1450377),(0.6*'Alternative 2'!$B$21))</f>
        <v>175.17754122032341</v>
      </c>
      <c r="AI10" s="217"/>
      <c r="AJ10" s="36">
        <f>'Alternative 3'!F10</f>
        <v>7</v>
      </c>
      <c r="AK10" s="14">
        <f>3300/'Alternative 3'!$B$21</f>
        <v>66</v>
      </c>
      <c r="AL10" s="14">
        <f>2*'Alternative 3'!$K10/'Alternative 3'!$B$17</f>
        <v>193.2</v>
      </c>
      <c r="AM10" s="14">
        <f>13000/'Alternative 3'!$B$21</f>
        <v>260</v>
      </c>
      <c r="AN10" s="14">
        <f>IF(AND(AK10&lt;AL10,AL10&lt;=AM10),((((662/AL10)+0.399*'Alternative 3'!$B$21))/0.1450377),(0.6*'Alternative 3'!$B$21))</f>
        <v>161.17534292943623</v>
      </c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</row>
    <row r="11" spans="1:260" s="3" customFormat="1" ht="15" customHeight="1" x14ac:dyDescent="0.25">
      <c r="A11" s="10">
        <v>8</v>
      </c>
      <c r="B11" s="10">
        <v>2.5599999999999845E-2</v>
      </c>
      <c r="C11" s="10">
        <v>1.9216</v>
      </c>
      <c r="D11" s="10">
        <v>1.9088000000000001</v>
      </c>
      <c r="E11" s="10">
        <f t="shared" si="0"/>
        <v>1.9152</v>
      </c>
      <c r="F11" s="10">
        <f t="shared" si="1"/>
        <v>0.56497843379036883</v>
      </c>
      <c r="G11" s="10">
        <f t="shared" si="2"/>
        <v>11.523334975326719</v>
      </c>
      <c r="H11" s="10">
        <f t="shared" si="3"/>
        <v>0.22142509609491887</v>
      </c>
      <c r="I11" s="11">
        <f>('Baseline Given'!$B$20*A11)/H11</f>
        <v>82.258195661551838</v>
      </c>
      <c r="J11" s="12">
        <f>('Baseline Given'!$B$20*A11)/E11</f>
        <v>9.5102489969474497</v>
      </c>
      <c r="K11" s="53">
        <v>8</v>
      </c>
      <c r="L11" s="95">
        <v>1617.3767752715023</v>
      </c>
      <c r="M11" s="95">
        <v>0.62775741393820161</v>
      </c>
      <c r="N11" s="95">
        <v>0.69799958992806299</v>
      </c>
      <c r="O11" s="95">
        <v>208.28257184813978</v>
      </c>
      <c r="P11" s="95">
        <v>124.72010290307772</v>
      </c>
      <c r="Q11" s="215"/>
      <c r="R11" s="14">
        <f>3300/'Baseline Given'!$B$22</f>
        <v>66</v>
      </c>
      <c r="S11" s="14">
        <f>('Baseline Given'!$K11*2)/'Baseline Given'!$H11</f>
        <v>143.60528681891728</v>
      </c>
      <c r="T11" s="14">
        <f>13000/'Baseline Given'!$B$22</f>
        <v>260</v>
      </c>
      <c r="U11" s="14">
        <f>IF(AND(R11&lt;S11,S11&lt;=T11),((((662/S11)+0.399*'Baseline Given'!$B$22))/0.1450377),(0.6*'Baseline Given'!$B$22))</f>
        <v>169.33430506199184</v>
      </c>
      <c r="V11" s="224"/>
      <c r="W11" s="8"/>
      <c r="X11" s="36">
        <f>'Alternative 1'!F11</f>
        <v>8</v>
      </c>
      <c r="Y11" s="14">
        <f>3300/'Alternative 1'!$B$21</f>
        <v>66</v>
      </c>
      <c r="Z11" s="14">
        <f>2*'Alternative 1'!$K11/'Alternative 1'!$B$17</f>
        <v>97.844444444444449</v>
      </c>
      <c r="AA11" s="14">
        <f>13000/'Alternative 1'!$B$21</f>
        <v>260</v>
      </c>
      <c r="AB11" s="14">
        <f>IF(AND(Y11&lt;Z11,Z11&lt;=AA11),((((662/Z11)+0.399*'Baseline Given'!$B$22))/0.1450377),(0.6*'Baseline Given'!$B$22))</f>
        <v>184.19929074801811</v>
      </c>
      <c r="AC11" s="217"/>
      <c r="AD11" s="36">
        <f>'Alternative 2'!F11</f>
        <v>8</v>
      </c>
      <c r="AE11" s="14">
        <f>3300/'Alternative 2'!$B$21</f>
        <v>66</v>
      </c>
      <c r="AF11" s="14">
        <f>2*'Alternative 2'!$K11/'Alternative 2'!$B$17</f>
        <v>119.34782608695653</v>
      </c>
      <c r="AG11" s="14">
        <f>13000/'Alternative 2'!$B$21</f>
        <v>260</v>
      </c>
      <c r="AH11" s="14">
        <f>IF(AND(AE11&lt;AF11,AF11&lt;=AG11),((((662/AF11)+0.399*'Alternative 2'!$B$21))/0.1450377),(0.6*'Alternative 2'!$B$21))</f>
        <v>175.79437888326038</v>
      </c>
      <c r="AI11" s="217"/>
      <c r="AJ11" s="36">
        <f>'Alternative 3'!F11</f>
        <v>8</v>
      </c>
      <c r="AK11" s="14">
        <f>3300/'Alternative 3'!$B$21</f>
        <v>66</v>
      </c>
      <c r="AL11" s="14">
        <f>2*'Alternative 3'!$K11/'Alternative 3'!$B$17</f>
        <v>191.22857142857143</v>
      </c>
      <c r="AM11" s="14">
        <f>13000/'Alternative 3'!$B$21</f>
        <v>260</v>
      </c>
      <c r="AN11" s="14">
        <f>IF(AND(AK11&lt;AL11,AL11&lt;=AM11),((((662/AL11)+0.399*'Alternative 3'!$B$21))/0.1450377),(0.6*'Alternative 3'!$B$21))</f>
        <v>161.41889859075857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</row>
    <row r="12" spans="1:260" s="3" customFormat="1" ht="15" customHeight="1" x14ac:dyDescent="0.25">
      <c r="A12" s="10">
        <v>9</v>
      </c>
      <c r="B12" s="10">
        <v>2.53000000000001E-2</v>
      </c>
      <c r="C12" s="10">
        <v>1.9117999999999999</v>
      </c>
      <c r="D12" s="10">
        <v>1.8991499999999999</v>
      </c>
      <c r="E12" s="10">
        <f t="shared" si="0"/>
        <v>1.905475</v>
      </c>
      <c r="F12" s="10">
        <f t="shared" si="1"/>
        <v>0.54989502749340058</v>
      </c>
      <c r="G12" s="10">
        <f t="shared" si="2"/>
        <v>11.40660574357867</v>
      </c>
      <c r="H12" s="10">
        <f t="shared" si="3"/>
        <v>0.21956427638452961</v>
      </c>
      <c r="I12" s="11">
        <f>('Baseline Given'!$B$20*A12)/H12</f>
        <v>93.324755858447759</v>
      </c>
      <c r="J12" s="12">
        <f>('Baseline Given'!$B$20*A12)/E12</f>
        <v>10.753634914560921</v>
      </c>
      <c r="K12" s="53">
        <v>9</v>
      </c>
      <c r="L12" s="95">
        <v>1606.5810362245697</v>
      </c>
      <c r="M12" s="95">
        <v>0.62685671879520632</v>
      </c>
      <c r="N12" s="95">
        <v>0.69726885595855093</v>
      </c>
      <c r="O12" s="95">
        <v>208.08826819767529</v>
      </c>
      <c r="P12" s="95">
        <v>124.60375341178161</v>
      </c>
      <c r="Q12" s="215"/>
      <c r="R12" s="14">
        <f>3300/'Baseline Given'!$B$22</f>
        <v>66</v>
      </c>
      <c r="S12" s="14">
        <f>('Baseline Given'!$K12*2)/'Baseline Given'!$H12</f>
        <v>143.83722403901629</v>
      </c>
      <c r="T12" s="14">
        <f>13000/'Baseline Given'!$B$22</f>
        <v>260</v>
      </c>
      <c r="U12" s="14">
        <f>IF(AND(R12&lt;S12,S12&lt;=T12),((((662/S12)+0.399*'Baseline Given'!$B$22))/0.1450377),(0.6*'Baseline Given'!$B$22))</f>
        <v>169.28305365277743</v>
      </c>
      <c r="V12" s="224"/>
      <c r="W12" s="8"/>
      <c r="X12" s="36">
        <f>'Alternative 1'!F12</f>
        <v>9</v>
      </c>
      <c r="Y12" s="14">
        <f>3300/'Alternative 1'!$B$21</f>
        <v>66</v>
      </c>
      <c r="Z12" s="14">
        <f>2*'Alternative 1'!$K12/'Alternative 1'!$B$17</f>
        <v>96.85</v>
      </c>
      <c r="AA12" s="14">
        <f>13000/'Alternative 1'!$B$21</f>
        <v>260</v>
      </c>
      <c r="AB12" s="14">
        <f>IF(AND(Y12&lt;Z12,Z12&lt;=AA12),((((662/Z12)+0.399*'Baseline Given'!$B$22))/0.1450377),(0.6*'Baseline Given'!$B$22))</f>
        <v>184.67827563914796</v>
      </c>
      <c r="AC12" s="217"/>
      <c r="AD12" s="36">
        <f>'Alternative 2'!F12</f>
        <v>9</v>
      </c>
      <c r="AE12" s="14">
        <f>3300/'Alternative 2'!$B$21</f>
        <v>66</v>
      </c>
      <c r="AF12" s="14">
        <f>2*'Alternative 2'!$K12/'Alternative 2'!$B$17</f>
        <v>117.39130434782609</v>
      </c>
      <c r="AG12" s="14">
        <f>13000/'Alternative 2'!$B$21</f>
        <v>260</v>
      </c>
      <c r="AH12" s="14">
        <f>IF(AND(AE12&lt;AF12,AF12&lt;=AG12),((((662/AF12)+0.399*'Alternative 2'!$B$21))/0.1450377),(0.6*'Alternative 2'!$B$21))</f>
        <v>176.43177780162856</v>
      </c>
      <c r="AI12" s="217"/>
      <c r="AJ12" s="36">
        <f>'Alternative 3'!F12</f>
        <v>9</v>
      </c>
      <c r="AK12" s="14">
        <f>3300/'Alternative 3'!$B$21</f>
        <v>66</v>
      </c>
      <c r="AL12" s="14">
        <f>2*'Alternative 3'!$K12/'Alternative 3'!$B$17</f>
        <v>189.25714285714287</v>
      </c>
      <c r="AM12" s="14">
        <f>13000/'Alternative 3'!$B$21</f>
        <v>260</v>
      </c>
      <c r="AN12" s="14">
        <f>IF(AND(AK12&lt;AL12,AL12&lt;=AM12),((((662/AL12)+0.399*'Alternative 3'!$B$21))/0.1450377),(0.6*'Alternative 3'!$B$21))</f>
        <v>161.66752832835846</v>
      </c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</row>
    <row r="13" spans="1:260" s="3" customFormat="1" ht="15" customHeight="1" x14ac:dyDescent="0.25">
      <c r="A13" s="10">
        <v>10</v>
      </c>
      <c r="B13" s="10">
        <v>2.4999999999999911E-2</v>
      </c>
      <c r="C13" s="10">
        <v>1.9019999999999999</v>
      </c>
      <c r="D13" s="10">
        <v>1.8895</v>
      </c>
      <c r="E13" s="10">
        <f t="shared" si="0"/>
        <v>1.89575</v>
      </c>
      <c r="F13" s="10">
        <f t="shared" si="1"/>
        <v>0.5350972370358561</v>
      </c>
      <c r="G13" s="10">
        <f t="shared" si="2"/>
        <v>11.290470748073563</v>
      </c>
      <c r="H13" s="10">
        <f t="shared" si="3"/>
        <v>0.21770095255259522</v>
      </c>
      <c r="I13" s="11">
        <f>('Baseline Given'!$B$20*A13)/H13</f>
        <v>104.58170178741729</v>
      </c>
      <c r="J13" s="12">
        <f>('Baseline Given'!$B$20*A13)/E13</f>
        <v>12.009777712616216</v>
      </c>
      <c r="K13" s="53">
        <v>10</v>
      </c>
      <c r="L13" s="95">
        <v>1595.6745351443963</v>
      </c>
      <c r="M13" s="95">
        <v>0.62593841283431984</v>
      </c>
      <c r="N13" s="95">
        <v>0.69652383433248366</v>
      </c>
      <c r="O13" s="95">
        <v>207.88961899806142</v>
      </c>
      <c r="P13" s="95">
        <v>124.48480179524637</v>
      </c>
      <c r="Q13" s="215"/>
      <c r="R13" s="14">
        <f>3300/'Baseline Given'!$B$22</f>
        <v>66</v>
      </c>
      <c r="S13" s="14">
        <f>('Baseline Given'!$K13*2)/'Baseline Given'!$H13</f>
        <v>144.0723481827502</v>
      </c>
      <c r="T13" s="14">
        <f>13000/'Baseline Given'!$B$22</f>
        <v>260</v>
      </c>
      <c r="U13" s="14">
        <f>IF(AND(R13&lt;S13,S13&lt;=T13),((((662/S13)+0.399*'Baseline Given'!$B$22))/0.1450377),(0.6*'Baseline Given'!$B$22))</f>
        <v>169.23126645822822</v>
      </c>
      <c r="V13" s="224"/>
      <c r="W13" s="8"/>
      <c r="X13" s="36">
        <f>'Alternative 1'!F13</f>
        <v>10</v>
      </c>
      <c r="Y13" s="14">
        <f>3300/'Alternative 1'!$B$21</f>
        <v>66</v>
      </c>
      <c r="Z13" s="14">
        <f>2*'Alternative 1'!$K13/'Alternative 1'!$B$17</f>
        <v>95.855555555555554</v>
      </c>
      <c r="AA13" s="14">
        <f>13000/'Alternative 1'!$B$21</f>
        <v>260</v>
      </c>
      <c r="AB13" s="14">
        <f>IF(AND(Y13&lt;Z13,Z13&lt;=AA13),((((662/Z13)+0.399*'Baseline Given'!$B$22))/0.1450377),(0.6*'Baseline Given'!$B$22))</f>
        <v>185.16719889767225</v>
      </c>
      <c r="AC13" s="217"/>
      <c r="AD13" s="36">
        <f>'Alternative 2'!F13</f>
        <v>10</v>
      </c>
      <c r="AE13" s="14">
        <f>3300/'Alternative 2'!$B$21</f>
        <v>66</v>
      </c>
      <c r="AF13" s="14">
        <f>2*'Alternative 2'!$K13/'Alternative 2'!$B$17</f>
        <v>115.43478260869566</v>
      </c>
      <c r="AG13" s="14">
        <f>13000/'Alternative 2'!$B$21</f>
        <v>260</v>
      </c>
      <c r="AH13" s="14">
        <f>IF(AND(AE13&lt;AF13,AF13&lt;=AG13),((((662/AF13)+0.399*'Alternative 2'!$B$21))/0.1450377),(0.6*'Alternative 2'!$B$21))</f>
        <v>177.09078346299228</v>
      </c>
      <c r="AI13" s="217"/>
      <c r="AJ13" s="36">
        <f>'Alternative 3'!F13</f>
        <v>10</v>
      </c>
      <c r="AK13" s="14">
        <f>3300/'Alternative 3'!$B$21</f>
        <v>66</v>
      </c>
      <c r="AL13" s="14">
        <f>2*'Alternative 3'!$K13/'Alternative 3'!$B$17</f>
        <v>187.28571428571431</v>
      </c>
      <c r="AM13" s="14">
        <f>13000/'Alternative 3'!$B$21</f>
        <v>260</v>
      </c>
      <c r="AN13" s="14">
        <f>IF(AND(AK13&lt;AL13,AL13&lt;=AM13),((((662/AL13)+0.399*'Alternative 3'!$B$21))/0.1450377),(0.6*'Alternative 3'!$B$21))</f>
        <v>161.92139237622362</v>
      </c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</row>
    <row r="14" spans="1:260" s="3" customFormat="1" ht="15" customHeight="1" x14ac:dyDescent="0.25">
      <c r="A14" s="10">
        <v>11</v>
      </c>
      <c r="B14" s="10">
        <v>2.4700000000000166E-2</v>
      </c>
      <c r="C14" s="10">
        <v>1.8922000000000001</v>
      </c>
      <c r="D14" s="10">
        <v>1.87985</v>
      </c>
      <c r="E14" s="10">
        <f t="shared" si="0"/>
        <v>1.8860250000000001</v>
      </c>
      <c r="F14" s="10">
        <f t="shared" si="1"/>
        <v>0.52058157698485197</v>
      </c>
      <c r="G14" s="10">
        <f t="shared" si="2"/>
        <v>11.174929988811396</v>
      </c>
      <c r="H14" s="10">
        <f t="shared" si="3"/>
        <v>0.21583505974419762</v>
      </c>
      <c r="I14" s="11">
        <f>('Baseline Given'!$B$20*A14)/H14</f>
        <v>116.03439097542025</v>
      </c>
      <c r="J14" s="12">
        <f>('Baseline Given'!$B$20*A14)/E14</f>
        <v>13.278874727833095</v>
      </c>
      <c r="K14" s="53">
        <v>11</v>
      </c>
      <c r="L14" s="95">
        <v>1584.655558648491</v>
      </c>
      <c r="M14" s="95">
        <v>0.62500197140431013</v>
      </c>
      <c r="N14" s="95">
        <v>0.6957640994003168</v>
      </c>
      <c r="O14" s="95">
        <v>207.68647445274652</v>
      </c>
      <c r="P14" s="95">
        <v>124.36315835493804</v>
      </c>
      <c r="Q14" s="215"/>
      <c r="R14" s="14">
        <f>3300/'Baseline Given'!$B$22</f>
        <v>66</v>
      </c>
      <c r="S14" s="14">
        <f>('Baseline Given'!$K14*2)/'Baseline Given'!$H14</f>
        <v>144.31072538919531</v>
      </c>
      <c r="T14" s="14">
        <f>13000/'Baseline Given'!$B$22</f>
        <v>260</v>
      </c>
      <c r="U14" s="14">
        <f>IF(AND(R14&lt;S14,S14&lt;=T14),((((662/S14)+0.399*'Baseline Given'!$B$22))/0.1450377),(0.6*'Baseline Given'!$B$22))</f>
        <v>169.17893503249894</v>
      </c>
      <c r="V14" s="224"/>
      <c r="W14" s="8"/>
      <c r="X14" s="36">
        <f>'Alternative 1'!F14</f>
        <v>11</v>
      </c>
      <c r="Y14" s="14">
        <f>3300/'Alternative 1'!$B$21</f>
        <v>66</v>
      </c>
      <c r="Z14" s="14">
        <f>2*'Alternative 1'!$K14/'Alternative 1'!$B$17</f>
        <v>94.861111111111114</v>
      </c>
      <c r="AA14" s="14">
        <f>13000/'Alternative 1'!$B$21</f>
        <v>260</v>
      </c>
      <c r="AB14" s="14">
        <f>IF(AND(Y14&lt;Z14,Z14&lt;=AA14),((((662/Z14)+0.399*'Baseline Given'!$B$22))/0.1450377),(0.6*'Baseline Given'!$B$22))</f>
        <v>185.66637308015274</v>
      </c>
      <c r="AC14" s="217"/>
      <c r="AD14" s="36">
        <f>'Alternative 2'!F14</f>
        <v>11</v>
      </c>
      <c r="AE14" s="14">
        <f>3300/'Alternative 2'!$B$21</f>
        <v>66</v>
      </c>
      <c r="AF14" s="14">
        <f>2*'Alternative 2'!$K14/'Alternative 2'!$B$17</f>
        <v>113.47826086956523</v>
      </c>
      <c r="AG14" s="14">
        <f>13000/'Alternative 2'!$B$21</f>
        <v>260</v>
      </c>
      <c r="AH14" s="14">
        <f>IF(AND(AE14&lt;AF14,AF14&lt;=AG14),((((662/AF14)+0.399*'Alternative 2'!$B$21))/0.1450377),(0.6*'Alternative 2'!$B$21))</f>
        <v>177.77251345750648</v>
      </c>
      <c r="AI14" s="217"/>
      <c r="AJ14" s="36">
        <f>'Alternative 3'!F14</f>
        <v>11</v>
      </c>
      <c r="AK14" s="14">
        <f>3300/'Alternative 3'!$B$21</f>
        <v>66</v>
      </c>
      <c r="AL14" s="14">
        <f>2*'Alternative 3'!$K14/'Alternative 3'!$B$17</f>
        <v>185.31428571428572</v>
      </c>
      <c r="AM14" s="14">
        <f>13000/'Alternative 3'!$B$21</f>
        <v>260</v>
      </c>
      <c r="AN14" s="14">
        <f>IF(AND(AK14&lt;AL14,AL14&lt;=AM14),((((662/AL14)+0.399*'Alternative 3'!$B$21))/0.1450377),(0.6*'Alternative 3'!$B$21))</f>
        <v>162.18065778680932</v>
      </c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</row>
    <row r="15" spans="1:260" s="3" customFormat="1" ht="15" customHeight="1" x14ac:dyDescent="0.25">
      <c r="A15" s="10">
        <v>12</v>
      </c>
      <c r="B15" s="10">
        <v>2.4399999999999977E-2</v>
      </c>
      <c r="C15" s="10">
        <v>1.8824000000000001</v>
      </c>
      <c r="D15" s="10">
        <v>1.8702000000000001</v>
      </c>
      <c r="E15" s="10">
        <f t="shared" si="0"/>
        <v>1.8763000000000001</v>
      </c>
      <c r="F15" s="10">
        <f t="shared" si="1"/>
        <v>0.50634458271165839</v>
      </c>
      <c r="G15" s="10">
        <f t="shared" si="2"/>
        <v>11.05998346579217</v>
      </c>
      <c r="H15" s="10">
        <f t="shared" si="3"/>
        <v>0.21396653075114933</v>
      </c>
      <c r="I15" s="11">
        <f>('Baseline Given'!$B$20*A15)/H15</f>
        <v>127.6883969774038</v>
      </c>
      <c r="J15" s="12">
        <f>('Baseline Given'!$B$20*A15)/E15</f>
        <v>14.561127388173869</v>
      </c>
      <c r="K15" s="53">
        <v>12</v>
      </c>
      <c r="L15" s="95">
        <v>1573.5223578319017</v>
      </c>
      <c r="M15" s="95">
        <v>0.6240468486717673</v>
      </c>
      <c r="N15" s="95">
        <v>0.69498920832740485</v>
      </c>
      <c r="O15" s="95">
        <v>207.4786777230795</v>
      </c>
      <c r="P15" s="95">
        <v>124.23872917549672</v>
      </c>
      <c r="Q15" s="215"/>
      <c r="R15" s="14">
        <f>3300/'Baseline Given'!$B$22</f>
        <v>66</v>
      </c>
      <c r="S15" s="14">
        <f>('Baseline Given'!$K15*2)/'Baseline Given'!$H15</f>
        <v>144.55242364031221</v>
      </c>
      <c r="T15" s="14">
        <f>13000/'Baseline Given'!$B$22</f>
        <v>260</v>
      </c>
      <c r="U15" s="14">
        <f>IF(AND(R15&lt;S15,S15&lt;=T15),((((662/S15)+0.399*'Baseline Given'!$B$22))/0.1450377),(0.6*'Baseline Given'!$B$22))</f>
        <v>169.12605075129221</v>
      </c>
      <c r="V15" s="224"/>
      <c r="W15" s="8"/>
      <c r="X15" s="36">
        <f>'Alternative 1'!F15</f>
        <v>12</v>
      </c>
      <c r="Y15" s="14">
        <f>3300/'Alternative 1'!$B$21</f>
        <v>66</v>
      </c>
      <c r="Z15" s="14">
        <f>2*'Alternative 1'!$K15/'Alternative 1'!$B$17</f>
        <v>93.86666666666666</v>
      </c>
      <c r="AA15" s="14">
        <f>13000/'Alternative 1'!$B$21</f>
        <v>260</v>
      </c>
      <c r="AB15" s="14">
        <f>IF(AND(Y15&lt;Z15,Z15&lt;=AA15),((((662/Z15)+0.399*'Baseline Given'!$B$22))/0.1450377),(0.6*'Baseline Given'!$B$22))</f>
        <v>186.17612398832733</v>
      </c>
      <c r="AC15" s="217"/>
      <c r="AD15" s="36">
        <f>'Alternative 2'!F15</f>
        <v>12</v>
      </c>
      <c r="AE15" s="14">
        <f>3300/'Alternative 2'!$B$21</f>
        <v>66</v>
      </c>
      <c r="AF15" s="14">
        <f>2*'Alternative 2'!$K15/'Alternative 2'!$B$17</f>
        <v>111.5217391304348</v>
      </c>
      <c r="AG15" s="14">
        <f>13000/'Alternative 2'!$B$21</f>
        <v>260</v>
      </c>
      <c r="AH15" s="14">
        <f>IF(AND(AE15&lt;AF15,AF15&lt;=AG15),((((662/AF15)+0.399*'Alternative 2'!$B$21))/0.1450377),(0.6*'Alternative 2'!$B$21))</f>
        <v>178.47816380270541</v>
      </c>
      <c r="AI15" s="217"/>
      <c r="AJ15" s="36">
        <f>'Alternative 3'!F15</f>
        <v>12</v>
      </c>
      <c r="AK15" s="14">
        <f>3300/'Alternative 3'!$B$21</f>
        <v>66</v>
      </c>
      <c r="AL15" s="14">
        <f>2*'Alternative 3'!$K15/'Alternative 3'!$B$17</f>
        <v>183.34285714285713</v>
      </c>
      <c r="AM15" s="14">
        <f>13000/'Alternative 3'!$B$21</f>
        <v>260</v>
      </c>
      <c r="AN15" s="14">
        <f>IF(AND(AK15&lt;AL15,AL15&lt;=AM15),((((662/AL15)+0.399*'Alternative 3'!$B$21))/0.1450377),(0.6*'Alternative 3'!$B$21))</f>
        <v>162.44549879762263</v>
      </c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</row>
    <row r="16" spans="1:260" s="3" customFormat="1" ht="15" customHeight="1" x14ac:dyDescent="0.25">
      <c r="A16" s="10">
        <v>13</v>
      </c>
      <c r="B16" s="10">
        <v>2.4100000000000232E-2</v>
      </c>
      <c r="C16" s="10">
        <v>1.8726</v>
      </c>
      <c r="D16" s="10">
        <v>1.8605499999999999</v>
      </c>
      <c r="E16" s="10">
        <f t="shared" si="0"/>
        <v>1.8665750000000001</v>
      </c>
      <c r="F16" s="10">
        <f t="shared" si="1"/>
        <v>0.49238281039177373</v>
      </c>
      <c r="G16" s="10">
        <f t="shared" si="2"/>
        <v>10.945631179015887</v>
      </c>
      <c r="H16" s="10">
        <f t="shared" si="3"/>
        <v>0.21209529590024512</v>
      </c>
      <c r="I16" s="11">
        <f>('Baseline Given'!$B$20*A16)/H16</f>
        <v>139.54952090130558</v>
      </c>
      <c r="J16" s="12">
        <f>('Baseline Given'!$B$20*A16)/E16</f>
        <v>15.856741319421856</v>
      </c>
      <c r="K16" s="53">
        <v>13</v>
      </c>
      <c r="L16" s="95">
        <v>1562.273147342072</v>
      </c>
      <c r="M16" s="95">
        <v>0.62307247653388798</v>
      </c>
      <c r="N16" s="95">
        <v>0.6941987002119433</v>
      </c>
      <c r="O16" s="95">
        <v>207.26606450631968</v>
      </c>
      <c r="P16" s="95">
        <v>124.11141587204771</v>
      </c>
      <c r="Q16" s="215"/>
      <c r="R16" s="14">
        <f>3300/'Baseline Given'!$B$22</f>
        <v>66</v>
      </c>
      <c r="S16" s="14">
        <f>('Baseline Given'!$K16*2)/'Baseline Given'!$H16</f>
        <v>144.79751282558351</v>
      </c>
      <c r="T16" s="14">
        <f>13000/'Baseline Given'!$B$22</f>
        <v>260</v>
      </c>
      <c r="U16" s="14">
        <f>IF(AND(R16&lt;S16,S16&lt;=T16),((((662/S16)+0.399*'Baseline Given'!$B$22))/0.1450377),(0.6*'Baseline Given'!$B$22))</f>
        <v>169.07260480711997</v>
      </c>
      <c r="V16" s="224"/>
      <c r="W16" s="8"/>
      <c r="X16" s="36">
        <f>'Alternative 1'!F16</f>
        <v>13</v>
      </c>
      <c r="Y16" s="14">
        <f>3300/'Alternative 1'!$B$21</f>
        <v>66</v>
      </c>
      <c r="Z16" s="14">
        <f>2*'Alternative 1'!$K16/'Alternative 1'!$B$17</f>
        <v>92.87222222222222</v>
      </c>
      <c r="AA16" s="14">
        <f>13000/'Alternative 1'!$B$21</f>
        <v>260</v>
      </c>
      <c r="AB16" s="14">
        <f>IF(AND(Y16&lt;Z16,Z16&lt;=AA16),((((662/Z16)+0.399*'Baseline Given'!$B$22))/0.1450377),(0.6*'Baseline Given'!$B$22))</f>
        <v>186.69679137823468</v>
      </c>
      <c r="AC16" s="217"/>
      <c r="AD16" s="36">
        <f>'Alternative 2'!F16</f>
        <v>13</v>
      </c>
      <c r="AE16" s="14">
        <f>3300/'Alternative 2'!$B$21</f>
        <v>66</v>
      </c>
      <c r="AF16" s="14">
        <f>2*'Alternative 2'!$K16/'Alternative 2'!$B$17</f>
        <v>109.56521739130436</v>
      </c>
      <c r="AG16" s="14">
        <f>13000/'Alternative 2'!$B$21</f>
        <v>260</v>
      </c>
      <c r="AH16" s="14">
        <f>IF(AND(AE16&lt;AF16,AF16&lt;=AG16),((((662/AF16)+0.399*'Alternative 2'!$B$21))/0.1450377),(0.6*'Alternative 2'!$B$21))</f>
        <v>179.20901594594713</v>
      </c>
      <c r="AI16" s="217"/>
      <c r="AJ16" s="36">
        <f>'Alternative 3'!F16</f>
        <v>13</v>
      </c>
      <c r="AK16" s="14">
        <f>3300/'Alternative 3'!$B$21</f>
        <v>66</v>
      </c>
      <c r="AL16" s="14">
        <f>2*'Alternative 3'!$K16/'Alternative 3'!$B$17</f>
        <v>181.37142857142857</v>
      </c>
      <c r="AM16" s="14">
        <f>13000/'Alternative 3'!$B$21</f>
        <v>260</v>
      </c>
      <c r="AN16" s="14">
        <f>IF(AND(AK16&lt;AL16,AL16&lt;=AM16),((((662/AL16)+0.399*'Alternative 3'!$B$21))/0.1450377),(0.6*'Alternative 3'!$B$21))</f>
        <v>162.71609722171453</v>
      </c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</row>
    <row r="17" spans="1:260" s="3" customFormat="1" ht="15" customHeight="1" x14ac:dyDescent="0.25">
      <c r="A17" s="10">
        <v>14</v>
      </c>
      <c r="B17" s="10">
        <v>2.3800000000000043E-2</v>
      </c>
      <c r="C17" s="10">
        <v>1.8628</v>
      </c>
      <c r="D17" s="10">
        <v>1.8509</v>
      </c>
      <c r="E17" s="10">
        <f t="shared" si="0"/>
        <v>1.8568500000000001</v>
      </c>
      <c r="F17" s="10">
        <f t="shared" si="1"/>
        <v>0.47869283700485027</v>
      </c>
      <c r="G17" s="10">
        <f t="shared" si="2"/>
        <v>10.831873128482542</v>
      </c>
      <c r="H17" s="10">
        <f t="shared" si="3"/>
        <v>0.21022128293483913</v>
      </c>
      <c r="I17" s="11">
        <f>('Baseline Given'!$B$20*A17)/H17</f>
        <v>151.62380370425677</v>
      </c>
      <c r="J17" s="12">
        <f>('Baseline Given'!$B$20*A17)/E17</f>
        <v>17.165926455108959</v>
      </c>
      <c r="K17" s="53">
        <v>14</v>
      </c>
      <c r="L17" s="95">
        <v>1550.9061044241619</v>
      </c>
      <c r="M17" s="95">
        <v>0.62207826346307227</v>
      </c>
      <c r="N17" s="95">
        <v>0.69339209514759048</v>
      </c>
      <c r="O17" s="95">
        <v>207.04846258275344</v>
      </c>
      <c r="P17" s="95">
        <v>123.98111531901404</v>
      </c>
      <c r="Q17" s="215"/>
      <c r="R17" s="14">
        <f>3300/'Baseline Given'!$B$22</f>
        <v>66</v>
      </c>
      <c r="S17" s="14">
        <f>('Baseline Given'!$K17*2)/'Baseline Given'!$H17</f>
        <v>145.04606480939086</v>
      </c>
      <c r="T17" s="14">
        <f>13000/'Baseline Given'!$B$22</f>
        <v>260</v>
      </c>
      <c r="U17" s="14">
        <f>IF(AND(R17&lt;S17,S17&lt;=T17),((((662/S17)+0.399*'Baseline Given'!$B$22))/0.1450377),(0.6*'Baseline Given'!$B$22))</f>
        <v>169.01858820441385</v>
      </c>
      <c r="V17" s="224"/>
      <c r="W17" s="8"/>
      <c r="X17" s="36">
        <f>'Alternative 1'!F17</f>
        <v>14</v>
      </c>
      <c r="Y17" s="14">
        <f>3300/'Alternative 1'!$B$21</f>
        <v>66</v>
      </c>
      <c r="Z17" s="14">
        <f>2*'Alternative 1'!$K17/'Alternative 1'!$B$17</f>
        <v>91.87777777777778</v>
      </c>
      <c r="AA17" s="14">
        <f>13000/'Alternative 1'!$B$21</f>
        <v>260</v>
      </c>
      <c r="AB17" s="14">
        <f>IF(AND(Y17&lt;Z17,Z17&lt;=AA17),((((662/Z17)+0.399*'Baseline Given'!$B$22))/0.1450377),(0.6*'Baseline Given'!$B$22))</f>
        <v>187.22872971539002</v>
      </c>
      <c r="AC17" s="217"/>
      <c r="AD17" s="36">
        <f>'Alternative 2'!F17</f>
        <v>14</v>
      </c>
      <c r="AE17" s="14">
        <f>3300/'Alternative 2'!$B$21</f>
        <v>66</v>
      </c>
      <c r="AF17" s="14">
        <f>2*'Alternative 2'!$K17/'Alternative 2'!$B$17</f>
        <v>107.60869565217392</v>
      </c>
      <c r="AG17" s="14">
        <f>13000/'Alternative 2'!$B$21</f>
        <v>260</v>
      </c>
      <c r="AH17" s="14">
        <f>IF(AND(AE17&lt;AF17,AF17&lt;=AG17),((((662/AF17)+0.399*'Alternative 2'!$B$21))/0.1450377),(0.6*'Alternative 2'!$B$21))</f>
        <v>179.96644453076129</v>
      </c>
      <c r="AI17" s="217"/>
      <c r="AJ17" s="36">
        <f>'Alternative 3'!F17</f>
        <v>14</v>
      </c>
      <c r="AK17" s="14">
        <f>3300/'Alternative 3'!$B$21</f>
        <v>66</v>
      </c>
      <c r="AL17" s="14">
        <f>2*'Alternative 3'!$K17/'Alternative 3'!$B$17</f>
        <v>179.4</v>
      </c>
      <c r="AM17" s="14">
        <f>13000/'Alternative 3'!$B$21</f>
        <v>260</v>
      </c>
      <c r="AN17" s="14">
        <f>IF(AND(AK17&lt;AL17,AL17&lt;=AM17),((((662/AL17)+0.399*'Alternative 3'!$B$21))/0.1450377),(0.6*'Alternative 3'!$B$21))</f>
        <v>162.99264286391835</v>
      </c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</row>
    <row r="18" spans="1:260" s="3" customFormat="1" ht="15" customHeight="1" x14ac:dyDescent="0.25">
      <c r="A18" s="10">
        <v>15</v>
      </c>
      <c r="B18" s="10">
        <v>2.3499999999999854E-2</v>
      </c>
      <c r="C18" s="10">
        <v>1.853</v>
      </c>
      <c r="D18" s="10">
        <v>1.8412500000000001</v>
      </c>
      <c r="E18" s="10">
        <f t="shared" si="0"/>
        <v>1.8471250000000001</v>
      </c>
      <c r="F18" s="10">
        <f t="shared" si="1"/>
        <v>0.46527126033475935</v>
      </c>
      <c r="G18" s="10">
        <f t="shared" si="2"/>
        <v>10.718709314192143</v>
      </c>
      <c r="H18" s="10">
        <f t="shared" si="3"/>
        <v>0.20834441688932975</v>
      </c>
      <c r="I18" s="11">
        <f>('Baseline Given'!$B$20*A18)/H18</f>
        <v>163.9175393222996</v>
      </c>
      <c r="J18" s="12">
        <f>('Baseline Given'!$B$20*A18)/E18</f>
        <v>18.488897149915836</v>
      </c>
      <c r="K18" s="53">
        <v>15</v>
      </c>
      <c r="L18" s="95">
        <v>1539.4193679366485</v>
      </c>
      <c r="M18" s="95">
        <v>0.62106359327832983</v>
      </c>
      <c r="N18" s="95">
        <v>0.692568893226709</v>
      </c>
      <c r="O18" s="95">
        <v>206.82569132925363</v>
      </c>
      <c r="P18" s="95">
        <v>123.84771935883451</v>
      </c>
      <c r="Q18" s="215"/>
      <c r="R18" s="14">
        <f>3300/'Baseline Given'!$B$22</f>
        <v>66</v>
      </c>
      <c r="S18" s="14">
        <f>('Baseline Given'!$K18*2)/'Baseline Given'!$H18</f>
        <v>145.29815350126819</v>
      </c>
      <c r="T18" s="14">
        <f>13000/'Baseline Given'!$B$22</f>
        <v>260</v>
      </c>
      <c r="U18" s="14">
        <f>IF(AND(R18&lt;S18,S18&lt;=T18),((((662/S18)+0.399*'Baseline Given'!$B$22))/0.1450377),(0.6*'Baseline Given'!$B$22))</f>
        <v>168.96399175447758</v>
      </c>
      <c r="V18" s="224"/>
      <c r="W18" s="8"/>
      <c r="X18" s="36">
        <f>'Alternative 1'!F18</f>
        <v>15</v>
      </c>
      <c r="Y18" s="14">
        <f>3300/'Alternative 1'!$B$21</f>
        <v>66</v>
      </c>
      <c r="Z18" s="14">
        <f>2*'Alternative 1'!$K18/'Alternative 1'!$B$17</f>
        <v>90.88333333333334</v>
      </c>
      <c r="AA18" s="14">
        <f>13000/'Alternative 1'!$B$21</f>
        <v>260</v>
      </c>
      <c r="AB18" s="14">
        <f>IF(AND(Y18&lt;Z18,Z18&lt;=AA18),((((662/Z18)+0.399*'Baseline Given'!$B$22))/0.1450377),(0.6*'Baseline Given'!$B$22))</f>
        <v>187.77230897953976</v>
      </c>
      <c r="AC18" s="217"/>
      <c r="AD18" s="36">
        <f>'Alternative 2'!F18</f>
        <v>15</v>
      </c>
      <c r="AE18" s="14">
        <f>3300/'Alternative 2'!$B$21</f>
        <v>66</v>
      </c>
      <c r="AF18" s="14">
        <f>2*'Alternative 2'!$K18/'Alternative 2'!$B$17</f>
        <v>105.65217391304348</v>
      </c>
      <c r="AG18" s="14">
        <f>13000/'Alternative 2'!$B$21</f>
        <v>260</v>
      </c>
      <c r="AH18" s="14">
        <f>IF(AND(AE18&lt;AF18,AF18&lt;=AG18),((((662/AF18)+0.399*'Alternative 2'!$B$21))/0.1450377),(0.6*'Alternative 2'!$B$21))</f>
        <v>180.75192602612412</v>
      </c>
      <c r="AI18" s="217"/>
      <c r="AJ18" s="36">
        <f>'Alternative 3'!F18</f>
        <v>15</v>
      </c>
      <c r="AK18" s="14">
        <f>3300/'Alternative 3'!$B$21</f>
        <v>66</v>
      </c>
      <c r="AL18" s="14">
        <f>2*'Alternative 3'!$K18/'Alternative 3'!$B$17</f>
        <v>177.42857142857142</v>
      </c>
      <c r="AM18" s="14">
        <f>13000/'Alternative 3'!$B$21</f>
        <v>260</v>
      </c>
      <c r="AN18" s="14">
        <f>IF(AND(AK18&lt;AL18,AL18&lt;=AM18),((((662/AL18)+0.399*'Alternative 3'!$B$21))/0.1450377),(0.6*'Alternative 3'!$B$21))</f>
        <v>163.27533396483778</v>
      </c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</row>
    <row r="19" spans="1:260" s="3" customFormat="1" ht="15" customHeight="1" x14ac:dyDescent="0.25">
      <c r="A19" s="10">
        <v>16</v>
      </c>
      <c r="B19" s="10">
        <v>2.3200000000000109E-2</v>
      </c>
      <c r="C19" s="10">
        <v>1.8431999999999999</v>
      </c>
      <c r="D19" s="10">
        <v>1.8315999999999999</v>
      </c>
      <c r="E19" s="10">
        <f t="shared" si="0"/>
        <v>1.8373999999999999</v>
      </c>
      <c r="F19" s="10">
        <f t="shared" si="1"/>
        <v>0.45211469896956213</v>
      </c>
      <c r="G19" s="10">
        <f t="shared" si="2"/>
        <v>10.606139736144678</v>
      </c>
      <c r="H19" s="10">
        <f t="shared" si="3"/>
        <v>0.2064646199559837</v>
      </c>
      <c r="I19" s="11">
        <f>('Baseline Given'!$B$20*A19)/H19</f>
        <v>176.43728870192689</v>
      </c>
      <c r="J19" s="12">
        <f>('Baseline Given'!$B$20*A19)/E19</f>
        <v>19.825872296673296</v>
      </c>
      <c r="K19" s="53">
        <v>16</v>
      </c>
      <c r="L19" s="95">
        <v>1527.8110373353725</v>
      </c>
      <c r="M19" s="95">
        <v>0.62002782383792254</v>
      </c>
      <c r="N19" s="95">
        <v>0.69172857347970651</v>
      </c>
      <c r="O19" s="95">
        <v>206.59756119631723</v>
      </c>
      <c r="P19" s="95">
        <v>123.71111448881271</v>
      </c>
      <c r="Q19" s="215"/>
      <c r="R19" s="14">
        <f>3300/'Baseline Given'!$B$22</f>
        <v>66</v>
      </c>
      <c r="S19" s="14">
        <f>('Baseline Given'!$K19*2)/'Baseline Given'!$H19</f>
        <v>145.5538549291756</v>
      </c>
      <c r="T19" s="14">
        <f>13000/'Baseline Given'!$B$22</f>
        <v>260</v>
      </c>
      <c r="U19" s="14">
        <f>IF(AND(R19&lt;S19,S19&lt;=T19),((((662/S19)+0.399*'Baseline Given'!$B$22))/0.1450377),(0.6*'Baseline Given'!$B$22))</f>
        <v>168.90880607027623</v>
      </c>
      <c r="V19" s="224"/>
      <c r="W19" s="8"/>
      <c r="X19" s="36">
        <f>'Alternative 1'!F19</f>
        <v>16</v>
      </c>
      <c r="Y19" s="14">
        <f>3300/'Alternative 1'!$B$21</f>
        <v>66</v>
      </c>
      <c r="Z19" s="14">
        <f>2*'Alternative 1'!$K19/'Alternative 1'!$B$17</f>
        <v>89.888888888888886</v>
      </c>
      <c r="AA19" s="14">
        <f>13000/'Alternative 1'!$B$21</f>
        <v>260</v>
      </c>
      <c r="AB19" s="14">
        <f>IF(AND(Y19&lt;Z19,Z19&lt;=AA19),((((662/Z19)+0.399*'Baseline Given'!$B$22))/0.1450377),(0.6*'Baseline Given'!$B$22))</f>
        <v>188.32791552283447</v>
      </c>
      <c r="AC19" s="217"/>
      <c r="AD19" s="36">
        <f>'Alternative 2'!F19</f>
        <v>16</v>
      </c>
      <c r="AE19" s="14">
        <f>3300/'Alternative 2'!$B$21</f>
        <v>66</v>
      </c>
      <c r="AF19" s="14">
        <f>2*'Alternative 2'!$K19/'Alternative 2'!$B$17</f>
        <v>103.69565217391305</v>
      </c>
      <c r="AG19" s="14">
        <f>13000/'Alternative 2'!$B$21</f>
        <v>260</v>
      </c>
      <c r="AH19" s="14">
        <f>IF(AND(AE19&lt;AF19,AF19&lt;=AG19),((((662/AF19)+0.399*'Alternative 2'!$B$21))/0.1450377),(0.6*'Alternative 2'!$B$21))</f>
        <v>181.56704833263271</v>
      </c>
      <c r="AI19" s="217"/>
      <c r="AJ19" s="36">
        <f>'Alternative 3'!F19</f>
        <v>16</v>
      </c>
      <c r="AK19" s="14">
        <f>3300/'Alternative 3'!$B$21</f>
        <v>66</v>
      </c>
      <c r="AL19" s="14">
        <f>2*'Alternative 3'!$K19/'Alternative 3'!$B$17</f>
        <v>175.45714285714286</v>
      </c>
      <c r="AM19" s="14">
        <f>13000/'Alternative 3'!$B$21</f>
        <v>260</v>
      </c>
      <c r="AN19" s="14">
        <f>IF(AND(AK19&lt;AL19,AL19&lt;=AM19),((((662/AL19)+0.399*'Alternative 3'!$B$21))/0.1450377),(0.6*'Alternative 3'!$B$21))</f>
        <v>163.56437767476663</v>
      </c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</row>
    <row r="20" spans="1:260" s="3" customFormat="1" ht="15" customHeight="1" x14ac:dyDescent="0.25">
      <c r="A20" s="10">
        <v>17</v>
      </c>
      <c r="B20" s="10">
        <v>2.289999999999992E-2</v>
      </c>
      <c r="C20" s="10">
        <v>1.8333999999999999</v>
      </c>
      <c r="D20" s="10">
        <v>1.82195</v>
      </c>
      <c r="E20" s="10">
        <f t="shared" si="0"/>
        <v>1.8276749999999999</v>
      </c>
      <c r="F20" s="10">
        <f t="shared" si="1"/>
        <v>0.43921979230148533</v>
      </c>
      <c r="G20" s="10">
        <f t="shared" si="2"/>
        <v>10.49416439434016</v>
      </c>
      <c r="H20" s="10">
        <f t="shared" si="3"/>
        <v>0.20458181134355494</v>
      </c>
      <c r="I20" s="11">
        <f>('Baseline Given'!$B$20*A20)/H20</f>
        <v>189.18989480829069</v>
      </c>
      <c r="J20" s="12">
        <f>('Baseline Given'!$B$20*A20)/E20</f>
        <v>21.177075447099035</v>
      </c>
      <c r="K20" s="53">
        <v>17</v>
      </c>
      <c r="L20" s="95">
        <v>1516.079171625147</v>
      </c>
      <c r="M20" s="95">
        <v>0.61897028564726597</v>
      </c>
      <c r="N20" s="95">
        <v>0.6908705927456269</v>
      </c>
      <c r="O20" s="95">
        <v>206.36387314533479</v>
      </c>
      <c r="P20" s="95">
        <v>123.57118152415258</v>
      </c>
      <c r="Q20" s="215"/>
      <c r="R20" s="14">
        <f>3300/'Baseline Given'!$B$22</f>
        <v>66</v>
      </c>
      <c r="S20" s="14">
        <f>('Baseline Given'!$K20*2)/'Baseline Given'!$H20</f>
        <v>145.81324731594614</v>
      </c>
      <c r="T20" s="14">
        <f>13000/'Baseline Given'!$B$22</f>
        <v>260</v>
      </c>
      <c r="U20" s="14">
        <f>IF(AND(R20&lt;S20,S20&lt;=T20),((((662/S20)+0.399*'Baseline Given'!$B$22))/0.1450377),(0.6*'Baseline Given'!$B$22))</f>
        <v>168.85302156105558</v>
      </c>
      <c r="V20" s="224"/>
      <c r="W20" s="8"/>
      <c r="X20" s="36">
        <f>'Alternative 1'!F20</f>
        <v>17</v>
      </c>
      <c r="Y20" s="14">
        <f>3300/'Alternative 1'!$B$21</f>
        <v>66</v>
      </c>
      <c r="Z20" s="14">
        <f>2*'Alternative 1'!$K20/'Alternative 1'!$B$17</f>
        <v>88.894444444444446</v>
      </c>
      <c r="AA20" s="14">
        <f>13000/'Alternative 1'!$B$21</f>
        <v>260</v>
      </c>
      <c r="AB20" s="14">
        <f>IF(AND(Y20&lt;Z20,Z20&lt;=AA20),((((662/Z20)+0.399*'Baseline Given'!$B$22))/0.1450377),(0.6*'Baseline Given'!$B$22))</f>
        <v>188.89595298560295</v>
      </c>
      <c r="AC20" s="217"/>
      <c r="AD20" s="36">
        <f>'Alternative 2'!F20</f>
        <v>17</v>
      </c>
      <c r="AE20" s="14">
        <f>3300/'Alternative 2'!$B$21</f>
        <v>66</v>
      </c>
      <c r="AF20" s="14">
        <f>2*'Alternative 2'!$K20/'Alternative 2'!$B$17</f>
        <v>101.73913043478262</v>
      </c>
      <c r="AG20" s="14">
        <f>13000/'Alternative 2'!$B$21</f>
        <v>260</v>
      </c>
      <c r="AH20" s="14">
        <f>IF(AND(AE20&lt;AF20,AF20&lt;=AG20),((((662/AF20)+0.399*'Alternative 2'!$B$21))/0.1450377),(0.6*'Alternative 2'!$B$21))</f>
        <v>182.41352149708393</v>
      </c>
      <c r="AI20" s="217"/>
      <c r="AJ20" s="36">
        <f>'Alternative 3'!F20</f>
        <v>17</v>
      </c>
      <c r="AK20" s="14">
        <f>3300/'Alternative 3'!$B$21</f>
        <v>66</v>
      </c>
      <c r="AL20" s="14">
        <f>2*'Alternative 3'!$K20/'Alternative 3'!$B$17</f>
        <v>173.48571428571429</v>
      </c>
      <c r="AM20" s="14">
        <f>13000/'Alternative 3'!$B$21</f>
        <v>260</v>
      </c>
      <c r="AN20" s="14">
        <f>IF(AND(AK20&lt;AL20,AL20&lt;=AM20),((((662/AL20)+0.399*'Alternative 3'!$B$21))/0.1450377),(0.6*'Alternative 3'!$B$21))</f>
        <v>163.85999055992119</v>
      </c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</row>
    <row r="21" spans="1:260" s="3" customFormat="1" ht="15" customHeight="1" x14ac:dyDescent="0.25">
      <c r="A21" s="10">
        <v>18</v>
      </c>
      <c r="B21" s="10">
        <v>2.2599999999999731E-2</v>
      </c>
      <c r="C21" s="10">
        <v>1.8235999999999999</v>
      </c>
      <c r="D21" s="10">
        <v>1.8123</v>
      </c>
      <c r="E21" s="10">
        <f t="shared" si="0"/>
        <v>1.81795</v>
      </c>
      <c r="F21" s="10">
        <f t="shared" si="1"/>
        <v>0.42658320052697235</v>
      </c>
      <c r="G21" s="10">
        <f t="shared" si="2"/>
        <v>10.382783288778581</v>
      </c>
      <c r="H21" s="10">
        <f t="shared" si="3"/>
        <v>0.20269590712710264</v>
      </c>
      <c r="I21" s="11">
        <f>('Baseline Given'!$B$20*A21)/H21</f>
        <v>202.18249869223069</v>
      </c>
      <c r="J21" s="12">
        <f>('Baseline Given'!$B$20*A21)/E21</f>
        <v>22.542734936409662</v>
      </c>
      <c r="K21" s="53">
        <v>18</v>
      </c>
      <c r="L21" s="95">
        <v>1504.2217882779876</v>
      </c>
      <c r="M21" s="95">
        <v>0.61789028037558502</v>
      </c>
      <c r="N21" s="95">
        <v>0.68999438446871209</v>
      </c>
      <c r="O21" s="95">
        <v>206.12441804250881</v>
      </c>
      <c r="P21" s="95">
        <v>123.42779523503522</v>
      </c>
      <c r="Q21" s="215"/>
      <c r="R21" s="14">
        <f>3300/'Baseline Given'!$B$22</f>
        <v>66</v>
      </c>
      <c r="S21" s="14">
        <f>('Baseline Given'!$K21*2)/'Baseline Given'!$H21</f>
        <v>146.07641115906716</v>
      </c>
      <c r="T21" s="14">
        <f>13000/'Baseline Given'!$B$22</f>
        <v>260</v>
      </c>
      <c r="U21" s="14">
        <f>IF(AND(R21&lt;S21,S21&lt;=T21),((((662/S21)+0.399*'Baseline Given'!$B$22))/0.1450377),(0.6*'Baseline Given'!$B$22))</f>
        <v>168.79662842678573</v>
      </c>
      <c r="V21" s="224"/>
      <c r="W21" s="8"/>
      <c r="X21" s="36">
        <f>'Alternative 1'!F21</f>
        <v>18</v>
      </c>
      <c r="Y21" s="14">
        <f>3300/'Alternative 1'!$B$21</f>
        <v>66</v>
      </c>
      <c r="Z21" s="14">
        <f>2*'Alternative 1'!$K21/'Alternative 1'!$B$17</f>
        <v>87.899999999999991</v>
      </c>
      <c r="AA21" s="14">
        <f>13000/'Alternative 1'!$B$21</f>
        <v>260</v>
      </c>
      <c r="AB21" s="14">
        <f>IF(AND(Y21&lt;Z21,Z21&lt;=AA21),((((662/Z21)+0.399*'Baseline Given'!$B$22))/0.1450377),(0.6*'Baseline Given'!$B$22))</f>
        <v>189.47684327428919</v>
      </c>
      <c r="AC21" s="217"/>
      <c r="AD21" s="36">
        <f>'Alternative 2'!F21</f>
        <v>18</v>
      </c>
      <c r="AE21" s="14">
        <f>3300/'Alternative 2'!$B$21</f>
        <v>66</v>
      </c>
      <c r="AF21" s="14">
        <f>2*'Alternative 2'!$K21/'Alternative 2'!$B$17</f>
        <v>99.782608695652186</v>
      </c>
      <c r="AG21" s="14">
        <f>13000/'Alternative 2'!$B$21</f>
        <v>260</v>
      </c>
      <c r="AH21" s="14">
        <f>IF(AND(AE21&lt;AF21,AF21&lt;=AG21),((((662/AF21)+0.399*'Alternative 2'!$B$21))/0.1450377),(0.6*'Alternative 2'!$B$21))</f>
        <v>183.29318968759208</v>
      </c>
      <c r="AI21" s="217"/>
      <c r="AJ21" s="36">
        <f>'Alternative 3'!F21</f>
        <v>18</v>
      </c>
      <c r="AK21" s="14">
        <f>3300/'Alternative 3'!$B$21</f>
        <v>66</v>
      </c>
      <c r="AL21" s="14">
        <f>2*'Alternative 3'!$K21/'Alternative 3'!$B$17</f>
        <v>171.51428571428571</v>
      </c>
      <c r="AM21" s="14">
        <f>13000/'Alternative 3'!$B$21</f>
        <v>260</v>
      </c>
      <c r="AN21" s="14">
        <f>IF(AND(AK21&lt;AL21,AL21&lt;=AM21),((((662/AL21)+0.399*'Alternative 3'!$B$21))/0.1450377),(0.6*'Alternative 3'!$B$21))</f>
        <v>164.16239914358499</v>
      </c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</row>
    <row r="22" spans="1:260" s="3" customFormat="1" ht="15" customHeight="1" x14ac:dyDescent="0.25">
      <c r="A22" s="10">
        <v>19</v>
      </c>
      <c r="B22" s="10">
        <v>2.2300000000000431E-2</v>
      </c>
      <c r="C22" s="10">
        <v>1.8138000000000001</v>
      </c>
      <c r="D22" s="10">
        <v>1.8026499999999999</v>
      </c>
      <c r="E22" s="10">
        <f t="shared" si="0"/>
        <v>1.808225</v>
      </c>
      <c r="F22" s="10">
        <f t="shared" si="1"/>
        <v>0.41420160464666544</v>
      </c>
      <c r="G22" s="10">
        <f t="shared" si="2"/>
        <v>10.271996419459944</v>
      </c>
      <c r="H22" s="10">
        <f t="shared" si="3"/>
        <v>0.20080682008830705</v>
      </c>
      <c r="I22" s="11">
        <f>('Baseline Given'!$B$20*A22)/H22</f>
        <v>215.42255670644971</v>
      </c>
      <c r="J22" s="12">
        <f>('Baseline Given'!$B$20*A22)/E22</f>
        <v>23.923084011953804</v>
      </c>
      <c r="K22" s="53">
        <v>19</v>
      </c>
      <c r="L22" s="95">
        <v>1492.2368621161925</v>
      </c>
      <c r="M22" s="95">
        <v>0.61678707927415866</v>
      </c>
      <c r="N22" s="95">
        <v>0.68909935741512496</v>
      </c>
      <c r="O22" s="95">
        <v>205.87897600544642</v>
      </c>
      <c r="P22" s="95">
        <v>123.28082395535714</v>
      </c>
      <c r="Q22" s="215"/>
      <c r="R22" s="14">
        <f>3300/'Baseline Given'!$B$22</f>
        <v>66</v>
      </c>
      <c r="S22" s="14">
        <f>('Baseline Given'!$K22*2)/'Baseline Given'!$H22</f>
        <v>146.34342931396699</v>
      </c>
      <c r="T22" s="14">
        <f>13000/'Baseline Given'!$B$22</f>
        <v>260</v>
      </c>
      <c r="U22" s="14">
        <f>IF(AND(R22&lt;S22,S22&lt;=T22),((((662/S22)+0.399*'Baseline Given'!$B$22))/0.1450377),(0.6*'Baseline Given'!$B$22))</f>
        <v>168.73961665242155</v>
      </c>
      <c r="V22" s="224"/>
      <c r="W22" s="8"/>
      <c r="X22" s="36">
        <f>'Alternative 1'!F22</f>
        <v>19</v>
      </c>
      <c r="Y22" s="14">
        <f>3300/'Alternative 1'!$B$21</f>
        <v>66</v>
      </c>
      <c r="Z22" s="14">
        <f>2*'Alternative 1'!$K22/'Alternative 1'!$B$17</f>
        <v>86.905555555555551</v>
      </c>
      <c r="AA22" s="14">
        <f>13000/'Alternative 1'!$B$21</f>
        <v>260</v>
      </c>
      <c r="AB22" s="14">
        <f>IF(AND(Y22&lt;Z22,Z22&lt;=AA22),((((662/Z22)+0.399*'Baseline Given'!$B$22))/0.1450377),(0.6*'Baseline Given'!$B$22))</f>
        <v>190.07102760653163</v>
      </c>
      <c r="AC22" s="217"/>
      <c r="AD22" s="36">
        <f>'Alternative 2'!F22</f>
        <v>19</v>
      </c>
      <c r="AE22" s="14">
        <f>3300/'Alternative 2'!$B$21</f>
        <v>66</v>
      </c>
      <c r="AF22" s="14">
        <f>2*'Alternative 2'!$K22/'Alternative 2'!$B$17</f>
        <v>97.826086956521749</v>
      </c>
      <c r="AG22" s="14">
        <f>13000/'Alternative 2'!$B$21</f>
        <v>260</v>
      </c>
      <c r="AH22" s="14">
        <f>IF(AND(AE22&lt;AF22,AF22&lt;=AG22),((((662/AF22)+0.399*'Alternative 2'!$B$21))/0.1450377),(0.6*'Alternative 2'!$B$21))</f>
        <v>184.20804460572054</v>
      </c>
      <c r="AI22" s="217"/>
      <c r="AJ22" s="36">
        <f>'Alternative 3'!F22</f>
        <v>19</v>
      </c>
      <c r="AK22" s="14">
        <f>3300/'Alternative 3'!$B$21</f>
        <v>66</v>
      </c>
      <c r="AL22" s="14">
        <f>2*'Alternative 3'!$K22/'Alternative 3'!$B$17</f>
        <v>169.54285714285714</v>
      </c>
      <c r="AM22" s="14">
        <f>13000/'Alternative 3'!$B$21</f>
        <v>260</v>
      </c>
      <c r="AN22" s="14">
        <f>IF(AND(AK22&lt;AL22,AL22&lt;=AM22),((((662/AL22)+0.399*'Alternative 3'!$B$21))/0.1450377),(0.6*'Alternative 3'!$B$21))</f>
        <v>164.47184048500844</v>
      </c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</row>
    <row r="23" spans="1:260" s="2" customFormat="1" ht="15" customHeight="1" x14ac:dyDescent="0.25">
      <c r="A23" s="10">
        <v>20</v>
      </c>
      <c r="B23" s="10">
        <v>2.1859999999999769E-2</v>
      </c>
      <c r="C23" s="10">
        <v>1.8050999999999999</v>
      </c>
      <c r="D23" s="10">
        <v>1.79417</v>
      </c>
      <c r="E23" s="10">
        <f t="shared" si="0"/>
        <v>1.7996349999999999</v>
      </c>
      <c r="F23" s="10">
        <f t="shared" si="1"/>
        <v>0.40026992163597075</v>
      </c>
      <c r="G23" s="10">
        <f t="shared" si="2"/>
        <v>10.174633685336724</v>
      </c>
      <c r="H23" s="10">
        <f t="shared" si="3"/>
        <v>0.19834309550133275</v>
      </c>
      <c r="I23" s="11">
        <f>('Baseline Given'!$B$20*A23)/H23</f>
        <v>229.57729928682301</v>
      </c>
      <c r="J23" s="12">
        <f>('Baseline Given'!$B$20*A23)/E23</f>
        <v>25.302393094924465</v>
      </c>
      <c r="K23" s="53">
        <v>20</v>
      </c>
      <c r="L23" s="95">
        <v>1469.7758156514917</v>
      </c>
      <c r="M23" s="95">
        <v>0.61468753905350837</v>
      </c>
      <c r="N23" s="95">
        <v>0.68739600043411131</v>
      </c>
      <c r="O23" s="95">
        <v>205.40948483140153</v>
      </c>
      <c r="P23" s="95">
        <v>122.9996915158093</v>
      </c>
      <c r="Q23" s="215"/>
      <c r="R23" s="14">
        <f>3300/'Baseline Given'!$B$22</f>
        <v>66</v>
      </c>
      <c r="S23" s="14">
        <f>('Baseline Given'!$K23*2)/'Baseline Given'!$H23</f>
        <v>146.61438708098831</v>
      </c>
      <c r="T23" s="14">
        <f>13000/'Baseline Given'!$B$22</f>
        <v>260</v>
      </c>
      <c r="U23" s="14">
        <f>IF(AND(R23&lt;S23,S23&lt;=T23),((((662/S23)+0.399*'Baseline Given'!$B$22))/0.1450377),(0.6*'Baseline Given'!$B$22))</f>
        <v>168.68197600197317</v>
      </c>
      <c r="V23" s="224"/>
      <c r="W23" s="8"/>
      <c r="X23" s="36">
        <f>'Alternative 1'!F23</f>
        <v>20</v>
      </c>
      <c r="Y23" s="14">
        <f>3300/'Alternative 1'!$B$21</f>
        <v>66</v>
      </c>
      <c r="Z23" s="14">
        <f>2*'Alternative 1'!$K23/'Alternative 1'!$B$17</f>
        <v>85.911111111111111</v>
      </c>
      <c r="AA23" s="14">
        <f>13000/'Alternative 1'!$B$21</f>
        <v>260</v>
      </c>
      <c r="AB23" s="14">
        <f>IF(AND(Y23&lt;Z23,Z23&lt;=AA23),((((662/Z23)+0.399*'Baseline Given'!$B$22))/0.1450377),(0.6*'Baseline Given'!$B$22))</f>
        <v>190.67896762882469</v>
      </c>
      <c r="AC23" s="217"/>
      <c r="AD23" s="36">
        <f>'Alternative 2'!F23</f>
        <v>20</v>
      </c>
      <c r="AE23" s="14">
        <f>3300/'Alternative 2'!$B$21</f>
        <v>66</v>
      </c>
      <c r="AF23" s="14">
        <f>2*'Alternative 2'!$K23/'Alternative 2'!$B$17</f>
        <v>95.869565217391312</v>
      </c>
      <c r="AG23" s="14">
        <f>13000/'Alternative 2'!$B$21</f>
        <v>260</v>
      </c>
      <c r="AH23" s="14">
        <f>IF(AND(AE23&lt;AF23,AF23&lt;=AG23),((((662/AF23)+0.399*'Alternative 2'!$B$21))/0.1450377),(0.6*'Alternative 2'!$B$21))</f>
        <v>185.16024054091548</v>
      </c>
      <c r="AI23" s="217"/>
      <c r="AJ23" s="36">
        <f>'Alternative 3'!F23</f>
        <v>20</v>
      </c>
      <c r="AK23" s="14">
        <f>3300/'Alternative 3'!$B$21</f>
        <v>66</v>
      </c>
      <c r="AL23" s="14">
        <f>2*'Alternative 3'!$K23/'Alternative 3'!$B$17</f>
        <v>167.57142857142856</v>
      </c>
      <c r="AM23" s="14">
        <f>13000/'Alternative 3'!$B$21</f>
        <v>260</v>
      </c>
      <c r="AN23" s="14">
        <f>IF(AND(AK23&lt;AL23,AL23&lt;=AM23),((((662/AL23)+0.399*'Alternative 3'!$B$21))/0.1450377),(0.6*'Alternative 3'!$B$21))</f>
        <v>164.78856279917125</v>
      </c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</row>
    <row r="24" spans="1:260" s="2" customFormat="1" ht="15" customHeight="1" x14ac:dyDescent="0.25">
      <c r="A24" s="10">
        <v>21</v>
      </c>
      <c r="B24" s="10">
        <v>2.171999999999974E-2</v>
      </c>
      <c r="C24" s="10">
        <v>1.7951999999999999</v>
      </c>
      <c r="D24" s="10">
        <v>1.78434</v>
      </c>
      <c r="E24" s="10">
        <f t="shared" si="0"/>
        <v>1.7897699999999999</v>
      </c>
      <c r="F24" s="10">
        <f t="shared" si="1"/>
        <v>0.3912019395824779</v>
      </c>
      <c r="G24" s="10">
        <f t="shared" si="2"/>
        <v>10.063391509814068</v>
      </c>
      <c r="H24" s="10">
        <f t="shared" si="3"/>
        <v>0.19716431542815971</v>
      </c>
      <c r="I24" s="11">
        <f>('Baseline Given'!$B$20*A24)/H24</f>
        <v>242.49735913634274</v>
      </c>
      <c r="J24" s="12">
        <f>('Baseline Given'!$B$20*A24)/E24</f>
        <v>26.713949729436525</v>
      </c>
      <c r="K24" s="53">
        <v>21</v>
      </c>
      <c r="L24" s="95">
        <v>1468.4121423422948</v>
      </c>
      <c r="M24" s="95">
        <v>0.61455870308176408</v>
      </c>
      <c r="N24" s="95">
        <v>0.6872914758102352</v>
      </c>
      <c r="O24" s="95">
        <v>205.38057247489465</v>
      </c>
      <c r="P24" s="95">
        <v>122.98237872748183</v>
      </c>
      <c r="Q24" s="215"/>
      <c r="R24" s="14">
        <f>3300/'Baseline Given'!$B$22</f>
        <v>66</v>
      </c>
      <c r="S24" s="14">
        <f>('Baseline Given'!$K24*2)/'Baseline Given'!$H24</f>
        <v>146.88937229623949</v>
      </c>
      <c r="T24" s="14">
        <f>13000/'Baseline Given'!$B$22</f>
        <v>260</v>
      </c>
      <c r="U24" s="14">
        <f>IF(AND(R24&lt;S24,S24&lt;=T24),((((662/S24)+0.399*'Baseline Given'!$B$22))/0.1450377),(0.6*'Baseline Given'!$B$22))</f>
        <v>168.62369601237955</v>
      </c>
      <c r="V24" s="224"/>
      <c r="W24" s="8"/>
      <c r="X24" s="36">
        <f>'Alternative 1'!F24</f>
        <v>21</v>
      </c>
      <c r="Y24" s="14">
        <f>3300/'Alternative 1'!$B$21</f>
        <v>66</v>
      </c>
      <c r="Z24" s="14">
        <f>2*'Alternative 1'!$K24/'Alternative 1'!$B$17</f>
        <v>84.916666666666657</v>
      </c>
      <c r="AA24" s="14">
        <f>13000/'Alternative 1'!$B$21</f>
        <v>260</v>
      </c>
      <c r="AB24" s="14">
        <f>IF(AND(Y24&lt;Z24,Z24&lt;=AA24),((((662/Z24)+0.399*'Baseline Given'!$B$22))/0.1450377),(0.6*'Baseline Given'!$B$22))</f>
        <v>191.30114661271287</v>
      </c>
      <c r="AC24" s="217"/>
      <c r="AD24" s="36">
        <f>'Alternative 2'!F24</f>
        <v>21</v>
      </c>
      <c r="AE24" s="14">
        <f>3300/'Alternative 2'!$B$21</f>
        <v>66</v>
      </c>
      <c r="AF24" s="14">
        <f>2*'Alternative 2'!$K24/'Alternative 2'!$B$17</f>
        <v>93.913043478260875</v>
      </c>
      <c r="AG24" s="14">
        <f>13000/'Alternative 2'!$B$21</f>
        <v>260</v>
      </c>
      <c r="AH24" s="14">
        <f>IF(AND(AE24&lt;AF24,AF24&lt;=AG24),((((662/AF24)+0.399*'Alternative 2'!$B$21))/0.1450377),(0.6*'Alternative 2'!$B$21))</f>
        <v>186.15211130674354</v>
      </c>
      <c r="AI24" s="217"/>
      <c r="AJ24" s="36">
        <f>'Alternative 3'!F24</f>
        <v>21</v>
      </c>
      <c r="AK24" s="14">
        <f>3300/'Alternative 3'!$B$21</f>
        <v>66</v>
      </c>
      <c r="AL24" s="14">
        <f>2*'Alternative 3'!$K24/'Alternative 3'!$B$17</f>
        <v>165.6</v>
      </c>
      <c r="AM24" s="14">
        <f>13000/'Alternative 3'!$B$21</f>
        <v>260</v>
      </c>
      <c r="AN24" s="14">
        <f>IF(AND(AK24&lt;AL24,AL24&lt;=AM24),((((662/AL24)+0.399*'Alternative 3'!$B$21))/0.1450377),(0.6*'Alternative 3'!$B$21))</f>
        <v>165.11282612081416</v>
      </c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</row>
    <row r="25" spans="1:260" s="2" customFormat="1" ht="15" customHeight="1" x14ac:dyDescent="0.25">
      <c r="A25" s="10">
        <v>22</v>
      </c>
      <c r="B25" s="10">
        <v>2.1579999999999711E-2</v>
      </c>
      <c r="C25" s="10">
        <v>1.7852999999999999</v>
      </c>
      <c r="D25" s="10">
        <v>1.77451</v>
      </c>
      <c r="E25" s="10">
        <f t="shared" si="0"/>
        <v>1.7799049999999998</v>
      </c>
      <c r="F25" s="10">
        <f t="shared" si="1"/>
        <v>0.38228865984747057</v>
      </c>
      <c r="G25" s="10">
        <f t="shared" si="2"/>
        <v>9.9527608028002756</v>
      </c>
      <c r="H25" s="10">
        <f t="shared" si="3"/>
        <v>0.19598549237334179</v>
      </c>
      <c r="I25" s="11">
        <f>('Baseline Given'!$B$20*A25)/H25</f>
        <v>255.57289374106728</v>
      </c>
      <c r="J25" s="12">
        <f>('Baseline Given'!$B$20*A25)/E25</f>
        <v>28.141153273417871</v>
      </c>
      <c r="K25" s="53">
        <v>22</v>
      </c>
      <c r="L25" s="95">
        <v>1467.0333529036466</v>
      </c>
      <c r="M25" s="95">
        <v>0.61442827802523625</v>
      </c>
      <c r="N25" s="95">
        <v>0.68718566196187414</v>
      </c>
      <c r="O25" s="95">
        <v>205.35129135911151</v>
      </c>
      <c r="P25" s="95">
        <v>122.96484512521648</v>
      </c>
      <c r="Q25" s="215"/>
      <c r="R25" s="14">
        <f>3300/'Baseline Given'!$B$22</f>
        <v>66</v>
      </c>
      <c r="S25" s="14">
        <f>('Baseline Given'!$K25*2)/'Baseline Given'!$H25</f>
        <v>147.16847542652772</v>
      </c>
      <c r="T25" s="14">
        <f>13000/'Baseline Given'!$B$22</f>
        <v>260</v>
      </c>
      <c r="U25" s="14">
        <f>IF(AND(R25&lt;S25,S25&lt;=T25),((((662/S25)+0.399*'Baseline Given'!$B$22))/0.1450377),(0.6*'Baseline Given'!$B$22))</f>
        <v>168.5647659871766</v>
      </c>
      <c r="V25" s="224"/>
      <c r="W25" s="8"/>
      <c r="X25" s="36">
        <f>'Alternative 1'!F25</f>
        <v>22</v>
      </c>
      <c r="Y25" s="14">
        <f>3300/'Alternative 1'!$B$21</f>
        <v>66</v>
      </c>
      <c r="Z25" s="14">
        <f>2*'Alternative 1'!$K25/'Alternative 1'!$B$17</f>
        <v>83.922222222222217</v>
      </c>
      <c r="AA25" s="14">
        <f>13000/'Alternative 1'!$B$21</f>
        <v>260</v>
      </c>
      <c r="AB25" s="14">
        <f>IF(AND(Y25&lt;Z25,Z25&lt;=AA25),((((662/Z25)+0.399*'Baseline Given'!$B$22))/0.1450377),(0.6*'Baseline Given'!$B$22))</f>
        <v>191.93807073603116</v>
      </c>
      <c r="AC25" s="217"/>
      <c r="AD25" s="36">
        <f>'Alternative 2'!F25</f>
        <v>22</v>
      </c>
      <c r="AE25" s="14">
        <f>3300/'Alternative 2'!$B$21</f>
        <v>66</v>
      </c>
      <c r="AF25" s="14">
        <f>2*'Alternative 2'!$K25/'Alternative 2'!$B$17</f>
        <v>91.956521739130451</v>
      </c>
      <c r="AG25" s="14">
        <f>13000/'Alternative 2'!$B$21</f>
        <v>260</v>
      </c>
      <c r="AH25" s="14">
        <f>IF(AND(AE25&lt;AF25,AF25&lt;=AG25),((((662/AF25)+0.399*'Alternative 2'!$B$21))/0.1450377),(0.6*'Alternative 2'!$B$21))</f>
        <v>187.18618933920257</v>
      </c>
      <c r="AI25" s="217"/>
      <c r="AJ25" s="36">
        <f>'Alternative 3'!F25</f>
        <v>22</v>
      </c>
      <c r="AK25" s="14">
        <f>3300/'Alternative 3'!$B$21</f>
        <v>66</v>
      </c>
      <c r="AL25" s="14">
        <f>2*'Alternative 3'!$K25/'Alternative 3'!$B$17</f>
        <v>163.62857142857143</v>
      </c>
      <c r="AM25" s="14">
        <f>13000/'Alternative 3'!$B$21</f>
        <v>260</v>
      </c>
      <c r="AN25" s="14">
        <f>IF(AND(AK25&lt;AL25,AL25&lt;=AM25),((((662/AL25)+0.399*'Alternative 3'!$B$21))/0.1450377),(0.6*'Alternative 3'!$B$21))</f>
        <v>165.44490301647252</v>
      </c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</row>
    <row r="26" spans="1:260" s="2" customFormat="1" ht="15" customHeight="1" x14ac:dyDescent="0.25">
      <c r="A26" s="10">
        <v>23</v>
      </c>
      <c r="B26" s="10">
        <v>2.1439999999999682E-2</v>
      </c>
      <c r="C26" s="10">
        <v>1.7753999999999999</v>
      </c>
      <c r="D26" s="10">
        <v>1.76468</v>
      </c>
      <c r="E26" s="10">
        <f t="shared" si="0"/>
        <v>1.7700399999999998</v>
      </c>
      <c r="F26" s="10">
        <f t="shared" si="1"/>
        <v>0.37352831551672311</v>
      </c>
      <c r="G26" s="10">
        <f t="shared" si="2"/>
        <v>9.8427415642953466</v>
      </c>
      <c r="H26" s="10">
        <f t="shared" si="3"/>
        <v>0.19480662555660125</v>
      </c>
      <c r="I26" s="11">
        <f>('Baseline Given'!$B$20*A26)/H26</f>
        <v>268.8067352810711</v>
      </c>
      <c r="J26" s="12">
        <f>('Baseline Given'!$B$20*A26)/E26</f>
        <v>29.584265342586637</v>
      </c>
      <c r="K26" s="53">
        <v>23</v>
      </c>
      <c r="L26" s="95">
        <v>1465.6391945944508</v>
      </c>
      <c r="M26" s="95">
        <v>0.61429623429244562</v>
      </c>
      <c r="N26" s="95">
        <v>0.6870785348814612</v>
      </c>
      <c r="O26" s="95">
        <v>205.32163437747047</v>
      </c>
      <c r="P26" s="95">
        <v>122.94708645357514</v>
      </c>
      <c r="Q26" s="215"/>
      <c r="R26" s="14">
        <f>3300/'Baseline Given'!$B$22</f>
        <v>66</v>
      </c>
      <c r="S26" s="14">
        <f>('Baseline Given'!$K26*2)/'Baseline Given'!$H26</f>
        <v>147.45178966858893</v>
      </c>
      <c r="T26" s="14">
        <f>13000/'Baseline Given'!$B$22</f>
        <v>260</v>
      </c>
      <c r="U26" s="14">
        <f>IF(AND(R26&lt;S26,S26&lt;=T26),((((662/S26)+0.399*'Baseline Given'!$B$22))/0.1450377),(0.6*'Baseline Given'!$B$22))</f>
        <v>168.50517498995245</v>
      </c>
      <c r="V26" s="224"/>
      <c r="W26" s="8"/>
      <c r="X26" s="36">
        <f>'Alternative 1'!F26</f>
        <v>23</v>
      </c>
      <c r="Y26" s="14">
        <f>3300/'Alternative 1'!$B$21</f>
        <v>66</v>
      </c>
      <c r="Z26" s="14">
        <f>2*'Alternative 1'!$K26/'Alternative 1'!$B$17</f>
        <v>82.927777777777777</v>
      </c>
      <c r="AA26" s="14">
        <f>13000/'Alternative 1'!$B$21</f>
        <v>260</v>
      </c>
      <c r="AB26" s="14">
        <f>IF(AND(Y26&lt;Z26,Z26&lt;=AA26),((((662/Z26)+0.399*'Baseline Given'!$B$22))/0.1450377),(0.6*'Baseline Given'!$B$22))</f>
        <v>192.5902704563313</v>
      </c>
      <c r="AC26" s="217"/>
      <c r="AD26" s="36">
        <f>'Alternative 2'!F26</f>
        <v>23</v>
      </c>
      <c r="AE26" s="14">
        <f>3300/'Alternative 2'!$B$21</f>
        <v>66</v>
      </c>
      <c r="AF26" s="14">
        <f>2*'Alternative 2'!$K26/'Alternative 2'!$B$17</f>
        <v>90.000000000000014</v>
      </c>
      <c r="AG26" s="14">
        <f>13000/'Alternative 2'!$B$21</f>
        <v>260</v>
      </c>
      <c r="AH26" s="14">
        <f>IF(AND(AE26&lt;AF26,AF26&lt;=AG26),((((662/AF26)+0.399*'Alternative 2'!$B$21))/0.1450377),(0.6*'Alternative 2'!$B$21))</f>
        <v>188.26522728611636</v>
      </c>
      <c r="AI26" s="217"/>
      <c r="AJ26" s="36">
        <f>'Alternative 3'!F26</f>
        <v>23</v>
      </c>
      <c r="AK26" s="14">
        <f>3300/'Alternative 3'!$B$21</f>
        <v>66</v>
      </c>
      <c r="AL26" s="14">
        <f>2*'Alternative 3'!$K26/'Alternative 3'!$B$17</f>
        <v>161.65714285714284</v>
      </c>
      <c r="AM26" s="14">
        <f>13000/'Alternative 3'!$B$21</f>
        <v>260</v>
      </c>
      <c r="AN26" s="14">
        <f>IF(AND(AK26&lt;AL26,AL26&lt;=AM26),((((662/AL26)+0.399*'Alternative 3'!$B$21))/0.1450377),(0.6*'Alternative 3'!$B$21))</f>
        <v>165.7850793486104</v>
      </c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</row>
    <row r="27" spans="1:260" s="2" customFormat="1" ht="15" customHeight="1" x14ac:dyDescent="0.25">
      <c r="A27" s="10">
        <v>24</v>
      </c>
      <c r="B27" s="10">
        <v>2.1299999999999653E-2</v>
      </c>
      <c r="C27" s="10">
        <v>1.7654999999999998</v>
      </c>
      <c r="D27" s="10">
        <v>1.75485</v>
      </c>
      <c r="E27" s="10">
        <f t="shared" si="0"/>
        <v>1.7601749999999998</v>
      </c>
      <c r="F27" s="10">
        <f t="shared" si="1"/>
        <v>0.3649191498099903</v>
      </c>
      <c r="G27" s="10">
        <f t="shared" si="2"/>
        <v>9.7333337942992824</v>
      </c>
      <c r="H27" s="10">
        <f t="shared" si="3"/>
        <v>0.19362771417862887</v>
      </c>
      <c r="I27" s="11">
        <f>('Baseline Given'!$B$20*A27)/H27</f>
        <v>282.20178536246044</v>
      </c>
      <c r="J27" s="12">
        <f>('Baseline Given'!$B$20*A27)/E27</f>
        <v>31.04355341762113</v>
      </c>
      <c r="K27" s="53">
        <v>24</v>
      </c>
      <c r="L27" s="95">
        <v>1464.2294090076034</v>
      </c>
      <c r="M27" s="95">
        <v>0.61416254155236727</v>
      </c>
      <c r="N27" s="95">
        <v>0.68697006996143561</v>
      </c>
      <c r="O27" s="95">
        <v>205.29159423944782</v>
      </c>
      <c r="P27" s="95">
        <v>122.92909834697474</v>
      </c>
      <c r="Q27" s="215"/>
      <c r="R27" s="14">
        <f>3300/'Baseline Given'!$B$22</f>
        <v>66</v>
      </c>
      <c r="S27" s="14">
        <f>('Baseline Given'!$K27*2)/'Baseline Given'!$H27</f>
        <v>147.73941105284368</v>
      </c>
      <c r="T27" s="14">
        <f>13000/'Baseline Given'!$B$22</f>
        <v>260</v>
      </c>
      <c r="U27" s="14">
        <f>IF(AND(R27&lt;S27,S27&lt;=T27),((((662/S27)+0.399*'Baseline Given'!$B$22))/0.1450377),(0.6*'Baseline Given'!$B$22))</f>
        <v>168.44491183758129</v>
      </c>
      <c r="V27" s="224"/>
      <c r="W27" s="8"/>
      <c r="X27" s="36">
        <f>'Alternative 1'!F27</f>
        <v>24</v>
      </c>
      <c r="Y27" s="14">
        <f>3300/'Alternative 1'!$B$21</f>
        <v>66</v>
      </c>
      <c r="Z27" s="14">
        <f>2*'Alternative 1'!$K27/'Alternative 1'!$B$17</f>
        <v>81.933333333333337</v>
      </c>
      <c r="AA27" s="14">
        <f>13000/'Alternative 1'!$B$21</f>
        <v>260</v>
      </c>
      <c r="AB27" s="14">
        <f>IF(AND(Y27&lt;Z27,Z27&lt;=AA27),((((662/Z27)+0.399*'Baseline Given'!$B$22))/0.1450377),(0.6*'Baseline Given'!$B$22))</f>
        <v>193.25830198432521</v>
      </c>
      <c r="AC27" s="217"/>
      <c r="AD27" s="36" t="str">
        <f>'Alternative 2'!F27</f>
        <v>x</v>
      </c>
      <c r="AE27" s="14">
        <f>3300/'Alternative 2'!$B$21</f>
        <v>66</v>
      </c>
      <c r="AF27" s="14" t="e">
        <f>2*'Alternative 2'!$K27/'Alternative 2'!$B$17</f>
        <v>#VALUE!</v>
      </c>
      <c r="AG27" s="14">
        <f>13000/'Alternative 2'!$B$21</f>
        <v>260</v>
      </c>
      <c r="AH27" s="14" t="e">
        <f>IF(AND(AE27&lt;AF27,AF27&lt;=AG27),((((662/AF27)+0.399*'Alternative 2'!$B$21))/0.1450377),(0.6*'Alternative 2'!$B$21))</f>
        <v>#VALUE!</v>
      </c>
      <c r="AI27" s="217"/>
      <c r="AJ27" s="36">
        <f>'Alternative 3'!F27</f>
        <v>24</v>
      </c>
      <c r="AK27" s="14">
        <f>3300/'Alternative 3'!$B$21</f>
        <v>66</v>
      </c>
      <c r="AL27" s="14">
        <f>2*'Alternative 3'!$K27/'Alternative 3'!$B$17</f>
        <v>159.68571428571428</v>
      </c>
      <c r="AM27" s="14">
        <f>13000/'Alternative 3'!$B$21</f>
        <v>260</v>
      </c>
      <c r="AN27" s="14">
        <f>IF(AND(AK27&lt;AL27,AL27&lt;=AM27),((((662/AL27)+0.399*'Alternative 3'!$B$21))/0.1450377),(0.6*'Alternative 3'!$B$21))</f>
        <v>166.13365509635659</v>
      </c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</row>
    <row r="28" spans="1:260" s="2" customFormat="1" ht="15" customHeight="1" x14ac:dyDescent="0.25">
      <c r="A28" s="10">
        <v>25</v>
      </c>
      <c r="B28" s="10">
        <v>2.1159999999999624E-2</v>
      </c>
      <c r="C28" s="10">
        <v>1.7555999999999998</v>
      </c>
      <c r="D28" s="10">
        <v>1.74502</v>
      </c>
      <c r="E28" s="10">
        <f t="shared" si="0"/>
        <v>1.7503099999999998</v>
      </c>
      <c r="F28" s="10">
        <f t="shared" si="1"/>
        <v>0.35645941608100695</v>
      </c>
      <c r="G28" s="10">
        <f t="shared" si="2"/>
        <v>9.6245374928120846</v>
      </c>
      <c r="H28" s="10">
        <f t="shared" si="3"/>
        <v>0.19244875742049888</v>
      </c>
      <c r="I28" s="11">
        <f>('Baseline Given'!$B$20*A28)/H28</f>
        <v>295.76101716449801</v>
      </c>
      <c r="J28" s="12">
        <f>('Baseline Given'!$B$20*A28)/E28</f>
        <v>32.519291009438611</v>
      </c>
      <c r="K28" s="53">
        <v>25</v>
      </c>
      <c r="L28" s="95">
        <v>1462.8037319103214</v>
      </c>
      <c r="M28" s="95">
        <v>0.6140271687111748</v>
      </c>
      <c r="N28" s="95">
        <v>0.6868602419753761</v>
      </c>
      <c r="O28" s="95">
        <v>205.26116346458272</v>
      </c>
      <c r="P28" s="95">
        <v>122.91087632609744</v>
      </c>
      <c r="Q28" s="215"/>
      <c r="R28" s="14">
        <f>3300/'Baseline Given'!$B$22</f>
        <v>66</v>
      </c>
      <c r="S28" s="14">
        <f>('Baseline Given'!$K28*2)/'Baseline Given'!$H28</f>
        <v>148.03143855192101</v>
      </c>
      <c r="T28" s="14">
        <f>13000/'Baseline Given'!$B$22</f>
        <v>260</v>
      </c>
      <c r="U28" s="14">
        <f>IF(AND(R28&lt;S28,S28&lt;=T28),((((662/S28)+0.399*'Baseline Given'!$B$22))/0.1450377),(0.6*'Baseline Given'!$B$22))</f>
        <v>168.38396509322686</v>
      </c>
      <c r="V28" s="224"/>
      <c r="W28" s="8"/>
      <c r="X28" s="36">
        <f>'Alternative 1'!F28</f>
        <v>25</v>
      </c>
      <c r="Y28" s="14">
        <f>3300/'Alternative 1'!$B$21</f>
        <v>66</v>
      </c>
      <c r="Z28" s="14">
        <f>2*'Alternative 1'!$K28/'Alternative 1'!$B$17</f>
        <v>80.938888888888897</v>
      </c>
      <c r="AA28" s="14">
        <f>13000/'Alternative 1'!$B$21</f>
        <v>260</v>
      </c>
      <c r="AB28" s="14">
        <f>IF(AND(Y28&lt;Z28,Z28&lt;=AA28),((((662/Z28)+0.399*'Baseline Given'!$B$22))/0.1450377),(0.6*'Baseline Given'!$B$22))</f>
        <v>193.94274886594818</v>
      </c>
      <c r="AC28" s="217"/>
      <c r="AD28" s="36" t="str">
        <f>'Alternative 2'!F28</f>
        <v>x</v>
      </c>
      <c r="AE28" s="14">
        <f>3300/'Alternative 2'!$B$21</f>
        <v>66</v>
      </c>
      <c r="AF28" s="14" t="e">
        <f>2*'Alternative 2'!$K28/'Alternative 2'!$B$17</f>
        <v>#VALUE!</v>
      </c>
      <c r="AG28" s="14">
        <f>13000/'Alternative 2'!$B$21</f>
        <v>260</v>
      </c>
      <c r="AH28" s="14" t="e">
        <f>IF(AND(AE28&lt;AF28,AF28&lt;=AG28),((((662/AF28)+0.399*'Alternative 2'!$B$21))/0.1450377),(0.6*'Alternative 2'!$B$21))</f>
        <v>#VALUE!</v>
      </c>
      <c r="AI28" s="217"/>
      <c r="AJ28" s="36">
        <f>'Alternative 3'!F28</f>
        <v>25</v>
      </c>
      <c r="AK28" s="14">
        <f>3300/'Alternative 3'!$B$21</f>
        <v>66</v>
      </c>
      <c r="AL28" s="14">
        <f>2*'Alternative 3'!$K28/'Alternative 3'!$B$17</f>
        <v>157.71428571428572</v>
      </c>
      <c r="AM28" s="14">
        <f>13000/'Alternative 3'!$B$21</f>
        <v>260</v>
      </c>
      <c r="AN28" s="14">
        <f>IF(AND(AK28&lt;AL28,AL28&lt;=AM28),((((662/AL28)+0.399*'Alternative 3'!$B$21))/0.1450377),(0.6*'Alternative 3'!$B$21))</f>
        <v>166.49094523779641</v>
      </c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</row>
    <row r="29" spans="1:260" s="2" customFormat="1" ht="15" customHeight="1" x14ac:dyDescent="0.25">
      <c r="A29" s="10">
        <v>26</v>
      </c>
      <c r="B29" s="10">
        <v>2.1020000000000039E-2</v>
      </c>
      <c r="C29" s="10">
        <v>1.7457</v>
      </c>
      <c r="D29" s="10">
        <v>1.73519</v>
      </c>
      <c r="E29" s="10">
        <f t="shared" si="0"/>
        <v>1.740445</v>
      </c>
      <c r="F29" s="10">
        <f t="shared" si="1"/>
        <v>0.34814737781749561</v>
      </c>
      <c r="G29" s="10">
        <f t="shared" si="2"/>
        <v>9.5163526598337533</v>
      </c>
      <c r="H29" s="10">
        <f t="shared" si="3"/>
        <v>0.19126975444306488</v>
      </c>
      <c r="I29" s="11">
        <f>('Baseline Given'!$B$20*A29)/H29</f>
        <v>309.48747766715206</v>
      </c>
      <c r="J29" s="12">
        <f>('Baseline Given'!$B$20*A29)/E29</f>
        <v>34.011757830095007</v>
      </c>
      <c r="K29" s="53">
        <v>26</v>
      </c>
      <c r="L29" s="95">
        <v>1461.3618930790717</v>
      </c>
      <c r="M29" s="95">
        <v>0.61389008388810407</v>
      </c>
      <c r="N29" s="95">
        <v>0.68674902505841884</v>
      </c>
      <c r="O29" s="95">
        <v>205.23033437624738</v>
      </c>
      <c r="P29" s="95">
        <v>122.89241579416012</v>
      </c>
      <c r="Q29" s="215"/>
      <c r="R29" s="14">
        <f>3300/'Baseline Given'!$B$22</f>
        <v>66</v>
      </c>
      <c r="S29" s="14">
        <f>('Baseline Given'!$K29*2)/'Baseline Given'!$H29</f>
        <v>148.32797419420885</v>
      </c>
      <c r="T29" s="14">
        <f>13000/'Baseline Given'!$B$22</f>
        <v>260</v>
      </c>
      <c r="U29" s="14">
        <f>IF(AND(R29&lt;S29,S29&lt;=T29),((((662/S29)+0.399*'Baseline Given'!$B$22))/0.1450377),(0.6*'Baseline Given'!$B$22))</f>
        <v>168.32232305910662</v>
      </c>
      <c r="V29" s="224"/>
      <c r="W29" s="8"/>
      <c r="X29" s="36">
        <f>'Alternative 1'!F29</f>
        <v>26</v>
      </c>
      <c r="Y29" s="14">
        <f>3300/'Alternative 1'!$B$21</f>
        <v>66</v>
      </c>
      <c r="Z29" s="14">
        <f>2*'Alternative 1'!$K29/'Alternative 1'!$B$17</f>
        <v>79.944444444444443</v>
      </c>
      <c r="AA29" s="14">
        <f>13000/'Alternative 1'!$B$21</f>
        <v>260</v>
      </c>
      <c r="AB29" s="14">
        <f>IF(AND(Y29&lt;Z29,Z29&lt;=AA29),((((662/Z29)+0.399*'Baseline Given'!$B$22))/0.1450377),(0.6*'Baseline Given'!$B$22))</f>
        <v>194.64422368249964</v>
      </c>
      <c r="AC29" s="217"/>
      <c r="AD29" s="36" t="str">
        <f>'Alternative 2'!F29</f>
        <v>x</v>
      </c>
      <c r="AE29" s="14">
        <f>3300/'Alternative 2'!$B$21</f>
        <v>66</v>
      </c>
      <c r="AF29" s="14" t="e">
        <f>2*'Alternative 2'!$K29/'Alternative 2'!$B$17</f>
        <v>#VALUE!</v>
      </c>
      <c r="AG29" s="14">
        <f>13000/'Alternative 2'!$B$21</f>
        <v>260</v>
      </c>
      <c r="AH29" s="14" t="e">
        <f>IF(AND(AE29&lt;AF29,AF29&lt;=AG29),((((662/AF29)+0.399*'Alternative 2'!$B$21))/0.1450377),(0.6*'Alternative 2'!$B$21))</f>
        <v>#VALUE!</v>
      </c>
      <c r="AI29" s="217"/>
      <c r="AJ29" s="36">
        <f>'Alternative 3'!F29</f>
        <v>26</v>
      </c>
      <c r="AK29" s="14">
        <f>3300/'Alternative 3'!$B$21</f>
        <v>66</v>
      </c>
      <c r="AL29" s="14">
        <f>2*'Alternative 3'!$K29/'Alternative 3'!$B$17</f>
        <v>155.74285714285713</v>
      </c>
      <c r="AM29" s="14">
        <f>13000/'Alternative 3'!$B$21</f>
        <v>260</v>
      </c>
      <c r="AN29" s="14">
        <f>IF(AND(AK29&lt;AL29,AL29&lt;=AM29),((((662/AL29)+0.399*'Alternative 3'!$B$21))/0.1450377),(0.6*'Alternative 3'!$B$21))</f>
        <v>166.85728069927274</v>
      </c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</row>
    <row r="30" spans="1:260" s="2" customFormat="1" ht="15" customHeight="1" x14ac:dyDescent="0.25">
      <c r="A30" s="10">
        <v>27</v>
      </c>
      <c r="B30" s="10">
        <v>2.088000000000001E-2</v>
      </c>
      <c r="C30" s="10">
        <v>1.7358</v>
      </c>
      <c r="D30" s="10">
        <v>1.72536</v>
      </c>
      <c r="E30" s="10">
        <f t="shared" si="0"/>
        <v>1.73058</v>
      </c>
      <c r="F30" s="10">
        <f t="shared" si="1"/>
        <v>0.33998130864113646</v>
      </c>
      <c r="G30" s="10">
        <f t="shared" si="2"/>
        <v>9.408779295364285</v>
      </c>
      <c r="H30" s="10">
        <f t="shared" si="3"/>
        <v>0.19009070438632225</v>
      </c>
      <c r="I30" s="11">
        <f>('Baseline Given'!$B$20*A30)/H30</f>
        <v>323.38428996264003</v>
      </c>
      <c r="J30" s="12">
        <f>('Baseline Given'!$B$20*A30)/E30</f>
        <v>35.521239969529823</v>
      </c>
      <c r="K30" s="53">
        <v>27</v>
      </c>
      <c r="L30" s="95">
        <v>1459.9036161286974</v>
      </c>
      <c r="M30" s="95">
        <v>0.61375125439037903</v>
      </c>
      <c r="N30" s="95">
        <v>0.68663639268691457</v>
      </c>
      <c r="O30" s="95">
        <v>205.19909909516588</v>
      </c>
      <c r="P30" s="95">
        <v>122.87371203303347</v>
      </c>
      <c r="Q30" s="215"/>
      <c r="R30" s="14">
        <f>3300/'Baseline Given'!$B$22</f>
        <v>66</v>
      </c>
      <c r="S30" s="14">
        <f>('Baseline Given'!$K30*2)/'Baseline Given'!$H30</f>
        <v>148.62912318270338</v>
      </c>
      <c r="T30" s="14">
        <f>13000/'Baseline Given'!$B$22</f>
        <v>260</v>
      </c>
      <c r="U30" s="14">
        <f>IF(AND(R30&lt;S30,S30&lt;=T30),((((662/S30)+0.399*'Baseline Given'!$B$22))/0.1450377),(0.6*'Baseline Given'!$B$22))</f>
        <v>168.25997376900662</v>
      </c>
      <c r="V30" s="224"/>
      <c r="W30" s="8"/>
      <c r="X30" s="36">
        <f>'Alternative 1'!F30</f>
        <v>27</v>
      </c>
      <c r="Y30" s="14">
        <f>3300/'Alternative 1'!$B$21</f>
        <v>66</v>
      </c>
      <c r="Z30" s="14">
        <f>2*'Alternative 1'!$K30/'Alternative 1'!$B$17</f>
        <v>78.95</v>
      </c>
      <c r="AA30" s="14">
        <f>13000/'Alternative 1'!$B$21</f>
        <v>260</v>
      </c>
      <c r="AB30" s="14">
        <f>IF(AND(Y30&lt;Z30,Z30&lt;=AA30),((((662/Z30)+0.399*'Baseline Given'!$B$22))/0.1450377),(0.6*'Baseline Given'!$B$22))</f>
        <v>195.36336987927243</v>
      </c>
      <c r="AC30" s="217"/>
      <c r="AD30" s="36" t="str">
        <f>'Alternative 2'!F30</f>
        <v>x</v>
      </c>
      <c r="AE30" s="14">
        <f>3300/'Alternative 2'!$B$21</f>
        <v>66</v>
      </c>
      <c r="AF30" s="14" t="e">
        <f>2*'Alternative 2'!$K30/'Alternative 2'!$B$17</f>
        <v>#VALUE!</v>
      </c>
      <c r="AG30" s="14">
        <f>13000/'Alternative 2'!$B$21</f>
        <v>260</v>
      </c>
      <c r="AH30" s="14" t="e">
        <f>IF(AND(AE30&lt;AF30,AF30&lt;=AG30),((((662/AF30)+0.399*'Alternative 2'!$B$21))/0.1450377),(0.6*'Alternative 2'!$B$21))</f>
        <v>#VALUE!</v>
      </c>
      <c r="AI30" s="217"/>
      <c r="AJ30" s="36">
        <f>'Alternative 3'!F30</f>
        <v>27</v>
      </c>
      <c r="AK30" s="14">
        <f>3300/'Alternative 3'!$B$21</f>
        <v>66</v>
      </c>
      <c r="AL30" s="14">
        <f>2*'Alternative 3'!$K30/'Alternative 3'!$B$17</f>
        <v>153.77142857142854</v>
      </c>
      <c r="AM30" s="14">
        <f>13000/'Alternative 3'!$B$21</f>
        <v>260</v>
      </c>
      <c r="AN30" s="14">
        <f>IF(AND(AK30&lt;AL30,AL30&lt;=AM30),((((662/AL30)+0.399*'Alternative 3'!$B$21))/0.1450377),(0.6*'Alternative 3'!$B$21))</f>
        <v>167.23300937770998</v>
      </c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</row>
    <row r="31" spans="1:260" s="2" customFormat="1" ht="15" customHeight="1" x14ac:dyDescent="0.25">
      <c r="A31" s="10">
        <v>28</v>
      </c>
      <c r="B31" s="10">
        <v>2.0739999999999981E-2</v>
      </c>
      <c r="C31" s="10">
        <v>1.7259</v>
      </c>
      <c r="D31" s="10">
        <v>1.71553</v>
      </c>
      <c r="E31" s="10">
        <f t="shared" si="0"/>
        <v>1.720715</v>
      </c>
      <c r="F31" s="10">
        <f t="shared" si="1"/>
        <v>0.33195949230761246</v>
      </c>
      <c r="G31" s="10">
        <f t="shared" si="2"/>
        <v>9.3018173994036815</v>
      </c>
      <c r="H31" s="10">
        <f t="shared" si="3"/>
        <v>0.18891160636876778</v>
      </c>
      <c r="I31" s="11">
        <f>('Baseline Given'!$B$20*A31)/H31</f>
        <v>337.45465565464377</v>
      </c>
      <c r="J31" s="12">
        <f>('Baseline Given'!$B$20*A31)/E31</f>
        <v>37.048030078390752</v>
      </c>
      <c r="K31" s="53">
        <v>28</v>
      </c>
      <c r="L31" s="95">
        <v>1458.4286183359811</v>
      </c>
      <c r="M31" s="95">
        <v>0.61361064668720278</v>
      </c>
      <c r="N31" s="95">
        <v>0.68652231765732763</v>
      </c>
      <c r="O31" s="95">
        <v>205.1674495326817</v>
      </c>
      <c r="P31" s="95">
        <v>122.8547601992106</v>
      </c>
      <c r="Q31" s="215"/>
      <c r="R31" s="14">
        <f>3300/'Baseline Given'!$B$22</f>
        <v>66</v>
      </c>
      <c r="S31" s="14">
        <f>('Baseline Given'!$K31*2)/'Baseline Given'!$H31</f>
        <v>148.93499401944953</v>
      </c>
      <c r="T31" s="14">
        <f>13000/'Baseline Given'!$B$22</f>
        <v>260</v>
      </c>
      <c r="U31" s="14">
        <f>IF(AND(R31&lt;S31,S31&lt;=T31),((((662/S31)+0.399*'Baseline Given'!$B$22))/0.1450377),(0.6*'Baseline Given'!$B$22))</f>
        <v>168.19690498053751</v>
      </c>
      <c r="V31" s="224"/>
      <c r="W31" s="8"/>
      <c r="X31" s="36">
        <f>'Alternative 1'!F31</f>
        <v>28</v>
      </c>
      <c r="Y31" s="14">
        <f>3300/'Alternative 1'!$B$21</f>
        <v>66</v>
      </c>
      <c r="Z31" s="14">
        <f>2*'Alternative 1'!$K31/'Alternative 1'!$B$17</f>
        <v>77.955555555555549</v>
      </c>
      <c r="AA31" s="14">
        <f>13000/'Alternative 1'!$B$21</f>
        <v>260</v>
      </c>
      <c r="AB31" s="14">
        <f>IF(AND(Y31&lt;Z31,Z31&lt;=AA31),((((662/Z31)+0.399*'Baseline Given'!$B$22))/0.1450377),(0.6*'Baseline Given'!$B$22))</f>
        <v>196.10086373414421</v>
      </c>
      <c r="AC31" s="217"/>
      <c r="AD31" s="36" t="str">
        <f>'Alternative 2'!F31</f>
        <v>x</v>
      </c>
      <c r="AE31" s="14">
        <f>3300/'Alternative 2'!$B$21</f>
        <v>66</v>
      </c>
      <c r="AF31" s="14" t="e">
        <f>2*'Alternative 2'!$K31/'Alternative 2'!$B$17</f>
        <v>#VALUE!</v>
      </c>
      <c r="AG31" s="14">
        <f>13000/'Alternative 2'!$B$21</f>
        <v>260</v>
      </c>
      <c r="AH31" s="14" t="e">
        <f>IF(AND(AE31&lt;AF31,AF31&lt;=AG31),((((662/AF31)+0.399*'Alternative 2'!$B$21))/0.1450377),(0.6*'Alternative 2'!$B$21))</f>
        <v>#VALUE!</v>
      </c>
      <c r="AI31" s="217"/>
      <c r="AJ31" s="36">
        <f>'Alternative 3'!F31</f>
        <v>28</v>
      </c>
      <c r="AK31" s="14">
        <f>3300/'Alternative 3'!$B$21</f>
        <v>66</v>
      </c>
      <c r="AL31" s="14">
        <f>2*'Alternative 3'!$K31/'Alternative 3'!$B$17</f>
        <v>151.80000000000001</v>
      </c>
      <c r="AM31" s="14">
        <f>13000/'Alternative 3'!$B$21</f>
        <v>260</v>
      </c>
      <c r="AN31" s="14">
        <f>IF(AND(AK31&lt;AL31,AL31&lt;=AM31),((((662/AL31)+0.399*'Alternative 3'!$B$21))/0.1450377),(0.6*'Alternative 3'!$B$21))</f>
        <v>167.61849724260009</v>
      </c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</row>
    <row r="32" spans="1:260" s="2" customFormat="1" ht="15" customHeight="1" x14ac:dyDescent="0.25">
      <c r="A32" s="10">
        <v>29</v>
      </c>
      <c r="B32" s="10">
        <v>2.0599999999999952E-2</v>
      </c>
      <c r="C32" s="10">
        <v>1.716</v>
      </c>
      <c r="D32" s="10">
        <v>1.7057</v>
      </c>
      <c r="E32" s="10">
        <f t="shared" si="0"/>
        <v>1.71085</v>
      </c>
      <c r="F32" s="10">
        <f t="shared" si="1"/>
        <v>0.32408022270657938</v>
      </c>
      <c r="G32" s="10">
        <f t="shared" si="2"/>
        <v>9.1954669719519426</v>
      </c>
      <c r="H32" s="10">
        <f t="shared" si="3"/>
        <v>0.18773245948671383</v>
      </c>
      <c r="I32" s="11">
        <f>('Baseline Given'!$B$20*A32)/H32</f>
        <v>351.70185734918226</v>
      </c>
      <c r="J32" s="12">
        <f>('Baseline Given'!$B$20*A32)/E32</f>
        <v>38.592427557183484</v>
      </c>
      <c r="K32" s="53">
        <v>29</v>
      </c>
      <c r="L32" s="95">
        <v>1456.9366104567871</v>
      </c>
      <c r="M32" s="95">
        <v>0.61346822638271148</v>
      </c>
      <c r="N32" s="95">
        <v>0.68640677206429379</v>
      </c>
      <c r="O32" s="95">
        <v>205.13537738374777</v>
      </c>
      <c r="P32" s="95">
        <v>122.83555531960944</v>
      </c>
      <c r="Q32" s="215"/>
      <c r="R32" s="14">
        <f>3300/'Baseline Given'!$B$22</f>
        <v>66</v>
      </c>
      <c r="S32" s="14">
        <f>('Baseline Given'!$K32*2)/'Baseline Given'!$H32</f>
        <v>149.24569863588093</v>
      </c>
      <c r="T32" s="14">
        <f>13000/'Baseline Given'!$B$22</f>
        <v>260</v>
      </c>
      <c r="U32" s="14">
        <f>IF(AND(R32&lt;S32,S32&lt;=T32),((((662/S32)+0.399*'Baseline Given'!$B$22))/0.1450377),(0.6*'Baseline Given'!$B$22))</f>
        <v>168.13310416712071</v>
      </c>
      <c r="V32" s="224"/>
      <c r="W32" s="8"/>
      <c r="X32" s="36">
        <f>'Alternative 1'!F32</f>
        <v>29</v>
      </c>
      <c r="Y32" s="14">
        <f>3300/'Alternative 1'!$B$21</f>
        <v>66</v>
      </c>
      <c r="Z32" s="14">
        <f>2*'Alternative 1'!$K32/'Alternative 1'!$B$17</f>
        <v>76.961111111111094</v>
      </c>
      <c r="AA32" s="14">
        <f>13000/'Alternative 1'!$B$21</f>
        <v>260</v>
      </c>
      <c r="AB32" s="14">
        <f>IF(AND(Y32&lt;Z32,Z32&lt;=AA32),((((662/Z32)+0.399*'Baseline Given'!$B$22))/0.1450377),(0.6*'Baseline Given'!$B$22))</f>
        <v>196.85741647879036</v>
      </c>
      <c r="AC32" s="217"/>
      <c r="AD32" s="36" t="str">
        <f>'Alternative 2'!F32</f>
        <v>x</v>
      </c>
      <c r="AE32" s="14">
        <f>3300/'Alternative 2'!$B$21</f>
        <v>66</v>
      </c>
      <c r="AF32" s="14" t="e">
        <f>2*'Alternative 2'!$K32/'Alternative 2'!$B$17</f>
        <v>#VALUE!</v>
      </c>
      <c r="AG32" s="14">
        <f>13000/'Alternative 2'!$B$21</f>
        <v>260</v>
      </c>
      <c r="AH32" s="14" t="e">
        <f>IF(AND(AE32&lt;AF32,AF32&lt;=AG32),((((662/AF32)+0.399*'Alternative 2'!$B$21))/0.1450377),(0.6*'Alternative 2'!$B$21))</f>
        <v>#VALUE!</v>
      </c>
      <c r="AI32" s="217"/>
      <c r="AJ32" s="36">
        <f>'Alternative 3'!F32</f>
        <v>29</v>
      </c>
      <c r="AK32" s="14">
        <f>3300/'Alternative 3'!$B$21</f>
        <v>66</v>
      </c>
      <c r="AL32" s="14">
        <f>2*'Alternative 3'!$K32/'Alternative 3'!$B$17</f>
        <v>149.82857142857142</v>
      </c>
      <c r="AM32" s="14">
        <f>13000/'Alternative 3'!$B$21</f>
        <v>260</v>
      </c>
      <c r="AN32" s="14">
        <f>IF(AND(AK32&lt;AL32,AL32&lt;=AM32),((((662/AL32)+0.399*'Alternative 3'!$B$21))/0.1450377),(0.6*'Alternative 3'!$B$21))</f>
        <v>168.01412952498737</v>
      </c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</row>
    <row r="33" spans="1:260" s="2" customFormat="1" ht="15" customHeight="1" x14ac:dyDescent="0.25">
      <c r="A33" s="10">
        <v>30</v>
      </c>
      <c r="B33" s="10">
        <v>2.0459999999999923E-2</v>
      </c>
      <c r="C33" s="10">
        <v>1.7060999999999999</v>
      </c>
      <c r="D33" s="10">
        <v>1.69587</v>
      </c>
      <c r="E33" s="10">
        <f t="shared" si="0"/>
        <v>1.700985</v>
      </c>
      <c r="F33" s="10">
        <f t="shared" si="1"/>
        <v>0.31634180386167327</v>
      </c>
      <c r="G33" s="10">
        <f t="shared" si="2"/>
        <v>9.0897280130090685</v>
      </c>
      <c r="H33" s="10">
        <f t="shared" si="3"/>
        <v>0.18655326281358725</v>
      </c>
      <c r="I33" s="11">
        <f>('Baseline Given'!$B$20*A33)/H33</f>
        <v>366.12926124121316</v>
      </c>
      <c r="J33" s="12">
        <f>('Baseline Given'!$B$20*A33)/E33</f>
        <v>40.154738752003446</v>
      </c>
      <c r="K33" s="53">
        <v>30</v>
      </c>
      <c r="L33" s="95">
        <v>1455.4272965370012</v>
      </c>
      <c r="M33" s="95">
        <v>0.61332395818788932</v>
      </c>
      <c r="N33" s="95">
        <v>0.68628972727783466</v>
      </c>
      <c r="O33" s="95">
        <v>205.10287411963594</v>
      </c>
      <c r="P33" s="95">
        <v>122.81609228720716</v>
      </c>
      <c r="Q33" s="215"/>
      <c r="R33" s="14">
        <f>3300/'Baseline Given'!$B$22</f>
        <v>66</v>
      </c>
      <c r="S33" s="14">
        <f>('Baseline Given'!$K33*2)/'Baseline Given'!$H33</f>
        <v>149.56135252938822</v>
      </c>
      <c r="T33" s="14">
        <f>13000/'Baseline Given'!$B$22</f>
        <v>260</v>
      </c>
      <c r="U33" s="14">
        <f>IF(AND(R33&lt;S33,S33&lt;=T33),((((662/S33)+0.399*'Baseline Given'!$B$22))/0.1450377),(0.6*'Baseline Given'!$B$22))</f>
        <v>168.06855850969399</v>
      </c>
      <c r="V33" s="224"/>
      <c r="W33" s="8"/>
      <c r="X33" s="36">
        <f>'Alternative 1'!F33</f>
        <v>30</v>
      </c>
      <c r="Y33" s="14">
        <f>3300/'Alternative 1'!$B$21</f>
        <v>66</v>
      </c>
      <c r="Z33" s="14">
        <f>2*'Alternative 1'!$K33/'Alternative 1'!$B$17</f>
        <v>75.966666666666669</v>
      </c>
      <c r="AA33" s="14">
        <f>13000/'Alternative 1'!$B$21</f>
        <v>260</v>
      </c>
      <c r="AB33" s="14">
        <f>IF(AND(Y33&lt;Z33,Z33&lt;=AA33),((((662/Z33)+0.399*'Baseline Given'!$B$22))/0.1450377),(0.6*'Baseline Given'!$B$22))</f>
        <v>197.63377658650381</v>
      </c>
      <c r="AC33" s="217"/>
      <c r="AD33" s="36" t="str">
        <f>'Alternative 2'!F33</f>
        <v>x</v>
      </c>
      <c r="AE33" s="14">
        <f>3300/'Alternative 2'!$B$21</f>
        <v>66</v>
      </c>
      <c r="AF33" s="14" t="e">
        <f>2*'Alternative 2'!$K33/'Alternative 2'!$B$17</f>
        <v>#VALUE!</v>
      </c>
      <c r="AG33" s="14">
        <f>13000/'Alternative 2'!$B$21</f>
        <v>260</v>
      </c>
      <c r="AH33" s="14" t="e">
        <f>IF(AND(AE33&lt;AF33,AF33&lt;=AG33),((((662/AF33)+0.399*'Alternative 2'!$B$21))/0.1450377),(0.6*'Alternative 2'!$B$21))</f>
        <v>#VALUE!</v>
      </c>
      <c r="AI33" s="217"/>
      <c r="AJ33" s="36">
        <f>'Alternative 3'!F33</f>
        <v>30</v>
      </c>
      <c r="AK33" s="14">
        <f>3300/'Alternative 3'!$B$21</f>
        <v>66</v>
      </c>
      <c r="AL33" s="14">
        <f>2*'Alternative 3'!$K33/'Alternative 3'!$B$17</f>
        <v>147.85714285714283</v>
      </c>
      <c r="AM33" s="14">
        <f>13000/'Alternative 3'!$B$21</f>
        <v>260</v>
      </c>
      <c r="AN33" s="14">
        <f>IF(AND(AK33&lt;AL33,AL33&lt;=AM33),((((662/AL33)+0.399*'Alternative 3'!$B$21))/0.1450377),(0.6*'Alternative 3'!$B$21))</f>
        <v>168.4203120015716</v>
      </c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</row>
    <row r="34" spans="1:260" s="2" customFormat="1" ht="15" customHeight="1" x14ac:dyDescent="0.25">
      <c r="A34" s="10">
        <v>31</v>
      </c>
      <c r="B34" s="10">
        <v>2.0319999999999894E-2</v>
      </c>
      <c r="C34" s="10">
        <v>1.6961999999999999</v>
      </c>
      <c r="D34" s="10">
        <v>1.68604</v>
      </c>
      <c r="E34" s="10">
        <f t="shared" si="0"/>
        <v>1.69112</v>
      </c>
      <c r="F34" s="10">
        <f t="shared" si="1"/>
        <v>0.30874254993051015</v>
      </c>
      <c r="G34" s="10">
        <f t="shared" si="2"/>
        <v>8.9846005225750591</v>
      </c>
      <c r="H34" s="10">
        <f t="shared" si="3"/>
        <v>0.18537401539919868</v>
      </c>
      <c r="I34" s="11">
        <f>('Baseline Given'!$B$20*A34)/H34</f>
        <v>380.74031980132042</v>
      </c>
      <c r="J34" s="12">
        <f>('Baseline Given'!$B$20*A34)/E34</f>
        <v>41.73527715711824</v>
      </c>
      <c r="K34" s="53">
        <v>31</v>
      </c>
      <c r="L34" s="95">
        <v>1453.9003737168191</v>
      </c>
      <c r="M34" s="95">
        <v>0.6131778058913786</v>
      </c>
      <c r="N34" s="95">
        <v>0.68617115391967543</v>
      </c>
      <c r="O34" s="95">
        <v>205.06993098034923</v>
      </c>
      <c r="P34" s="95">
        <v>122.79636585649655</v>
      </c>
      <c r="Q34" s="215"/>
      <c r="R34" s="14">
        <f>3300/'Baseline Given'!$B$22</f>
        <v>66</v>
      </c>
      <c r="S34" s="14">
        <f>('Baseline Given'!$K34*2)/'Baseline Given'!$H34</f>
        <v>149.8820749064665</v>
      </c>
      <c r="T34" s="14">
        <f>13000/'Baseline Given'!$B$22</f>
        <v>260</v>
      </c>
      <c r="U34" s="14">
        <f>IF(AND(R34&lt;S34,S34&lt;=T34),((((662/S34)+0.399*'Baseline Given'!$B$22))/0.1450377),(0.6*'Baseline Given'!$B$22))</f>
        <v>168.0032548881249</v>
      </c>
      <c r="V34" s="224"/>
      <c r="W34" s="8"/>
      <c r="X34" s="36">
        <f>'Alternative 1'!F34</f>
        <v>31</v>
      </c>
      <c r="Y34" s="14">
        <f>3300/'Alternative 1'!$B$21</f>
        <v>66</v>
      </c>
      <c r="Z34" s="14">
        <f>2*'Alternative 1'!$K34/'Alternative 1'!$B$17</f>
        <v>74.972222222222214</v>
      </c>
      <c r="AA34" s="14">
        <f>13000/'Alternative 1'!$B$21</f>
        <v>260</v>
      </c>
      <c r="AB34" s="14">
        <f>IF(AND(Y34&lt;Z34,Z34&lt;=AA34),((((662/Z34)+0.399*'Baseline Given'!$B$22))/0.1450377),(0.6*'Baseline Given'!$B$22))</f>
        <v>198.43073224209144</v>
      </c>
      <c r="AC34" s="217"/>
      <c r="AD34" s="36" t="str">
        <f>'Alternative 2'!F34</f>
        <v>x</v>
      </c>
      <c r="AE34" s="14">
        <f>3300/'Alternative 2'!$B$21</f>
        <v>66</v>
      </c>
      <c r="AF34" s="14" t="e">
        <f>2*'Alternative 2'!$K34/'Alternative 2'!$B$17</f>
        <v>#VALUE!</v>
      </c>
      <c r="AG34" s="14">
        <f>13000/'Alternative 2'!$B$21</f>
        <v>260</v>
      </c>
      <c r="AH34" s="14" t="e">
        <f>IF(AND(AE34&lt;AF34,AF34&lt;=AG34),((((662/AF34)+0.399*'Alternative 2'!$B$21))/0.1450377),(0.6*'Alternative 2'!$B$21))</f>
        <v>#VALUE!</v>
      </c>
      <c r="AI34" s="217"/>
      <c r="AJ34" s="36">
        <f>'Alternative 3'!F34</f>
        <v>31</v>
      </c>
      <c r="AK34" s="14">
        <f>3300/'Alternative 3'!$B$21</f>
        <v>66</v>
      </c>
      <c r="AL34" s="14">
        <f>2*'Alternative 3'!$K34/'Alternative 3'!$B$17</f>
        <v>145.88571428571427</v>
      </c>
      <c r="AM34" s="14">
        <f>13000/'Alternative 3'!$B$21</f>
        <v>260</v>
      </c>
      <c r="AN34" s="14">
        <f>IF(AND(AK34&lt;AL34,AL34&lt;=AM34),((((662/AL34)+0.399*'Alternative 3'!$B$21))/0.1450377),(0.6*'Alternative 3'!$B$21))</f>
        <v>168.83747238292838</v>
      </c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</row>
    <row r="35" spans="1:260" s="2" customFormat="1" ht="15" customHeight="1" x14ac:dyDescent="0.25">
      <c r="A35" s="10">
        <v>32</v>
      </c>
      <c r="B35" s="10">
        <v>2.0179999999999865E-2</v>
      </c>
      <c r="C35" s="10">
        <v>1.6862999999999999</v>
      </c>
      <c r="D35" s="10">
        <v>1.67621</v>
      </c>
      <c r="E35" s="10">
        <f t="shared" ref="E35:E66" si="4">AVERAGE(C35:D35)</f>
        <v>1.6812549999999999</v>
      </c>
      <c r="F35" s="10">
        <f t="shared" ref="F35:F66" si="5">3.14159*(E35^3)*(B35)</f>
        <v>0.30128078520468626</v>
      </c>
      <c r="G35" s="10">
        <f t="shared" ref="G35:G70" si="6">(3.141593)*(E35^2)</f>
        <v>8.8800845006499145</v>
      </c>
      <c r="H35" s="10">
        <f t="shared" ref="H35:H66" si="7">SQRT(F35/G35)</f>
        <v>0.18419471626898429</v>
      </c>
      <c r="I35" s="11">
        <f>('Baseline Given'!$B$20*A35)/H35</f>
        <v>395.53857456704327</v>
      </c>
      <c r="J35" s="12">
        <f>('Baseline Given'!$B$20*A35)/E35</f>
        <v>43.334363624682169</v>
      </c>
      <c r="K35" s="53">
        <v>32</v>
      </c>
      <c r="L35" s="95">
        <v>1452.355532028148</v>
      </c>
      <c r="M35" s="95">
        <v>0.6130297323291366</v>
      </c>
      <c r="N35" s="95">
        <v>0.68605102183862854</v>
      </c>
      <c r="O35" s="95">
        <v>205.03653896672262</v>
      </c>
      <c r="P35" s="95">
        <v>122.77637063875606</v>
      </c>
      <c r="Q35" s="215"/>
      <c r="R35" s="14">
        <f>3300/'Baseline Given'!$B$22</f>
        <v>66</v>
      </c>
      <c r="S35" s="14">
        <f>('Baseline Given'!$K35*2)/'Baseline Given'!$H35</f>
        <v>150.2079888328141</v>
      </c>
      <c r="T35" s="14">
        <f>13000/'Baseline Given'!$B$22</f>
        <v>260</v>
      </c>
      <c r="U35" s="14">
        <f>IF(AND(R35&lt;S35,S35&lt;=T35),((((662/S35)+0.399*'Baseline Given'!$B$22))/0.1450377),(0.6*'Baseline Given'!$B$22))</f>
        <v>167.93717987231977</v>
      </c>
      <c r="V35" s="224"/>
      <c r="W35" s="8"/>
      <c r="X35" s="36">
        <f>'Alternative 1'!F35</f>
        <v>32</v>
      </c>
      <c r="Y35" s="14">
        <f>3300/'Alternative 1'!$B$21</f>
        <v>66</v>
      </c>
      <c r="Z35" s="14">
        <f>2*'Alternative 1'!$K35/'Alternative 1'!$B$17</f>
        <v>73.977777777777774</v>
      </c>
      <c r="AA35" s="14">
        <f>13000/'Alternative 1'!$B$21</f>
        <v>260</v>
      </c>
      <c r="AB35" s="14">
        <f>IF(AND(Y35&lt;Z35,Z35&lt;=AA35),((((662/Z35)+0.399*'Baseline Given'!$B$22))/0.1450377),(0.6*'Baseline Given'!$B$22))</f>
        <v>199.2491140109789</v>
      </c>
      <c r="AC35" s="217"/>
      <c r="AD35" s="36" t="str">
        <f>'Alternative 2'!F35</f>
        <v>x</v>
      </c>
      <c r="AE35" s="14">
        <f>3300/'Alternative 2'!$B$21</f>
        <v>66</v>
      </c>
      <c r="AF35" s="14" t="e">
        <f>2*'Alternative 2'!$K35/'Alternative 2'!$B$17</f>
        <v>#VALUE!</v>
      </c>
      <c r="AG35" s="14">
        <f>13000/'Alternative 2'!$B$21</f>
        <v>260</v>
      </c>
      <c r="AH35" s="14" t="e">
        <f>IF(AND(AE35&lt;AF35,AF35&lt;=AG35),((((662/AF35)+0.399*'Alternative 2'!$B$21))/0.1450377),(0.6*'Alternative 2'!$B$21))</f>
        <v>#VALUE!</v>
      </c>
      <c r="AI35" s="217"/>
      <c r="AJ35" s="36">
        <f>'Alternative 3'!F35</f>
        <v>32</v>
      </c>
      <c r="AK35" s="14">
        <f>3300/'Alternative 3'!$B$21</f>
        <v>66</v>
      </c>
      <c r="AL35" s="14">
        <f>2*'Alternative 3'!$K35/'Alternative 3'!$B$17</f>
        <v>143.91428571428571</v>
      </c>
      <c r="AM35" s="14">
        <f>13000/'Alternative 3'!$B$21</f>
        <v>260</v>
      </c>
      <c r="AN35" s="14">
        <f>IF(AND(AK35&lt;AL35,AL35&lt;=AM35),((((662/AL35)+0.399*'Alternative 3'!$B$21))/0.1450377),(0.6*'Alternative 3'!$B$21))</f>
        <v>169.2660618158292</v>
      </c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</row>
    <row r="36" spans="1:260" s="2" customFormat="1" ht="15" customHeight="1" x14ac:dyDescent="0.25">
      <c r="A36" s="10">
        <v>33</v>
      </c>
      <c r="B36" s="10">
        <v>2.0039999999999836E-2</v>
      </c>
      <c r="C36" s="10">
        <v>1.6763999999999999</v>
      </c>
      <c r="D36" s="10">
        <v>1.66638</v>
      </c>
      <c r="E36" s="10">
        <f t="shared" si="4"/>
        <v>1.6713899999999999</v>
      </c>
      <c r="F36" s="10">
        <f t="shared" si="5"/>
        <v>0.29395484410977829</v>
      </c>
      <c r="G36" s="10">
        <f t="shared" si="6"/>
        <v>8.7761799472336346</v>
      </c>
      <c r="H36" s="10">
        <f t="shared" si="7"/>
        <v>0.18301536442321781</v>
      </c>
      <c r="I36" s="11">
        <f>('Baseline Given'!$B$20*A36)/H36</f>
        <v>410.52765904365066</v>
      </c>
      <c r="J36" s="12">
        <f>('Baseline Given'!$B$20*A36)/E36</f>
        <v>44.9523265818775</v>
      </c>
      <c r="K36" s="53">
        <v>33</v>
      </c>
      <c r="L36" s="95">
        <v>1450.7924541848283</v>
      </c>
      <c r="M36" s="95">
        <v>0.61287969935288678</v>
      </c>
      <c r="N36" s="95">
        <v>0.68592930008499708</v>
      </c>
      <c r="O36" s="95">
        <v>205.00268883219741</v>
      </c>
      <c r="P36" s="95">
        <v>122.7561010971242</v>
      </c>
      <c r="Q36" s="215"/>
      <c r="R36" s="14">
        <f>3300/'Baseline Given'!$B$22</f>
        <v>66</v>
      </c>
      <c r="S36" s="14">
        <f>('Baseline Given'!$K36*2)/'Baseline Given'!$H36</f>
        <v>150.53922139077929</v>
      </c>
      <c r="T36" s="14">
        <f>13000/'Baseline Given'!$B$22</f>
        <v>260</v>
      </c>
      <c r="U36" s="14">
        <f>IF(AND(R36&lt;S36,S36&lt;=T36),((((662/S36)+0.399*'Baseline Given'!$B$22))/0.1450377),(0.6*'Baseline Given'!$B$22))</f>
        <v>167.87031971301576</v>
      </c>
      <c r="V36" s="224"/>
      <c r="W36" s="8"/>
      <c r="X36" s="36">
        <f>'Alternative 1'!F36</f>
        <v>33</v>
      </c>
      <c r="Y36" s="14">
        <f>3300/'Alternative 1'!$B$21</f>
        <v>66</v>
      </c>
      <c r="Z36" s="14">
        <f>2*'Alternative 1'!$K36/'Alternative 1'!$B$17</f>
        <v>72.983333333333334</v>
      </c>
      <c r="AA36" s="14">
        <f>13000/'Alternative 1'!$B$21</f>
        <v>260</v>
      </c>
      <c r="AB36" s="14">
        <f>IF(AND(Y36&lt;Z36,Z36&lt;=AA36),((((662/Z36)+0.399*'Baseline Given'!$B$22))/0.1450377),(0.6*'Baseline Given'!$B$22))</f>
        <v>200.08979772652549</v>
      </c>
      <c r="AC36" s="217"/>
      <c r="AD36" s="36" t="str">
        <f>'Alternative 2'!F36</f>
        <v>x</v>
      </c>
      <c r="AE36" s="14">
        <f>3300/'Alternative 2'!$B$21</f>
        <v>66</v>
      </c>
      <c r="AF36" s="14" t="e">
        <f>2*'Alternative 2'!$K36/'Alternative 2'!$B$17</f>
        <v>#VALUE!</v>
      </c>
      <c r="AG36" s="14">
        <f>13000/'Alternative 2'!$B$21</f>
        <v>260</v>
      </c>
      <c r="AH36" s="14" t="e">
        <f>IF(AND(AE36&lt;AF36,AF36&lt;=AG36),((((662/AF36)+0.399*'Alternative 2'!$B$21))/0.1450377),(0.6*'Alternative 2'!$B$21))</f>
        <v>#VALUE!</v>
      </c>
      <c r="AI36" s="217"/>
      <c r="AJ36" s="36">
        <f>'Alternative 3'!F36</f>
        <v>33</v>
      </c>
      <c r="AK36" s="14">
        <f>3300/'Alternative 3'!$B$21</f>
        <v>66</v>
      </c>
      <c r="AL36" s="14">
        <f>2*'Alternative 3'!$K36/'Alternative 3'!$B$17</f>
        <v>141.94285714285712</v>
      </c>
      <c r="AM36" s="14">
        <f>13000/'Alternative 3'!$B$21</f>
        <v>260</v>
      </c>
      <c r="AN36" s="14">
        <f>IF(AND(AK36&lt;AL36,AL36&lt;=AM36),((((662/AL36)+0.399*'Alternative 3'!$B$21))/0.1450377),(0.6*'Alternative 3'!$B$21))</f>
        <v>169.70655651075506</v>
      </c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</row>
    <row r="37" spans="1:260" s="2" customFormat="1" ht="15" customHeight="1" x14ac:dyDescent="0.25">
      <c r="A37" s="10">
        <v>34</v>
      </c>
      <c r="B37" s="10">
        <v>1.9899999999999807E-2</v>
      </c>
      <c r="C37" s="10">
        <v>1.6664999999999999</v>
      </c>
      <c r="D37" s="10">
        <v>1.65655</v>
      </c>
      <c r="E37" s="10">
        <f t="shared" si="4"/>
        <v>1.6615249999999999</v>
      </c>
      <c r="F37" s="10">
        <f t="shared" si="5"/>
        <v>0.28676307120534306</v>
      </c>
      <c r="G37" s="10">
        <f t="shared" si="6"/>
        <v>8.6728868623262194</v>
      </c>
      <c r="H37" s="10">
        <f t="shared" si="7"/>
        <v>0.18183595883619141</v>
      </c>
      <c r="I37" s="11">
        <f>('Baseline Given'!$B$20*A37)/H37</f>
        <v>425.71130171941746</v>
      </c>
      <c r="J37" s="12">
        <f>('Baseline Given'!$B$20*A37)/E37</f>
        <v>46.589502255791189</v>
      </c>
      <c r="K37" s="53">
        <v>34</v>
      </c>
      <c r="L37" s="95">
        <v>1449.2108153653883</v>
      </c>
      <c r="M37" s="95">
        <v>0.61272766779730736</v>
      </c>
      <c r="N37" s="95">
        <v>0.68580595688395551</v>
      </c>
      <c r="O37" s="95">
        <v>204.96837107425387</v>
      </c>
      <c r="P37" s="95">
        <v>122.73555154146939</v>
      </c>
      <c r="Q37" s="215"/>
      <c r="R37" s="14">
        <f>3300/'Baseline Given'!$B$22</f>
        <v>66</v>
      </c>
      <c r="S37" s="14">
        <f>('Baseline Given'!$K37*2)/'Baseline Given'!$H37</f>
        <v>150.87590384457937</v>
      </c>
      <c r="T37" s="14">
        <f>13000/'Baseline Given'!$B$22</f>
        <v>260</v>
      </c>
      <c r="U37" s="14">
        <f>IF(AND(R37&lt;S37,S37&lt;=T37),((((662/S37)+0.399*'Baseline Given'!$B$22))/0.1450377),(0.6*'Baseline Given'!$B$22))</f>
        <v>167.80266033224305</v>
      </c>
      <c r="V37" s="224"/>
      <c r="W37" s="8"/>
      <c r="X37" s="36">
        <f>'Alternative 1'!F37</f>
        <v>34</v>
      </c>
      <c r="Y37" s="14">
        <f>3300/'Alternative 1'!$B$21</f>
        <v>66</v>
      </c>
      <c r="Z37" s="14">
        <f>2*'Alternative 1'!$K37/'Alternative 1'!$B$17</f>
        <v>71.98888888888888</v>
      </c>
      <c r="AA37" s="14">
        <f>13000/'Alternative 1'!$B$21</f>
        <v>260</v>
      </c>
      <c r="AB37" s="14">
        <f>IF(AND(Y37&lt;Z37,Z37&lt;=AA37),((((662/Z37)+0.399*'Baseline Given'!$B$22))/0.1450377),(0.6*'Baseline Given'!$B$22))</f>
        <v>200.9537076166489</v>
      </c>
      <c r="AC37" s="217"/>
      <c r="AD37" s="36" t="str">
        <f>'Alternative 2'!F37</f>
        <v>x</v>
      </c>
      <c r="AE37" s="14">
        <f>3300/'Alternative 2'!$B$21</f>
        <v>66</v>
      </c>
      <c r="AF37" s="14" t="e">
        <f>2*'Alternative 2'!$K37/'Alternative 2'!$B$17</f>
        <v>#VALUE!</v>
      </c>
      <c r="AG37" s="14">
        <f>13000/'Alternative 2'!$B$21</f>
        <v>260</v>
      </c>
      <c r="AH37" s="14" t="e">
        <f>IF(AND(AE37&lt;AF37,AF37&lt;=AG37),((((662/AF37)+0.399*'Alternative 2'!$B$21))/0.1450377),(0.6*'Alternative 2'!$B$21))</f>
        <v>#VALUE!</v>
      </c>
      <c r="AI37" s="217"/>
      <c r="AJ37" s="36">
        <f>'Alternative 3'!F37</f>
        <v>34</v>
      </c>
      <c r="AK37" s="14">
        <f>3300/'Alternative 3'!$B$21</f>
        <v>66</v>
      </c>
      <c r="AL37" s="14">
        <f>2*'Alternative 3'!$K37/'Alternative 3'!$B$17</f>
        <v>139.97142857142856</v>
      </c>
      <c r="AM37" s="14">
        <f>13000/'Alternative 3'!$B$21</f>
        <v>260</v>
      </c>
      <c r="AN37" s="14">
        <f>IF(AND(AK37&lt;AL37,AL37&lt;=AM37),((((662/AL37)+0.399*'Alternative 3'!$B$21))/0.1450377),(0.6*'Alternative 3'!$B$21))</f>
        <v>170.15945950694643</v>
      </c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</row>
    <row r="38" spans="1:260" s="2" customFormat="1" ht="15" customHeight="1" x14ac:dyDescent="0.25">
      <c r="A38" s="10">
        <v>35</v>
      </c>
      <c r="B38" s="10">
        <v>1.9759999999999778E-2</v>
      </c>
      <c r="C38" s="10">
        <v>1.6565999999999999</v>
      </c>
      <c r="D38" s="10">
        <v>1.64672</v>
      </c>
      <c r="E38" s="10">
        <f t="shared" si="4"/>
        <v>1.6516599999999999</v>
      </c>
      <c r="F38" s="10">
        <f t="shared" si="5"/>
        <v>0.27970382118491732</v>
      </c>
      <c r="G38" s="10">
        <f t="shared" si="6"/>
        <v>8.570205245927669</v>
      </c>
      <c r="H38" s="10">
        <f t="shared" si="7"/>
        <v>0.18065649845536488</v>
      </c>
      <c r="I38" s="11">
        <f>('Baseline Given'!$B$20*A38)/H38</f>
        <v>441.0933292007258</v>
      </c>
      <c r="J38" s="12">
        <f>('Baseline Given'!$B$20*A38)/E38</f>
        <v>48.246234906350388</v>
      </c>
      <c r="K38" s="53">
        <v>35</v>
      </c>
      <c r="L38" s="95">
        <v>1447.6102829880078</v>
      </c>
      <c r="M38" s="95">
        <v>0.61257359744589779</v>
      </c>
      <c r="N38" s="95">
        <v>0.68568095960785691</v>
      </c>
      <c r="O38" s="95">
        <v>204.93357592548475</v>
      </c>
      <c r="P38" s="95">
        <v>122.71471612304477</v>
      </c>
      <c r="Q38" s="215"/>
      <c r="R38" s="14">
        <f>3300/'Baseline Given'!$B$22</f>
        <v>66</v>
      </c>
      <c r="S38" s="14">
        <f>('Baseline Given'!$K38*2)/'Baseline Given'!$H38</f>
        <v>151.21817181374209</v>
      </c>
      <c r="T38" s="14">
        <f>13000/'Baseline Given'!$B$22</f>
        <v>260</v>
      </c>
      <c r="U38" s="14">
        <f>IF(AND(R38&lt;S38,S38&lt;=T38),((((662/S38)+0.399*'Baseline Given'!$B$22))/0.1450377),(0.6*'Baseline Given'!$B$22))</f>
        <v>167.73418731344239</v>
      </c>
      <c r="V38" s="224"/>
      <c r="W38" s="8"/>
      <c r="X38" s="36">
        <f>'Alternative 1'!F38</f>
        <v>35</v>
      </c>
      <c r="Y38" s="14">
        <f>3300/'Alternative 1'!$B$21</f>
        <v>66</v>
      </c>
      <c r="Z38" s="14">
        <f>2*'Alternative 1'!$K38/'Alternative 1'!$B$17</f>
        <v>70.994444444444454</v>
      </c>
      <c r="AA38" s="14">
        <f>13000/'Alternative 1'!$B$21</f>
        <v>260</v>
      </c>
      <c r="AB38" s="14">
        <f>IF(AND(Y38&lt;Z38,Z38&lt;=AA38),((((662/Z38)+0.399*'Baseline Given'!$B$22))/0.1450377),(0.6*'Baseline Given'!$B$22))</f>
        <v>201.84181969322381</v>
      </c>
      <c r="AC38" s="217"/>
      <c r="AD38" s="36" t="str">
        <f>'Alternative 2'!F38</f>
        <v>x</v>
      </c>
      <c r="AE38" s="14">
        <f>3300/'Alternative 2'!$B$21</f>
        <v>66</v>
      </c>
      <c r="AF38" s="14" t="e">
        <f>2*'Alternative 2'!$K38/'Alternative 2'!$B$17</f>
        <v>#VALUE!</v>
      </c>
      <c r="AG38" s="14">
        <f>13000/'Alternative 2'!$B$21</f>
        <v>260</v>
      </c>
      <c r="AH38" s="14" t="e">
        <f>IF(AND(AE38&lt;AF38,AF38&lt;=AG38),((((662/AF38)+0.399*'Alternative 2'!$B$21))/0.1450377),(0.6*'Alternative 2'!$B$21))</f>
        <v>#VALUE!</v>
      </c>
      <c r="AI38" s="217"/>
      <c r="AJ38" s="36">
        <f>'Alternative 3'!F38</f>
        <v>35</v>
      </c>
      <c r="AK38" s="14">
        <f>3300/'Alternative 3'!$B$21</f>
        <v>66</v>
      </c>
      <c r="AL38" s="14">
        <f>2*'Alternative 3'!$K38/'Alternative 3'!$B$17</f>
        <v>138</v>
      </c>
      <c r="AM38" s="14">
        <f>13000/'Alternative 3'!$B$21</f>
        <v>260</v>
      </c>
      <c r="AN38" s="14">
        <f>IF(AND(AK38&lt;AL38,AL38&lt;=AM38),((((662/AL38)+0.399*'Alternative 3'!$B$21))/0.1450377),(0.6*'Alternative 3'!$B$21))</f>
        <v>170.62530258874327</v>
      </c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</row>
    <row r="39" spans="1:260" s="2" customFormat="1" ht="15" customHeight="1" x14ac:dyDescent="0.25">
      <c r="A39" s="10">
        <v>36</v>
      </c>
      <c r="B39" s="10">
        <v>1.9620000000000193E-2</v>
      </c>
      <c r="C39" s="10">
        <v>1.6467000000000001</v>
      </c>
      <c r="D39" s="10">
        <v>1.63689</v>
      </c>
      <c r="E39" s="10">
        <f t="shared" si="4"/>
        <v>1.6417950000000001</v>
      </c>
      <c r="F39" s="10">
        <f t="shared" si="5"/>
        <v>0.27277545887602472</v>
      </c>
      <c r="G39" s="10">
        <f t="shared" si="6"/>
        <v>8.4681350980379868</v>
      </c>
      <c r="H39" s="10">
        <f t="shared" si="7"/>
        <v>0.17947698220048289</v>
      </c>
      <c r="I39" s="11">
        <f>('Baseline Given'!$B$20*A39)/H39</f>
        <v>456.67766947260031</v>
      </c>
      <c r="J39" s="12">
        <f>('Baseline Given'!$B$20*A39)/E39</f>
        <v>49.922877067655755</v>
      </c>
      <c r="K39" s="53">
        <v>36</v>
      </c>
      <c r="L39" s="95">
        <v>1445.9905164774061</v>
      </c>
      <c r="M39" s="95">
        <v>0.61241744699546419</v>
      </c>
      <c r="N39" s="95">
        <v>0.68555427474742014</v>
      </c>
      <c r="O39" s="95">
        <v>204.89829334429328</v>
      </c>
      <c r="P39" s="95">
        <v>122.69358882891814</v>
      </c>
      <c r="Q39" s="215"/>
      <c r="R39" s="14">
        <f>3300/'Baseline Given'!$B$22</f>
        <v>66</v>
      </c>
      <c r="S39" s="14">
        <f>('Baseline Given'!$K39*2)/'Baseline Given'!$H39</f>
        <v>151.56616545525134</v>
      </c>
      <c r="T39" s="14">
        <f>13000/'Baseline Given'!$B$22</f>
        <v>260</v>
      </c>
      <c r="U39" s="14">
        <f>IF(AND(R39&lt;S39,S39&lt;=T39),((((662/S39)+0.399*'Baseline Given'!$B$22))/0.1450377),(0.6*'Baseline Given'!$B$22))</f>
        <v>167.66488589122437</v>
      </c>
      <c r="V39" s="224"/>
      <c r="W39" s="8"/>
      <c r="X39" s="36">
        <f>'Alternative 1'!F39</f>
        <v>36</v>
      </c>
      <c r="Y39" s="14">
        <f>3300/'Alternative 1'!$B$21</f>
        <v>66</v>
      </c>
      <c r="Z39" s="14">
        <f>2*'Alternative 1'!$K39/'Alternative 1'!$B$17</f>
        <v>70</v>
      </c>
      <c r="AA39" s="14">
        <f>13000/'Alternative 1'!$B$21</f>
        <v>260</v>
      </c>
      <c r="AB39" s="14">
        <f>IF(AND(Y39&lt;Z39,Z39&lt;=AA39),((((662/Z39)+0.399*'Baseline Given'!$B$22))/0.1450377),(0.6*'Baseline Given'!$B$22))</f>
        <v>202.75516543038714</v>
      </c>
      <c r="AC39" s="217"/>
      <c r="AD39" s="36" t="str">
        <f>'Alternative 2'!F39</f>
        <v>x</v>
      </c>
      <c r="AE39" s="14">
        <f>3300/'Alternative 2'!$B$21</f>
        <v>66</v>
      </c>
      <c r="AF39" s="14" t="e">
        <f>2*'Alternative 2'!$K39/'Alternative 2'!$B$17</f>
        <v>#VALUE!</v>
      </c>
      <c r="AG39" s="14">
        <f>13000/'Alternative 2'!$B$21</f>
        <v>260</v>
      </c>
      <c r="AH39" s="14" t="e">
        <f>IF(AND(AE39&lt;AF39,AF39&lt;=AG39),((((662/AF39)+0.399*'Alternative 2'!$B$21))/0.1450377),(0.6*'Alternative 2'!$B$21))</f>
        <v>#VALUE!</v>
      </c>
      <c r="AI39" s="217"/>
      <c r="AJ39" s="36" t="str">
        <f>'Alternative 3'!F39</f>
        <v>x</v>
      </c>
      <c r="AK39" s="14">
        <f>3300/'Alternative 3'!$B$21</f>
        <v>66</v>
      </c>
      <c r="AL39" s="14" t="e">
        <f>2*'Alternative 3'!$K39/'Alternative 3'!$B$17</f>
        <v>#VALUE!</v>
      </c>
      <c r="AM39" s="14">
        <f>13000/'Alternative 3'!$B$21</f>
        <v>260</v>
      </c>
      <c r="AN39" s="14" t="e">
        <f>IF(AND(AK39&lt;AL39,AL39&lt;=AM39),((((662/AL39)+0.399*'Alternative 3'!$B$21))/0.1450377),(0.6*'Alternative 3'!$B$21))</f>
        <v>#VALUE!</v>
      </c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</row>
    <row r="40" spans="1:260" s="2" customFormat="1" ht="15" customHeight="1" x14ac:dyDescent="0.25">
      <c r="A40" s="10">
        <v>37</v>
      </c>
      <c r="B40" s="10">
        <v>1.9480000000000164E-2</v>
      </c>
      <c r="C40" s="10">
        <v>1.6368</v>
      </c>
      <c r="D40" s="10">
        <v>1.62706</v>
      </c>
      <c r="E40" s="10">
        <f t="shared" si="4"/>
        <v>1.6319300000000001</v>
      </c>
      <c r="F40" s="10">
        <f t="shared" si="5"/>
        <v>0.26597635924015001</v>
      </c>
      <c r="G40" s="10">
        <f t="shared" si="6"/>
        <v>8.3666764186571658</v>
      </c>
      <c r="H40" s="10">
        <f t="shared" si="7"/>
        <v>0.17829740896264648</v>
      </c>
      <c r="I40" s="11">
        <f>('Baseline Given'!$B$20*A40)/H40</f>
        <v>472.46835529062275</v>
      </c>
      <c r="J40" s="12">
        <f>('Baseline Given'!$B$20*A40)/E40</f>
        <v>51.619789798068005</v>
      </c>
      <c r="K40" s="53">
        <v>37</v>
      </c>
      <c r="L40" s="95">
        <v>1444.3511670231076</v>
      </c>
      <c r="M40" s="95">
        <v>0.61225917401913788</v>
      </c>
      <c r="N40" s="95">
        <v>0.68542586788172655</v>
      </c>
      <c r="O40" s="95">
        <v>204.86251300519206</v>
      </c>
      <c r="P40" s="95">
        <v>122.67216347616291</v>
      </c>
      <c r="Q40" s="215"/>
      <c r="R40" s="14">
        <f>3300/'Baseline Given'!$B$22</f>
        <v>66</v>
      </c>
      <c r="S40" s="14">
        <f>('Baseline Given'!$K40*2)/'Baseline Given'!$H40</f>
        <v>151.92002965491164</v>
      </c>
      <c r="T40" s="14">
        <f>13000/'Baseline Given'!$B$22</f>
        <v>260</v>
      </c>
      <c r="U40" s="14">
        <f>IF(AND(R40&lt;S40,S40&lt;=T40),((((662/S40)+0.399*'Baseline Given'!$B$22))/0.1450377),(0.6*'Baseline Given'!$B$22))</f>
        <v>167.59474094075472</v>
      </c>
      <c r="V40" s="224"/>
      <c r="W40" s="8"/>
      <c r="X40" s="36" t="str">
        <f>'Alternative 1'!F40</f>
        <v>x</v>
      </c>
      <c r="Y40" s="14">
        <f>3300/'Alternative 1'!$B$21</f>
        <v>66</v>
      </c>
      <c r="Z40" s="14" t="e">
        <f>2*'Alternative 1'!$K40/'Alternative 1'!$B$17</f>
        <v>#VALUE!</v>
      </c>
      <c r="AA40" s="14">
        <f>13000/'Alternative 1'!$B$21</f>
        <v>260</v>
      </c>
      <c r="AB40" s="14" t="e">
        <f>IF(AND(Y40&lt;Z40,Z40&lt;=AA40),((((662/Z40)+0.399*'Baseline Given'!$B$22))/0.1450377),(0.6*'Baseline Given'!$B$22))</f>
        <v>#VALUE!</v>
      </c>
      <c r="AC40" s="217"/>
      <c r="AD40" s="36" t="str">
        <f>'Alternative 2'!F40</f>
        <v>x</v>
      </c>
      <c r="AE40" s="14">
        <f>3300/'Alternative 2'!$B$21</f>
        <v>66</v>
      </c>
      <c r="AF40" s="14" t="e">
        <f>2*'Alternative 2'!$K40/'Alternative 2'!$B$17</f>
        <v>#VALUE!</v>
      </c>
      <c r="AG40" s="14">
        <f>13000/'Alternative 2'!$B$21</f>
        <v>260</v>
      </c>
      <c r="AH40" s="14" t="e">
        <f>IF(AND(AE40&lt;AF40,AF40&lt;=AG40),((((662/AF40)+0.399*'Alternative 2'!$B$21))/0.1450377),(0.6*'Alternative 2'!$B$21))</f>
        <v>#VALUE!</v>
      </c>
      <c r="AI40" s="217"/>
      <c r="AJ40" s="36" t="str">
        <f>'Alternative 3'!F40</f>
        <v>x</v>
      </c>
      <c r="AK40" s="14">
        <f>3300/'Alternative 3'!$B$21</f>
        <v>66</v>
      </c>
      <c r="AL40" s="14" t="e">
        <f>2*'Alternative 3'!$K40/'Alternative 3'!$B$17</f>
        <v>#VALUE!</v>
      </c>
      <c r="AM40" s="14">
        <f>13000/'Alternative 3'!$B$21</f>
        <v>260</v>
      </c>
      <c r="AN40" s="14" t="e">
        <f>IF(AND(AK40&lt;AL40,AL40&lt;=AM40),((((662/AL40)+0.399*'Alternative 3'!$B$21))/0.1450377),(0.6*'Alternative 3'!$B$21))</f>
        <v>#VALUE!</v>
      </c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</row>
    <row r="41" spans="1:260" s="2" customFormat="1" ht="15" customHeight="1" x14ac:dyDescent="0.25">
      <c r="A41" s="10">
        <v>38</v>
      </c>
      <c r="B41" s="10">
        <v>1.9339999999999691E-2</v>
      </c>
      <c r="C41" s="10">
        <v>1.6269</v>
      </c>
      <c r="D41" s="10">
        <v>1.6172300000000002</v>
      </c>
      <c r="E41" s="10">
        <f t="shared" si="4"/>
        <v>1.6220650000000001</v>
      </c>
      <c r="F41" s="10">
        <f t="shared" si="5"/>
        <v>0.25930490737277118</v>
      </c>
      <c r="G41" s="10">
        <f t="shared" si="6"/>
        <v>8.2658292077852114</v>
      </c>
      <c r="H41" s="10">
        <f t="shared" si="7"/>
        <v>0.17711777760336633</v>
      </c>
      <c r="I41" s="11">
        <f>('Baseline Given'!$B$20*A41)/H41</f>
        <v>488.46952771039054</v>
      </c>
      <c r="J41" s="12">
        <f>('Baseline Given'!$B$20*A41)/E41</f>
        <v>53.337342939420019</v>
      </c>
      <c r="K41" s="53">
        <v>38</v>
      </c>
      <c r="L41" s="95">
        <v>1442.6918773291836</v>
      </c>
      <c r="M41" s="95">
        <v>0.6120987349279029</v>
      </c>
      <c r="N41" s="95">
        <v>0.68529570364700765</v>
      </c>
      <c r="O41" s="95">
        <v>204.82622428869402</v>
      </c>
      <c r="P41" s="95">
        <v>122.65043370580482</v>
      </c>
      <c r="Q41" s="215"/>
      <c r="R41" s="14">
        <f>3300/'Baseline Given'!$B$22</f>
        <v>66</v>
      </c>
      <c r="S41" s="14">
        <f>('Baseline Given'!$K41*2)/'Baseline Given'!$H41</f>
        <v>152.27991422847924</v>
      </c>
      <c r="T41" s="14">
        <f>13000/'Baseline Given'!$B$22</f>
        <v>260</v>
      </c>
      <c r="U41" s="14">
        <f>IF(AND(R41&lt;S41,S41&lt;=T41),((((662/S41)+0.399*'Baseline Given'!$B$22))/0.1450377),(0.6*'Baseline Given'!$B$22))</f>
        <v>167.52373696674937</v>
      </c>
      <c r="V41" s="224"/>
      <c r="W41" s="8"/>
      <c r="X41" s="36" t="str">
        <f>'Alternative 1'!F41</f>
        <v>x</v>
      </c>
      <c r="Y41" s="14">
        <f>3300/'Alternative 1'!$B$21</f>
        <v>66</v>
      </c>
      <c r="Z41" s="14" t="e">
        <f>2*'Alternative 1'!$K41/'Alternative 1'!$B$17</f>
        <v>#VALUE!</v>
      </c>
      <c r="AA41" s="14">
        <f>13000/'Alternative 1'!$B$21</f>
        <v>260</v>
      </c>
      <c r="AB41" s="14" t="e">
        <f>IF(AND(Y41&lt;Z41,Z41&lt;=AA41),((((662/Z41)+0.399*'Baseline Given'!$B$22))/0.1450377),(0.6*'Baseline Given'!$B$22))</f>
        <v>#VALUE!</v>
      </c>
      <c r="AC41" s="217"/>
      <c r="AD41" s="36" t="str">
        <f>'Alternative 2'!F41</f>
        <v>x</v>
      </c>
      <c r="AE41" s="14">
        <f>3300/'Alternative 2'!$B$21</f>
        <v>66</v>
      </c>
      <c r="AF41" s="14" t="e">
        <f>2*'Alternative 2'!$K41/'Alternative 2'!$B$17</f>
        <v>#VALUE!</v>
      </c>
      <c r="AG41" s="14">
        <f>13000/'Alternative 2'!$B$21</f>
        <v>260</v>
      </c>
      <c r="AH41" s="14" t="e">
        <f>IF(AND(AE41&lt;AF41,AF41&lt;=AG41),((((662/AF41)+0.399*'Alternative 2'!$B$21))/0.1450377),(0.6*'Alternative 2'!$B$21))</f>
        <v>#VALUE!</v>
      </c>
      <c r="AI41" s="217"/>
      <c r="AJ41" s="36" t="str">
        <f>'Alternative 3'!F41</f>
        <v>x</v>
      </c>
      <c r="AK41" s="14">
        <f>3300/'Alternative 3'!$B$21</f>
        <v>66</v>
      </c>
      <c r="AL41" s="14" t="e">
        <f>2*'Alternative 3'!$K41/'Alternative 3'!$B$17</f>
        <v>#VALUE!</v>
      </c>
      <c r="AM41" s="14">
        <f>13000/'Alternative 3'!$B$21</f>
        <v>260</v>
      </c>
      <c r="AN41" s="14" t="e">
        <f>IF(AND(AK41&lt;AL41,AL41&lt;=AM41),((((662/AL41)+0.399*'Alternative 3'!$B$21))/0.1450377),(0.6*'Alternative 3'!$B$21))</f>
        <v>#VALUE!</v>
      </c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</row>
    <row r="42" spans="1:260" s="2" customFormat="1" ht="15" customHeight="1" x14ac:dyDescent="0.25">
      <c r="A42" s="10">
        <v>39</v>
      </c>
      <c r="B42" s="10">
        <v>1.9199999999999662E-2</v>
      </c>
      <c r="C42" s="10">
        <v>1.617</v>
      </c>
      <c r="D42" s="10">
        <v>1.6074000000000002</v>
      </c>
      <c r="E42" s="10">
        <f t="shared" si="4"/>
        <v>1.6122000000000001</v>
      </c>
      <c r="F42" s="10">
        <f t="shared" si="5"/>
        <v>0.25275949850335805</v>
      </c>
      <c r="G42" s="10">
        <f t="shared" si="6"/>
        <v>8.1655934654221198</v>
      </c>
      <c r="H42" s="10">
        <f t="shared" si="7"/>
        <v>0.17593808695356691</v>
      </c>
      <c r="I42" s="11">
        <f>('Baseline Given'!$B$20*A42)/H42</f>
        <v>504.68543976116814</v>
      </c>
      <c r="J42" s="12">
        <f>('Baseline Given'!$B$20*A42)/E42</f>
        <v>55.075915385745908</v>
      </c>
      <c r="K42" s="53">
        <v>39</v>
      </c>
      <c r="L42" s="95">
        <v>1441.0122813546452</v>
      </c>
      <c r="M42" s="95">
        <v>0.61193608493051399</v>
      </c>
      <c r="N42" s="95">
        <v>0.68516374570412597</v>
      </c>
      <c r="O42" s="95">
        <v>204.78941627076347</v>
      </c>
      <c r="P42" s="95">
        <v>122.62839297650507</v>
      </c>
      <c r="Q42" s="215"/>
      <c r="R42" s="14">
        <f>3300/'Baseline Given'!$B$22</f>
        <v>66</v>
      </c>
      <c r="S42" s="14">
        <f>('Baseline Given'!$K42*2)/'Baseline Given'!$H42</f>
        <v>152.64597413314709</v>
      </c>
      <c r="T42" s="14">
        <f>13000/'Baseline Given'!$B$22</f>
        <v>260</v>
      </c>
      <c r="U42" s="14">
        <f>IF(AND(R42&lt;S42,S42&lt;=T42),((((662/S42)+0.399*'Baseline Given'!$B$22))/0.1450377),(0.6*'Baseline Given'!$B$22))</f>
        <v>167.45185809206302</v>
      </c>
      <c r="V42" s="224"/>
      <c r="W42" s="8"/>
      <c r="X42" s="36" t="str">
        <f>'Alternative 1'!F42</f>
        <v>x</v>
      </c>
      <c r="Y42" s="14">
        <f>3300/'Alternative 1'!$B$21</f>
        <v>66</v>
      </c>
      <c r="Z42" s="14" t="e">
        <f>2*'Alternative 1'!$K42/'Alternative 1'!$B$17</f>
        <v>#VALUE!</v>
      </c>
      <c r="AA42" s="14">
        <f>13000/'Alternative 1'!$B$21</f>
        <v>260</v>
      </c>
      <c r="AB42" s="14" t="e">
        <f>IF(AND(Y42&lt;Z42,Z42&lt;=AA42),((((662/Z42)+0.399*'Baseline Given'!$B$22))/0.1450377),(0.6*'Baseline Given'!$B$22))</f>
        <v>#VALUE!</v>
      </c>
      <c r="AC42" s="217"/>
      <c r="AD42" s="36" t="str">
        <f>'Alternative 2'!F42</f>
        <v>x</v>
      </c>
      <c r="AE42" s="14">
        <f>3300/'Alternative 2'!$B$21</f>
        <v>66</v>
      </c>
      <c r="AF42" s="14" t="e">
        <f>2*'Alternative 2'!$K42/'Alternative 2'!$B$17</f>
        <v>#VALUE!</v>
      </c>
      <c r="AG42" s="14">
        <f>13000/'Alternative 2'!$B$21</f>
        <v>260</v>
      </c>
      <c r="AH42" s="14" t="e">
        <f>IF(AND(AE42&lt;AF42,AF42&lt;=AG42),((((662/AF42)+0.399*'Alternative 2'!$B$21))/0.1450377),(0.6*'Alternative 2'!$B$21))</f>
        <v>#VALUE!</v>
      </c>
      <c r="AI42" s="217"/>
      <c r="AJ42" s="36" t="str">
        <f>'Alternative 3'!F42</f>
        <v>x</v>
      </c>
      <c r="AK42" s="14">
        <f>3300/'Alternative 3'!$B$21</f>
        <v>66</v>
      </c>
      <c r="AL42" s="14" t="e">
        <f>2*'Alternative 3'!$K42/'Alternative 3'!$B$17</f>
        <v>#VALUE!</v>
      </c>
      <c r="AM42" s="14">
        <f>13000/'Alternative 3'!$B$21</f>
        <v>260</v>
      </c>
      <c r="AN42" s="14" t="e">
        <f>IF(AND(AK42&lt;AL42,AL42&lt;=AM42),((((662/AL42)+0.399*'Alternative 3'!$B$21))/0.1450377),(0.6*'Alternative 3'!$B$21))</f>
        <v>#VALUE!</v>
      </c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</row>
    <row r="43" spans="1:260" s="2" customFormat="1" ht="15" customHeight="1" x14ac:dyDescent="0.25">
      <c r="A43" s="10">
        <v>40</v>
      </c>
      <c r="B43" s="10">
        <v>1.9059999999999633E-2</v>
      </c>
      <c r="C43" s="10">
        <v>1.6071</v>
      </c>
      <c r="D43" s="10">
        <v>1.5975700000000002</v>
      </c>
      <c r="E43" s="10">
        <f t="shared" si="4"/>
        <v>1.6023350000000001</v>
      </c>
      <c r="F43" s="10">
        <f t="shared" si="5"/>
        <v>0.24633853799534275</v>
      </c>
      <c r="G43" s="10">
        <f t="shared" si="6"/>
        <v>8.0659691915678948</v>
      </c>
      <c r="H43" s="10">
        <f t="shared" si="7"/>
        <v>0.17475833581254005</v>
      </c>
      <c r="I43" s="11">
        <f>('Baseline Given'!$B$20*A43)/H43</f>
        <v>521.12046027067913</v>
      </c>
      <c r="J43" s="12">
        <f>('Baseline Given'!$B$20*A43)/E43</f>
        <v>56.835895361936657</v>
      </c>
      <c r="K43" s="53">
        <v>40</v>
      </c>
      <c r="L43" s="95">
        <v>1439.3120040440704</v>
      </c>
      <c r="M43" s="95">
        <v>0.61177117799172809</v>
      </c>
      <c r="N43" s="95">
        <v>0.68502995670468902</v>
      </c>
      <c r="O43" s="95">
        <v>204.75207771180609</v>
      </c>
      <c r="P43" s="95">
        <v>122.60603455796773</v>
      </c>
      <c r="Q43" s="215"/>
      <c r="R43" s="14">
        <f>3300/'Baseline Given'!$B$22</f>
        <v>66</v>
      </c>
      <c r="S43" s="14">
        <f>('Baseline Given'!$K43*2)/'Baseline Given'!$H43</f>
        <v>153.01836969001116</v>
      </c>
      <c r="T43" s="14">
        <f>13000/'Baseline Given'!$B$22</f>
        <v>260</v>
      </c>
      <c r="U43" s="14">
        <f>IF(AND(R43&lt;S43,S43&lt;=T43),((((662/S43)+0.399*'Baseline Given'!$B$22))/0.1450377),(0.6*'Baseline Given'!$B$22))</f>
        <v>167.37908804585297</v>
      </c>
      <c r="V43" s="224"/>
      <c r="W43" s="8"/>
      <c r="X43" s="36" t="str">
        <f>'Alternative 1'!F43</f>
        <v>x</v>
      </c>
      <c r="Y43" s="14">
        <f>3300/'Alternative 1'!$B$21</f>
        <v>66</v>
      </c>
      <c r="Z43" s="14" t="e">
        <f>2*'Alternative 1'!$K43/'Alternative 1'!$B$17</f>
        <v>#VALUE!</v>
      </c>
      <c r="AA43" s="14">
        <f>13000/'Alternative 1'!$B$21</f>
        <v>260</v>
      </c>
      <c r="AB43" s="14" t="e">
        <f>IF(AND(Y43&lt;Z43,Z43&lt;=AA43),((((662/Z43)+0.399*'Baseline Given'!$B$22))/0.1450377),(0.6*'Baseline Given'!$B$22))</f>
        <v>#VALUE!</v>
      </c>
      <c r="AC43" s="217"/>
      <c r="AD43" s="36" t="str">
        <f>'Alternative 2'!F43</f>
        <v>x</v>
      </c>
      <c r="AE43" s="14">
        <f>3300/'Alternative 2'!$B$21</f>
        <v>66</v>
      </c>
      <c r="AF43" s="14" t="e">
        <f>2*'Alternative 2'!$K43/'Alternative 2'!$B$17</f>
        <v>#VALUE!</v>
      </c>
      <c r="AG43" s="14">
        <f>13000/'Alternative 2'!$B$21</f>
        <v>260</v>
      </c>
      <c r="AH43" s="14" t="e">
        <f>IF(AND(AE43&lt;AF43,AF43&lt;=AG43),((((662/AF43)+0.399*'Alternative 2'!$B$21))/0.1450377),(0.6*'Alternative 2'!$B$21))</f>
        <v>#VALUE!</v>
      </c>
      <c r="AI43" s="217"/>
      <c r="AJ43" s="36" t="str">
        <f>'Alternative 3'!F43</f>
        <v>x</v>
      </c>
      <c r="AK43" s="14">
        <f>3300/'Alternative 3'!$B$21</f>
        <v>66</v>
      </c>
      <c r="AL43" s="14" t="e">
        <f>2*'Alternative 3'!$K43/'Alternative 3'!$B$17</f>
        <v>#VALUE!</v>
      </c>
      <c r="AM43" s="14">
        <f>13000/'Alternative 3'!$B$21</f>
        <v>260</v>
      </c>
      <c r="AN43" s="14" t="e">
        <f>IF(AND(AK43&lt;AL43,AL43&lt;=AM43),((((662/AL43)+0.399*'Alternative 3'!$B$21))/0.1450377),(0.6*'Alternative 3'!$B$21))</f>
        <v>#VALUE!</v>
      </c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</row>
    <row r="44" spans="1:260" s="2" customFormat="1" ht="15" customHeight="1" x14ac:dyDescent="0.25">
      <c r="A44" s="10">
        <v>41</v>
      </c>
      <c r="B44" s="10">
        <v>1.8919999999999604E-2</v>
      </c>
      <c r="C44" s="10">
        <v>1.5972</v>
      </c>
      <c r="D44" s="10">
        <v>1.5877400000000002</v>
      </c>
      <c r="E44" s="10">
        <f t="shared" si="4"/>
        <v>1.5924700000000001</v>
      </c>
      <c r="F44" s="10">
        <f t="shared" si="5"/>
        <v>0.24004044134614341</v>
      </c>
      <c r="G44" s="10">
        <f t="shared" si="6"/>
        <v>7.9669563862225337</v>
      </c>
      <c r="H44" s="10">
        <f t="shared" si="7"/>
        <v>0.17357852294687398</v>
      </c>
      <c r="I44" s="11">
        <f>('Baseline Given'!$B$20*A44)/H44</f>
        <v>537.77907784828915</v>
      </c>
      <c r="J44" s="12">
        <f>('Baseline Given'!$B$20*A44)/E44</f>
        <v>58.617680712753135</v>
      </c>
      <c r="K44" s="53">
        <v>41</v>
      </c>
      <c r="L44" s="95">
        <v>1437.5906610485295</v>
      </c>
      <c r="M44" s="95">
        <v>0.61160396678880979</v>
      </c>
      <c r="N44" s="95">
        <v>0.68489429825576142</v>
      </c>
      <c r="O44" s="95">
        <v>204.71419704518408</v>
      </c>
      <c r="P44" s="95">
        <v>122.58335152406232</v>
      </c>
      <c r="Q44" s="215"/>
      <c r="R44" s="14">
        <f>3300/'Baseline Given'!$B$22</f>
        <v>66</v>
      </c>
      <c r="S44" s="14">
        <f>('Baseline Given'!$K44*2)/'Baseline Given'!$H44</f>
        <v>153.39726681818809</v>
      </c>
      <c r="T44" s="14">
        <f>13000/'Baseline Given'!$B$22</f>
        <v>260</v>
      </c>
      <c r="U44" s="14">
        <f>IF(AND(R44&lt;S44,S44&lt;=T44),((((662/S44)+0.399*'Baseline Given'!$B$22))/0.1450377),(0.6*'Baseline Given'!$B$22))</f>
        <v>167.30541015130029</v>
      </c>
      <c r="V44" s="224"/>
      <c r="W44" s="8"/>
      <c r="X44" s="36" t="str">
        <f>'Alternative 1'!F44</f>
        <v>x</v>
      </c>
      <c r="Y44" s="14">
        <f>3300/'Alternative 1'!$B$21</f>
        <v>66</v>
      </c>
      <c r="Z44" s="14" t="e">
        <f>2*'Alternative 1'!$K44/'Alternative 1'!$B$17</f>
        <v>#VALUE!</v>
      </c>
      <c r="AA44" s="14">
        <f>13000/'Alternative 1'!$B$21</f>
        <v>260</v>
      </c>
      <c r="AB44" s="14" t="e">
        <f>IF(AND(Y44&lt;Z44,Z44&lt;=AA44),((((662/Z44)+0.399*'Baseline Given'!$B$22))/0.1450377),(0.6*'Baseline Given'!$B$22))</f>
        <v>#VALUE!</v>
      </c>
      <c r="AC44" s="217"/>
      <c r="AD44" s="36" t="str">
        <f>'Alternative 2'!F44</f>
        <v>x</v>
      </c>
      <c r="AE44" s="14">
        <f>3300/'Alternative 2'!$B$21</f>
        <v>66</v>
      </c>
      <c r="AF44" s="14" t="e">
        <f>2*'Alternative 2'!$K44/'Alternative 2'!$B$17</f>
        <v>#VALUE!</v>
      </c>
      <c r="AG44" s="14">
        <f>13000/'Alternative 2'!$B$21</f>
        <v>260</v>
      </c>
      <c r="AH44" s="14" t="e">
        <f>IF(AND(AE44&lt;AF44,AF44&lt;=AG44),((((662/AF44)+0.399*'Alternative 2'!$B$21))/0.1450377),(0.6*'Alternative 2'!$B$21))</f>
        <v>#VALUE!</v>
      </c>
      <c r="AI44" s="217"/>
      <c r="AJ44" s="36" t="str">
        <f>'Alternative 3'!F44</f>
        <v>x</v>
      </c>
      <c r="AK44" s="14">
        <f>3300/'Alternative 3'!$B$21</f>
        <v>66</v>
      </c>
      <c r="AL44" s="14" t="e">
        <f>2*'Alternative 3'!$K44/'Alternative 3'!$B$17</f>
        <v>#VALUE!</v>
      </c>
      <c r="AM44" s="14">
        <f>13000/'Alternative 3'!$B$21</f>
        <v>260</v>
      </c>
      <c r="AN44" s="14" t="e">
        <f>IF(AND(AK44&lt;AL44,AL44&lt;=AM44),((((662/AL44)+0.399*'Alternative 3'!$B$21))/0.1450377),(0.6*'Alternative 3'!$B$21))</f>
        <v>#VALUE!</v>
      </c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</row>
    <row r="45" spans="1:260" s="2" customFormat="1" ht="15" customHeight="1" x14ac:dyDescent="0.25">
      <c r="A45" s="10">
        <v>42</v>
      </c>
      <c r="B45" s="10">
        <v>1.8779999999999575E-2</v>
      </c>
      <c r="C45" s="10">
        <v>1.5872999999999999</v>
      </c>
      <c r="D45" s="10">
        <v>1.5779100000000001</v>
      </c>
      <c r="E45" s="10">
        <f t="shared" si="4"/>
        <v>1.582605</v>
      </c>
      <c r="F45" s="10">
        <f t="shared" si="5"/>
        <v>0.23386363418715855</v>
      </c>
      <c r="G45" s="10">
        <f t="shared" si="6"/>
        <v>7.8685550493860372</v>
      </c>
      <c r="H45" s="10">
        <f t="shared" si="7"/>
        <v>0.17239864708932806</v>
      </c>
      <c r="I45" s="11">
        <f>('Baseline Given'!$B$20*A45)/H45</f>
        <v>554.66590503439386</v>
      </c>
      <c r="J45" s="12">
        <f>('Baseline Given'!$B$20*A45)/E45</f>
        <v>60.421679202648299</v>
      </c>
      <c r="K45" s="53">
        <v>42</v>
      </c>
      <c r="L45" s="95">
        <v>1435.8478584359007</v>
      </c>
      <c r="M45" s="95">
        <v>0.61143440266618354</v>
      </c>
      <c r="N45" s="95">
        <v>0.68475673088307476</v>
      </c>
      <c r="O45" s="95">
        <v>204.6757623652216</v>
      </c>
      <c r="P45" s="95">
        <v>122.56033674564168</v>
      </c>
      <c r="Q45" s="215"/>
      <c r="R45" s="14">
        <f>3300/'Baseline Given'!$B$22</f>
        <v>66</v>
      </c>
      <c r="S45" s="14">
        <f>('Baseline Given'!$K45*2)/'Baseline Given'!$H45</f>
        <v>153.78283728130356</v>
      </c>
      <c r="T45" s="14">
        <f>13000/'Baseline Given'!$B$22</f>
        <v>260</v>
      </c>
      <c r="U45" s="14">
        <f>IF(AND(R45&lt;S45,S45&lt;=T45),((((662/S45)+0.399*'Baseline Given'!$B$22))/0.1450377),(0.6*'Baseline Given'!$B$22))</f>
        <v>167.23080731286822</v>
      </c>
      <c r="V45" s="224"/>
      <c r="W45" s="8"/>
      <c r="X45" s="36" t="str">
        <f>'Alternative 1'!F45</f>
        <v>x</v>
      </c>
      <c r="Y45" s="14">
        <f>3300/'Alternative 1'!$B$21</f>
        <v>66</v>
      </c>
      <c r="Z45" s="14" t="e">
        <f>2*'Alternative 1'!$K45/'Alternative 1'!$B$17</f>
        <v>#VALUE!</v>
      </c>
      <c r="AA45" s="14">
        <f>13000/'Alternative 1'!$B$21</f>
        <v>260</v>
      </c>
      <c r="AB45" s="14" t="e">
        <f>IF(AND(Y45&lt;Z45,Z45&lt;=AA45),((((662/Z45)+0.399*'Baseline Given'!$B$22))/0.1450377),(0.6*'Baseline Given'!$B$22))</f>
        <v>#VALUE!</v>
      </c>
      <c r="AC45" s="217"/>
      <c r="AD45" s="36" t="str">
        <f>'Alternative 2'!F45</f>
        <v>x</v>
      </c>
      <c r="AE45" s="14">
        <f>3300/'Alternative 2'!$B$21</f>
        <v>66</v>
      </c>
      <c r="AF45" s="14" t="e">
        <f>2*'Alternative 2'!$K45/'Alternative 2'!$B$17</f>
        <v>#VALUE!</v>
      </c>
      <c r="AG45" s="14">
        <f>13000/'Alternative 2'!$B$21</f>
        <v>260</v>
      </c>
      <c r="AH45" s="14" t="e">
        <f>IF(AND(AE45&lt;AF45,AF45&lt;=AG45),((((662/AF45)+0.399*'Alternative 2'!$B$21))/0.1450377),(0.6*'Alternative 2'!$B$21))</f>
        <v>#VALUE!</v>
      </c>
      <c r="AI45" s="217"/>
      <c r="AJ45" s="36" t="str">
        <f>'Alternative 3'!F45</f>
        <v>x</v>
      </c>
      <c r="AK45" s="14">
        <f>3300/'Alternative 3'!$B$21</f>
        <v>66</v>
      </c>
      <c r="AL45" s="14" t="e">
        <f>2*'Alternative 3'!$K45/'Alternative 3'!$B$17</f>
        <v>#VALUE!</v>
      </c>
      <c r="AM45" s="14">
        <f>13000/'Alternative 3'!$B$21</f>
        <v>260</v>
      </c>
      <c r="AN45" s="14" t="e">
        <f>IF(AND(AK45&lt;AL45,AL45&lt;=AM45),((((662/AL45)+0.399*'Alternative 3'!$B$21))/0.1450377),(0.6*'Alternative 3'!$B$21))</f>
        <v>#VALUE!</v>
      </c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</row>
    <row r="46" spans="1:260" s="2" customFormat="1" ht="15" customHeight="1" x14ac:dyDescent="0.25">
      <c r="A46" s="10">
        <v>43</v>
      </c>
      <c r="B46" s="10">
        <v>1.8639999999999546E-2</v>
      </c>
      <c r="C46" s="10">
        <v>1.5773999999999999</v>
      </c>
      <c r="D46" s="10">
        <v>1.5680800000000001</v>
      </c>
      <c r="E46" s="10">
        <f t="shared" si="4"/>
        <v>1.57274</v>
      </c>
      <c r="F46" s="10">
        <f t="shared" si="5"/>
        <v>0.22780655228376687</v>
      </c>
      <c r="G46" s="10">
        <f t="shared" si="6"/>
        <v>7.7707651810584073</v>
      </c>
      <c r="H46" s="10">
        <f t="shared" si="7"/>
        <v>0.17121870693766264</v>
      </c>
      <c r="I46" s="11">
        <f>('Baseline Given'!$B$20*A46)/H46</f>
        <v>571.78568262415411</v>
      </c>
      <c r="J46" s="12">
        <f>('Baseline Given'!$B$20*A46)/E46</f>
        <v>62.248308826873114</v>
      </c>
      <c r="K46" s="53">
        <v>43</v>
      </c>
      <c r="L46" s="95">
        <v>1434.0831923903156</v>
      </c>
      <c r="M46" s="95">
        <v>0.61126243558815718</v>
      </c>
      <c r="N46" s="95">
        <v>0.68461721399267195</v>
      </c>
      <c r="O46" s="95">
        <v>204.63676141467894</v>
      </c>
      <c r="P46" s="95">
        <v>122.53698288304129</v>
      </c>
      <c r="Q46" s="215"/>
      <c r="R46" s="14">
        <f>3300/'Baseline Given'!$B$22</f>
        <v>66</v>
      </c>
      <c r="S46" s="14">
        <f>('Baseline Given'!$K46*2)/'Baseline Given'!$H46</f>
        <v>154.17525894711994</v>
      </c>
      <c r="T46" s="14">
        <f>13000/'Baseline Given'!$B$22</f>
        <v>260</v>
      </c>
      <c r="U46" s="14">
        <f>IF(AND(R46&lt;S46,S46&lt;=T46),((((662/S46)+0.399*'Baseline Given'!$B$22))/0.1450377),(0.6*'Baseline Given'!$B$22))</f>
        <v>167.15526200307804</v>
      </c>
      <c r="V46" s="224"/>
      <c r="W46" s="8"/>
      <c r="X46" s="36" t="str">
        <f>'Alternative 1'!F46</f>
        <v>x</v>
      </c>
      <c r="Y46" s="14">
        <f>3300/'Alternative 1'!$B$21</f>
        <v>66</v>
      </c>
      <c r="Z46" s="14" t="e">
        <f>2*'Alternative 1'!$K46/'Alternative 1'!$B$17</f>
        <v>#VALUE!</v>
      </c>
      <c r="AA46" s="14">
        <f>13000/'Alternative 1'!$B$21</f>
        <v>260</v>
      </c>
      <c r="AB46" s="14" t="e">
        <f>IF(AND(Y46&lt;Z46,Z46&lt;=AA46),((((662/Z46)+0.399*'Baseline Given'!$B$22))/0.1450377),(0.6*'Baseline Given'!$B$22))</f>
        <v>#VALUE!</v>
      </c>
      <c r="AC46" s="217"/>
      <c r="AD46" s="36" t="str">
        <f>'Alternative 2'!F46</f>
        <v>x</v>
      </c>
      <c r="AE46" s="14">
        <f>3300/'Alternative 2'!$B$21</f>
        <v>66</v>
      </c>
      <c r="AF46" s="14" t="e">
        <f>2*'Alternative 2'!$K46/'Alternative 2'!$B$17</f>
        <v>#VALUE!</v>
      </c>
      <c r="AG46" s="14">
        <f>13000/'Alternative 2'!$B$21</f>
        <v>260</v>
      </c>
      <c r="AH46" s="14" t="e">
        <f>IF(AND(AE46&lt;AF46,AF46&lt;=AG46),((((662/AF46)+0.399*'Alternative 2'!$B$21))/0.1450377),(0.6*'Alternative 2'!$B$21))</f>
        <v>#VALUE!</v>
      </c>
      <c r="AI46" s="217"/>
      <c r="AJ46" s="36" t="str">
        <f>'Alternative 3'!F46</f>
        <v>x</v>
      </c>
      <c r="AK46" s="14">
        <f>3300/'Alternative 3'!$B$21</f>
        <v>66</v>
      </c>
      <c r="AL46" s="14" t="e">
        <f>2*'Alternative 3'!$K46/'Alternative 3'!$B$17</f>
        <v>#VALUE!</v>
      </c>
      <c r="AM46" s="14">
        <f>13000/'Alternative 3'!$B$21</f>
        <v>260</v>
      </c>
      <c r="AN46" s="14" t="e">
        <f>IF(AND(AK46&lt;AL46,AL46&lt;=AM46),((((662/AL46)+0.399*'Alternative 3'!$B$21))/0.1450377),(0.6*'Alternative 3'!$B$21))</f>
        <v>#VALUE!</v>
      </c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</row>
    <row r="47" spans="1:260" s="3" customFormat="1" ht="15" customHeight="1" x14ac:dyDescent="0.25">
      <c r="A47" s="10">
        <v>44</v>
      </c>
      <c r="B47" s="10">
        <v>1.7900000000000027E-2</v>
      </c>
      <c r="C47" s="10">
        <v>1.5650500000000001</v>
      </c>
      <c r="D47" s="10">
        <v>1.5561</v>
      </c>
      <c r="E47" s="10">
        <f t="shared" si="4"/>
        <v>1.560575</v>
      </c>
      <c r="F47" s="10">
        <f t="shared" si="5"/>
        <v>0.21372556453335398</v>
      </c>
      <c r="G47" s="10">
        <f t="shared" si="6"/>
        <v>7.6510177813311859</v>
      </c>
      <c r="H47" s="10">
        <f t="shared" si="7"/>
        <v>0.16713547147364796</v>
      </c>
      <c r="I47" s="11">
        <f>('Baseline Given'!$B$20*A47)/H47</f>
        <v>599.37700807001022</v>
      </c>
      <c r="J47" s="12">
        <f>('Baseline Given'!$B$20*A47)/E47</f>
        <v>64.192466772981533</v>
      </c>
      <c r="K47" s="53">
        <v>44</v>
      </c>
      <c r="L47" s="95">
        <v>1387.885875398493</v>
      </c>
      <c r="M47" s="95">
        <v>0.60665940664797569</v>
      </c>
      <c r="N47" s="95">
        <v>0.68088277661350272</v>
      </c>
      <c r="O47" s="95">
        <v>203.5846439791423</v>
      </c>
      <c r="P47" s="95">
        <v>121.90697244260018</v>
      </c>
      <c r="Q47" s="215"/>
      <c r="R47" s="14">
        <f>3300/'Baseline Given'!$B$22</f>
        <v>66</v>
      </c>
      <c r="S47" s="14">
        <f>('Baseline Given'!$K47*2)/'Baseline Given'!$H47</f>
        <v>154.57471606112827</v>
      </c>
      <c r="T47" s="14">
        <f>13000/'Baseline Given'!$B$22</f>
        <v>260</v>
      </c>
      <c r="U47" s="14">
        <f>IF(AND(R47&lt;S47,S47&lt;=T47),((((662/S47)+0.399*'Baseline Given'!$B$22))/0.1450377),(0.6*'Baseline Given'!$B$22))</f>
        <v>167.07875624877997</v>
      </c>
      <c r="V47" s="224"/>
      <c r="W47" s="8"/>
      <c r="X47" s="36" t="str">
        <f>'Alternative 1'!F47</f>
        <v>x</v>
      </c>
      <c r="Y47" s="14">
        <f>3300/'Alternative 1'!$B$21</f>
        <v>66</v>
      </c>
      <c r="Z47" s="14" t="e">
        <f>2*'Alternative 1'!$K47/'Alternative 1'!$B$17</f>
        <v>#VALUE!</v>
      </c>
      <c r="AA47" s="14">
        <f>13000/'Alternative 1'!$B$21</f>
        <v>260</v>
      </c>
      <c r="AB47" s="14" t="e">
        <f>IF(AND(Y47&lt;Z47,Z47&lt;=AA47),((((662/Z47)+0.399*'Baseline Given'!$B$22))/0.1450377),(0.6*'Baseline Given'!$B$22))</f>
        <v>#VALUE!</v>
      </c>
      <c r="AC47" s="217"/>
      <c r="AD47" s="36" t="str">
        <f>'Alternative 2'!F47</f>
        <v>x</v>
      </c>
      <c r="AE47" s="14">
        <f>3300/'Alternative 2'!$B$21</f>
        <v>66</v>
      </c>
      <c r="AF47" s="14" t="e">
        <f>2*'Alternative 2'!$K47/'Alternative 2'!$B$17</f>
        <v>#VALUE!</v>
      </c>
      <c r="AG47" s="14">
        <f>13000/'Alternative 2'!$B$21</f>
        <v>260</v>
      </c>
      <c r="AH47" s="14" t="e">
        <f>IF(AND(AE47&lt;AF47,AF47&lt;=AG47),((((662/AF47)+0.399*'Alternative 2'!$B$21))/0.1450377),(0.6*'Alternative 2'!$B$21))</f>
        <v>#VALUE!</v>
      </c>
      <c r="AI47" s="217"/>
      <c r="AJ47" s="36" t="str">
        <f>'Alternative 3'!F47</f>
        <v>x</v>
      </c>
      <c r="AK47" s="14">
        <f>3300/'Alternative 3'!$B$21</f>
        <v>66</v>
      </c>
      <c r="AL47" s="14" t="e">
        <f>2*'Alternative 3'!$K47/'Alternative 3'!$B$17</f>
        <v>#VALUE!</v>
      </c>
      <c r="AM47" s="14">
        <f>13000/'Alternative 3'!$B$21</f>
        <v>260</v>
      </c>
      <c r="AN47" s="14" t="e">
        <f>IF(AND(AK47&lt;AL47,AL47&lt;=AM47),((((662/AL47)+0.399*'Alternative 3'!$B$21))/0.1450377),(0.6*'Alternative 3'!$B$21))</f>
        <v>#VALUE!</v>
      </c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</row>
    <row r="48" spans="1:260" s="3" customFormat="1" ht="15" customHeight="1" x14ac:dyDescent="0.25">
      <c r="A48" s="10">
        <v>45</v>
      </c>
      <c r="B48" s="10">
        <v>1.7799999999999816E-2</v>
      </c>
      <c r="C48" s="10">
        <v>1.5550999999999999</v>
      </c>
      <c r="D48" s="10">
        <v>1.5462</v>
      </c>
      <c r="E48" s="10">
        <f t="shared" si="4"/>
        <v>1.5506500000000001</v>
      </c>
      <c r="F48" s="10">
        <f t="shared" si="5"/>
        <v>0.20850230411286055</v>
      </c>
      <c r="G48" s="10">
        <f t="shared" si="6"/>
        <v>7.5540088197180433</v>
      </c>
      <c r="H48" s="10">
        <f t="shared" si="7"/>
        <v>0.16613712301121866</v>
      </c>
      <c r="I48" s="11">
        <f>('Baseline Given'!$B$20*A48)/H48</f>
        <v>616.68283756903941</v>
      </c>
      <c r="J48" s="12">
        <f>('Baseline Given'!$B$20*A48)/E48</f>
        <v>66.071590909692631</v>
      </c>
      <c r="K48" s="53">
        <v>45</v>
      </c>
      <c r="L48" s="95">
        <v>1388.9659175184456</v>
      </c>
      <c r="M48" s="95">
        <v>0.60676929390477474</v>
      </c>
      <c r="N48" s="95">
        <v>0.68097192814494378</v>
      </c>
      <c r="O48" s="95">
        <v>203.60994689964622</v>
      </c>
      <c r="P48" s="95">
        <v>121.92212389200373</v>
      </c>
      <c r="Q48" s="215"/>
      <c r="R48" s="14">
        <f>3300/'Baseline Given'!$B$22</f>
        <v>66</v>
      </c>
      <c r="S48" s="14">
        <f>('Baseline Given'!$K48*2)/'Baseline Given'!$H48</f>
        <v>154.98139953498804</v>
      </c>
      <c r="T48" s="14">
        <f>13000/'Baseline Given'!$B$22</f>
        <v>260</v>
      </c>
      <c r="U48" s="14">
        <f>IF(AND(R48&lt;S48,S48&lt;=T48),((((662/S48)+0.399*'Baseline Given'!$B$22))/0.1450377),(0.6*'Baseline Given'!$B$22))</f>
        <v>167.00127161689784</v>
      </c>
      <c r="V48" s="224"/>
      <c r="W48" s="8"/>
      <c r="X48" s="36" t="str">
        <f>'Alternative 1'!F48</f>
        <v>x</v>
      </c>
      <c r="Y48" s="14">
        <f>3300/'Alternative 1'!$B$21</f>
        <v>66</v>
      </c>
      <c r="Z48" s="14" t="e">
        <f>2*'Alternative 1'!$K48/'Alternative 1'!$B$17</f>
        <v>#VALUE!</v>
      </c>
      <c r="AA48" s="14">
        <f>13000/'Alternative 1'!$B$21</f>
        <v>260</v>
      </c>
      <c r="AB48" s="14" t="e">
        <f>IF(AND(Y48&lt;Z48,Z48&lt;=AA48),((((662/Z48)+0.399*'Baseline Given'!$B$22))/0.1450377),(0.6*'Baseline Given'!$B$22))</f>
        <v>#VALUE!</v>
      </c>
      <c r="AC48" s="217"/>
      <c r="AD48" s="36" t="str">
        <f>'Alternative 2'!F48</f>
        <v>x</v>
      </c>
      <c r="AE48" s="14">
        <f>3300/'Alternative 2'!$B$21</f>
        <v>66</v>
      </c>
      <c r="AF48" s="14" t="e">
        <f>2*'Alternative 2'!$K48/'Alternative 2'!$B$17</f>
        <v>#VALUE!</v>
      </c>
      <c r="AG48" s="14">
        <f>13000/'Alternative 2'!$B$21</f>
        <v>260</v>
      </c>
      <c r="AH48" s="14" t="e">
        <f>IF(AND(AE48&lt;AF48,AF48&lt;=AG48),((((662/AF48)+0.399*'Alternative 2'!$B$21))/0.1450377),(0.6*'Alternative 2'!$B$21))</f>
        <v>#VALUE!</v>
      </c>
      <c r="AI48" s="217"/>
      <c r="AJ48" s="36" t="str">
        <f>'Alternative 3'!F48</f>
        <v>x</v>
      </c>
      <c r="AK48" s="14">
        <f>3300/'Alternative 3'!$B$21</f>
        <v>66</v>
      </c>
      <c r="AL48" s="14" t="e">
        <f>2*'Alternative 3'!$K48/'Alternative 3'!$B$17</f>
        <v>#VALUE!</v>
      </c>
      <c r="AM48" s="14">
        <f>13000/'Alternative 3'!$B$21</f>
        <v>260</v>
      </c>
      <c r="AN48" s="14" t="e">
        <f>IF(AND(AK48&lt;AL48,AL48&lt;=AM48),((((662/AL48)+0.399*'Alternative 3'!$B$21))/0.1450377),(0.6*'Alternative 3'!$B$21))</f>
        <v>#VALUE!</v>
      </c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</row>
    <row r="49" spans="1:260" s="3" customFormat="1" ht="15" customHeight="1" x14ac:dyDescent="0.25">
      <c r="A49" s="10">
        <v>46</v>
      </c>
      <c r="B49" s="10">
        <v>1.7700000000000049E-2</v>
      </c>
      <c r="C49" s="10">
        <v>1.54515</v>
      </c>
      <c r="D49" s="10">
        <v>1.5363</v>
      </c>
      <c r="E49" s="10">
        <f t="shared" si="4"/>
        <v>1.5407250000000001</v>
      </c>
      <c r="F49" s="10">
        <f t="shared" si="5"/>
        <v>0.20337527858721238</v>
      </c>
      <c r="G49" s="10">
        <f t="shared" si="6"/>
        <v>7.4576187872688209</v>
      </c>
      <c r="H49" s="10">
        <f t="shared" si="7"/>
        <v>0.16513874911200033</v>
      </c>
      <c r="I49" s="11">
        <f>('Baseline Given'!$B$20*A49)/H49</f>
        <v>634.19800995921139</v>
      </c>
      <c r="J49" s="12">
        <f>('Baseline Given'!$B$20*A49)/E49</f>
        <v>67.974924826938022</v>
      </c>
      <c r="K49" s="53">
        <v>46</v>
      </c>
      <c r="L49" s="95">
        <v>1390.0598744097783</v>
      </c>
      <c r="M49" s="95">
        <v>0.60688048357690105</v>
      </c>
      <c r="N49" s="95">
        <v>0.68106213632593982</v>
      </c>
      <c r="O49" s="95">
        <v>203.63554036208762</v>
      </c>
      <c r="P49" s="95">
        <v>121.93744931861535</v>
      </c>
      <c r="Q49" s="215"/>
      <c r="R49" s="14">
        <f>3300/'Baseline Given'!$B$22</f>
        <v>66</v>
      </c>
      <c r="S49" s="14">
        <f>('Baseline Given'!$K49*2)/'Baseline Given'!$H49</f>
        <v>155.3955072507641</v>
      </c>
      <c r="T49" s="14">
        <f>13000/'Baseline Given'!$B$22</f>
        <v>260</v>
      </c>
      <c r="U49" s="14">
        <f>IF(AND(R49&lt;S49,S49&lt;=T49),((((662/S49)+0.399*'Baseline Given'!$B$22))/0.1450377),(0.6*'Baseline Given'!$B$22))</f>
        <v>166.92278919962251</v>
      </c>
      <c r="V49" s="224"/>
      <c r="W49" s="8"/>
      <c r="X49" s="36" t="str">
        <f>'Alternative 1'!F49</f>
        <v>x</v>
      </c>
      <c r="Y49" s="14">
        <f>3300/'Alternative 1'!$B$21</f>
        <v>66</v>
      </c>
      <c r="Z49" s="14" t="e">
        <f>2*'Alternative 1'!$K49/'Alternative 1'!$B$17</f>
        <v>#VALUE!</v>
      </c>
      <c r="AA49" s="14">
        <f>13000/'Alternative 1'!$B$21</f>
        <v>260</v>
      </c>
      <c r="AB49" s="14" t="e">
        <f>IF(AND(Y49&lt;Z49,Z49&lt;=AA49),((((662/Z49)+0.399*'Baseline Given'!$B$22))/0.1450377),(0.6*'Baseline Given'!$B$22))</f>
        <v>#VALUE!</v>
      </c>
      <c r="AC49" s="217"/>
      <c r="AD49" s="36" t="str">
        <f>'Alternative 2'!F49</f>
        <v>x</v>
      </c>
      <c r="AE49" s="14">
        <f>3300/'Alternative 2'!$B$21</f>
        <v>66</v>
      </c>
      <c r="AF49" s="14" t="e">
        <f>2*'Alternative 2'!$K49/'Alternative 2'!$B$17</f>
        <v>#VALUE!</v>
      </c>
      <c r="AG49" s="14">
        <f>13000/'Alternative 2'!$B$21</f>
        <v>260</v>
      </c>
      <c r="AH49" s="14" t="e">
        <f>IF(AND(AE49&lt;AF49,AF49&lt;=AG49),((((662/AF49)+0.399*'Alternative 2'!$B$21))/0.1450377),(0.6*'Alternative 2'!$B$21))</f>
        <v>#VALUE!</v>
      </c>
      <c r="AI49" s="217"/>
      <c r="AJ49" s="36" t="str">
        <f>'Alternative 3'!F49</f>
        <v>x</v>
      </c>
      <c r="AK49" s="14">
        <f>3300/'Alternative 3'!$B$21</f>
        <v>66</v>
      </c>
      <c r="AL49" s="14" t="e">
        <f>2*'Alternative 3'!$K49/'Alternative 3'!$B$17</f>
        <v>#VALUE!</v>
      </c>
      <c r="AM49" s="14">
        <f>13000/'Alternative 3'!$B$21</f>
        <v>260</v>
      </c>
      <c r="AN49" s="14" t="e">
        <f>IF(AND(AK49&lt;AL49,AL49&lt;=AM49),((((662/AL49)+0.399*'Alternative 3'!$B$21))/0.1450377),(0.6*'Alternative 3'!$B$21))</f>
        <v>#VALUE!</v>
      </c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</row>
    <row r="50" spans="1:260" s="3" customFormat="1" ht="15" customHeight="1" x14ac:dyDescent="0.25">
      <c r="A50" s="10">
        <v>47</v>
      </c>
      <c r="B50" s="10">
        <v>1.7599999999999838E-2</v>
      </c>
      <c r="C50" s="10">
        <v>1.5351999999999999</v>
      </c>
      <c r="D50" s="10">
        <v>1.5264</v>
      </c>
      <c r="E50" s="10">
        <f t="shared" si="4"/>
        <v>1.5307999999999999</v>
      </c>
      <c r="F50" s="10">
        <f t="shared" si="5"/>
        <v>0.19834329984563728</v>
      </c>
      <c r="G50" s="10">
        <f t="shared" si="6"/>
        <v>7.3618476839835196</v>
      </c>
      <c r="H50" s="10">
        <f t="shared" si="7"/>
        <v>0.16414034931183535</v>
      </c>
      <c r="I50" s="11">
        <f>('Baseline Given'!$B$20*A50)/H50</f>
        <v>651.92635517400799</v>
      </c>
      <c r="J50" s="12">
        <f>('Baseline Given'!$B$20*A50)/E50</f>
        <v>69.90293941981534</v>
      </c>
      <c r="K50" s="53">
        <v>47</v>
      </c>
      <c r="L50" s="95">
        <v>1391.1680167232691</v>
      </c>
      <c r="M50" s="95">
        <v>0.6069929989629862</v>
      </c>
      <c r="N50" s="95">
        <v>0.68115342005867074</v>
      </c>
      <c r="O50" s="95">
        <v>203.66142940342712</v>
      </c>
      <c r="P50" s="95">
        <v>121.95295173857912</v>
      </c>
      <c r="Q50" s="215"/>
      <c r="R50" s="14">
        <f>3300/'Baseline Given'!$B$22</f>
        <v>66</v>
      </c>
      <c r="S50" s="14">
        <f>('Baseline Given'!$K50*2)/'Baseline Given'!$H50</f>
        <v>155.81724438197918</v>
      </c>
      <c r="T50" s="14">
        <f>13000/'Baseline Given'!$B$22</f>
        <v>260</v>
      </c>
      <c r="U50" s="14">
        <f>IF(AND(R50&lt;S50,S50&lt;=T50),((((662/S50)+0.399*'Baseline Given'!$B$22))/0.1450377),(0.6*'Baseline Given'!$B$22))</f>
        <v>166.84328959902973</v>
      </c>
      <c r="V50" s="224"/>
      <c r="W50" s="8"/>
      <c r="X50" s="36" t="str">
        <f>'Alternative 1'!F50</f>
        <v>x</v>
      </c>
      <c r="Y50" s="14">
        <f>3300/'Alternative 1'!$B$21</f>
        <v>66</v>
      </c>
      <c r="Z50" s="14" t="e">
        <f>2*'Alternative 1'!$K50/'Alternative 1'!$B$17</f>
        <v>#VALUE!</v>
      </c>
      <c r="AA50" s="14">
        <f>13000/'Alternative 1'!$B$21</f>
        <v>260</v>
      </c>
      <c r="AB50" s="14" t="e">
        <f>IF(AND(Y50&lt;Z50,Z50&lt;=AA50),((((662/Z50)+0.399*'Baseline Given'!$B$22))/0.1450377),(0.6*'Baseline Given'!$B$22))</f>
        <v>#VALUE!</v>
      </c>
      <c r="AC50" s="217"/>
      <c r="AD50" s="36" t="str">
        <f>'Alternative 2'!F50</f>
        <v>x</v>
      </c>
      <c r="AE50" s="14">
        <f>3300/'Alternative 2'!$B$21</f>
        <v>66</v>
      </c>
      <c r="AF50" s="14" t="e">
        <f>2*'Alternative 2'!$K50/'Alternative 2'!$B$17</f>
        <v>#VALUE!</v>
      </c>
      <c r="AG50" s="14">
        <f>13000/'Alternative 2'!$B$21</f>
        <v>260</v>
      </c>
      <c r="AH50" s="14" t="e">
        <f>IF(AND(AE50&lt;AF50,AF50&lt;=AG50),((((662/AF50)+0.399*'Alternative 2'!$B$21))/0.1450377),(0.6*'Alternative 2'!$B$21))</f>
        <v>#VALUE!</v>
      </c>
      <c r="AI50" s="217"/>
      <c r="AJ50" s="36" t="str">
        <f>'Alternative 3'!F50</f>
        <v>x</v>
      </c>
      <c r="AK50" s="14">
        <f>3300/'Alternative 3'!$B$21</f>
        <v>66</v>
      </c>
      <c r="AL50" s="14" t="e">
        <f>2*'Alternative 3'!$K50/'Alternative 3'!$B$17</f>
        <v>#VALUE!</v>
      </c>
      <c r="AM50" s="14">
        <f>13000/'Alternative 3'!$B$21</f>
        <v>260</v>
      </c>
      <c r="AN50" s="14" t="e">
        <f>IF(AND(AK50&lt;AL50,AL50&lt;=AM50),((((662/AL50)+0.399*'Alternative 3'!$B$21))/0.1450377),(0.6*'Alternative 3'!$B$21))</f>
        <v>#VALUE!</v>
      </c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</row>
    <row r="51" spans="1:260" s="3" customFormat="1" ht="15" customHeight="1" x14ac:dyDescent="0.25">
      <c r="A51" s="10">
        <v>48</v>
      </c>
      <c r="B51" s="10">
        <v>1.7500000000000071E-2</v>
      </c>
      <c r="C51" s="10">
        <v>1.52525</v>
      </c>
      <c r="D51" s="10">
        <v>1.5165</v>
      </c>
      <c r="E51" s="10">
        <f t="shared" si="4"/>
        <v>1.520875</v>
      </c>
      <c r="F51" s="10">
        <f t="shared" si="5"/>
        <v>0.19340518714882315</v>
      </c>
      <c r="G51" s="10">
        <f t="shared" si="6"/>
        <v>7.2666955098621404</v>
      </c>
      <c r="H51" s="10">
        <f t="shared" si="7"/>
        <v>0.1631419231352004</v>
      </c>
      <c r="I51" s="11">
        <f>('Baseline Given'!$B$20*A51)/H51</f>
        <v>669.87179735006305</v>
      </c>
      <c r="J51" s="12">
        <f>('Baseline Given'!$B$20*A51)/E51</f>
        <v>71.856117875382608</v>
      </c>
      <c r="K51" s="53">
        <v>48</v>
      </c>
      <c r="L51" s="95">
        <v>1392.2906221747407</v>
      </c>
      <c r="M51" s="95">
        <v>0.60710686392085833</v>
      </c>
      <c r="N51" s="95">
        <v>0.68124579869899238</v>
      </c>
      <c r="O51" s="95">
        <v>203.68761917783169</v>
      </c>
      <c r="P51" s="95">
        <v>121.96863423822258</v>
      </c>
      <c r="Q51" s="215"/>
      <c r="R51" s="14">
        <f>3300/'Baseline Given'!$B$22</f>
        <v>66</v>
      </c>
      <c r="S51" s="14">
        <f>('Baseline Given'!$K51*2)/'Baseline Given'!$H51</f>
        <v>156.24682373257644</v>
      </c>
      <c r="T51" s="14">
        <f>13000/'Baseline Given'!$B$22</f>
        <v>260</v>
      </c>
      <c r="U51" s="14">
        <f>IF(AND(R51&lt;S51,S51&lt;=T51),((((662/S51)+0.399*'Baseline Given'!$B$22))/0.1450377),(0.6*'Baseline Given'!$B$22))</f>
        <v>166.76275291109602</v>
      </c>
      <c r="V51" s="224"/>
      <c r="W51" s="8"/>
      <c r="X51" s="36" t="str">
        <f>'Alternative 1'!F51</f>
        <v>x</v>
      </c>
      <c r="Y51" s="14">
        <f>3300/'Alternative 1'!$B$21</f>
        <v>66</v>
      </c>
      <c r="Z51" s="14" t="e">
        <f>2*'Alternative 1'!$K51/'Alternative 1'!$B$17</f>
        <v>#VALUE!</v>
      </c>
      <c r="AA51" s="14">
        <f>13000/'Alternative 1'!$B$21</f>
        <v>260</v>
      </c>
      <c r="AB51" s="14" t="e">
        <f>IF(AND(Y51&lt;Z51,Z51&lt;=AA51),((((662/Z51)+0.399*'Baseline Given'!$B$22))/0.1450377),(0.6*'Baseline Given'!$B$22))</f>
        <v>#VALUE!</v>
      </c>
      <c r="AC51" s="217"/>
      <c r="AD51" s="36" t="str">
        <f>'Alternative 2'!F51</f>
        <v>x</v>
      </c>
      <c r="AE51" s="14">
        <f>3300/'Alternative 2'!$B$21</f>
        <v>66</v>
      </c>
      <c r="AF51" s="14" t="e">
        <f>2*'Alternative 2'!$K51/'Alternative 2'!$B$17</f>
        <v>#VALUE!</v>
      </c>
      <c r="AG51" s="14">
        <f>13000/'Alternative 2'!$B$21</f>
        <v>260</v>
      </c>
      <c r="AH51" s="14" t="e">
        <f>IF(AND(AE51&lt;AF51,AF51&lt;=AG51),((((662/AF51)+0.399*'Alternative 2'!$B$21))/0.1450377),(0.6*'Alternative 2'!$B$21))</f>
        <v>#VALUE!</v>
      </c>
      <c r="AI51" s="217"/>
      <c r="AJ51" s="36" t="str">
        <f>'Alternative 3'!F51</f>
        <v>x</v>
      </c>
      <c r="AK51" s="14">
        <f>3300/'Alternative 3'!$B$21</f>
        <v>66</v>
      </c>
      <c r="AL51" s="14" t="e">
        <f>2*'Alternative 3'!$K51/'Alternative 3'!$B$17</f>
        <v>#VALUE!</v>
      </c>
      <c r="AM51" s="14">
        <f>13000/'Alternative 3'!$B$21</f>
        <v>260</v>
      </c>
      <c r="AN51" s="14" t="e">
        <f>IF(AND(AK51&lt;AL51,AL51&lt;=AM51),((((662/AL51)+0.399*'Alternative 3'!$B$21))/0.1450377),(0.6*'Alternative 3'!$B$21))</f>
        <v>#VALUE!</v>
      </c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</row>
    <row r="52" spans="1:260" s="3" customFormat="1" ht="15" customHeight="1" x14ac:dyDescent="0.25">
      <c r="A52" s="10">
        <v>49</v>
      </c>
      <c r="B52" s="10">
        <v>1.7399999999999416E-2</v>
      </c>
      <c r="C52" s="10">
        <v>1.5152999999999999</v>
      </c>
      <c r="D52" s="10">
        <v>1.5066000000000002</v>
      </c>
      <c r="E52" s="10">
        <f t="shared" si="4"/>
        <v>1.51095</v>
      </c>
      <c r="F52" s="10">
        <f t="shared" si="5"/>
        <v>0.18855976712887204</v>
      </c>
      <c r="G52" s="10">
        <f t="shared" si="6"/>
        <v>7.1721622649046823</v>
      </c>
      <c r="H52" s="10">
        <f t="shared" si="7"/>
        <v>0.16214347009483623</v>
      </c>
      <c r="I52" s="11">
        <f>('Baseline Given'!$B$20*A52)/H52</f>
        <v>688.03835774786853</v>
      </c>
      <c r="J52" s="12">
        <f>('Baseline Given'!$B$20*A52)/E52</f>
        <v>73.834956076370332</v>
      </c>
      <c r="K52" s="53">
        <v>49</v>
      </c>
      <c r="L52" s="95">
        <v>1393.4279757767824</v>
      </c>
      <c r="M52" s="95">
        <v>0.60722210288439094</v>
      </c>
      <c r="N52" s="95">
        <v>0.68133929207010635</v>
      </c>
      <c r="O52" s="95">
        <v>203.7141149600991</v>
      </c>
      <c r="P52" s="95">
        <v>121.98449997610724</v>
      </c>
      <c r="Q52" s="215"/>
      <c r="R52" s="14">
        <f>3300/'Baseline Given'!$B$22</f>
        <v>66</v>
      </c>
      <c r="S52" s="14">
        <f>('Baseline Given'!$K52*2)/'Baseline Given'!$H52</f>
        <v>156.68446609496795</v>
      </c>
      <c r="T52" s="14">
        <f>13000/'Baseline Given'!$B$22</f>
        <v>260</v>
      </c>
      <c r="U52" s="14">
        <f>IF(AND(R52&lt;S52,S52&lt;=T52),((((662/S52)+0.399*'Baseline Given'!$B$22))/0.1450377),(0.6*'Baseline Given'!$B$22))</f>
        <v>166.68115870908505</v>
      </c>
      <c r="V52" s="224"/>
      <c r="W52" s="8"/>
      <c r="X52" s="36" t="str">
        <f>'Alternative 1'!F52</f>
        <v>x</v>
      </c>
      <c r="Y52" s="14">
        <f>3300/'Alternative 1'!$B$21</f>
        <v>66</v>
      </c>
      <c r="Z52" s="14" t="e">
        <f>2*'Alternative 1'!$K52/'Alternative 1'!$B$17</f>
        <v>#VALUE!</v>
      </c>
      <c r="AA52" s="14">
        <f>13000/'Alternative 1'!$B$21</f>
        <v>260</v>
      </c>
      <c r="AB52" s="14" t="e">
        <f>IF(AND(Y52&lt;Z52,Z52&lt;=AA52),((((662/Z52)+0.399*'Baseline Given'!$B$22))/0.1450377),(0.6*'Baseline Given'!$B$22))</f>
        <v>#VALUE!</v>
      </c>
      <c r="AC52" s="217"/>
      <c r="AD52" s="36" t="str">
        <f>'Alternative 2'!F52</f>
        <v>x</v>
      </c>
      <c r="AE52" s="14">
        <f>3300/'Alternative 2'!$B$21</f>
        <v>66</v>
      </c>
      <c r="AF52" s="14" t="e">
        <f>2*'Alternative 2'!$K52/'Alternative 2'!$B$17</f>
        <v>#VALUE!</v>
      </c>
      <c r="AG52" s="14">
        <f>13000/'Alternative 2'!$B$21</f>
        <v>260</v>
      </c>
      <c r="AH52" s="14" t="e">
        <f>IF(AND(AE52&lt;AF52,AF52&lt;=AG52),((((662/AF52)+0.399*'Alternative 2'!$B$21))/0.1450377),(0.6*'Alternative 2'!$B$21))</f>
        <v>#VALUE!</v>
      </c>
      <c r="AI52" s="217"/>
      <c r="AJ52" s="36" t="str">
        <f>'Alternative 3'!F52</f>
        <v>x</v>
      </c>
      <c r="AK52" s="14">
        <f>3300/'Alternative 3'!$B$21</f>
        <v>66</v>
      </c>
      <c r="AL52" s="14" t="e">
        <f>2*'Alternative 3'!$K52/'Alternative 3'!$B$17</f>
        <v>#VALUE!</v>
      </c>
      <c r="AM52" s="14">
        <f>13000/'Alternative 3'!$B$21</f>
        <v>260</v>
      </c>
      <c r="AN52" s="14" t="e">
        <f>IF(AND(AK52&lt;AL52,AL52&lt;=AM52),((((662/AL52)+0.399*'Alternative 3'!$B$21))/0.1450377),(0.6*'Alternative 3'!$B$21))</f>
        <v>#VALUE!</v>
      </c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</row>
    <row r="53" spans="1:260" s="3" customFormat="1" ht="15" customHeight="1" x14ac:dyDescent="0.25">
      <c r="A53" s="10">
        <v>50</v>
      </c>
      <c r="B53" s="10">
        <v>1.7299999999999649E-2</v>
      </c>
      <c r="C53" s="10">
        <v>1.50535</v>
      </c>
      <c r="D53" s="10">
        <v>1.4967000000000001</v>
      </c>
      <c r="E53" s="10">
        <f t="shared" si="4"/>
        <v>1.5010250000000001</v>
      </c>
      <c r="F53" s="10">
        <f t="shared" si="5"/>
        <v>0.18380587378935959</v>
      </c>
      <c r="G53" s="10">
        <f t="shared" si="6"/>
        <v>7.0782479491111463</v>
      </c>
      <c r="H53" s="10">
        <f t="shared" si="7"/>
        <v>0.16114498969140889</v>
      </c>
      <c r="I53" s="11">
        <f>('Baseline Given'!$B$20*A53)/H53</f>
        <v>706.43015778187726</v>
      </c>
      <c r="J53" s="12">
        <f>('Baseline Given'!$B$20*A53)/E53</f>
        <v>75.839963020909693</v>
      </c>
      <c r="K53" s="53">
        <v>50</v>
      </c>
      <c r="L53" s="95">
        <v>1394.5803700804165</v>
      </c>
      <c r="M53" s="95">
        <v>0.607338740881044</v>
      </c>
      <c r="N53" s="95">
        <v>0.68143392047679097</v>
      </c>
      <c r="O53" s="95">
        <v>203.74092214922121</v>
      </c>
      <c r="P53" s="95">
        <v>122.00055218516241</v>
      </c>
      <c r="Q53" s="215"/>
      <c r="R53" s="14">
        <f>3300/'Baseline Given'!$B$22</f>
        <v>66</v>
      </c>
      <c r="S53" s="14">
        <f>('Baseline Given'!$K53*2)/'Baseline Given'!$H53</f>
        <v>157.13040062843638</v>
      </c>
      <c r="T53" s="14">
        <f>13000/'Baseline Given'!$B$22</f>
        <v>260</v>
      </c>
      <c r="U53" s="14">
        <f>IF(AND(R53&lt;S53,S53&lt;=T53),((((662/S53)+0.399*'Baseline Given'!$B$22))/0.1450377),(0.6*'Baseline Given'!$B$22))</f>
        <v>166.59848602627491</v>
      </c>
      <c r="V53" s="224"/>
      <c r="W53" s="8"/>
      <c r="X53" s="36" t="str">
        <f>'Alternative 1'!F53</f>
        <v>x</v>
      </c>
      <c r="Y53" s="14">
        <f>3300/'Alternative 1'!$B$21</f>
        <v>66</v>
      </c>
      <c r="Z53" s="14" t="e">
        <f>2*'Alternative 1'!$K53/'Alternative 1'!$B$17</f>
        <v>#VALUE!</v>
      </c>
      <c r="AA53" s="14">
        <f>13000/'Alternative 1'!$B$21</f>
        <v>260</v>
      </c>
      <c r="AB53" s="14" t="e">
        <f>IF(AND(Y53&lt;Z53,Z53&lt;=AA53),((((662/Z53)+0.399*'Baseline Given'!$B$22))/0.1450377),(0.6*'Baseline Given'!$B$22))</f>
        <v>#VALUE!</v>
      </c>
      <c r="AC53" s="217"/>
      <c r="AD53" s="36" t="str">
        <f>'Alternative 2'!F53</f>
        <v>x</v>
      </c>
      <c r="AE53" s="14">
        <f>3300/'Alternative 2'!$B$21</f>
        <v>66</v>
      </c>
      <c r="AF53" s="14" t="e">
        <f>2*'Alternative 2'!$K53/'Alternative 2'!$B$17</f>
        <v>#VALUE!</v>
      </c>
      <c r="AG53" s="14">
        <f>13000/'Alternative 2'!$B$21</f>
        <v>260</v>
      </c>
      <c r="AH53" s="14" t="e">
        <f>IF(AND(AE53&lt;AF53,AF53&lt;=AG53),((((662/AF53)+0.399*'Alternative 2'!$B$21))/0.1450377),(0.6*'Alternative 2'!$B$21))</f>
        <v>#VALUE!</v>
      </c>
      <c r="AI53" s="217"/>
      <c r="AJ53" s="36" t="str">
        <f>'Alternative 3'!F53</f>
        <v>x</v>
      </c>
      <c r="AK53" s="14">
        <f>3300/'Alternative 3'!$B$21</f>
        <v>66</v>
      </c>
      <c r="AL53" s="14" t="e">
        <f>2*'Alternative 3'!$K53/'Alternative 3'!$B$17</f>
        <v>#VALUE!</v>
      </c>
      <c r="AM53" s="14">
        <f>13000/'Alternative 3'!$B$21</f>
        <v>260</v>
      </c>
      <c r="AN53" s="14" t="e">
        <f>IF(AND(AK53&lt;AL53,AL53&lt;=AM53),((((662/AL53)+0.399*'Alternative 3'!$B$21))/0.1450377),(0.6*'Alternative 3'!$B$21))</f>
        <v>#VALUE!</v>
      </c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</row>
    <row r="54" spans="1:260" s="3" customFormat="1" ht="15" customHeight="1" x14ac:dyDescent="0.25">
      <c r="A54" s="10">
        <v>51</v>
      </c>
      <c r="B54" s="10">
        <v>1.7199999999999882E-2</v>
      </c>
      <c r="C54" s="10">
        <v>1.4954000000000001</v>
      </c>
      <c r="D54" s="10">
        <v>1.4868000000000001</v>
      </c>
      <c r="E54" s="10">
        <f t="shared" si="4"/>
        <v>1.4911000000000001</v>
      </c>
      <c r="F54" s="10">
        <f t="shared" si="5"/>
        <v>0.17914234850527141</v>
      </c>
      <c r="G54" s="10">
        <f t="shared" si="6"/>
        <v>6.9849525624815314</v>
      </c>
      <c r="H54" s="10">
        <f t="shared" si="7"/>
        <v>0.16014648141310495</v>
      </c>
      <c r="I54" s="11">
        <f>('Baseline Given'!$B$20*A54)/H54</f>
        <v>725.05142216523541</v>
      </c>
      <c r="J54" s="12">
        <f>('Baseline Given'!$B$20*A54)/E54</f>
        <v>77.871661259023654</v>
      </c>
      <c r="K54" s="53">
        <v>51</v>
      </c>
      <c r="L54" s="95">
        <v>1395.7481054255152</v>
      </c>
      <c r="M54" s="95">
        <v>0.60745680354995402</v>
      </c>
      <c r="N54" s="95">
        <v>0.68152970472007768</v>
      </c>
      <c r="O54" s="95">
        <v>203.76804627205303</v>
      </c>
      <c r="P54" s="95">
        <v>122.01679417488205</v>
      </c>
      <c r="Q54" s="215"/>
      <c r="R54" s="14">
        <f>3300/'Baseline Given'!$B$22</f>
        <v>66</v>
      </c>
      <c r="S54" s="14">
        <f>('Baseline Given'!$K54*2)/'Baseline Given'!$H54</f>
        <v>157.58486525925065</v>
      </c>
      <c r="T54" s="14">
        <f>13000/'Baseline Given'!$B$22</f>
        <v>260</v>
      </c>
      <c r="U54" s="14">
        <f>IF(AND(R54&lt;S54,S54&lt;=T54),((((662/S54)+0.399*'Baseline Given'!$B$22))/0.1450377),(0.6*'Baseline Given'!$B$22))</f>
        <v>166.51471333799626</v>
      </c>
      <c r="V54" s="224"/>
      <c r="W54" s="8"/>
      <c r="X54" s="36" t="str">
        <f>'Alternative 1'!F54</f>
        <v>x</v>
      </c>
      <c r="Y54" s="14">
        <f>3300/'Alternative 1'!$B$21</f>
        <v>66</v>
      </c>
      <c r="Z54" s="14" t="e">
        <f>2*'Alternative 1'!$K54/'Alternative 1'!$B$17</f>
        <v>#VALUE!</v>
      </c>
      <c r="AA54" s="14">
        <f>13000/'Alternative 1'!$B$21</f>
        <v>260</v>
      </c>
      <c r="AB54" s="14" t="e">
        <f>IF(AND(Y54&lt;Z54,Z54&lt;=AA54),((((662/Z54)+0.399*'Baseline Given'!$B$22))/0.1450377),(0.6*'Baseline Given'!$B$22))</f>
        <v>#VALUE!</v>
      </c>
      <c r="AC54" s="217"/>
      <c r="AD54" s="36" t="str">
        <f>'Alternative 2'!F54</f>
        <v>x</v>
      </c>
      <c r="AE54" s="14">
        <f>3300/'Alternative 2'!$B$21</f>
        <v>66</v>
      </c>
      <c r="AF54" s="14" t="e">
        <f>2*'Alternative 2'!$K54/'Alternative 2'!$B$17</f>
        <v>#VALUE!</v>
      </c>
      <c r="AG54" s="14">
        <f>13000/'Alternative 2'!$B$21</f>
        <v>260</v>
      </c>
      <c r="AH54" s="14" t="e">
        <f>IF(AND(AE54&lt;AF54,AF54&lt;=AG54),((((662/AF54)+0.399*'Alternative 2'!$B$21))/0.1450377),(0.6*'Alternative 2'!$B$21))</f>
        <v>#VALUE!</v>
      </c>
      <c r="AI54" s="217"/>
      <c r="AJ54" s="36" t="str">
        <f>'Alternative 3'!F54</f>
        <v>x</v>
      </c>
      <c r="AK54" s="14">
        <f>3300/'Alternative 3'!$B$21</f>
        <v>66</v>
      </c>
      <c r="AL54" s="14" t="e">
        <f>2*'Alternative 3'!$K54/'Alternative 3'!$B$17</f>
        <v>#VALUE!</v>
      </c>
      <c r="AM54" s="14">
        <f>13000/'Alternative 3'!$B$21</f>
        <v>260</v>
      </c>
      <c r="AN54" s="14" t="e">
        <f>IF(AND(AK54&lt;AL54,AL54&lt;=AM54),((((662/AL54)+0.399*'Alternative 3'!$B$21))/0.1450377),(0.6*'Alternative 3'!$B$21))</f>
        <v>#VALUE!</v>
      </c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</row>
    <row r="55" spans="1:260" s="3" customFormat="1" ht="15" customHeight="1" x14ac:dyDescent="0.25">
      <c r="A55" s="10">
        <v>52</v>
      </c>
      <c r="B55" s="10">
        <v>1.7099999999999671E-2</v>
      </c>
      <c r="C55" s="10">
        <v>1.4854499999999999</v>
      </c>
      <c r="D55" s="10">
        <v>1.4769000000000001</v>
      </c>
      <c r="E55" s="10">
        <f t="shared" si="4"/>
        <v>1.4811749999999999</v>
      </c>
      <c r="F55" s="10">
        <f t="shared" si="5"/>
        <v>0.17456804002303775</v>
      </c>
      <c r="G55" s="10">
        <f t="shared" si="6"/>
        <v>6.892276105015835</v>
      </c>
      <c r="H55" s="10">
        <f t="shared" si="7"/>
        <v>0.15914794473525398</v>
      </c>
      <c r="I55" s="11">
        <f>('Baseline Given'!$B$20*A55)/H55</f>
        <v>743.90648217383944</v>
      </c>
      <c r="J55" s="12">
        <f>('Baseline Given'!$B$20*A55)/E55</f>
        <v>79.93058734666694</v>
      </c>
      <c r="K55" s="53">
        <v>52</v>
      </c>
      <c r="L55" s="95">
        <v>1396.9314902020087</v>
      </c>
      <c r="M55" s="95">
        <v>0.60757631716076821</v>
      </c>
      <c r="N55" s="95">
        <v>0.68162666611253131</v>
      </c>
      <c r="O55" s="95">
        <v>203.79549298712993</v>
      </c>
      <c r="P55" s="95">
        <v>122.03322933361075</v>
      </c>
      <c r="Q55" s="215"/>
      <c r="R55" s="14">
        <f>3300/'Baseline Given'!$B$22</f>
        <v>66</v>
      </c>
      <c r="S55" s="14">
        <f>('Baseline Given'!$K55*2)/'Baseline Given'!$H55</f>
        <v>158.04810710396478</v>
      </c>
      <c r="T55" s="14">
        <f>13000/'Baseline Given'!$B$22</f>
        <v>260</v>
      </c>
      <c r="U55" s="14">
        <f>IF(AND(R55&lt;S55,S55&lt;=T55),((((662/S55)+0.399*'Baseline Given'!$B$22))/0.1450377),(0.6*'Baseline Given'!$B$22))</f>
        <v>166.42981854294834</v>
      </c>
      <c r="V55" s="224"/>
      <c r="W55" s="8"/>
      <c r="X55" s="36" t="str">
        <f>'Alternative 1'!F55</f>
        <v>x</v>
      </c>
      <c r="Y55" s="14">
        <f>3300/'Alternative 1'!$B$21</f>
        <v>66</v>
      </c>
      <c r="Z55" s="14" t="e">
        <f>2*'Alternative 1'!$K55/'Alternative 1'!$B$17</f>
        <v>#VALUE!</v>
      </c>
      <c r="AA55" s="14">
        <f>13000/'Alternative 1'!$B$21</f>
        <v>260</v>
      </c>
      <c r="AB55" s="14" t="e">
        <f>IF(AND(Y55&lt;Z55,Z55&lt;=AA55),((((662/Z55)+0.399*'Baseline Given'!$B$22))/0.1450377),(0.6*'Baseline Given'!$B$22))</f>
        <v>#VALUE!</v>
      </c>
      <c r="AC55" s="217"/>
      <c r="AD55" s="36" t="str">
        <f>'Alternative 2'!F55</f>
        <v>x</v>
      </c>
      <c r="AE55" s="14">
        <f>3300/'Alternative 2'!$B$21</f>
        <v>66</v>
      </c>
      <c r="AF55" s="14" t="e">
        <f>2*'Alternative 2'!$K55/'Alternative 2'!$B$17</f>
        <v>#VALUE!</v>
      </c>
      <c r="AG55" s="14">
        <f>13000/'Alternative 2'!$B$21</f>
        <v>260</v>
      </c>
      <c r="AH55" s="14" t="e">
        <f>IF(AND(AE55&lt;AF55,AF55&lt;=AG55),((((662/AF55)+0.399*'Alternative 2'!$B$21))/0.1450377),(0.6*'Alternative 2'!$B$21))</f>
        <v>#VALUE!</v>
      </c>
      <c r="AI55" s="217"/>
      <c r="AJ55" s="36" t="str">
        <f>'Alternative 3'!F55</f>
        <v>x</v>
      </c>
      <c r="AK55" s="14">
        <f>3300/'Alternative 3'!$B$21</f>
        <v>66</v>
      </c>
      <c r="AL55" s="14" t="e">
        <f>2*'Alternative 3'!$K55/'Alternative 3'!$B$17</f>
        <v>#VALUE!</v>
      </c>
      <c r="AM55" s="14">
        <f>13000/'Alternative 3'!$B$21</f>
        <v>260</v>
      </c>
      <c r="AN55" s="14" t="e">
        <f>IF(AND(AK55&lt;AL55,AL55&lt;=AM55),((((662/AL55)+0.399*'Alternative 3'!$B$21))/0.1450377),(0.6*'Alternative 3'!$B$21))</f>
        <v>#VALUE!</v>
      </c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</row>
    <row r="56" spans="1:260" s="3" customFormat="1" ht="15" customHeight="1" x14ac:dyDescent="0.25">
      <c r="A56" s="10">
        <v>53</v>
      </c>
      <c r="B56" s="10">
        <v>1.6999999999999904E-2</v>
      </c>
      <c r="C56" s="10">
        <v>1.4755</v>
      </c>
      <c r="D56" s="10">
        <v>1.4670000000000001</v>
      </c>
      <c r="E56" s="10">
        <f t="shared" si="4"/>
        <v>1.4712499999999999</v>
      </c>
      <c r="F56" s="10">
        <f t="shared" si="5"/>
        <v>0.17008180446054194</v>
      </c>
      <c r="G56" s="10">
        <f t="shared" si="6"/>
        <v>6.8002185767140615</v>
      </c>
      <c r="H56" s="10">
        <f t="shared" si="7"/>
        <v>0.15814937911992594</v>
      </c>
      <c r="I56" s="11">
        <f>('Baseline Given'!$B$20*A56)/H56</f>
        <v>762.99977903526997</v>
      </c>
      <c r="J56" s="12">
        <f>('Baseline Given'!$B$20*A56)/E56</f>
        <v>82.017292318143504</v>
      </c>
      <c r="K56" s="53">
        <v>53</v>
      </c>
      <c r="L56" s="95">
        <v>1398.1308411214875</v>
      </c>
      <c r="M56" s="95">
        <v>0.60769730863315763</v>
      </c>
      <c r="N56" s="95">
        <v>0.68172482649408084</v>
      </c>
      <c r="O56" s="95">
        <v>203.82326808861819</v>
      </c>
      <c r="P56" s="95">
        <v>122.04986113090911</v>
      </c>
      <c r="Q56" s="215"/>
      <c r="R56" s="14">
        <f>3300/'Baseline Given'!$B$22</f>
        <v>66</v>
      </c>
      <c r="S56" s="14">
        <f>('Baseline Given'!$K56*2)/'Baseline Given'!$H56</f>
        <v>158.52038291748153</v>
      </c>
      <c r="T56" s="14">
        <f>13000/'Baseline Given'!$B$22</f>
        <v>260</v>
      </c>
      <c r="U56" s="14">
        <f>IF(AND(R56&lt;S56,S56&lt;=T56),((((662/S56)+0.399*'Baseline Given'!$B$22))/0.1450377),(0.6*'Baseline Given'!$B$22))</f>
        <v>166.34377894375953</v>
      </c>
      <c r="V56" s="224"/>
      <c r="W56" s="8"/>
      <c r="X56" s="36" t="str">
        <f>'Alternative 1'!F56</f>
        <v>x</v>
      </c>
      <c r="Y56" s="14">
        <f>3300/'Alternative 1'!$B$21</f>
        <v>66</v>
      </c>
      <c r="Z56" s="14" t="e">
        <f>2*'Alternative 1'!$K56/'Alternative 1'!$B$17</f>
        <v>#VALUE!</v>
      </c>
      <c r="AA56" s="14">
        <f>13000/'Alternative 1'!$B$21</f>
        <v>260</v>
      </c>
      <c r="AB56" s="14" t="e">
        <f>IF(AND(Y56&lt;Z56,Z56&lt;=AA56),((((662/Z56)+0.399*'Baseline Given'!$B$22))/0.1450377),(0.6*'Baseline Given'!$B$22))</f>
        <v>#VALUE!</v>
      </c>
      <c r="AC56" s="217"/>
      <c r="AD56" s="36" t="str">
        <f>'Alternative 2'!F56</f>
        <v>x</v>
      </c>
      <c r="AE56" s="14">
        <f>3300/'Alternative 2'!$B$21</f>
        <v>66</v>
      </c>
      <c r="AF56" s="14" t="e">
        <f>2*'Alternative 2'!$K56/'Alternative 2'!$B$17</f>
        <v>#VALUE!</v>
      </c>
      <c r="AG56" s="14">
        <f>13000/'Alternative 2'!$B$21</f>
        <v>260</v>
      </c>
      <c r="AH56" s="14" t="e">
        <f>IF(AND(AE56&lt;AF56,AF56&lt;=AG56),((((662/AF56)+0.399*'Alternative 2'!$B$21))/0.1450377),(0.6*'Alternative 2'!$B$21))</f>
        <v>#VALUE!</v>
      </c>
      <c r="AI56" s="217"/>
      <c r="AJ56" s="36" t="str">
        <f>'Alternative 3'!F56</f>
        <v>x</v>
      </c>
      <c r="AK56" s="14">
        <f>3300/'Alternative 3'!$B$21</f>
        <v>66</v>
      </c>
      <c r="AL56" s="14" t="e">
        <f>2*'Alternative 3'!$K56/'Alternative 3'!$B$17</f>
        <v>#VALUE!</v>
      </c>
      <c r="AM56" s="14">
        <f>13000/'Alternative 3'!$B$21</f>
        <v>260</v>
      </c>
      <c r="AN56" s="14" t="e">
        <f>IF(AND(AK56&lt;AL56,AL56&lt;=AM56),((((662/AL56)+0.399*'Alternative 3'!$B$21))/0.1450377),(0.6*'Alternative 3'!$B$21))</f>
        <v>#VALUE!</v>
      </c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</row>
    <row r="57" spans="1:260" s="3" customFormat="1" ht="15" customHeight="1" x14ac:dyDescent="0.25">
      <c r="A57" s="10">
        <v>54</v>
      </c>
      <c r="B57" s="10">
        <v>1.6899999999999693E-2</v>
      </c>
      <c r="C57" s="10">
        <v>1.4655499999999999</v>
      </c>
      <c r="D57" s="10">
        <v>1.4571000000000001</v>
      </c>
      <c r="E57" s="10">
        <f t="shared" si="4"/>
        <v>1.461325</v>
      </c>
      <c r="F57" s="10">
        <f t="shared" si="5"/>
        <v>0.16568250530708842</v>
      </c>
      <c r="G57" s="10">
        <f t="shared" si="6"/>
        <v>6.7087799775762109</v>
      </c>
      <c r="H57" s="10">
        <f t="shared" si="7"/>
        <v>0.15715078401549415</v>
      </c>
      <c r="I57" s="11">
        <f>('Baseline Given'!$B$20*A57)/H57</f>
        <v>782.33586744827323</v>
      </c>
      <c r="J57" s="12">
        <f>('Baseline Given'!$B$20*A57)/E57</f>
        <v>84.132342177775541</v>
      </c>
      <c r="K57" s="53">
        <v>54</v>
      </c>
      <c r="L57" s="95">
        <v>1399.3464834995382</v>
      </c>
      <c r="M57" s="95">
        <v>0.60781980555702697</v>
      </c>
      <c r="N57" s="95">
        <v>0.68182420824841605</v>
      </c>
      <c r="O57" s="95">
        <v>203.85137751040105</v>
      </c>
      <c r="P57" s="95">
        <v>122.06669312000064</v>
      </c>
      <c r="Q57" s="215"/>
      <c r="R57" s="14">
        <f>3300/'Baseline Given'!$B$22</f>
        <v>66</v>
      </c>
      <c r="S57" s="14">
        <f>('Baseline Given'!$K57*2)/'Baseline Given'!$H57</f>
        <v>159.00195956758833</v>
      </c>
      <c r="T57" s="14">
        <f>13000/'Baseline Given'!$B$22</f>
        <v>260</v>
      </c>
      <c r="U57" s="14">
        <f>IF(AND(R57&lt;S57,S57&lt;=T57),((((662/S57)+0.399*'Baseline Given'!$B$22))/0.1450377),(0.6*'Baseline Given'!$B$22))</f>
        <v>166.25657122675585</v>
      </c>
      <c r="V57" s="224"/>
      <c r="W57" s="8"/>
      <c r="X57" s="36" t="str">
        <f>'Alternative 1'!F57</f>
        <v>x</v>
      </c>
      <c r="Y57" s="14">
        <f>3300/'Alternative 1'!$B$21</f>
        <v>66</v>
      </c>
      <c r="Z57" s="14" t="e">
        <f>2*'Alternative 1'!$K57/'Alternative 1'!$B$17</f>
        <v>#VALUE!</v>
      </c>
      <c r="AA57" s="14">
        <f>13000/'Alternative 1'!$B$21</f>
        <v>260</v>
      </c>
      <c r="AB57" s="14" t="e">
        <f>IF(AND(Y57&lt;Z57,Z57&lt;=AA57),((((662/Z57)+0.399*'Baseline Given'!$B$22))/0.1450377),(0.6*'Baseline Given'!$B$22))</f>
        <v>#VALUE!</v>
      </c>
      <c r="AC57" s="217"/>
      <c r="AD57" s="36" t="str">
        <f>'Alternative 2'!F57</f>
        <v>x</v>
      </c>
      <c r="AE57" s="14">
        <f>3300/'Alternative 2'!$B$21</f>
        <v>66</v>
      </c>
      <c r="AF57" s="14" t="e">
        <f>2*'Alternative 2'!$K57/'Alternative 2'!$B$17</f>
        <v>#VALUE!</v>
      </c>
      <c r="AG57" s="14">
        <f>13000/'Alternative 2'!$B$21</f>
        <v>260</v>
      </c>
      <c r="AH57" s="14" t="e">
        <f>IF(AND(AE57&lt;AF57,AF57&lt;=AG57),((((662/AF57)+0.399*'Alternative 2'!$B$21))/0.1450377),(0.6*'Alternative 2'!$B$21))</f>
        <v>#VALUE!</v>
      </c>
      <c r="AI57" s="217"/>
      <c r="AJ57" s="36" t="str">
        <f>'Alternative 3'!F57</f>
        <v>x</v>
      </c>
      <c r="AK57" s="14">
        <f>3300/'Alternative 3'!$B$21</f>
        <v>66</v>
      </c>
      <c r="AL57" s="14" t="e">
        <f>2*'Alternative 3'!$K57/'Alternative 3'!$B$17</f>
        <v>#VALUE!</v>
      </c>
      <c r="AM57" s="14">
        <f>13000/'Alternative 3'!$B$21</f>
        <v>260</v>
      </c>
      <c r="AN57" s="14" t="e">
        <f>IF(AND(AK57&lt;AL57,AL57&lt;=AM57),((((662/AL57)+0.399*'Alternative 3'!$B$21))/0.1450377),(0.6*'Alternative 3'!$B$21))</f>
        <v>#VALUE!</v>
      </c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</row>
    <row r="58" spans="1:260" s="3" customFormat="1" ht="15" customHeight="1" x14ac:dyDescent="0.25">
      <c r="A58" s="10">
        <v>55</v>
      </c>
      <c r="B58" s="10">
        <v>1.6799999999999926E-2</v>
      </c>
      <c r="C58" s="10">
        <v>1.4556</v>
      </c>
      <c r="D58" s="10">
        <v>1.4472</v>
      </c>
      <c r="E58" s="10">
        <f t="shared" si="4"/>
        <v>1.4514</v>
      </c>
      <c r="F58" s="10">
        <f t="shared" si="5"/>
        <v>0.16136901342343857</v>
      </c>
      <c r="G58" s="10">
        <f t="shared" si="6"/>
        <v>6.6179603076022797</v>
      </c>
      <c r="H58" s="10">
        <f t="shared" si="7"/>
        <v>0.15615215885621317</v>
      </c>
      <c r="I58" s="11">
        <f>('Baseline Given'!$B$20*A58)/H58</f>
        <v>801.91941923846548</v>
      </c>
      <c r="J58" s="12">
        <f>('Baseline Given'!$B$20*A58)/E58</f>
        <v>86.276318411745251</v>
      </c>
      <c r="K58" s="53">
        <v>55</v>
      </c>
      <c r="L58" s="95">
        <v>1400.5787515502211</v>
      </c>
      <c r="M58" s="95">
        <v>0.60794383621353998</v>
      </c>
      <c r="N58" s="95">
        <v>0.68192483432004503</v>
      </c>
      <c r="O58" s="95">
        <v>203.87982733032661</v>
      </c>
      <c r="P58" s="95">
        <v>122.08372894031534</v>
      </c>
      <c r="Q58" s="215"/>
      <c r="R58" s="14">
        <f>3300/'Baseline Given'!$B$22</f>
        <v>66</v>
      </c>
      <c r="S58" s="14">
        <f>('Baseline Given'!$K58*2)/'Baseline Given'!$H58</f>
        <v>159.49311453780777</v>
      </c>
      <c r="T58" s="14">
        <f>13000/'Baseline Given'!$B$22</f>
        <v>260</v>
      </c>
      <c r="U58" s="14">
        <f>IF(AND(R58&lt;S58,S58&lt;=T58),((((662/S58)+0.399*'Baseline Given'!$B$22))/0.1450377),(0.6*'Baseline Given'!$B$22))</f>
        <v>166.16817144089981</v>
      </c>
      <c r="V58" s="224"/>
      <c r="W58" s="8"/>
      <c r="X58" s="36" t="str">
        <f>'Alternative 1'!F58</f>
        <v>x</v>
      </c>
      <c r="Y58" s="14">
        <f>3300/'Alternative 1'!$B$21</f>
        <v>66</v>
      </c>
      <c r="Z58" s="14" t="e">
        <f>2*'Alternative 1'!$K58/'Alternative 1'!$B$17</f>
        <v>#VALUE!</v>
      </c>
      <c r="AA58" s="14">
        <f>13000/'Alternative 1'!$B$21</f>
        <v>260</v>
      </c>
      <c r="AB58" s="14" t="e">
        <f>IF(AND(Y58&lt;Z58,Z58&lt;=AA58),((((662/Z58)+0.399*'Baseline Given'!$B$22))/0.1450377),(0.6*'Baseline Given'!$B$22))</f>
        <v>#VALUE!</v>
      </c>
      <c r="AC58" s="217"/>
      <c r="AD58" s="36" t="str">
        <f>'Alternative 2'!F58</f>
        <v>x</v>
      </c>
      <c r="AE58" s="14">
        <f>3300/'Alternative 2'!$B$21</f>
        <v>66</v>
      </c>
      <c r="AF58" s="14" t="e">
        <f>2*'Alternative 2'!$K58/'Alternative 2'!$B$17</f>
        <v>#VALUE!</v>
      </c>
      <c r="AG58" s="14">
        <f>13000/'Alternative 2'!$B$21</f>
        <v>260</v>
      </c>
      <c r="AH58" s="14" t="e">
        <f>IF(AND(AE58&lt;AF58,AF58&lt;=AG58),((((662/AF58)+0.399*'Alternative 2'!$B$21))/0.1450377),(0.6*'Alternative 2'!$B$21))</f>
        <v>#VALUE!</v>
      </c>
      <c r="AI58" s="217"/>
      <c r="AJ58" s="36" t="str">
        <f>'Alternative 3'!F58</f>
        <v>x</v>
      </c>
      <c r="AK58" s="14">
        <f>3300/'Alternative 3'!$B$21</f>
        <v>66</v>
      </c>
      <c r="AL58" s="14" t="e">
        <f>2*'Alternative 3'!$K58/'Alternative 3'!$B$17</f>
        <v>#VALUE!</v>
      </c>
      <c r="AM58" s="14">
        <f>13000/'Alternative 3'!$B$21</f>
        <v>260</v>
      </c>
      <c r="AN58" s="14" t="e">
        <f>IF(AND(AK58&lt;AL58,AL58&lt;=AM58),((((662/AL58)+0.399*'Alternative 3'!$B$21))/0.1450377),(0.6*'Alternative 3'!$B$21))</f>
        <v>#VALUE!</v>
      </c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</row>
    <row r="59" spans="1:260" s="3" customFormat="1" ht="15" customHeight="1" x14ac:dyDescent="0.25">
      <c r="A59" s="10">
        <v>56</v>
      </c>
      <c r="B59" s="10">
        <v>1.6699999999999715E-2</v>
      </c>
      <c r="C59" s="10">
        <v>1.4456499999999999</v>
      </c>
      <c r="D59" s="10">
        <v>1.4373</v>
      </c>
      <c r="E59" s="10">
        <f t="shared" si="4"/>
        <v>1.4414750000000001</v>
      </c>
      <c r="F59" s="10">
        <f t="shared" si="5"/>
        <v>0.15714020704177586</v>
      </c>
      <c r="G59" s="10">
        <f t="shared" si="6"/>
        <v>6.5277595667922705</v>
      </c>
      <c r="H59" s="10">
        <f t="shared" si="7"/>
        <v>0.15515350306174655</v>
      </c>
      <c r="I59" s="11">
        <f>('Baseline Given'!$B$20*A59)/H59</f>
        <v>821.7552271567838</v>
      </c>
      <c r="J59" s="12">
        <f>('Baseline Given'!$B$20*A59)/E59</f>
        <v>88.449818521081724</v>
      </c>
      <c r="K59" s="53">
        <v>56</v>
      </c>
      <c r="L59" s="95">
        <v>1401.8279886921143</v>
      </c>
      <c r="M59" s="95">
        <v>0.60806942959688004</v>
      </c>
      <c r="N59" s="95">
        <v>0.68202672823194876</v>
      </c>
      <c r="O59" s="95">
        <v>203.90862377459763</v>
      </c>
      <c r="P59" s="95">
        <v>122.10097232011834</v>
      </c>
      <c r="Q59" s="215"/>
      <c r="R59" s="14">
        <f>3300/'Baseline Given'!$B$22</f>
        <v>66</v>
      </c>
      <c r="S59" s="14">
        <f>('Baseline Given'!$K59*2)/'Baseline Given'!$H59</f>
        <v>159.99413646055396</v>
      </c>
      <c r="T59" s="14">
        <f>13000/'Baseline Given'!$B$22</f>
        <v>260</v>
      </c>
      <c r="U59" s="14">
        <f>IF(AND(R59&lt;S59,S59&lt;=T59),((((662/S59)+0.399*'Baseline Given'!$B$22))/0.1450377),(0.6*'Baseline Given'!$B$22))</f>
        <v>166.07855497585993</v>
      </c>
      <c r="V59" s="224"/>
      <c r="W59" s="8"/>
      <c r="X59" s="36" t="str">
        <f>'Alternative 1'!F59</f>
        <v>x</v>
      </c>
      <c r="Y59" s="14">
        <f>3300/'Alternative 1'!$B$21</f>
        <v>66</v>
      </c>
      <c r="Z59" s="14" t="e">
        <f>2*'Alternative 1'!$K59/'Alternative 1'!$B$17</f>
        <v>#VALUE!</v>
      </c>
      <c r="AA59" s="14">
        <f>13000/'Alternative 1'!$B$21</f>
        <v>260</v>
      </c>
      <c r="AB59" s="14" t="e">
        <f>IF(AND(Y59&lt;Z59,Z59&lt;=AA59),((((662/Z59)+0.399*'Baseline Given'!$B$22))/0.1450377),(0.6*'Baseline Given'!$B$22))</f>
        <v>#VALUE!</v>
      </c>
      <c r="AC59" s="217"/>
      <c r="AD59" s="36" t="str">
        <f>'Alternative 2'!F59</f>
        <v>x</v>
      </c>
      <c r="AE59" s="14">
        <f>3300/'Alternative 2'!$B$21</f>
        <v>66</v>
      </c>
      <c r="AF59" s="14" t="e">
        <f>2*'Alternative 2'!$K59/'Alternative 2'!$B$17</f>
        <v>#VALUE!</v>
      </c>
      <c r="AG59" s="14">
        <f>13000/'Alternative 2'!$B$21</f>
        <v>260</v>
      </c>
      <c r="AH59" s="14" t="e">
        <f>IF(AND(AE59&lt;AF59,AF59&lt;=AG59),((((662/AF59)+0.399*'Alternative 2'!$B$21))/0.1450377),(0.6*'Alternative 2'!$B$21))</f>
        <v>#VALUE!</v>
      </c>
      <c r="AI59" s="217"/>
      <c r="AJ59" s="36" t="str">
        <f>'Alternative 3'!F59</f>
        <v>x</v>
      </c>
      <c r="AK59" s="14">
        <f>3300/'Alternative 3'!$B$21</f>
        <v>66</v>
      </c>
      <c r="AL59" s="14" t="e">
        <f>2*'Alternative 3'!$K59/'Alternative 3'!$B$17</f>
        <v>#VALUE!</v>
      </c>
      <c r="AM59" s="14">
        <f>13000/'Alternative 3'!$B$21</f>
        <v>260</v>
      </c>
      <c r="AN59" s="14" t="e">
        <f>IF(AND(AK59&lt;AL59,AL59&lt;=AM59),((((662/AL59)+0.399*'Alternative 3'!$B$21))/0.1450377),(0.6*'Alternative 3'!$B$21))</f>
        <v>#VALUE!</v>
      </c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</row>
    <row r="60" spans="1:260" s="3" customFormat="1" ht="15" customHeight="1" x14ac:dyDescent="0.25">
      <c r="A60" s="10">
        <v>57</v>
      </c>
      <c r="B60" s="10">
        <v>1.6599999999999948E-2</v>
      </c>
      <c r="C60" s="10">
        <v>1.4357</v>
      </c>
      <c r="D60" s="10">
        <v>1.4274</v>
      </c>
      <c r="E60" s="10">
        <f t="shared" si="4"/>
        <v>1.4315500000000001</v>
      </c>
      <c r="F60" s="10">
        <f t="shared" si="5"/>
        <v>0.15299497176574001</v>
      </c>
      <c r="G60" s="10">
        <f t="shared" si="6"/>
        <v>6.4381777551461825</v>
      </c>
      <c r="H60" s="10">
        <f t="shared" si="7"/>
        <v>0.15415481603670986</v>
      </c>
      <c r="I60" s="11">
        <f>('Baseline Given'!$B$20*A60)/H60</f>
        <v>841.84820882690678</v>
      </c>
      <c r="J60" s="12">
        <f>('Baseline Given'!$B$20*A60)/E60</f>
        <v>90.653456576819181</v>
      </c>
      <c r="K60" s="53">
        <v>57</v>
      </c>
      <c r="L60" s="95">
        <v>1403.0945478676915</v>
      </c>
      <c r="M60" s="95">
        <v>0.60819661543690029</v>
      </c>
      <c r="N60" s="95">
        <v>0.68212991410395718</v>
      </c>
      <c r="O60" s="95">
        <v>203.93777322233737</v>
      </c>
      <c r="P60" s="95">
        <v>122.11842707924394</v>
      </c>
      <c r="Q60" s="215"/>
      <c r="R60" s="14">
        <f>3300/'Baseline Given'!$B$22</f>
        <v>66</v>
      </c>
      <c r="S60" s="14">
        <f>('Baseline Given'!$K60*2)/'Baseline Given'!$H60</f>
        <v>160.50532568274704</v>
      </c>
      <c r="T60" s="14">
        <f>13000/'Baseline Given'!$B$22</f>
        <v>260</v>
      </c>
      <c r="U60" s="14">
        <f>IF(AND(R60&lt;S60,S60&lt;=T60),((((662/S60)+0.399*'Baseline Given'!$B$22))/0.1450377),(0.6*'Baseline Given'!$B$22))</f>
        <v>165.98769653916807</v>
      </c>
      <c r="V60" s="224"/>
      <c r="W60" s="8"/>
      <c r="X60" s="36" t="str">
        <f>'Alternative 1'!F60</f>
        <v>x</v>
      </c>
      <c r="Y60" s="14">
        <f>3300/'Alternative 1'!$B$21</f>
        <v>66</v>
      </c>
      <c r="Z60" s="14" t="e">
        <f>2*'Alternative 1'!$K60/'Alternative 1'!$B$17</f>
        <v>#VALUE!</v>
      </c>
      <c r="AA60" s="14">
        <f>13000/'Alternative 1'!$B$21</f>
        <v>260</v>
      </c>
      <c r="AB60" s="14" t="e">
        <f>IF(AND(Y60&lt;Z60,Z60&lt;=AA60),((((662/Z60)+0.399*'Baseline Given'!$B$22))/0.1450377),(0.6*'Baseline Given'!$B$22))</f>
        <v>#VALUE!</v>
      </c>
      <c r="AC60" s="217"/>
      <c r="AD60" s="36" t="str">
        <f>'Alternative 2'!F60</f>
        <v>x</v>
      </c>
      <c r="AE60" s="14">
        <f>3300/'Alternative 2'!$B$21</f>
        <v>66</v>
      </c>
      <c r="AF60" s="14" t="e">
        <f>2*'Alternative 2'!$K60/'Alternative 2'!$B$17</f>
        <v>#VALUE!</v>
      </c>
      <c r="AG60" s="14">
        <f>13000/'Alternative 2'!$B$21</f>
        <v>260</v>
      </c>
      <c r="AH60" s="14" t="e">
        <f>IF(AND(AE60&lt;AF60,AF60&lt;=AG60),((((662/AF60)+0.399*'Alternative 2'!$B$21))/0.1450377),(0.6*'Alternative 2'!$B$21))</f>
        <v>#VALUE!</v>
      </c>
      <c r="AI60" s="217"/>
      <c r="AJ60" s="36" t="str">
        <f>'Alternative 3'!F60</f>
        <v>x</v>
      </c>
      <c r="AK60" s="14">
        <f>3300/'Alternative 3'!$B$21</f>
        <v>66</v>
      </c>
      <c r="AL60" s="14" t="e">
        <f>2*'Alternative 3'!$K60/'Alternative 3'!$B$17</f>
        <v>#VALUE!</v>
      </c>
      <c r="AM60" s="14">
        <f>13000/'Alternative 3'!$B$21</f>
        <v>260</v>
      </c>
      <c r="AN60" s="14" t="e">
        <f>IF(AND(AK60&lt;AL60,AL60&lt;=AM60),((((662/AL60)+0.399*'Alternative 3'!$B$21))/0.1450377),(0.6*'Alternative 3'!$B$21))</f>
        <v>#VALUE!</v>
      </c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</row>
    <row r="61" spans="1:260" s="3" customFormat="1" ht="15" customHeight="1" x14ac:dyDescent="0.25">
      <c r="A61" s="10">
        <v>58</v>
      </c>
      <c r="B61" s="10">
        <v>1.6499999999999737E-2</v>
      </c>
      <c r="C61" s="10">
        <v>1.4257499999999999</v>
      </c>
      <c r="D61" s="10">
        <v>1.4175</v>
      </c>
      <c r="E61" s="10">
        <f t="shared" si="4"/>
        <v>1.4216249999999999</v>
      </c>
      <c r="F61" s="10">
        <f t="shared" si="5"/>
        <v>0.14893220057039319</v>
      </c>
      <c r="G61" s="10">
        <f t="shared" si="6"/>
        <v>6.3492148726640147</v>
      </c>
      <c r="H61" s="10">
        <f t="shared" si="7"/>
        <v>0.1531560971701621</v>
      </c>
      <c r="I61" s="11">
        <f>('Baseline Given'!$B$20*A61)/H61</f>
        <v>862.20341084887002</v>
      </c>
      <c r="J61" s="12">
        <f>('Baseline Given'!$B$20*A61)/E61</f>
        <v>92.887863798410095</v>
      </c>
      <c r="K61" s="53">
        <v>58</v>
      </c>
      <c r="L61" s="95">
        <v>1404.3787918754722</v>
      </c>
      <c r="M61" s="95">
        <v>0.60832542422258062</v>
      </c>
      <c r="N61" s="95">
        <v>0.68223441667177964</v>
      </c>
      <c r="O61" s="95">
        <v>203.9672822103112</v>
      </c>
      <c r="P61" s="95">
        <v>122.13609713192288</v>
      </c>
      <c r="Q61" s="215"/>
      <c r="R61" s="14">
        <f>3300/'Baseline Given'!$B$22</f>
        <v>66</v>
      </c>
      <c r="S61" s="14">
        <f>('Baseline Given'!$K61*2)/'Baseline Given'!$H61</f>
        <v>161.02699486621518</v>
      </c>
      <c r="T61" s="14">
        <f>13000/'Baseline Given'!$B$22</f>
        <v>260</v>
      </c>
      <c r="U61" s="14">
        <f>IF(AND(R61&lt;S61,S61&lt;=T61),((((662/S61)+0.399*'Baseline Given'!$B$22))/0.1450377),(0.6*'Baseline Given'!$B$22))</f>
        <v>165.89557013242074</v>
      </c>
      <c r="V61" s="224"/>
      <c r="W61" s="8"/>
      <c r="X61" s="36" t="str">
        <f>'Alternative 1'!F61</f>
        <v>x</v>
      </c>
      <c r="Y61" s="14">
        <f>3300/'Alternative 1'!$B$21</f>
        <v>66</v>
      </c>
      <c r="Z61" s="14" t="e">
        <f>2*'Alternative 1'!$K61/'Alternative 1'!$B$17</f>
        <v>#VALUE!</v>
      </c>
      <c r="AA61" s="14">
        <f>13000/'Alternative 1'!$B$21</f>
        <v>260</v>
      </c>
      <c r="AB61" s="14" t="e">
        <f>IF(AND(Y61&lt;Z61,Z61&lt;=AA61),((((662/Z61)+0.399*'Baseline Given'!$B$22))/0.1450377),(0.6*'Baseline Given'!$B$22))</f>
        <v>#VALUE!</v>
      </c>
      <c r="AC61" s="217"/>
      <c r="AD61" s="36" t="str">
        <f>'Alternative 2'!F61</f>
        <v>x</v>
      </c>
      <c r="AE61" s="14">
        <f>3300/'Alternative 2'!$B$21</f>
        <v>66</v>
      </c>
      <c r="AF61" s="14" t="e">
        <f>2*'Alternative 2'!$K61/'Alternative 2'!$B$17</f>
        <v>#VALUE!</v>
      </c>
      <c r="AG61" s="14">
        <f>13000/'Alternative 2'!$B$21</f>
        <v>260</v>
      </c>
      <c r="AH61" s="14" t="e">
        <f>IF(AND(AE61&lt;AF61,AF61&lt;=AG61),((((662/AF61)+0.399*'Alternative 2'!$B$21))/0.1450377),(0.6*'Alternative 2'!$B$21))</f>
        <v>#VALUE!</v>
      </c>
      <c r="AI61" s="217"/>
      <c r="AJ61" s="36" t="str">
        <f>'Alternative 3'!F61</f>
        <v>x</v>
      </c>
      <c r="AK61" s="14">
        <f>3300/'Alternative 3'!$B$21</f>
        <v>66</v>
      </c>
      <c r="AL61" s="14" t="e">
        <f>2*'Alternative 3'!$K61/'Alternative 3'!$B$17</f>
        <v>#VALUE!</v>
      </c>
      <c r="AM61" s="14">
        <f>13000/'Alternative 3'!$B$21</f>
        <v>260</v>
      </c>
      <c r="AN61" s="14" t="e">
        <f>IF(AND(AK61&lt;AL61,AL61&lt;=AM61),((((662/AL61)+0.399*'Alternative 3'!$B$21))/0.1450377),(0.6*'Alternative 3'!$B$21))</f>
        <v>#VALUE!</v>
      </c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</row>
    <row r="62" spans="1:260" s="3" customFormat="1" ht="15" customHeight="1" x14ac:dyDescent="0.25">
      <c r="A62" s="10">
        <v>59</v>
      </c>
      <c r="B62" s="10">
        <v>1.639999999999997E-2</v>
      </c>
      <c r="C62" s="10">
        <v>1.4157999999999999</v>
      </c>
      <c r="D62" s="10">
        <v>1.4076</v>
      </c>
      <c r="E62" s="10">
        <f t="shared" si="4"/>
        <v>1.4117</v>
      </c>
      <c r="F62" s="10">
        <f t="shared" si="5"/>
        <v>0.1449507938022537</v>
      </c>
      <c r="G62" s="10">
        <f t="shared" si="6"/>
        <v>6.2608709193457699</v>
      </c>
      <c r="H62" s="10">
        <f t="shared" si="7"/>
        <v>0.15215734583511087</v>
      </c>
      <c r="I62" s="11">
        <f>('Baseline Given'!$B$20*A62)/H62</f>
        <v>882.82601306579284</v>
      </c>
      <c r="J62" s="12">
        <f>('Baseline Given'!$B$20*A62)/E62</f>
        <v>95.153689156537482</v>
      </c>
      <c r="K62" s="53">
        <v>59</v>
      </c>
      <c r="L62" s="95">
        <v>1405.6810937167929</v>
      </c>
      <c r="M62" s="95">
        <v>0.60845588722645061</v>
      </c>
      <c r="N62" s="95">
        <v>0.68234026130681935</v>
      </c>
      <c r="O62" s="95">
        <v>203.9971574378383</v>
      </c>
      <c r="P62" s="95">
        <v>122.15398648972354</v>
      </c>
      <c r="Q62" s="215"/>
      <c r="R62" s="14">
        <f>3300/'Baseline Given'!$B$22</f>
        <v>66</v>
      </c>
      <c r="S62" s="14">
        <f>('Baseline Given'!$K62*2)/'Baseline Given'!$H62</f>
        <v>161.55946962540531</v>
      </c>
      <c r="T62" s="14">
        <f>13000/'Baseline Given'!$B$22</f>
        <v>260</v>
      </c>
      <c r="U62" s="14">
        <f>IF(AND(R62&lt;S62,S62&lt;=T62),((((662/S62)+0.399*'Baseline Given'!$B$22))/0.1450377),(0.6*'Baseline Given'!$B$22))</f>
        <v>165.80214902647697</v>
      </c>
      <c r="V62" s="224"/>
      <c r="W62" s="8"/>
      <c r="X62" s="36" t="str">
        <f>'Alternative 1'!F62</f>
        <v>x</v>
      </c>
      <c r="Y62" s="14">
        <f>3300/'Alternative 1'!$B$21</f>
        <v>66</v>
      </c>
      <c r="Z62" s="14" t="e">
        <f>2*'Alternative 1'!$K62/'Alternative 1'!$B$17</f>
        <v>#VALUE!</v>
      </c>
      <c r="AA62" s="14">
        <f>13000/'Alternative 1'!$B$21</f>
        <v>260</v>
      </c>
      <c r="AB62" s="14" t="e">
        <f>IF(AND(Y62&lt;Z62,Z62&lt;=AA62),((((662/Z62)+0.399*'Baseline Given'!$B$22))/0.1450377),(0.6*'Baseline Given'!$B$22))</f>
        <v>#VALUE!</v>
      </c>
      <c r="AC62" s="217"/>
      <c r="AD62" s="36" t="str">
        <f>'Alternative 2'!F62</f>
        <v>x</v>
      </c>
      <c r="AE62" s="14">
        <f>3300/'Alternative 2'!$B$21</f>
        <v>66</v>
      </c>
      <c r="AF62" s="14" t="e">
        <f>2*'Alternative 2'!$K62/'Alternative 2'!$B$17</f>
        <v>#VALUE!</v>
      </c>
      <c r="AG62" s="14">
        <f>13000/'Alternative 2'!$B$21</f>
        <v>260</v>
      </c>
      <c r="AH62" s="14" t="e">
        <f>IF(AND(AE62&lt;AF62,AF62&lt;=AG62),((((662/AF62)+0.399*'Alternative 2'!$B$21))/0.1450377),(0.6*'Alternative 2'!$B$21))</f>
        <v>#VALUE!</v>
      </c>
      <c r="AI62" s="217"/>
      <c r="AJ62" s="36" t="str">
        <f>'Alternative 3'!F62</f>
        <v>x</v>
      </c>
      <c r="AK62" s="14">
        <f>3300/'Alternative 3'!$B$21</f>
        <v>66</v>
      </c>
      <c r="AL62" s="14" t="e">
        <f>2*'Alternative 3'!$K62/'Alternative 3'!$B$17</f>
        <v>#VALUE!</v>
      </c>
      <c r="AM62" s="14">
        <f>13000/'Alternative 3'!$B$21</f>
        <v>260</v>
      </c>
      <c r="AN62" s="14" t="e">
        <f>IF(AND(AK62&lt;AL62,AL62&lt;=AM62),((((662/AL62)+0.399*'Alternative 3'!$B$21))/0.1450377),(0.6*'Alternative 3'!$B$21))</f>
        <v>#VALUE!</v>
      </c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</row>
    <row r="63" spans="1:260" s="3" customFormat="1" ht="15" customHeight="1" x14ac:dyDescent="0.25">
      <c r="A63" s="10">
        <v>60</v>
      </c>
      <c r="B63" s="10">
        <v>1.6300000000000203E-2</v>
      </c>
      <c r="C63" s="10">
        <v>1.40585</v>
      </c>
      <c r="D63" s="10">
        <v>1.3976999999999999</v>
      </c>
      <c r="E63" s="10">
        <f t="shared" si="4"/>
        <v>1.401775</v>
      </c>
      <c r="F63" s="10">
        <f t="shared" si="5"/>
        <v>0.14104965917926651</v>
      </c>
      <c r="G63" s="10">
        <f t="shared" si="6"/>
        <v>6.1731458951914453</v>
      </c>
      <c r="H63" s="10">
        <f t="shared" si="7"/>
        <v>0.15115856138796566</v>
      </c>
      <c r="I63" s="11">
        <f>('Baseline Given'!$B$20*A63)/H63</f>
        <v>903.72133300171026</v>
      </c>
      <c r="J63" s="12">
        <f>('Baseline Given'!$B$20*A63)/E63</f>
        <v>97.451600001536036</v>
      </c>
      <c r="K63" s="53">
        <v>60</v>
      </c>
      <c r="L63" s="95">
        <v>1407.0018369567331</v>
      </c>
      <c r="M63" s="95">
        <v>0.60858803652990323</v>
      </c>
      <c r="N63" s="95">
        <v>0.68244747403671047</v>
      </c>
      <c r="O63" s="95">
        <v>204.02740577187544</v>
      </c>
      <c r="P63" s="95">
        <v>122.17209926459607</v>
      </c>
      <c r="Q63" s="215"/>
      <c r="R63" s="14">
        <f>3300/'Baseline Given'!$B$22</f>
        <v>66</v>
      </c>
      <c r="S63" s="14">
        <f>('Baseline Given'!$K63*2)/'Baseline Given'!$H63</f>
        <v>162.10308920513663</v>
      </c>
      <c r="T63" s="14">
        <f>13000/'Baseline Given'!$B$22</f>
        <v>260</v>
      </c>
      <c r="U63" s="14">
        <f>IF(AND(R63&lt;S63,S63&lt;=T63),((((662/S63)+0.399*'Baseline Given'!$B$22))/0.1450377),(0.6*'Baseline Given'!$B$22))</f>
        <v>165.70740573560289</v>
      </c>
      <c r="V63" s="224"/>
      <c r="W63" s="8"/>
      <c r="X63" s="36" t="str">
        <f>'Alternative 1'!F63</f>
        <v>x</v>
      </c>
      <c r="Y63" s="14">
        <f>3300/'Alternative 1'!$B$21</f>
        <v>66</v>
      </c>
      <c r="Z63" s="14" t="e">
        <f>2*'Alternative 1'!$K63/'Alternative 1'!$B$17</f>
        <v>#VALUE!</v>
      </c>
      <c r="AA63" s="14">
        <f>13000/'Alternative 1'!$B$21</f>
        <v>260</v>
      </c>
      <c r="AB63" s="14" t="e">
        <f>IF(AND(Y63&lt;Z63,Z63&lt;=AA63),((((662/Z63)+0.399*'Baseline Given'!$B$22))/0.1450377),(0.6*'Baseline Given'!$B$22))</f>
        <v>#VALUE!</v>
      </c>
      <c r="AC63" s="217"/>
      <c r="AD63" s="36" t="str">
        <f>'Alternative 2'!F63</f>
        <v>x</v>
      </c>
      <c r="AE63" s="14">
        <f>3300/'Alternative 2'!$B$21</f>
        <v>66</v>
      </c>
      <c r="AF63" s="14" t="e">
        <f>2*'Alternative 2'!$K63/'Alternative 2'!$B$17</f>
        <v>#VALUE!</v>
      </c>
      <c r="AG63" s="14">
        <f>13000/'Alternative 2'!$B$21</f>
        <v>260</v>
      </c>
      <c r="AH63" s="14" t="e">
        <f>IF(AND(AE63&lt;AF63,AF63&lt;=AG63),((((662/AF63)+0.399*'Alternative 2'!$B$21))/0.1450377),(0.6*'Alternative 2'!$B$21))</f>
        <v>#VALUE!</v>
      </c>
      <c r="AI63" s="217"/>
      <c r="AJ63" s="36" t="str">
        <f>'Alternative 3'!F63</f>
        <v>x</v>
      </c>
      <c r="AK63" s="14">
        <f>3300/'Alternative 3'!$B$21</f>
        <v>66</v>
      </c>
      <c r="AL63" s="14" t="e">
        <f>2*'Alternative 3'!$K63/'Alternative 3'!$B$17</f>
        <v>#VALUE!</v>
      </c>
      <c r="AM63" s="14">
        <f>13000/'Alternative 3'!$B$21</f>
        <v>260</v>
      </c>
      <c r="AN63" s="14" t="e">
        <f>IF(AND(AK63&lt;AL63,AL63&lt;=AM63),((((662/AL63)+0.399*'Alternative 3'!$B$21))/0.1450377),(0.6*'Alternative 3'!$B$21))</f>
        <v>#VALUE!</v>
      </c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</row>
    <row r="64" spans="1:260" s="3" customFormat="1" ht="15" customHeight="1" x14ac:dyDescent="0.25">
      <c r="A64" s="10">
        <v>61</v>
      </c>
      <c r="B64" s="10">
        <v>1.6199999999999992E-2</v>
      </c>
      <c r="C64" s="10">
        <v>1.3958999999999999</v>
      </c>
      <c r="D64" s="10">
        <v>1.3877999999999999</v>
      </c>
      <c r="E64" s="10">
        <f t="shared" si="4"/>
        <v>1.3918499999999998</v>
      </c>
      <c r="F64" s="10">
        <f t="shared" si="5"/>
        <v>0.1372277117908163</v>
      </c>
      <c r="G64" s="10">
        <f t="shared" si="6"/>
        <v>6.0860398002010401</v>
      </c>
      <c r="H64" s="10">
        <f t="shared" si="7"/>
        <v>0.15015974316799116</v>
      </c>
      <c r="I64" s="11">
        <f>('Baseline Given'!$B$20*A64)/H64</f>
        <v>924.89483047828753</v>
      </c>
      <c r="J64" s="12">
        <f>('Baseline Given'!$B$20*A64)/E64</f>
        <v>99.782282718699861</v>
      </c>
      <c r="K64" s="53">
        <v>61</v>
      </c>
      <c r="L64" s="95">
        <v>1408.3414161008723</v>
      </c>
      <c r="M64" s="95">
        <v>0.60872190504953561</v>
      </c>
      <c r="N64" s="95">
        <v>0.68255608156668823</v>
      </c>
      <c r="O64" s="95">
        <v>204.05803425230152</v>
      </c>
      <c r="P64" s="95">
        <v>122.19043967203685</v>
      </c>
      <c r="Q64" s="215"/>
      <c r="R64" s="14">
        <f>3300/'Baseline Given'!$B$22</f>
        <v>66</v>
      </c>
      <c r="S64" s="14">
        <f>('Baseline Given'!$K64*2)/'Baseline Given'!$H64</f>
        <v>162.65820720136051</v>
      </c>
      <c r="T64" s="14">
        <f>13000/'Baseline Given'!$B$22</f>
        <v>260</v>
      </c>
      <c r="U64" s="14">
        <f>IF(AND(R64&lt;S64,S64&lt;=T64),((((662/S64)+0.399*'Baseline Given'!$B$22))/0.1450377),(0.6*'Baseline Given'!$B$22))</f>
        <v>165.6113119905111</v>
      </c>
      <c r="V64" s="224"/>
      <c r="W64" s="8"/>
      <c r="X64" s="36" t="str">
        <f>'Alternative 1'!F64</f>
        <v>x</v>
      </c>
      <c r="Y64" s="14">
        <f>3300/'Alternative 1'!$B$21</f>
        <v>66</v>
      </c>
      <c r="Z64" s="14" t="e">
        <f>2*'Alternative 1'!$K64/'Alternative 1'!$B$17</f>
        <v>#VALUE!</v>
      </c>
      <c r="AA64" s="14">
        <f>13000/'Alternative 1'!$B$21</f>
        <v>260</v>
      </c>
      <c r="AB64" s="14" t="e">
        <f>IF(AND(Y64&lt;Z64,Z64&lt;=AA64),((((662/Z64)+0.399*'Baseline Given'!$B$22))/0.1450377),(0.6*'Baseline Given'!$B$22))</f>
        <v>#VALUE!</v>
      </c>
      <c r="AC64" s="217"/>
      <c r="AD64" s="36" t="str">
        <f>'Alternative 2'!F64</f>
        <v>x</v>
      </c>
      <c r="AE64" s="14">
        <f>3300/'Alternative 2'!$B$21</f>
        <v>66</v>
      </c>
      <c r="AF64" s="14" t="e">
        <f>2*'Alternative 2'!$K64/'Alternative 2'!$B$17</f>
        <v>#VALUE!</v>
      </c>
      <c r="AG64" s="14">
        <f>13000/'Alternative 2'!$B$21</f>
        <v>260</v>
      </c>
      <c r="AH64" s="14" t="e">
        <f>IF(AND(AE64&lt;AF64,AF64&lt;=AG64),((((662/AF64)+0.399*'Alternative 2'!$B$21))/0.1450377),(0.6*'Alternative 2'!$B$21))</f>
        <v>#VALUE!</v>
      </c>
      <c r="AI64" s="217"/>
      <c r="AJ64" s="36" t="str">
        <f>'Alternative 3'!F64</f>
        <v>x</v>
      </c>
      <c r="AK64" s="14">
        <f>3300/'Alternative 3'!$B$21</f>
        <v>66</v>
      </c>
      <c r="AL64" s="14" t="e">
        <f>2*'Alternative 3'!$K64/'Alternative 3'!$B$17</f>
        <v>#VALUE!</v>
      </c>
      <c r="AM64" s="14">
        <f>13000/'Alternative 3'!$B$21</f>
        <v>260</v>
      </c>
      <c r="AN64" s="14" t="e">
        <f>IF(AND(AK64&lt;AL64,AL64&lt;=AM64),((((662/AL64)+0.399*'Alternative 3'!$B$21))/0.1450377),(0.6*'Alternative 3'!$B$21))</f>
        <v>#VALUE!</v>
      </c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</row>
    <row r="65" spans="1:260" s="3" customFormat="1" ht="15" customHeight="1" x14ac:dyDescent="0.25">
      <c r="A65" s="10">
        <v>62</v>
      </c>
      <c r="B65" s="10">
        <v>1.6099999999999781E-2</v>
      </c>
      <c r="C65" s="10">
        <v>1.38595</v>
      </c>
      <c r="D65" s="10">
        <v>1.3779000000000001</v>
      </c>
      <c r="E65" s="10">
        <f t="shared" si="4"/>
        <v>1.3819250000000001</v>
      </c>
      <c r="F65" s="10">
        <f t="shared" si="5"/>
        <v>0.13348387409773507</v>
      </c>
      <c r="G65" s="10">
        <f t="shared" si="6"/>
        <v>5.9995526343745613</v>
      </c>
      <c r="H65" s="10">
        <f t="shared" si="7"/>
        <v>0.14916089049673587</v>
      </c>
      <c r="I65" s="11">
        <f>('Baseline Given'!$B$20*A65)/H65</f>
        <v>946.35211241904346</v>
      </c>
      <c r="J65" s="12">
        <f>('Baseline Given'!$B$20*A65)/E65</f>
        <v>102.14644341182886</v>
      </c>
      <c r="K65" s="53">
        <v>62</v>
      </c>
      <c r="L65" s="95">
        <v>1409.70023698824</v>
      </c>
      <c r="M65" s="95">
        <v>0.60885752656452152</v>
      </c>
      <c r="N65" s="95">
        <v>0.68266611130179633</v>
      </c>
      <c r="O65" s="95">
        <v>204.08905009740269</v>
      </c>
      <c r="P65" s="95">
        <v>122.20901203437288</v>
      </c>
      <c r="Q65" s="215"/>
      <c r="R65" s="14">
        <f>3300/'Baseline Given'!$B$22</f>
        <v>66</v>
      </c>
      <c r="S65" s="14">
        <f>('Baseline Given'!$K65*2)/'Baseline Given'!$H65</f>
        <v>163.225192328145</v>
      </c>
      <c r="T65" s="14">
        <f>13000/'Baseline Given'!$B$22</f>
        <v>260</v>
      </c>
      <c r="U65" s="14">
        <f>IF(AND(R65&lt;S65,S65&lt;=T65),((((662/S65)+0.399*'Baseline Given'!$B$22))/0.1450377),(0.6*'Baseline Given'!$B$22))</f>
        <v>165.51383871023847</v>
      </c>
      <c r="V65" s="224"/>
      <c r="W65" s="8"/>
      <c r="X65" s="36" t="str">
        <f>'Alternative 1'!F65</f>
        <v>x</v>
      </c>
      <c r="Y65" s="14">
        <f>3300/'Alternative 1'!$B$21</f>
        <v>66</v>
      </c>
      <c r="Z65" s="14" t="e">
        <f>2*'Alternative 1'!$K65/'Alternative 1'!$B$17</f>
        <v>#VALUE!</v>
      </c>
      <c r="AA65" s="14">
        <f>13000/'Alternative 1'!$B$21</f>
        <v>260</v>
      </c>
      <c r="AB65" s="14" t="e">
        <f>IF(AND(Y65&lt;Z65,Z65&lt;=AA65),((((662/Z65)+0.399*'Baseline Given'!$B$22))/0.1450377),(0.6*'Baseline Given'!$B$22))</f>
        <v>#VALUE!</v>
      </c>
      <c r="AC65" s="217"/>
      <c r="AD65" s="36" t="str">
        <f>'Alternative 2'!F65</f>
        <v>x</v>
      </c>
      <c r="AE65" s="14">
        <f>3300/'Alternative 2'!$B$21</f>
        <v>66</v>
      </c>
      <c r="AF65" s="14" t="e">
        <f>2*'Alternative 2'!$K65/'Alternative 2'!$B$17</f>
        <v>#VALUE!</v>
      </c>
      <c r="AG65" s="14">
        <f>13000/'Alternative 2'!$B$21</f>
        <v>260</v>
      </c>
      <c r="AH65" s="14" t="e">
        <f>IF(AND(AE65&lt;AF65,AF65&lt;=AG65),((((662/AF65)+0.399*'Alternative 2'!$B$21))/0.1450377),(0.6*'Alternative 2'!$B$21))</f>
        <v>#VALUE!</v>
      </c>
      <c r="AI65" s="217"/>
      <c r="AJ65" s="36" t="str">
        <f>'Alternative 3'!F65</f>
        <v>x</v>
      </c>
      <c r="AK65" s="14">
        <f>3300/'Alternative 3'!$B$21</f>
        <v>66</v>
      </c>
      <c r="AL65" s="14" t="e">
        <f>2*'Alternative 3'!$K65/'Alternative 3'!$B$17</f>
        <v>#VALUE!</v>
      </c>
      <c r="AM65" s="14">
        <f>13000/'Alternative 3'!$B$21</f>
        <v>260</v>
      </c>
      <c r="AN65" s="14" t="e">
        <f>IF(AND(AK65&lt;AL65,AL65&lt;=AM65),((((662/AL65)+0.399*'Alternative 3'!$B$21))/0.1450377),(0.6*'Alternative 3'!$B$21))</f>
        <v>#VALUE!</v>
      </c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</row>
    <row r="66" spans="1:260" s="3" customFormat="1" ht="15" customHeight="1" x14ac:dyDescent="0.25">
      <c r="A66" s="10">
        <v>63</v>
      </c>
      <c r="B66" s="10">
        <v>1.599999999999957E-2</v>
      </c>
      <c r="C66" s="10">
        <v>1.3759999999999999</v>
      </c>
      <c r="D66" s="10">
        <v>1.3680000000000001</v>
      </c>
      <c r="E66" s="10">
        <f t="shared" si="4"/>
        <v>1.3719999999999999</v>
      </c>
      <c r="F66" s="10">
        <f t="shared" si="5"/>
        <v>0.12981707593228958</v>
      </c>
      <c r="G66" s="10">
        <f t="shared" si="6"/>
        <v>5.9136843977119984</v>
      </c>
      <c r="H66" s="10">
        <f t="shared" si="7"/>
        <v>0.14816200267742691</v>
      </c>
      <c r="I66" s="11">
        <f>('Baseline Given'!$B$20*A66)/H66</f>
        <v>968.09893785010104</v>
      </c>
      <c r="J66" s="12">
        <f>('Baseline Given'!$B$20*A66)/E66</f>
        <v>104.54480861644376</v>
      </c>
      <c r="K66" s="53">
        <v>63</v>
      </c>
      <c r="L66" s="95">
        <v>1411.0787172011285</v>
      </c>
      <c r="M66" s="95">
        <v>0.60899493574505026</v>
      </c>
      <c r="N66" s="95">
        <v>0.6827775913699593</v>
      </c>
      <c r="O66" s="95">
        <v>204.12046070956376</v>
      </c>
      <c r="P66" s="95">
        <v>122.22782078416992</v>
      </c>
      <c r="Q66" s="215"/>
      <c r="R66" s="14">
        <f>3300/'Baseline Given'!$B$22</f>
        <v>66</v>
      </c>
      <c r="S66" s="14">
        <f>('Baseline Given'!$K66*2)/'Baseline Given'!$H66</f>
        <v>163.8044292343798</v>
      </c>
      <c r="T66" s="14">
        <f>13000/'Baseline Given'!$B$22</f>
        <v>260</v>
      </c>
      <c r="U66" s="14">
        <f>IF(AND(R66&lt;S66,S66&lt;=T66),((((662/S66)+0.399*'Baseline Given'!$B$22))/0.1450377),(0.6*'Baseline Given'!$B$22))</f>
        <v>165.41495597280428</v>
      </c>
      <c r="V66" s="224"/>
      <c r="W66" s="8"/>
      <c r="X66" s="36" t="str">
        <f>'Alternative 1'!F66</f>
        <v>x</v>
      </c>
      <c r="Y66" s="14">
        <f>3300/'Alternative 1'!$B$21</f>
        <v>66</v>
      </c>
      <c r="Z66" s="14" t="e">
        <f>2*'Alternative 1'!$K66/'Alternative 1'!$B$17</f>
        <v>#VALUE!</v>
      </c>
      <c r="AA66" s="14">
        <f>13000/'Alternative 1'!$B$21</f>
        <v>260</v>
      </c>
      <c r="AB66" s="14" t="e">
        <f>IF(AND(Y66&lt;Z66,Z66&lt;=AA66),((((662/Z66)+0.399*'Baseline Given'!$B$22))/0.1450377),(0.6*'Baseline Given'!$B$22))</f>
        <v>#VALUE!</v>
      </c>
      <c r="AC66" s="217"/>
      <c r="AD66" s="36" t="str">
        <f>'Alternative 2'!F66</f>
        <v>x</v>
      </c>
      <c r="AE66" s="14">
        <f>3300/'Alternative 2'!$B$21</f>
        <v>66</v>
      </c>
      <c r="AF66" s="14" t="e">
        <f>2*'Alternative 2'!$K66/'Alternative 2'!$B$17</f>
        <v>#VALUE!</v>
      </c>
      <c r="AG66" s="14">
        <f>13000/'Alternative 2'!$B$21</f>
        <v>260</v>
      </c>
      <c r="AH66" s="14" t="e">
        <f>IF(AND(AE66&lt;AF66,AF66&lt;=AG66),((((662/AF66)+0.399*'Alternative 2'!$B$21))/0.1450377),(0.6*'Alternative 2'!$B$21))</f>
        <v>#VALUE!</v>
      </c>
      <c r="AI66" s="217"/>
      <c r="AJ66" s="36" t="str">
        <f>'Alternative 3'!F66</f>
        <v>x</v>
      </c>
      <c r="AK66" s="14">
        <f>3300/'Alternative 3'!$B$21</f>
        <v>66</v>
      </c>
      <c r="AL66" s="14" t="e">
        <f>2*'Alternative 3'!$K66/'Alternative 3'!$B$17</f>
        <v>#VALUE!</v>
      </c>
      <c r="AM66" s="14">
        <f>13000/'Alternative 3'!$B$21</f>
        <v>260</v>
      </c>
      <c r="AN66" s="14" t="e">
        <f>IF(AND(AK66&lt;AL66,AL66&lt;=AM66),((((662/AL66)+0.399*'Alternative 3'!$B$21))/0.1450377),(0.6*'Alternative 3'!$B$21))</f>
        <v>#VALUE!</v>
      </c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</row>
    <row r="67" spans="1:260" s="3" customFormat="1" ht="15" customHeight="1" x14ac:dyDescent="0.25">
      <c r="A67" s="10">
        <v>64</v>
      </c>
      <c r="B67" s="10">
        <v>1.5899999999999803E-2</v>
      </c>
      <c r="C67" s="10">
        <v>1.36605</v>
      </c>
      <c r="D67" s="10">
        <v>1.3581000000000001</v>
      </c>
      <c r="E67" s="10">
        <f>AVERAGE(C67:D67)</f>
        <v>1.3620749999999999</v>
      </c>
      <c r="F67" s="10">
        <f>3.14159*(E67^3)*(B67)</f>
        <v>0.12622625449819005</v>
      </c>
      <c r="G67" s="10">
        <f t="shared" si="6"/>
        <v>5.8284350902133593</v>
      </c>
      <c r="H67" s="10">
        <f>SQRT(F67/G67)</f>
        <v>0.14716307899435088</v>
      </c>
      <c r="I67" s="11">
        <f>('Baseline Given'!$B$20*A67)/H67</f>
        <v>990.14122310680568</v>
      </c>
      <c r="J67" s="12">
        <f>('Baseline Given'!$B$20*A67)/E67</f>
        <v>106.97812604418263</v>
      </c>
      <c r="K67" s="53">
        <v>64</v>
      </c>
      <c r="L67" s="95">
        <v>1412.4772864930171</v>
      </c>
      <c r="M67" s="95">
        <v>0.60913416818191501</v>
      </c>
      <c r="N67" s="95">
        <v>0.68289055064598769</v>
      </c>
      <c r="O67" s="95">
        <v>204.15227368118283</v>
      </c>
      <c r="P67" s="95">
        <v>122.24687046777416</v>
      </c>
      <c r="Q67" s="215"/>
      <c r="R67" s="14">
        <f>3300/'Baseline Given'!$B$22</f>
        <v>66</v>
      </c>
      <c r="S67" s="14">
        <f>('Baseline Given'!$K67*2)/'Baseline Given'!$H67</f>
        <v>164.39631937400324</v>
      </c>
      <c r="T67" s="14">
        <f>13000/'Baseline Given'!$B$22</f>
        <v>260</v>
      </c>
      <c r="U67" s="14">
        <f>IF(AND(R67&lt;S67,S67&lt;=T67),((((662/S67)+0.399*'Baseline Given'!$B$22))/0.1450377),(0.6*'Baseline Given'!$B$22))</f>
        <v>165.31463298458627</v>
      </c>
      <c r="V67" s="224"/>
      <c r="W67" s="8"/>
      <c r="X67" s="36" t="str">
        <f>'Alternative 1'!F67</f>
        <v>x</v>
      </c>
      <c r="Y67" s="14">
        <f>3300/'Alternative 1'!$B$21</f>
        <v>66</v>
      </c>
      <c r="Z67" s="14" t="e">
        <f>2*'Alternative 1'!$K67/'Alternative 1'!$B$17</f>
        <v>#VALUE!</v>
      </c>
      <c r="AA67" s="14">
        <f>13000/'Alternative 1'!$B$21</f>
        <v>260</v>
      </c>
      <c r="AB67" s="14" t="e">
        <f>IF(AND(Y67&lt;Z67,Z67&lt;=AA67),((((662/Z67)+0.399*'Baseline Given'!$B$22))/0.1450377),(0.6*'Baseline Given'!$B$22))</f>
        <v>#VALUE!</v>
      </c>
      <c r="AC67" s="217"/>
      <c r="AD67" s="36" t="str">
        <f>'Alternative 2'!F67</f>
        <v>x</v>
      </c>
      <c r="AE67" s="14">
        <f>3300/'Alternative 2'!$B$21</f>
        <v>66</v>
      </c>
      <c r="AF67" s="14" t="e">
        <f>2*'Alternative 2'!$K67/'Alternative 2'!$B$17</f>
        <v>#VALUE!</v>
      </c>
      <c r="AG67" s="14">
        <f>13000/'Alternative 2'!$B$21</f>
        <v>260</v>
      </c>
      <c r="AH67" s="14" t="e">
        <f>IF(AND(AE67&lt;AF67,AF67&lt;=AG67),((((662/AF67)+0.399*'Alternative 2'!$B$21))/0.1450377),(0.6*'Alternative 2'!$B$21))</f>
        <v>#VALUE!</v>
      </c>
      <c r="AI67" s="217"/>
      <c r="AJ67" s="36" t="str">
        <f>'Alternative 3'!F67</f>
        <v>x</v>
      </c>
      <c r="AK67" s="14">
        <f>3300/'Alternative 3'!$B$21</f>
        <v>66</v>
      </c>
      <c r="AL67" s="14" t="e">
        <f>2*'Alternative 3'!$K67/'Alternative 3'!$B$17</f>
        <v>#VALUE!</v>
      </c>
      <c r="AM67" s="14">
        <f>13000/'Alternative 3'!$B$21</f>
        <v>260</v>
      </c>
      <c r="AN67" s="14" t="e">
        <f>IF(AND(AK67&lt;AL67,AL67&lt;=AM67),((((662/AL67)+0.399*'Alternative 3'!$B$21))/0.1450377),(0.6*'Alternative 3'!$B$21))</f>
        <v>#VALUE!</v>
      </c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</row>
    <row r="68" spans="1:260" s="3" customFormat="1" ht="15" customHeight="1" x14ac:dyDescent="0.25">
      <c r="A68" s="10">
        <v>65</v>
      </c>
      <c r="B68" s="10">
        <v>1.5799999999999592E-2</v>
      </c>
      <c r="C68" s="10">
        <v>1.3560999999999999</v>
      </c>
      <c r="D68" s="10">
        <v>1.3482000000000001</v>
      </c>
      <c r="E68" s="10">
        <f>AVERAGE(C68:D68)</f>
        <v>1.35215</v>
      </c>
      <c r="F68" s="10">
        <f>3.14159*(E68^3)*(B68)</f>
        <v>0.12271035437057502</v>
      </c>
      <c r="G68" s="10">
        <f t="shared" si="6"/>
        <v>5.7438047118786422</v>
      </c>
      <c r="H68" s="10">
        <f>SQRT(F68/G68)</f>
        <v>0.14616411871219667</v>
      </c>
      <c r="I68" s="11">
        <f>('Baseline Given'!$B$20*A68)/H68</f>
        <v>1012.4850472563368</v>
      </c>
      <c r="J68" s="12">
        <f>('Baseline Given'!$B$20*A68)/E68</f>
        <v>109.44716535998171</v>
      </c>
      <c r="K68" s="53">
        <v>65</v>
      </c>
      <c r="L68" s="95">
        <v>1413.8963872351076</v>
      </c>
      <c r="M68" s="95">
        <v>0.60927526041726754</v>
      </c>
      <c r="N68" s="95">
        <v>0.68300501877652919</v>
      </c>
      <c r="O68" s="95">
        <v>204.18449680081099</v>
      </c>
      <c r="P68" s="95">
        <v>122.26616574898863</v>
      </c>
      <c r="Q68" s="215"/>
      <c r="R68" s="14">
        <f>3300/'Baseline Given'!$B$22</f>
        <v>66</v>
      </c>
      <c r="S68" s="14">
        <f>('Baseline Given'!$K68*2)/'Baseline Given'!$H68</f>
        <v>165.00128193388829</v>
      </c>
      <c r="T68" s="14">
        <f>13000/'Baseline Given'!$B$22</f>
        <v>260</v>
      </c>
      <c r="U68" s="14">
        <f>IF(AND(R68&lt;S68,S68&lt;=T68),((((662/S68)+0.399*'Baseline Given'!$B$22))/0.1450377),(0.6*'Baseline Given'!$B$22))</f>
        <v>165.21283804834837</v>
      </c>
      <c r="V68" s="224"/>
      <c r="W68" s="8"/>
      <c r="X68" s="36" t="str">
        <f>'Alternative 1'!F68</f>
        <v>x</v>
      </c>
      <c r="Y68" s="14">
        <f>3300/'Alternative 1'!$B$21</f>
        <v>66</v>
      </c>
      <c r="Z68" s="14" t="e">
        <f>2*'Alternative 1'!$K68/'Alternative 1'!$B$17</f>
        <v>#VALUE!</v>
      </c>
      <c r="AA68" s="14">
        <f>13000/'Alternative 1'!$B$21</f>
        <v>260</v>
      </c>
      <c r="AB68" s="14" t="e">
        <f>IF(AND(Y68&lt;Z68,Z68&lt;=AA68),((((662/Z68)+0.399*'Baseline Given'!$B$22))/0.1450377),(0.6*'Baseline Given'!$B$22))</f>
        <v>#VALUE!</v>
      </c>
      <c r="AC68" s="217"/>
      <c r="AD68" s="36" t="str">
        <f>'Alternative 2'!F68</f>
        <v>x</v>
      </c>
      <c r="AE68" s="14">
        <f>3300/'Alternative 2'!$B$21</f>
        <v>66</v>
      </c>
      <c r="AF68" s="14" t="e">
        <f>2*'Alternative 2'!$K68/'Alternative 2'!$B$17</f>
        <v>#VALUE!</v>
      </c>
      <c r="AG68" s="14">
        <f>13000/'Alternative 2'!$B$21</f>
        <v>260</v>
      </c>
      <c r="AH68" s="14" t="e">
        <f>IF(AND(AE68&lt;AF68,AF68&lt;=AG68),((((662/AF68)+0.399*'Alternative 2'!$B$21))/0.1450377),(0.6*'Alternative 2'!$B$21))</f>
        <v>#VALUE!</v>
      </c>
      <c r="AI68" s="217"/>
      <c r="AJ68" s="36" t="str">
        <f>'Alternative 3'!F68</f>
        <v>x</v>
      </c>
      <c r="AK68" s="14">
        <f>3300/'Alternative 3'!$B$21</f>
        <v>66</v>
      </c>
      <c r="AL68" s="14" t="e">
        <f>2*'Alternative 3'!$K68/'Alternative 3'!$B$17</f>
        <v>#VALUE!</v>
      </c>
      <c r="AM68" s="14">
        <f>13000/'Alternative 3'!$B$21</f>
        <v>260</v>
      </c>
      <c r="AN68" s="14" t="e">
        <f>IF(AND(AK68&lt;AL68,AL68&lt;=AM68),((((662/AL68)+0.399*'Alternative 3'!$B$21))/0.1450377),(0.6*'Alternative 3'!$B$21))</f>
        <v>#VALUE!</v>
      </c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</row>
    <row r="69" spans="1:260" s="3" customFormat="1" ht="15" customHeight="1" x14ac:dyDescent="0.25">
      <c r="A69" s="10">
        <v>66</v>
      </c>
      <c r="B69" s="10">
        <v>1.5699999999999825E-2</v>
      </c>
      <c r="C69" s="10">
        <v>1.34615</v>
      </c>
      <c r="D69" s="10">
        <v>1.3383</v>
      </c>
      <c r="E69" s="10">
        <f>AVERAGE(C69:D69)</f>
        <v>1.342225</v>
      </c>
      <c r="F69" s="10">
        <f>3.14159*(E69^3)*(B69)</f>
        <v>0.1192683274960364</v>
      </c>
      <c r="G69" s="10">
        <f t="shared" si="6"/>
        <v>5.6597932627078453</v>
      </c>
      <c r="H69" s="10">
        <f>SQRT(F69/G69)</f>
        <v>0.14516512107539381</v>
      </c>
      <c r="I69" s="11">
        <f>('Baseline Given'!$B$20*A69)/H69</f>
        <v>1035.1366577466331</v>
      </c>
      <c r="J69" s="12">
        <f>('Baseline Given'!$B$20*A69)/E69</f>
        <v>111.95271899373688</v>
      </c>
      <c r="K69" s="53">
        <v>66</v>
      </c>
      <c r="L69" s="95">
        <v>1415.3364748831073</v>
      </c>
      <c r="M69" s="95">
        <v>0.60941824997665717</v>
      </c>
      <c r="N69" s="95">
        <v>0.68312102620606197</v>
      </c>
      <c r="O69" s="95">
        <v>204.21713805954172</v>
      </c>
      <c r="P69" s="95">
        <v>122.28571141289925</v>
      </c>
      <c r="Q69" s="215"/>
      <c r="R69" s="14">
        <f>3300/'Baseline Given'!$B$22</f>
        <v>66</v>
      </c>
      <c r="S69" s="14">
        <f>('Baseline Given'!$K69*2)/'Baseline Given'!$H69</f>
        <v>165.61975482389491</v>
      </c>
      <c r="T69" s="14">
        <f>13000/'Baseline Given'!$B$22</f>
        <v>260</v>
      </c>
      <c r="U69" s="14">
        <f>IF(AND(R69&lt;S69,S69&lt;=T69),((((662/S69)+0.399*'Baseline Given'!$B$22))/0.1450377),(0.6*'Baseline Given'!$B$22))</f>
        <v>165.10953852985119</v>
      </c>
      <c r="V69" s="224"/>
      <c r="W69" s="8"/>
      <c r="X69" s="36" t="str">
        <f>'Alternative 1'!F69</f>
        <v>x</v>
      </c>
      <c r="Y69" s="14">
        <f>3300/'Alternative 1'!$B$21</f>
        <v>66</v>
      </c>
      <c r="Z69" s="14" t="e">
        <f>2*'Alternative 1'!$K69/'Alternative 1'!$B$17</f>
        <v>#VALUE!</v>
      </c>
      <c r="AA69" s="14">
        <f>13000/'Alternative 1'!$B$21</f>
        <v>260</v>
      </c>
      <c r="AB69" s="14" t="e">
        <f>IF(AND(Y69&lt;Z69,Z69&lt;=AA69),((((662/Z69)+0.399*'Baseline Given'!$B$22))/0.1450377),(0.6*'Baseline Given'!$B$22))</f>
        <v>#VALUE!</v>
      </c>
      <c r="AC69" s="217"/>
      <c r="AD69" s="36" t="str">
        <f>'Alternative 2'!F69</f>
        <v>x</v>
      </c>
      <c r="AE69" s="14">
        <f>3300/'Alternative 2'!$B$21</f>
        <v>66</v>
      </c>
      <c r="AF69" s="14" t="e">
        <f>2*'Alternative 2'!$K69/'Alternative 2'!$B$17</f>
        <v>#VALUE!</v>
      </c>
      <c r="AG69" s="14">
        <f>13000/'Alternative 2'!$B$21</f>
        <v>260</v>
      </c>
      <c r="AH69" s="14" t="e">
        <f>IF(AND(AE69&lt;AF69,AF69&lt;=AG69),((((662/AF69)+0.399*'Alternative 2'!$B$21))/0.1450377),(0.6*'Alternative 2'!$B$21))</f>
        <v>#VALUE!</v>
      </c>
      <c r="AI69" s="217"/>
      <c r="AJ69" s="36" t="str">
        <f>'Alternative 3'!F69</f>
        <v>x</v>
      </c>
      <c r="AK69" s="14">
        <f>3300/'Alternative 3'!$B$21</f>
        <v>66</v>
      </c>
      <c r="AL69" s="14" t="e">
        <f>2*'Alternative 3'!$K69/'Alternative 3'!$B$17</f>
        <v>#VALUE!</v>
      </c>
      <c r="AM69" s="14">
        <f>13000/'Alternative 3'!$B$21</f>
        <v>260</v>
      </c>
      <c r="AN69" s="14" t="e">
        <f>IF(AND(AK69&lt;AL69,AL69&lt;=AM69),((((662/AL69)+0.399*'Alternative 3'!$B$21))/0.1450377),(0.6*'Alternative 3'!$B$21))</f>
        <v>#VALUE!</v>
      </c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</row>
    <row r="70" spans="1:260" s="3" customFormat="1" ht="15" customHeight="1" x14ac:dyDescent="0.25">
      <c r="A70" s="10">
        <v>67</v>
      </c>
      <c r="B70" s="10">
        <v>1.5599999999999614E-2</v>
      </c>
      <c r="C70" s="10">
        <v>1.3361999999999998</v>
      </c>
      <c r="D70" s="10">
        <v>1.3284</v>
      </c>
      <c r="E70" s="10">
        <f>AVERAGE(C70:D70)</f>
        <v>1.3323</v>
      </c>
      <c r="F70" s="10">
        <f>3.14159*(E70^3)*(B70)</f>
        <v>0.11589913319259181</v>
      </c>
      <c r="G70" s="10">
        <f t="shared" si="6"/>
        <v>5.5764007427009696</v>
      </c>
      <c r="H70" s="10">
        <f>SQRT(F70/G70)</f>
        <v>0.14416608530739206</v>
      </c>
      <c r="I70" s="11">
        <f>('Baseline Given'!$B$20*A70)/H70</f>
        <v>1058.1024762931268</v>
      </c>
      <c r="J70" s="12">
        <f>('Baseline Given'!$B$20*A70)/E70</f>
        <v>114.49560298824416</v>
      </c>
      <c r="K70" s="53">
        <v>67</v>
      </c>
      <c r="L70" s="95">
        <v>1416.7980184642747</v>
      </c>
      <c r="M70" s="95">
        <v>0.60956317540231308</v>
      </c>
      <c r="N70" s="95">
        <v>0.68323860420389659</v>
      </c>
      <c r="O70" s="95">
        <v>204.25020565763802</v>
      </c>
      <c r="P70" s="95">
        <v>122.30551236984313</v>
      </c>
      <c r="Q70" s="216"/>
      <c r="R70" s="14">
        <f>3300/'Baseline Given'!$B$22</f>
        <v>66</v>
      </c>
      <c r="S70" s="14">
        <f>('Baseline Given'!$K70*2)/'Baseline Given'!$H70</f>
        <v>166.25219573400193</v>
      </c>
      <c r="T70" s="14">
        <f>13000/'Baseline Given'!$B$22</f>
        <v>260</v>
      </c>
      <c r="U70" s="14">
        <f>IF(AND(R70&lt;S70,S70&lt;=T70),((((662/S70)+0.399*'Baseline Given'!$B$22))/0.1450377),(0.6*'Baseline Given'!$B$22))</f>
        <v>165.00470082297082</v>
      </c>
      <c r="V70" s="224"/>
      <c r="W70" s="8"/>
      <c r="X70" s="36" t="str">
        <f>'Alternative 1'!F70</f>
        <v>x</v>
      </c>
      <c r="Y70" s="14">
        <f>3300/'Alternative 1'!$B$21</f>
        <v>66</v>
      </c>
      <c r="Z70" s="14" t="e">
        <f>2*'Alternative 1'!$K70/'Alternative 1'!$B$17</f>
        <v>#VALUE!</v>
      </c>
      <c r="AA70" s="14">
        <f>13000/'Alternative 1'!$B$21</f>
        <v>260</v>
      </c>
      <c r="AB70" s="14" t="e">
        <f>IF(AND(Y70&lt;Z70,Z70&lt;=AA70),((((662/Z70)+0.399*'Baseline Given'!$B$22))/0.1450377),(0.6*'Baseline Given'!$B$22))</f>
        <v>#VALUE!</v>
      </c>
      <c r="AC70" s="217"/>
      <c r="AD70" s="36" t="str">
        <f>'Alternative 2'!F70</f>
        <v>x</v>
      </c>
      <c r="AE70" s="14">
        <f>3300/'Alternative 2'!$B$21</f>
        <v>66</v>
      </c>
      <c r="AF70" s="14" t="e">
        <f>2*'Alternative 2'!$K70/'Alternative 2'!$B$17</f>
        <v>#VALUE!</v>
      </c>
      <c r="AG70" s="14">
        <f>13000/'Alternative 2'!$B$21</f>
        <v>260</v>
      </c>
      <c r="AH70" s="14" t="e">
        <f>IF(AND(AE70&lt;AF70,AF70&lt;=AG70),((((662/AF70)+0.399*'Alternative 2'!$B$21))/0.1450377),(0.6*'Alternative 2'!$B$21))</f>
        <v>#VALUE!</v>
      </c>
      <c r="AI70" s="217"/>
      <c r="AJ70" s="36" t="str">
        <f>'Alternative 3'!F70</f>
        <v>x</v>
      </c>
      <c r="AK70" s="14">
        <f>3300/'Alternative 3'!$B$21</f>
        <v>66</v>
      </c>
      <c r="AL70" s="14" t="e">
        <f>2*'Alternative 3'!$K70/'Alternative 3'!$B$17</f>
        <v>#VALUE!</v>
      </c>
      <c r="AM70" s="14">
        <f>13000/'Alternative 3'!$B$21</f>
        <v>260</v>
      </c>
      <c r="AN70" s="14" t="e">
        <f>IF(AND(AK70&lt;AL70,AL70&lt;=AM70),((((662/AL70)+0.399*'Alternative 3'!$B$21))/0.1450377),(0.6*'Alternative 3'!$B$21))</f>
        <v>#VALUE!</v>
      </c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</row>
    <row r="71" spans="1:260" ht="15" customHeight="1" x14ac:dyDescent="0.25">
      <c r="X71" s="36" t="str">
        <f>'Alternative 1'!F71</f>
        <v>x</v>
      </c>
      <c r="Y71" s="14">
        <f>3300/'Alternative 1'!$B$21</f>
        <v>66</v>
      </c>
      <c r="Z71" s="14" t="e">
        <f>2*'Alternative 1'!$K71/'Alternative 1'!$B$17</f>
        <v>#VALUE!</v>
      </c>
      <c r="AA71" s="14">
        <f>13000/'Alternative 1'!$B$21</f>
        <v>260</v>
      </c>
      <c r="AB71" s="14" t="e">
        <f>IF(AND(Y71&lt;Z71,Z71&lt;=AA71),((((662/Z71)+0.399*'Baseline Given'!$B$22))/0.1450377),(0.6*'Baseline Given'!$B$22))</f>
        <v>#VALUE!</v>
      </c>
      <c r="AC71" s="217"/>
      <c r="AD71" s="36" t="str">
        <f>'Alternative 2'!F71</f>
        <v>x</v>
      </c>
      <c r="AE71" s="14">
        <f>3300/'Alternative 2'!$B$21</f>
        <v>66</v>
      </c>
      <c r="AF71" s="14" t="e">
        <f>2*'Alternative 2'!$K71/'Alternative 2'!$B$17</f>
        <v>#VALUE!</v>
      </c>
      <c r="AG71" s="14">
        <f>13000/'Alternative 2'!$B$21</f>
        <v>260</v>
      </c>
      <c r="AH71" s="14" t="e">
        <f>IF(AND(AE71&lt;AF71,AF71&lt;=AG71),((((662/AF71)+0.399*'Alternative 2'!$B$21))/0.1450377),(0.6*'Alternative 2'!$B$21))</f>
        <v>#VALUE!</v>
      </c>
      <c r="AI71" s="217"/>
      <c r="AJ71" s="36" t="str">
        <f>'Alternative 3'!F71</f>
        <v>x</v>
      </c>
      <c r="AK71" s="14">
        <f>3300/'Alternative 3'!$B$21</f>
        <v>66</v>
      </c>
      <c r="AL71" s="14" t="e">
        <f>2*'Alternative 3'!$K71/'Alternative 3'!$B$17</f>
        <v>#VALUE!</v>
      </c>
      <c r="AM71" s="14">
        <f>13000/'Alternative 3'!$B$21</f>
        <v>260</v>
      </c>
      <c r="AN71" s="14" t="e">
        <f>IF(AND(AK71&lt;AL71,AL71&lt;=AM71),((((662/AL71)+0.399*'Alternative 3'!$B$21))/0.1450377),(0.6*'Alternative 3'!$B$21))</f>
        <v>#VALUE!</v>
      </c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</row>
    <row r="72" spans="1:260" ht="15" customHeight="1" x14ac:dyDescent="0.25">
      <c r="X72" s="36" t="str">
        <f>'Alternative 1'!F72</f>
        <v>x</v>
      </c>
      <c r="Y72" s="14">
        <f>3300/'Alternative 1'!$B$21</f>
        <v>66</v>
      </c>
      <c r="Z72" s="14" t="e">
        <f>2*'Alternative 1'!$K72/'Alternative 1'!$B$17</f>
        <v>#VALUE!</v>
      </c>
      <c r="AA72" s="14">
        <f>13000/'Alternative 1'!$B$21</f>
        <v>260</v>
      </c>
      <c r="AB72" s="14" t="e">
        <f>IF(AND(Y72&lt;Z72,Z72&lt;=AA72),((((662/Z72)+0.399*'Baseline Given'!$B$22))/0.1450377),(0.6*'Baseline Given'!$B$22))</f>
        <v>#VALUE!</v>
      </c>
      <c r="AC72" s="217"/>
      <c r="AD72" s="36" t="str">
        <f>'Alternative 2'!F72</f>
        <v>x</v>
      </c>
      <c r="AE72" s="14">
        <f>3300/'Alternative 2'!$B$21</f>
        <v>66</v>
      </c>
      <c r="AF72" s="14" t="e">
        <f>2*'Alternative 2'!$K72/'Alternative 2'!$B$17</f>
        <v>#VALUE!</v>
      </c>
      <c r="AG72" s="14">
        <f>13000/'Alternative 2'!$B$21</f>
        <v>260</v>
      </c>
      <c r="AH72" s="14" t="e">
        <f>IF(AND(AE72&lt;AF72,AF72&lt;=AG72),((((662/AF72)+0.399*'Alternative 2'!$B$21))/0.1450377),(0.6*'Alternative 2'!$B$21))</f>
        <v>#VALUE!</v>
      </c>
      <c r="AI72" s="217"/>
      <c r="AJ72" s="36" t="str">
        <f>'Alternative 3'!F72</f>
        <v>x</v>
      </c>
      <c r="AK72" s="14">
        <f>3300/'Alternative 3'!$B$21</f>
        <v>66</v>
      </c>
      <c r="AL72" s="14" t="e">
        <f>2*'Alternative 3'!$K72/'Alternative 3'!$B$17</f>
        <v>#VALUE!</v>
      </c>
      <c r="AM72" s="14">
        <f>13000/'Alternative 3'!$B$21</f>
        <v>260</v>
      </c>
      <c r="AN72" s="14" t="e">
        <f>IF(AND(AK72&lt;AL72,AL72&lt;=AM72),((((662/AL72)+0.399*'Alternative 3'!$B$21))/0.1450377),(0.6*'Alternative 3'!$B$21))</f>
        <v>#VALUE!</v>
      </c>
    </row>
    <row r="73" spans="1:260" ht="15" customHeight="1" x14ac:dyDescent="0.25">
      <c r="X73" s="36" t="str">
        <f>'Alternative 1'!F73</f>
        <v>x</v>
      </c>
      <c r="Y73" s="14">
        <f>3300/'Alternative 1'!$B$21</f>
        <v>66</v>
      </c>
      <c r="Z73" s="14" t="e">
        <f>2*'Alternative 1'!$K73/'Alternative 1'!$B$17</f>
        <v>#VALUE!</v>
      </c>
      <c r="AA73" s="14">
        <f>13000/'Alternative 1'!$B$21</f>
        <v>260</v>
      </c>
      <c r="AB73" s="14" t="e">
        <f>IF(AND(Y73&lt;Z73,Z73&lt;=AA73),((((662/Z73)+0.399*'Baseline Given'!$B$22))/0.1450377),(0.6*'Baseline Given'!$B$22))</f>
        <v>#VALUE!</v>
      </c>
      <c r="AC73" s="217"/>
      <c r="AD73" s="36" t="str">
        <f>'Alternative 2'!F73</f>
        <v>x</v>
      </c>
      <c r="AE73" s="14">
        <f>3300/'Alternative 2'!$B$21</f>
        <v>66</v>
      </c>
      <c r="AF73" s="14" t="e">
        <f>2*'Alternative 2'!$K73/'Alternative 2'!$B$17</f>
        <v>#VALUE!</v>
      </c>
      <c r="AG73" s="14">
        <f>13000/'Alternative 2'!$B$21</f>
        <v>260</v>
      </c>
      <c r="AH73" s="14" t="e">
        <f>IF(AND(AE73&lt;AF73,AF73&lt;=AG73),((((662/AF73)+0.399*'Alternative 2'!$B$21))/0.1450377),(0.6*'Alternative 2'!$B$21))</f>
        <v>#VALUE!</v>
      </c>
      <c r="AI73" s="217"/>
      <c r="AJ73" s="36" t="str">
        <f>'Alternative 3'!F73</f>
        <v>x</v>
      </c>
      <c r="AK73" s="14">
        <f>3300/'Alternative 3'!$B$21</f>
        <v>66</v>
      </c>
      <c r="AL73" s="14" t="e">
        <f>2*'Alternative 3'!$K73/'Alternative 3'!$B$17</f>
        <v>#VALUE!</v>
      </c>
      <c r="AM73" s="14">
        <f>13000/'Alternative 3'!$B$21</f>
        <v>260</v>
      </c>
      <c r="AN73" s="14" t="e">
        <f>IF(AND(AK73&lt;AL73,AL73&lt;=AM73),((((662/AL73)+0.399*'Alternative 3'!$B$21))/0.1450377),(0.6*'Alternative 3'!$B$21))</f>
        <v>#VALUE!</v>
      </c>
    </row>
    <row r="74" spans="1:260" ht="15" customHeight="1" x14ac:dyDescent="0.25">
      <c r="X74" s="36" t="str">
        <f>'Alternative 1'!F74</f>
        <v>x</v>
      </c>
      <c r="Y74" s="14">
        <f>3300/'Alternative 1'!$B$21</f>
        <v>66</v>
      </c>
      <c r="Z74" s="14" t="e">
        <f>2*'Alternative 1'!$K74/'Alternative 1'!$B$17</f>
        <v>#VALUE!</v>
      </c>
      <c r="AA74" s="14">
        <f>13000/'Alternative 1'!$B$21</f>
        <v>260</v>
      </c>
      <c r="AB74" s="14" t="e">
        <f>IF(AND(Y74&lt;Z74,Z74&lt;=AA74),((((662/Z74)+0.399*'Baseline Given'!$B$22))/0.1450377),(0.6*'Baseline Given'!$B$22))</f>
        <v>#VALUE!</v>
      </c>
      <c r="AC74" s="217"/>
      <c r="AD74" s="36" t="str">
        <f>'Alternative 2'!F74</f>
        <v>x</v>
      </c>
      <c r="AE74" s="14">
        <f>3300/'Alternative 2'!$B$21</f>
        <v>66</v>
      </c>
      <c r="AF74" s="14" t="e">
        <f>2*'Alternative 2'!$K74/'Alternative 2'!$B$17</f>
        <v>#VALUE!</v>
      </c>
      <c r="AG74" s="14">
        <f>13000/'Alternative 2'!$B$21</f>
        <v>260</v>
      </c>
      <c r="AH74" s="14" t="e">
        <f>IF(AND(AE74&lt;AF74,AF74&lt;=AG74),((((662/AF74)+0.399*'Alternative 2'!$B$21))/0.1450377),(0.6*'Alternative 2'!$B$21))</f>
        <v>#VALUE!</v>
      </c>
      <c r="AI74" s="217"/>
      <c r="AJ74" s="36" t="str">
        <f>'Alternative 3'!F74</f>
        <v>x</v>
      </c>
      <c r="AK74" s="14">
        <f>3300/'Alternative 3'!$B$21</f>
        <v>66</v>
      </c>
      <c r="AL74" s="14" t="e">
        <f>2*'Alternative 3'!$K74/'Alternative 3'!$B$17</f>
        <v>#VALUE!</v>
      </c>
      <c r="AM74" s="14">
        <f>13000/'Alternative 3'!$B$21</f>
        <v>260</v>
      </c>
      <c r="AN74" s="14" t="e">
        <f>IF(AND(AK74&lt;AL74,AL74&lt;=AM74),((((662/AL74)+0.399*'Alternative 3'!$B$21))/0.1450377),(0.6*'Alternative 3'!$B$21))</f>
        <v>#VALUE!</v>
      </c>
    </row>
    <row r="75" spans="1:260" ht="15" customHeight="1" x14ac:dyDescent="0.25">
      <c r="X75" s="36" t="str">
        <f>'Alternative 1'!F75</f>
        <v>x</v>
      </c>
      <c r="Y75" s="14">
        <f>3300/'Alternative 1'!$B$21</f>
        <v>66</v>
      </c>
      <c r="Z75" s="14" t="e">
        <f>2*'Alternative 1'!$K75/'Alternative 1'!$B$17</f>
        <v>#VALUE!</v>
      </c>
      <c r="AA75" s="14">
        <f>13000/'Alternative 1'!$B$21</f>
        <v>260</v>
      </c>
      <c r="AB75" s="14" t="e">
        <f>IF(AND(Y75&lt;Z75,Z75&lt;=AA75),((((662/Z75)+0.399*'Baseline Given'!$B$22))/0.1450377),(0.6*'Baseline Given'!$B$22))</f>
        <v>#VALUE!</v>
      </c>
      <c r="AC75" s="217"/>
      <c r="AD75" s="36" t="str">
        <f>'Alternative 2'!F75</f>
        <v>x</v>
      </c>
      <c r="AE75" s="14">
        <f>3300/'Alternative 2'!$B$21</f>
        <v>66</v>
      </c>
      <c r="AF75" s="14" t="e">
        <f>2*'Alternative 2'!$K75/'Alternative 2'!$B$17</f>
        <v>#VALUE!</v>
      </c>
      <c r="AG75" s="14">
        <f>13000/'Alternative 2'!$B$21</f>
        <v>260</v>
      </c>
      <c r="AH75" s="14" t="e">
        <f>IF(AND(AE75&lt;AF75,AF75&lt;=AG75),((((662/AF75)+0.399*'Alternative 2'!$B$21))/0.1450377),(0.6*'Alternative 2'!$B$21))</f>
        <v>#VALUE!</v>
      </c>
      <c r="AI75" s="217"/>
      <c r="AJ75" s="36" t="str">
        <f>'Alternative 3'!F75</f>
        <v>x</v>
      </c>
      <c r="AK75" s="14">
        <f>3300/'Alternative 3'!$B$21</f>
        <v>66</v>
      </c>
      <c r="AL75" s="14" t="e">
        <f>2*'Alternative 3'!$K75/'Alternative 3'!$B$17</f>
        <v>#VALUE!</v>
      </c>
      <c r="AM75" s="14">
        <f>13000/'Alternative 3'!$B$21</f>
        <v>260</v>
      </c>
      <c r="AN75" s="14" t="e">
        <f>IF(AND(AK75&lt;AL75,AL75&lt;=AM75),((((662/AL75)+0.399*'Alternative 3'!$B$21))/0.1450377),(0.6*'Alternative 3'!$B$21))</f>
        <v>#VALUE!</v>
      </c>
    </row>
    <row r="76" spans="1:260" ht="15" customHeight="1" x14ac:dyDescent="0.25">
      <c r="X76" s="36" t="str">
        <f>'Alternative 1'!F76</f>
        <v>x</v>
      </c>
      <c r="Y76" s="14">
        <f>3300/'Alternative 1'!$B$21</f>
        <v>66</v>
      </c>
      <c r="Z76" s="14" t="e">
        <f>2*'Alternative 1'!$K76/'Alternative 1'!$B$17</f>
        <v>#VALUE!</v>
      </c>
      <c r="AA76" s="14">
        <f>13000/'Alternative 1'!$B$21</f>
        <v>260</v>
      </c>
      <c r="AB76" s="14" t="e">
        <f>IF(AND(Y76&lt;Z76,Z76&lt;=AA76),((((662/Z76)+0.399*'Baseline Given'!$B$22))/0.1450377),(0.6*'Baseline Given'!$B$22))</f>
        <v>#VALUE!</v>
      </c>
      <c r="AC76" s="217"/>
      <c r="AD76" s="36" t="str">
        <f>'Alternative 2'!F76</f>
        <v>x</v>
      </c>
      <c r="AE76" s="14">
        <f>3300/'Alternative 2'!$B$21</f>
        <v>66</v>
      </c>
      <c r="AF76" s="14" t="e">
        <f>2*'Alternative 2'!$K76/'Alternative 2'!$B$17</f>
        <v>#VALUE!</v>
      </c>
      <c r="AG76" s="14">
        <f>13000/'Alternative 2'!$B$21</f>
        <v>260</v>
      </c>
      <c r="AH76" s="14" t="e">
        <f>IF(AND(AE76&lt;AF76,AF76&lt;=AG76),((((662/AF76)+0.399*'Alternative 2'!$B$21))/0.1450377),(0.6*'Alternative 2'!$B$21))</f>
        <v>#VALUE!</v>
      </c>
      <c r="AI76" s="217"/>
      <c r="AJ76" s="36" t="str">
        <f>'Alternative 3'!F76</f>
        <v>x</v>
      </c>
      <c r="AK76" s="14">
        <f>3300/'Alternative 3'!$B$21</f>
        <v>66</v>
      </c>
      <c r="AL76" s="14" t="e">
        <f>2*'Alternative 3'!$K76/'Alternative 3'!$B$17</f>
        <v>#VALUE!</v>
      </c>
      <c r="AM76" s="14">
        <f>13000/'Alternative 3'!$B$21</f>
        <v>260</v>
      </c>
      <c r="AN76" s="14" t="e">
        <f>IF(AND(AK76&lt;AL76,AL76&lt;=AM76),((((662/AL76)+0.399*'Alternative 3'!$B$21))/0.1450377),(0.6*'Alternative 3'!$B$21))</f>
        <v>#VALUE!</v>
      </c>
    </row>
    <row r="77" spans="1:260" ht="15" customHeight="1" x14ac:dyDescent="0.25">
      <c r="X77" s="36" t="str">
        <f>'Alternative 1'!F77</f>
        <v>x</v>
      </c>
      <c r="Y77" s="14">
        <f>3300/'Alternative 1'!$B$21</f>
        <v>66</v>
      </c>
      <c r="Z77" s="14" t="e">
        <f>2*'Alternative 1'!$K77/'Alternative 1'!$B$17</f>
        <v>#VALUE!</v>
      </c>
      <c r="AA77" s="14">
        <f>13000/'Alternative 1'!$B$21</f>
        <v>260</v>
      </c>
      <c r="AB77" s="14" t="e">
        <f>IF(AND(Y77&lt;Z77,Z77&lt;=AA77),((((662/Z77)+0.399*'Baseline Given'!$B$22))/0.1450377),(0.6*'Baseline Given'!$B$22))</f>
        <v>#VALUE!</v>
      </c>
      <c r="AC77" s="217"/>
      <c r="AD77" s="36" t="str">
        <f>'Alternative 2'!F77</f>
        <v>x</v>
      </c>
      <c r="AE77" s="14">
        <f>3300/'Alternative 2'!$B$21</f>
        <v>66</v>
      </c>
      <c r="AF77" s="14" t="e">
        <f>2*'Alternative 2'!$K77/'Alternative 2'!$B$17</f>
        <v>#VALUE!</v>
      </c>
      <c r="AG77" s="14">
        <f>13000/'Alternative 2'!$B$21</f>
        <v>260</v>
      </c>
      <c r="AH77" s="14" t="e">
        <f>IF(AND(AE77&lt;AF77,AF77&lt;=AG77),((((662/AF77)+0.399*'Alternative 2'!$B$21))/0.1450377),(0.6*'Alternative 2'!$B$21))</f>
        <v>#VALUE!</v>
      </c>
      <c r="AI77" s="217"/>
      <c r="AJ77" s="36" t="str">
        <f>'Alternative 3'!F77</f>
        <v>x</v>
      </c>
      <c r="AK77" s="14">
        <f>3300/'Alternative 3'!$B$21</f>
        <v>66</v>
      </c>
      <c r="AL77" s="14" t="e">
        <f>2*'Alternative 3'!$K77/'Alternative 3'!$B$17</f>
        <v>#VALUE!</v>
      </c>
      <c r="AM77" s="14">
        <f>13000/'Alternative 3'!$B$21</f>
        <v>260</v>
      </c>
      <c r="AN77" s="14" t="e">
        <f>IF(AND(AK77&lt;AL77,AL77&lt;=AM77),((((662/AL77)+0.399*'Alternative 3'!$B$21))/0.1450377),(0.6*'Alternative 3'!$B$21))</f>
        <v>#VALUE!</v>
      </c>
    </row>
    <row r="78" spans="1:260" ht="15" customHeight="1" x14ac:dyDescent="0.25">
      <c r="X78" s="36" t="str">
        <f>'Alternative 1'!F78</f>
        <v>x</v>
      </c>
      <c r="Y78" s="14">
        <f>3300/'Alternative 1'!$B$21</f>
        <v>66</v>
      </c>
      <c r="Z78" s="14" t="e">
        <f>2*'Alternative 1'!$K78/'Alternative 1'!$B$17</f>
        <v>#VALUE!</v>
      </c>
      <c r="AA78" s="14">
        <f>13000/'Alternative 1'!$B$21</f>
        <v>260</v>
      </c>
      <c r="AB78" s="14" t="e">
        <f>IF(AND(Y78&lt;Z78,Z78&lt;=AA78),((((662/Z78)+0.399*'Baseline Given'!$B$22))/0.1450377),(0.6*'Baseline Given'!$B$22))</f>
        <v>#VALUE!</v>
      </c>
      <c r="AC78" s="217"/>
      <c r="AD78" s="36" t="str">
        <f>'Alternative 2'!F78</f>
        <v>x</v>
      </c>
      <c r="AE78" s="14">
        <f>3300/'Alternative 2'!$B$21</f>
        <v>66</v>
      </c>
      <c r="AF78" s="14" t="e">
        <f>2*'Alternative 2'!$K78/'Alternative 2'!$B$17</f>
        <v>#VALUE!</v>
      </c>
      <c r="AG78" s="14">
        <f>13000/'Alternative 2'!$B$21</f>
        <v>260</v>
      </c>
      <c r="AH78" s="14" t="e">
        <f>IF(AND(AE78&lt;AF78,AF78&lt;=AG78),((((662/AF78)+0.399*'Alternative 2'!$B$21))/0.1450377),(0.6*'Alternative 2'!$B$21))</f>
        <v>#VALUE!</v>
      </c>
      <c r="AI78" s="217"/>
      <c r="AJ78" s="36" t="str">
        <f>'Alternative 3'!F78</f>
        <v>x</v>
      </c>
      <c r="AK78" s="14">
        <f>3300/'Alternative 3'!$B$21</f>
        <v>66</v>
      </c>
      <c r="AL78" s="14" t="e">
        <f>2*'Alternative 3'!$K78/'Alternative 3'!$B$17</f>
        <v>#VALUE!</v>
      </c>
      <c r="AM78" s="14">
        <f>13000/'Alternative 3'!$B$21</f>
        <v>260</v>
      </c>
      <c r="AN78" s="14" t="e">
        <f>IF(AND(AK78&lt;AL78,AL78&lt;=AM78),((((662/AL78)+0.399*'Alternative 3'!$B$21))/0.1450377),(0.6*'Alternative 3'!$B$21))</f>
        <v>#VALUE!</v>
      </c>
    </row>
    <row r="79" spans="1:260" ht="15" customHeight="1" x14ac:dyDescent="0.25">
      <c r="X79" s="36" t="str">
        <f>'Alternative 1'!F79</f>
        <v>x</v>
      </c>
      <c r="Y79" s="14">
        <f>3300/'Alternative 1'!$B$21</f>
        <v>66</v>
      </c>
      <c r="Z79" s="14" t="e">
        <f>2*'Alternative 1'!$K79/'Alternative 1'!$B$17</f>
        <v>#VALUE!</v>
      </c>
      <c r="AA79" s="14">
        <f>13000/'Alternative 1'!$B$21</f>
        <v>260</v>
      </c>
      <c r="AB79" s="14" t="e">
        <f>IF(AND(Y79&lt;Z79,Z79&lt;=AA79),((((662/Z79)+0.399*'Baseline Given'!$B$22))/0.1450377),(0.6*'Baseline Given'!$B$22))</f>
        <v>#VALUE!</v>
      </c>
      <c r="AC79" s="217"/>
      <c r="AD79" s="36" t="str">
        <f>'Alternative 2'!F79</f>
        <v>x</v>
      </c>
      <c r="AE79" s="14">
        <f>3300/'Alternative 2'!$B$21</f>
        <v>66</v>
      </c>
      <c r="AF79" s="14" t="e">
        <f>2*'Alternative 2'!$K79/'Alternative 2'!$B$17</f>
        <v>#VALUE!</v>
      </c>
      <c r="AG79" s="14">
        <f>13000/'Alternative 2'!$B$21</f>
        <v>260</v>
      </c>
      <c r="AH79" s="14" t="e">
        <f>IF(AND(AE79&lt;AF79,AF79&lt;=AG79),((((662/AF79)+0.399*'Alternative 2'!$B$21))/0.1450377),(0.6*'Alternative 2'!$B$21))</f>
        <v>#VALUE!</v>
      </c>
      <c r="AI79" s="217"/>
      <c r="AJ79" s="36" t="str">
        <f>'Alternative 3'!F79</f>
        <v>x</v>
      </c>
      <c r="AK79" s="14">
        <f>3300/'Alternative 3'!$B$21</f>
        <v>66</v>
      </c>
      <c r="AL79" s="14" t="e">
        <f>2*'Alternative 3'!$K79/'Alternative 3'!$B$17</f>
        <v>#VALUE!</v>
      </c>
      <c r="AM79" s="14">
        <f>13000/'Alternative 3'!$B$21</f>
        <v>260</v>
      </c>
      <c r="AN79" s="14" t="e">
        <f>IF(AND(AK79&lt;AL79,AL79&lt;=AM79),((((662/AL79)+0.399*'Alternative 3'!$B$21))/0.1450377),(0.6*'Alternative 3'!$B$21))</f>
        <v>#VALUE!</v>
      </c>
    </row>
    <row r="80" spans="1:260" ht="15" customHeight="1" x14ac:dyDescent="0.25">
      <c r="X80" s="36" t="str">
        <f>'Alternative 1'!F80</f>
        <v>x</v>
      </c>
      <c r="Y80" s="14">
        <f>3300/'Alternative 1'!$B$21</f>
        <v>66</v>
      </c>
      <c r="Z80" s="14" t="e">
        <f>2*'Alternative 1'!$K80/'Alternative 1'!$B$17</f>
        <v>#VALUE!</v>
      </c>
      <c r="AA80" s="14">
        <f>13000/'Alternative 1'!$B$21</f>
        <v>260</v>
      </c>
      <c r="AB80" s="14" t="e">
        <f>IF(AND(Y80&lt;Z80,Z80&lt;=AA80),((((662/Z80)+0.399*'Baseline Given'!$B$22))/0.1450377),(0.6*'Baseline Given'!$B$22))</f>
        <v>#VALUE!</v>
      </c>
      <c r="AC80" s="217"/>
      <c r="AD80" s="36" t="str">
        <f>'Alternative 2'!F80</f>
        <v>x</v>
      </c>
      <c r="AE80" s="14">
        <f>3300/'Alternative 2'!$B$21</f>
        <v>66</v>
      </c>
      <c r="AF80" s="14" t="e">
        <f>2*'Alternative 2'!$K80/'Alternative 2'!$B$17</f>
        <v>#VALUE!</v>
      </c>
      <c r="AG80" s="14">
        <f>13000/'Alternative 2'!$B$21</f>
        <v>260</v>
      </c>
      <c r="AH80" s="14" t="e">
        <f>IF(AND(AE80&lt;AF80,AF80&lt;=AG80),((((662/AF80)+0.399*'Alternative 2'!$B$21))/0.1450377),(0.6*'Alternative 2'!$B$21))</f>
        <v>#VALUE!</v>
      </c>
      <c r="AI80" s="217"/>
      <c r="AJ80" s="36" t="str">
        <f>'Alternative 3'!F80</f>
        <v>x</v>
      </c>
      <c r="AK80" s="14">
        <f>3300/'Alternative 3'!$B$21</f>
        <v>66</v>
      </c>
      <c r="AL80" s="14" t="e">
        <f>2*'Alternative 3'!$K80/'Alternative 3'!$B$17</f>
        <v>#VALUE!</v>
      </c>
      <c r="AM80" s="14">
        <f>13000/'Alternative 3'!$B$21</f>
        <v>260</v>
      </c>
      <c r="AN80" s="14" t="e">
        <f>IF(AND(AK80&lt;AL80,AL80&lt;=AM80),((((662/AL80)+0.399*'Alternative 3'!$B$21))/0.1450377),(0.6*'Alternative 3'!$B$21))</f>
        <v>#VALUE!</v>
      </c>
    </row>
    <row r="81" spans="24:40" ht="15" customHeight="1" x14ac:dyDescent="0.25">
      <c r="X81" s="36" t="str">
        <f>'Alternative 1'!F81</f>
        <v>x</v>
      </c>
      <c r="Y81" s="14">
        <f>3300/'Alternative 1'!$B$21</f>
        <v>66</v>
      </c>
      <c r="Z81" s="14" t="e">
        <f>2*'Alternative 1'!$K81/'Alternative 1'!$B$17</f>
        <v>#VALUE!</v>
      </c>
      <c r="AA81" s="14">
        <f>13000/'Alternative 1'!$B$21</f>
        <v>260</v>
      </c>
      <c r="AB81" s="14" t="e">
        <f>IF(AND(Y81&lt;Z81,Z81&lt;=AA81),((((662/Z81)+0.399*'Baseline Given'!$B$22))/0.1450377),(0.6*'Baseline Given'!$B$22))</f>
        <v>#VALUE!</v>
      </c>
      <c r="AC81" s="217"/>
      <c r="AD81" s="36" t="str">
        <f>'Alternative 2'!F81</f>
        <v>x</v>
      </c>
      <c r="AE81" s="14">
        <f>3300/'Alternative 2'!$B$21</f>
        <v>66</v>
      </c>
      <c r="AF81" s="14" t="e">
        <f>2*'Alternative 2'!$K81/'Alternative 2'!$B$17</f>
        <v>#VALUE!</v>
      </c>
      <c r="AG81" s="14">
        <f>13000/'Alternative 2'!$B$21</f>
        <v>260</v>
      </c>
      <c r="AH81" s="14" t="e">
        <f>IF(AND(AE81&lt;AF81,AF81&lt;=AG81),((((662/AF81)+0.399*'Alternative 2'!$B$21))/0.1450377),(0.6*'Alternative 2'!$B$21))</f>
        <v>#VALUE!</v>
      </c>
      <c r="AI81" s="217"/>
      <c r="AJ81" s="36" t="str">
        <f>'Alternative 3'!F81</f>
        <v>x</v>
      </c>
      <c r="AK81" s="14">
        <f>3300/'Alternative 3'!$B$21</f>
        <v>66</v>
      </c>
      <c r="AL81" s="14" t="e">
        <f>2*'Alternative 3'!$K81/'Alternative 3'!$B$17</f>
        <v>#VALUE!</v>
      </c>
      <c r="AM81" s="14">
        <f>13000/'Alternative 3'!$B$21</f>
        <v>260</v>
      </c>
      <c r="AN81" s="14" t="e">
        <f>IF(AND(AK81&lt;AL81,AL81&lt;=AM81),((((662/AL81)+0.399*'Alternative 3'!$B$21))/0.1450377),(0.6*'Alternative 3'!$B$21))</f>
        <v>#VALUE!</v>
      </c>
    </row>
    <row r="82" spans="24:40" ht="15" customHeight="1" x14ac:dyDescent="0.25">
      <c r="X82" s="36" t="str">
        <f>'Alternative 1'!F82</f>
        <v>x</v>
      </c>
      <c r="Y82" s="14">
        <f>3300/'Alternative 1'!$B$21</f>
        <v>66</v>
      </c>
      <c r="Z82" s="14" t="e">
        <f>2*'Alternative 1'!$K82/'Alternative 1'!$B$17</f>
        <v>#VALUE!</v>
      </c>
      <c r="AA82" s="14">
        <f>13000/'Alternative 1'!$B$21</f>
        <v>260</v>
      </c>
      <c r="AB82" s="14" t="e">
        <f>IF(AND(Y82&lt;Z82,Z82&lt;=AA82),((((662/Z82)+0.399*'Baseline Given'!$B$22))/0.1450377),(0.6*'Baseline Given'!$B$22))</f>
        <v>#VALUE!</v>
      </c>
      <c r="AC82" s="217"/>
      <c r="AD82" s="36" t="str">
        <f>'Alternative 2'!F82</f>
        <v>x</v>
      </c>
      <c r="AE82" s="14">
        <f>3300/'Alternative 2'!$B$21</f>
        <v>66</v>
      </c>
      <c r="AF82" s="14" t="e">
        <f>2*'Alternative 2'!$K82/'Alternative 2'!$B$17</f>
        <v>#VALUE!</v>
      </c>
      <c r="AG82" s="14">
        <f>13000/'Alternative 2'!$B$21</f>
        <v>260</v>
      </c>
      <c r="AH82" s="14" t="e">
        <f>IF(AND(AE82&lt;AF82,AF82&lt;=AG82),((((662/AF82)+0.399*'Alternative 2'!$B$21))/0.1450377),(0.6*'Alternative 2'!$B$21))</f>
        <v>#VALUE!</v>
      </c>
      <c r="AI82" s="217"/>
      <c r="AJ82" s="36" t="str">
        <f>'Alternative 3'!F82</f>
        <v>x</v>
      </c>
      <c r="AK82" s="14">
        <f>3300/'Alternative 3'!$B$21</f>
        <v>66</v>
      </c>
      <c r="AL82" s="14" t="e">
        <f>2*'Alternative 3'!$K82/'Alternative 3'!$B$17</f>
        <v>#VALUE!</v>
      </c>
      <c r="AM82" s="14">
        <f>13000/'Alternative 3'!$B$21</f>
        <v>260</v>
      </c>
      <c r="AN82" s="14" t="e">
        <f>IF(AND(AK82&lt;AL82,AL82&lt;=AM82),((((662/AL82)+0.399*'Alternative 3'!$B$21))/0.1450377),(0.6*'Alternative 3'!$B$21))</f>
        <v>#VALUE!</v>
      </c>
    </row>
    <row r="83" spans="24:40" ht="15" customHeight="1" x14ac:dyDescent="0.25">
      <c r="X83" s="36" t="str">
        <f>'Alternative 1'!F83</f>
        <v>x</v>
      </c>
      <c r="Y83" s="14">
        <f>3300/'Alternative 1'!$B$21</f>
        <v>66</v>
      </c>
      <c r="Z83" s="14" t="e">
        <f>2*'Alternative 1'!$K83/'Alternative 1'!$B$17</f>
        <v>#VALUE!</v>
      </c>
      <c r="AA83" s="14">
        <f>13000/'Alternative 1'!$B$21</f>
        <v>260</v>
      </c>
      <c r="AB83" s="14" t="e">
        <f>IF(AND(Y83&lt;Z83,Z83&lt;=AA83),((((662/Z83)+0.399*'Baseline Given'!$B$22))/0.1450377),(0.6*'Baseline Given'!$B$22))</f>
        <v>#VALUE!</v>
      </c>
      <c r="AC83" s="217"/>
      <c r="AD83" s="36" t="str">
        <f>'Alternative 2'!F83</f>
        <v>x</v>
      </c>
      <c r="AE83" s="14">
        <f>3300/'Alternative 2'!$B$21</f>
        <v>66</v>
      </c>
      <c r="AF83" s="14" t="e">
        <f>2*'Alternative 2'!$K83/'Alternative 2'!$B$17</f>
        <v>#VALUE!</v>
      </c>
      <c r="AG83" s="14">
        <f>13000/'Alternative 2'!$B$21</f>
        <v>260</v>
      </c>
      <c r="AH83" s="14" t="e">
        <f>IF(AND(AE83&lt;AF83,AF83&lt;=AG83),((((662/AF83)+0.399*'Alternative 2'!$B$21))/0.1450377),(0.6*'Alternative 2'!$B$21))</f>
        <v>#VALUE!</v>
      </c>
      <c r="AI83" s="217"/>
      <c r="AJ83" s="36" t="str">
        <f>'Alternative 3'!F83</f>
        <v>x</v>
      </c>
      <c r="AK83" s="14">
        <f>3300/'Alternative 3'!$B$21</f>
        <v>66</v>
      </c>
      <c r="AL83" s="14" t="e">
        <f>2*'Alternative 3'!$K83/'Alternative 3'!$B$17</f>
        <v>#VALUE!</v>
      </c>
      <c r="AM83" s="14">
        <f>13000/'Alternative 3'!$B$21</f>
        <v>260</v>
      </c>
      <c r="AN83" s="14" t="e">
        <f>IF(AND(AK83&lt;AL83,AL83&lt;=AM83),((((662/AL83)+0.399*'Alternative 3'!$B$21))/0.1450377),(0.6*'Alternative 3'!$B$21))</f>
        <v>#VALUE!</v>
      </c>
    </row>
    <row r="84" spans="24:40" ht="15" customHeight="1" x14ac:dyDescent="0.25">
      <c r="X84" s="36" t="str">
        <f>'Alternative 1'!F84</f>
        <v>x</v>
      </c>
      <c r="Y84" s="14">
        <f>3300/'Alternative 1'!$B$21</f>
        <v>66</v>
      </c>
      <c r="Z84" s="14" t="e">
        <f>2*'Alternative 1'!$K84/'Alternative 1'!$B$17</f>
        <v>#VALUE!</v>
      </c>
      <c r="AA84" s="14">
        <f>13000/'Alternative 1'!$B$21</f>
        <v>260</v>
      </c>
      <c r="AB84" s="14" t="e">
        <f>IF(AND(Y84&lt;Z84,Z84&lt;=AA84),((((662/Z84)+0.399*'Baseline Given'!$B$22))/0.1450377),(0.6*'Baseline Given'!$B$22))</f>
        <v>#VALUE!</v>
      </c>
      <c r="AC84" s="217"/>
      <c r="AD84" s="36" t="str">
        <f>'Alternative 2'!F84</f>
        <v>x</v>
      </c>
      <c r="AE84" s="14">
        <f>3300/'Alternative 2'!$B$21</f>
        <v>66</v>
      </c>
      <c r="AF84" s="14" t="e">
        <f>2*'Alternative 2'!$K84/'Alternative 2'!$B$17</f>
        <v>#VALUE!</v>
      </c>
      <c r="AG84" s="14">
        <f>13000/'Alternative 2'!$B$21</f>
        <v>260</v>
      </c>
      <c r="AH84" s="14" t="e">
        <f>IF(AND(AE84&lt;AF84,AF84&lt;=AG84),((((662/AF84)+0.399*'Alternative 2'!$B$21))/0.1450377),(0.6*'Alternative 2'!$B$21))</f>
        <v>#VALUE!</v>
      </c>
      <c r="AI84" s="217"/>
      <c r="AJ84" s="36" t="str">
        <f>'Alternative 3'!F84</f>
        <v>x</v>
      </c>
      <c r="AK84" s="14">
        <f>3300/'Alternative 3'!$B$21</f>
        <v>66</v>
      </c>
      <c r="AL84" s="14" t="e">
        <f>2*'Alternative 3'!$K84/'Alternative 3'!$B$17</f>
        <v>#VALUE!</v>
      </c>
      <c r="AM84" s="14">
        <f>13000/'Alternative 3'!$B$21</f>
        <v>260</v>
      </c>
      <c r="AN84" s="14" t="e">
        <f>IF(AND(AK84&lt;AL84,AL84&lt;=AM84),((((662/AL84)+0.399*'Alternative 3'!$B$21))/0.1450377),(0.6*'Alternative 3'!$B$21))</f>
        <v>#VALUE!</v>
      </c>
    </row>
    <row r="85" spans="24:40" ht="15" customHeight="1" x14ac:dyDescent="0.25">
      <c r="X85" s="36" t="str">
        <f>'Alternative 1'!F85</f>
        <v>x</v>
      </c>
      <c r="Y85" s="14">
        <f>3300/'Alternative 1'!$B$21</f>
        <v>66</v>
      </c>
      <c r="Z85" s="14" t="e">
        <f>2*'Alternative 1'!$K85/'Alternative 1'!$B$17</f>
        <v>#VALUE!</v>
      </c>
      <c r="AA85" s="14">
        <f>13000/'Alternative 1'!$B$21</f>
        <v>260</v>
      </c>
      <c r="AB85" s="14" t="e">
        <f>IF(AND(Y85&lt;Z85,Z85&lt;=AA85),((((662/Z85)+0.399*'Baseline Given'!$B$22))/0.1450377),(0.6*'Baseline Given'!$B$22))</f>
        <v>#VALUE!</v>
      </c>
      <c r="AC85" s="217"/>
      <c r="AD85" s="36" t="str">
        <f>'Alternative 2'!F85</f>
        <v>x</v>
      </c>
      <c r="AE85" s="14">
        <f>3300/'Alternative 2'!$B$21</f>
        <v>66</v>
      </c>
      <c r="AF85" s="14" t="e">
        <f>2*'Alternative 2'!$K85/'Alternative 2'!$B$17</f>
        <v>#VALUE!</v>
      </c>
      <c r="AG85" s="14">
        <f>13000/'Alternative 2'!$B$21</f>
        <v>260</v>
      </c>
      <c r="AH85" s="14" t="e">
        <f>IF(AND(AE85&lt;AF85,AF85&lt;=AG85),((((662/AF85)+0.399*'Alternative 2'!$B$21))/0.1450377),(0.6*'Alternative 2'!$B$21))</f>
        <v>#VALUE!</v>
      </c>
      <c r="AI85" s="217"/>
      <c r="AJ85" s="36" t="str">
        <f>'Alternative 3'!F85</f>
        <v>x</v>
      </c>
      <c r="AK85" s="14">
        <f>3300/'Alternative 3'!$B$21</f>
        <v>66</v>
      </c>
      <c r="AL85" s="14" t="e">
        <f>2*'Alternative 3'!$K85/'Alternative 3'!$B$17</f>
        <v>#VALUE!</v>
      </c>
      <c r="AM85" s="14">
        <f>13000/'Alternative 3'!$B$21</f>
        <v>260</v>
      </c>
      <c r="AN85" s="14" t="e">
        <f>IF(AND(AK85&lt;AL85,AL85&lt;=AM85),((((662/AL85)+0.399*'Alternative 3'!$B$21))/0.1450377),(0.6*'Alternative 3'!$B$21))</f>
        <v>#VALUE!</v>
      </c>
    </row>
    <row r="86" spans="24:40" ht="15" customHeight="1" x14ac:dyDescent="0.25">
      <c r="X86" s="36" t="str">
        <f>'Alternative 1'!F86</f>
        <v>x</v>
      </c>
      <c r="Y86" s="14">
        <f>3300/'Alternative 1'!$B$21</f>
        <v>66</v>
      </c>
      <c r="Z86" s="14" t="e">
        <f>2*'Alternative 1'!$K86/'Alternative 1'!$B$17</f>
        <v>#VALUE!</v>
      </c>
      <c r="AA86" s="14">
        <f>13000/'Alternative 1'!$B$21</f>
        <v>260</v>
      </c>
      <c r="AB86" s="14" t="e">
        <f>IF(AND(Y86&lt;Z86,Z86&lt;=AA86),((((662/Z86)+0.399*'Baseline Given'!$B$22))/0.1450377),(0.6*'Baseline Given'!$B$22))</f>
        <v>#VALUE!</v>
      </c>
      <c r="AC86" s="217"/>
      <c r="AD86" s="36" t="str">
        <f>'Alternative 2'!F86</f>
        <v>x</v>
      </c>
      <c r="AE86" s="14">
        <f>3300/'Alternative 2'!$B$21</f>
        <v>66</v>
      </c>
      <c r="AF86" s="14" t="e">
        <f>2*'Alternative 2'!$K86/'Alternative 2'!$B$17</f>
        <v>#VALUE!</v>
      </c>
      <c r="AG86" s="14">
        <f>13000/'Alternative 2'!$B$21</f>
        <v>260</v>
      </c>
      <c r="AH86" s="14" t="e">
        <f>IF(AND(AE86&lt;AF86,AF86&lt;=AG86),((((662/AF86)+0.399*'Alternative 2'!$B$21))/0.1450377),(0.6*'Alternative 2'!$B$21))</f>
        <v>#VALUE!</v>
      </c>
      <c r="AI86" s="217"/>
      <c r="AJ86" s="36" t="str">
        <f>'Alternative 3'!F86</f>
        <v>x</v>
      </c>
      <c r="AK86" s="14">
        <f>3300/'Alternative 3'!$B$21</f>
        <v>66</v>
      </c>
      <c r="AL86" s="14" t="e">
        <f>2*'Alternative 3'!$K86/'Alternative 3'!$B$17</f>
        <v>#VALUE!</v>
      </c>
      <c r="AM86" s="14">
        <f>13000/'Alternative 3'!$B$21</f>
        <v>260</v>
      </c>
      <c r="AN86" s="14" t="e">
        <f>IF(AND(AK86&lt;AL86,AL86&lt;=AM86),((((662/AL86)+0.399*'Alternative 3'!$B$21))/0.1450377),(0.6*'Alternative 3'!$B$21))</f>
        <v>#VALUE!</v>
      </c>
    </row>
    <row r="87" spans="24:40" ht="15" customHeight="1" x14ac:dyDescent="0.25">
      <c r="X87" s="36" t="str">
        <f>'Alternative 1'!F87</f>
        <v>x</v>
      </c>
      <c r="Y87" s="14">
        <f>3300/'Alternative 1'!$B$21</f>
        <v>66</v>
      </c>
      <c r="Z87" s="14" t="e">
        <f>2*'Alternative 1'!$K87/'Alternative 1'!$B$17</f>
        <v>#VALUE!</v>
      </c>
      <c r="AA87" s="14">
        <f>13000/'Alternative 1'!$B$21</f>
        <v>260</v>
      </c>
      <c r="AB87" s="14" t="e">
        <f>IF(AND(Y87&lt;Z87,Z87&lt;=AA87),((((662/Z87)+0.399*'Baseline Given'!$B$22))/0.1450377),(0.6*'Baseline Given'!$B$22))</f>
        <v>#VALUE!</v>
      </c>
      <c r="AC87" s="217"/>
      <c r="AD87" s="36" t="str">
        <f>'Alternative 2'!F87</f>
        <v>x</v>
      </c>
      <c r="AE87" s="14">
        <f>3300/'Alternative 2'!$B$21</f>
        <v>66</v>
      </c>
      <c r="AF87" s="14" t="e">
        <f>2*'Alternative 2'!$K87/'Alternative 2'!$B$17</f>
        <v>#VALUE!</v>
      </c>
      <c r="AG87" s="14">
        <f>13000/'Alternative 2'!$B$21</f>
        <v>260</v>
      </c>
      <c r="AH87" s="14" t="e">
        <f>IF(AND(AE87&lt;AF87,AF87&lt;=AG87),((((662/AF87)+0.399*'Alternative 2'!$B$21))/0.1450377),(0.6*'Alternative 2'!$B$21))</f>
        <v>#VALUE!</v>
      </c>
      <c r="AI87" s="217"/>
      <c r="AJ87" s="36" t="str">
        <f>'Alternative 3'!F87</f>
        <v>x</v>
      </c>
      <c r="AK87" s="14">
        <f>3300/'Alternative 3'!$B$21</f>
        <v>66</v>
      </c>
      <c r="AL87" s="14" t="e">
        <f>2*'Alternative 3'!$K87/'Alternative 3'!$B$17</f>
        <v>#VALUE!</v>
      </c>
      <c r="AM87" s="14">
        <f>13000/'Alternative 3'!$B$21</f>
        <v>260</v>
      </c>
      <c r="AN87" s="14" t="e">
        <f>IF(AND(AK87&lt;AL87,AL87&lt;=AM87),((((662/AL87)+0.399*'Alternative 3'!$B$21))/0.1450377),(0.6*'Alternative 3'!$B$21))</f>
        <v>#VALUE!</v>
      </c>
    </row>
    <row r="88" spans="24:40" ht="15" customHeight="1" x14ac:dyDescent="0.25">
      <c r="X88" s="36" t="str">
        <f>'Alternative 1'!F88</f>
        <v>x</v>
      </c>
      <c r="Y88" s="14">
        <f>3300/'Alternative 1'!$B$21</f>
        <v>66</v>
      </c>
      <c r="Z88" s="14" t="e">
        <f>2*'Alternative 1'!$K88/'Alternative 1'!$B$17</f>
        <v>#VALUE!</v>
      </c>
      <c r="AA88" s="14">
        <f>13000/'Alternative 1'!$B$21</f>
        <v>260</v>
      </c>
      <c r="AB88" s="14" t="e">
        <f>IF(AND(Y88&lt;Z88,Z88&lt;=AA88),((((662/Z88)+0.399*'Baseline Given'!$B$22))/0.1450377),(0.6*'Baseline Given'!$B$22))</f>
        <v>#VALUE!</v>
      </c>
      <c r="AC88" s="217"/>
      <c r="AD88" s="36" t="str">
        <f>'Alternative 2'!F88</f>
        <v>x</v>
      </c>
      <c r="AE88" s="14">
        <f>3300/'Alternative 2'!$B$21</f>
        <v>66</v>
      </c>
      <c r="AF88" s="14" t="e">
        <f>2*'Alternative 2'!$K88/'Alternative 2'!$B$17</f>
        <v>#VALUE!</v>
      </c>
      <c r="AG88" s="14">
        <f>13000/'Alternative 2'!$B$21</f>
        <v>260</v>
      </c>
      <c r="AH88" s="14" t="e">
        <f>IF(AND(AE88&lt;AF88,AF88&lt;=AG88),((((662/AF88)+0.399*'Alternative 2'!$B$21))/0.1450377),(0.6*'Alternative 2'!$B$21))</f>
        <v>#VALUE!</v>
      </c>
      <c r="AI88" s="217"/>
      <c r="AJ88" s="36" t="str">
        <f>'Alternative 3'!F88</f>
        <v>x</v>
      </c>
      <c r="AK88" s="14">
        <f>3300/'Alternative 3'!$B$21</f>
        <v>66</v>
      </c>
      <c r="AL88" s="14" t="e">
        <f>2*'Alternative 3'!$K88/'Alternative 3'!$B$17</f>
        <v>#VALUE!</v>
      </c>
      <c r="AM88" s="14">
        <f>13000/'Alternative 3'!$B$21</f>
        <v>260</v>
      </c>
      <c r="AN88" s="14" t="e">
        <f>IF(AND(AK88&lt;AL88,AL88&lt;=AM88),((((662/AL88)+0.399*'Alternative 3'!$B$21))/0.1450377),(0.6*'Alternative 3'!$B$21))</f>
        <v>#VALUE!</v>
      </c>
    </row>
    <row r="89" spans="24:40" ht="15" customHeight="1" x14ac:dyDescent="0.25">
      <c r="X89" s="36" t="str">
        <f>'Alternative 1'!F89</f>
        <v>x</v>
      </c>
      <c r="Y89" s="14">
        <f>3300/'Alternative 1'!$B$21</f>
        <v>66</v>
      </c>
      <c r="Z89" s="14" t="e">
        <f>2*'Alternative 1'!$K89/'Alternative 1'!$B$17</f>
        <v>#VALUE!</v>
      </c>
      <c r="AA89" s="14">
        <f>13000/'Alternative 1'!$B$21</f>
        <v>260</v>
      </c>
      <c r="AB89" s="14" t="e">
        <f>IF(AND(Y89&lt;Z89,Z89&lt;=AA89),((((662/Z89)+0.399*'Baseline Given'!$B$22))/0.1450377),(0.6*'Baseline Given'!$B$22))</f>
        <v>#VALUE!</v>
      </c>
      <c r="AC89" s="217"/>
      <c r="AD89" s="36" t="str">
        <f>'Alternative 2'!F89</f>
        <v>x</v>
      </c>
      <c r="AE89" s="14">
        <f>3300/'Alternative 2'!$B$21</f>
        <v>66</v>
      </c>
      <c r="AF89" s="14" t="e">
        <f>2*'Alternative 2'!$K89/'Alternative 2'!$B$17</f>
        <v>#VALUE!</v>
      </c>
      <c r="AG89" s="14">
        <f>13000/'Alternative 2'!$B$21</f>
        <v>260</v>
      </c>
      <c r="AH89" s="14" t="e">
        <f>IF(AND(AE89&lt;AF89,AF89&lt;=AG89),((((662/AF89)+0.399*'Alternative 2'!$B$21))/0.1450377),(0.6*'Alternative 2'!$B$21))</f>
        <v>#VALUE!</v>
      </c>
      <c r="AI89" s="217"/>
      <c r="AJ89" s="36" t="str">
        <f>'Alternative 3'!F89</f>
        <v>x</v>
      </c>
      <c r="AK89" s="14">
        <f>3300/'Alternative 3'!$B$21</f>
        <v>66</v>
      </c>
      <c r="AL89" s="14" t="e">
        <f>2*'Alternative 3'!$K89/'Alternative 3'!$B$17</f>
        <v>#VALUE!</v>
      </c>
      <c r="AM89" s="14">
        <f>13000/'Alternative 3'!$B$21</f>
        <v>260</v>
      </c>
      <c r="AN89" s="14" t="e">
        <f>IF(AND(AK89&lt;AL89,AL89&lt;=AM89),((((662/AL89)+0.399*'Alternative 3'!$B$21))/0.1450377),(0.6*'Alternative 3'!$B$21))</f>
        <v>#VALUE!</v>
      </c>
    </row>
    <row r="90" spans="24:40" ht="15" customHeight="1" x14ac:dyDescent="0.25">
      <c r="X90" s="36" t="str">
        <f>'Alternative 1'!F90</f>
        <v>x</v>
      </c>
      <c r="Y90" s="14">
        <f>3300/'Alternative 1'!$B$21</f>
        <v>66</v>
      </c>
      <c r="Z90" s="14" t="e">
        <f>2*'Alternative 1'!$K90/'Alternative 1'!$B$17</f>
        <v>#VALUE!</v>
      </c>
      <c r="AA90" s="14">
        <f>13000/'Alternative 1'!$B$21</f>
        <v>260</v>
      </c>
      <c r="AB90" s="14" t="e">
        <f>IF(AND(Y90&lt;Z90,Z90&lt;=AA90),((((662/Z90)+0.399*'Baseline Given'!$B$22))/0.1450377),(0.6*'Baseline Given'!$B$22))</f>
        <v>#VALUE!</v>
      </c>
      <c r="AC90" s="217"/>
      <c r="AD90" s="36" t="str">
        <f>'Alternative 2'!F90</f>
        <v>x</v>
      </c>
      <c r="AE90" s="14">
        <f>3300/'Alternative 2'!$B$21</f>
        <v>66</v>
      </c>
      <c r="AF90" s="14" t="e">
        <f>2*'Alternative 2'!$K90/'Alternative 2'!$B$17</f>
        <v>#VALUE!</v>
      </c>
      <c r="AG90" s="14">
        <f>13000/'Alternative 2'!$B$21</f>
        <v>260</v>
      </c>
      <c r="AH90" s="14" t="e">
        <f>IF(AND(AE90&lt;AF90,AF90&lt;=AG90),((((662/AF90)+0.399*'Alternative 2'!$B$21))/0.1450377),(0.6*'Alternative 2'!$B$21))</f>
        <v>#VALUE!</v>
      </c>
      <c r="AI90" s="217"/>
      <c r="AJ90" s="36" t="str">
        <f>'Alternative 3'!F90</f>
        <v>x</v>
      </c>
      <c r="AK90" s="14">
        <f>3300/'Alternative 3'!$B$21</f>
        <v>66</v>
      </c>
      <c r="AL90" s="14" t="e">
        <f>2*'Alternative 3'!$K90/'Alternative 3'!$B$17</f>
        <v>#VALUE!</v>
      </c>
      <c r="AM90" s="14">
        <f>13000/'Alternative 3'!$B$21</f>
        <v>260</v>
      </c>
      <c r="AN90" s="14" t="e">
        <f>IF(AND(AK90&lt;AL90,AL90&lt;=AM90),((((662/AL90)+0.399*'Alternative 3'!$B$21))/0.1450377),(0.6*'Alternative 3'!$B$21))</f>
        <v>#VALUE!</v>
      </c>
    </row>
    <row r="91" spans="24:40" ht="15" customHeight="1" x14ac:dyDescent="0.25">
      <c r="X91" s="36" t="str">
        <f>'Alternative 1'!F91</f>
        <v>x</v>
      </c>
      <c r="Y91" s="14">
        <f>3300/'Alternative 1'!$B$21</f>
        <v>66</v>
      </c>
      <c r="Z91" s="14" t="e">
        <f>2*'Alternative 1'!$K91/'Alternative 1'!$B$17</f>
        <v>#VALUE!</v>
      </c>
      <c r="AA91" s="14">
        <f>13000/'Alternative 1'!$B$21</f>
        <v>260</v>
      </c>
      <c r="AB91" s="14" t="e">
        <f>IF(AND(Y91&lt;Z91,Z91&lt;=AA91),((((662/Z91)+0.399*'Baseline Given'!$B$22))/0.1450377),(0.6*'Baseline Given'!$B$22))</f>
        <v>#VALUE!</v>
      </c>
      <c r="AC91" s="217"/>
      <c r="AD91" s="36" t="str">
        <f>'Alternative 2'!F91</f>
        <v>x</v>
      </c>
      <c r="AE91" s="14">
        <f>3300/'Alternative 2'!$B$21</f>
        <v>66</v>
      </c>
      <c r="AF91" s="14" t="e">
        <f>2*'Alternative 2'!$K91/'Alternative 2'!$B$17</f>
        <v>#VALUE!</v>
      </c>
      <c r="AG91" s="14">
        <f>13000/'Alternative 2'!$B$21</f>
        <v>260</v>
      </c>
      <c r="AH91" s="14" t="e">
        <f>IF(AND(AE91&lt;AF91,AF91&lt;=AG91),((((662/AF91)+0.399*'Alternative 2'!$B$21))/0.1450377),(0.6*'Alternative 2'!$B$21))</f>
        <v>#VALUE!</v>
      </c>
      <c r="AI91" s="217"/>
      <c r="AJ91" s="36" t="str">
        <f>'Alternative 3'!F91</f>
        <v>x</v>
      </c>
      <c r="AK91" s="14">
        <f>3300/'Alternative 3'!$B$21</f>
        <v>66</v>
      </c>
      <c r="AL91" s="14" t="e">
        <f>2*'Alternative 3'!$K91/'Alternative 3'!$B$17</f>
        <v>#VALUE!</v>
      </c>
      <c r="AM91" s="14">
        <f>13000/'Alternative 3'!$B$21</f>
        <v>260</v>
      </c>
      <c r="AN91" s="14" t="e">
        <f>IF(AND(AK91&lt;AL91,AL91&lt;=AM91),((((662/AL91)+0.399*'Alternative 3'!$B$21))/0.1450377),(0.6*'Alternative 3'!$B$21))</f>
        <v>#VALUE!</v>
      </c>
    </row>
    <row r="92" spans="24:40" ht="15" customHeight="1" x14ac:dyDescent="0.25">
      <c r="X92" s="36" t="str">
        <f>'Alternative 1'!F92</f>
        <v>x</v>
      </c>
      <c r="Y92" s="14">
        <f>3300/'Alternative 1'!$B$21</f>
        <v>66</v>
      </c>
      <c r="Z92" s="14" t="e">
        <f>2*'Alternative 1'!$K92/'Alternative 1'!$B$17</f>
        <v>#VALUE!</v>
      </c>
      <c r="AA92" s="14">
        <f>13000/'Alternative 1'!$B$21</f>
        <v>260</v>
      </c>
      <c r="AB92" s="14" t="e">
        <f>IF(AND(Y92&lt;Z92,Z92&lt;=AA92),((((662/Z92)+0.399*'Baseline Given'!$B$22))/0.1450377),(0.6*'Baseline Given'!$B$22))</f>
        <v>#VALUE!</v>
      </c>
      <c r="AC92" s="217"/>
      <c r="AD92" s="36" t="str">
        <f>'Alternative 2'!F92</f>
        <v>x</v>
      </c>
      <c r="AE92" s="14">
        <f>3300/'Alternative 2'!$B$21</f>
        <v>66</v>
      </c>
      <c r="AF92" s="14" t="e">
        <f>2*'Alternative 2'!$K92/'Alternative 2'!$B$17</f>
        <v>#VALUE!</v>
      </c>
      <c r="AG92" s="14">
        <f>13000/'Alternative 2'!$B$21</f>
        <v>260</v>
      </c>
      <c r="AH92" s="14" t="e">
        <f>IF(AND(AE92&lt;AF92,AF92&lt;=AG92),((((662/AF92)+0.399*'Alternative 2'!$B$21))/0.1450377),(0.6*'Alternative 2'!$B$21))</f>
        <v>#VALUE!</v>
      </c>
      <c r="AI92" s="217"/>
      <c r="AJ92" s="36" t="str">
        <f>'Alternative 3'!F92</f>
        <v>x</v>
      </c>
      <c r="AK92" s="14">
        <f>3300/'Alternative 3'!$B$21</f>
        <v>66</v>
      </c>
      <c r="AL92" s="14" t="e">
        <f>2*'Alternative 3'!$K92/'Alternative 3'!$B$17</f>
        <v>#VALUE!</v>
      </c>
      <c r="AM92" s="14">
        <f>13000/'Alternative 3'!$B$21</f>
        <v>260</v>
      </c>
      <c r="AN92" s="14" t="e">
        <f>IF(AND(AK92&lt;AL92,AL92&lt;=AM92),((((662/AL92)+0.399*'Alternative 3'!$B$21))/0.1450377),(0.6*'Alternative 3'!$B$21))</f>
        <v>#VALUE!</v>
      </c>
    </row>
    <row r="93" spans="24:40" ht="15" customHeight="1" x14ac:dyDescent="0.25">
      <c r="X93" s="36" t="str">
        <f>'Alternative 1'!F93</f>
        <v>x</v>
      </c>
      <c r="Y93" s="88">
        <f>3300/'Alternative 1'!$B$21</f>
        <v>66</v>
      </c>
      <c r="Z93" s="14" t="e">
        <f>2*'Alternative 1'!$K93/'Alternative 1'!$B$17</f>
        <v>#VALUE!</v>
      </c>
      <c r="AA93" s="14">
        <f>13000/'Alternative 1'!$B$21</f>
        <v>260</v>
      </c>
      <c r="AB93" s="14" t="e">
        <f>IF(AND(Y93&lt;Z93,Z93&lt;=AA93),((((662/Z93)+0.399*'Baseline Given'!$B$22))/0.1450377),(0.6*'Baseline Given'!$B$22))</f>
        <v>#VALUE!</v>
      </c>
      <c r="AC93" s="217"/>
      <c r="AD93" s="36" t="str">
        <f>'Alternative 2'!F93</f>
        <v>x</v>
      </c>
      <c r="AE93" s="88">
        <f>3300/'Alternative 2'!$B$21</f>
        <v>66</v>
      </c>
      <c r="AF93" s="14" t="e">
        <f>2*'Alternative 2'!$K93/'Alternative 2'!$B$17</f>
        <v>#VALUE!</v>
      </c>
      <c r="AG93" s="14">
        <f>13000/'Alternative 2'!$B$21</f>
        <v>260</v>
      </c>
      <c r="AH93" s="88" t="e">
        <f>IF(AND(AE93&lt;AF93,AF93&lt;=AG93),((((662/AF93)+0.399*'Alternative 2'!$B$21))/0.1450377),(0.6*'Alternative 2'!$B$21))</f>
        <v>#VALUE!</v>
      </c>
      <c r="AI93" s="217"/>
      <c r="AJ93" s="36" t="str">
        <f>'Alternative 3'!F93</f>
        <v>x</v>
      </c>
      <c r="AK93" s="88">
        <f>3300/'Alternative 3'!$B$21</f>
        <v>66</v>
      </c>
      <c r="AL93" s="14" t="e">
        <f>2*'Alternative 3'!$K93/'Alternative 3'!$B$17</f>
        <v>#VALUE!</v>
      </c>
      <c r="AM93" s="14">
        <f>13000/'Alternative 3'!$B$21</f>
        <v>260</v>
      </c>
      <c r="AN93" s="88" t="e">
        <f>IF(AND(AK93&lt;AL93,AL93&lt;=AM93),((((662/AL93)+0.399*'Alternative 3'!$B$21))/0.1450377),(0.6*'Alternative 3'!$B$21))</f>
        <v>#VALUE!</v>
      </c>
    </row>
    <row r="94" spans="24:40" ht="51.75" customHeight="1" x14ac:dyDescent="0.25">
      <c r="Y94" s="89"/>
      <c r="AB94" s="89"/>
    </row>
  </sheetData>
  <customSheetViews>
    <customSheetView guid="{73608749-DAD6-470A-871E-DA0A326E9E7B}" scale="85" hiddenRows="1" hiddenColumns="1" topLeftCell="AC8">
      <selection activeCell="AM8" sqref="A1:XFD1048576"/>
      <pageMargins left="0.7" right="0.7" top="0.75" bottom="0.75" header="0.3" footer="0.3"/>
      <pageSetup orientation="portrait" horizontalDpi="4294967293" verticalDpi="0" r:id="rId1"/>
    </customSheetView>
  </customSheetViews>
  <mergeCells count="13">
    <mergeCell ref="K2:P2"/>
    <mergeCell ref="X2:AB2"/>
    <mergeCell ref="R2:U2"/>
    <mergeCell ref="V1:V1048576"/>
    <mergeCell ref="A1:U1"/>
    <mergeCell ref="AJ1:AN1"/>
    <mergeCell ref="AD1:AH1"/>
    <mergeCell ref="X1:AB1"/>
    <mergeCell ref="AJ2:AN2"/>
    <mergeCell ref="Q2:Q70"/>
    <mergeCell ref="AI1:AI93"/>
    <mergeCell ref="AD2:AH2"/>
    <mergeCell ref="AC1:AC93"/>
  </mergeCells>
  <pageMargins left="0.7" right="0.7" top="0.75" bottom="0.75" header="0.3" footer="0.3"/>
  <pageSetup orientation="portrait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IK725"/>
  <sheetViews>
    <sheetView topLeftCell="E3" zoomScale="80" zoomScaleNormal="80" workbookViewId="0">
      <selection activeCell="S18" sqref="S18"/>
    </sheetView>
  </sheetViews>
  <sheetFormatPr defaultColWidth="9.140625" defaultRowHeight="51.75" customHeight="1" x14ac:dyDescent="0.25"/>
  <cols>
    <col min="1" max="1" width="13.140625" style="15" bestFit="1" customWidth="1"/>
    <col min="2" max="2" width="7.28515625" style="15" customWidth="1"/>
    <col min="3" max="3" width="13.5703125" style="15" customWidth="1"/>
    <col min="4" max="4" width="16" style="15" customWidth="1"/>
    <col min="5" max="5" width="17.140625" style="15" customWidth="1"/>
    <col min="6" max="6" width="17.140625" style="15" bestFit="1" customWidth="1"/>
    <col min="7" max="7" width="1" style="15" customWidth="1"/>
    <col min="8" max="8" width="17.140625" style="121" customWidth="1"/>
    <col min="9" max="9" width="15" style="120" customWidth="1"/>
    <col min="10" max="10" width="3.85546875" style="153" customWidth="1"/>
    <col min="11" max="11" width="12.7109375" style="8" hidden="1" customWidth="1"/>
    <col min="12" max="12" width="13.42578125" style="15" hidden="1" customWidth="1"/>
    <col min="13" max="13" width="8.85546875" style="15" hidden="1" customWidth="1"/>
    <col min="14" max="14" width="9.28515625" style="15" hidden="1" customWidth="1"/>
    <col min="15" max="15" width="14.28515625" style="15" hidden="1" customWidth="1"/>
    <col min="16" max="16" width="15.5703125" style="15" hidden="1" customWidth="1"/>
    <col min="17" max="17" width="1" style="15" hidden="1" customWidth="1"/>
    <col min="18" max="19" width="17.140625" style="15" customWidth="1"/>
    <col min="20" max="20" width="4.140625" style="15" customWidth="1"/>
    <col min="21" max="22" width="17.140625" style="15" customWidth="1"/>
    <col min="23" max="23" width="4.140625" style="15" customWidth="1"/>
    <col min="24" max="24" width="14.7109375" style="15" customWidth="1"/>
    <col min="25" max="25" width="14.5703125" style="15" customWidth="1"/>
    <col min="26" max="27" width="9.140625" style="15"/>
    <col min="28" max="28" width="14.85546875" style="15" bestFit="1" customWidth="1"/>
    <col min="29" max="31" width="18" style="15" bestFit="1" customWidth="1"/>
    <col min="32" max="16384" width="9.140625" style="15"/>
  </cols>
  <sheetData>
    <row r="1" spans="1:245" ht="51.75" customHeight="1" x14ac:dyDescent="0.25">
      <c r="A1" s="188" t="s">
        <v>78</v>
      </c>
      <c r="B1" s="188"/>
      <c r="C1" s="188"/>
      <c r="D1" s="188"/>
      <c r="E1" s="188"/>
      <c r="F1" s="188"/>
      <c r="G1" s="188"/>
      <c r="H1" s="188"/>
      <c r="I1" s="188"/>
      <c r="J1" s="224"/>
      <c r="L1" s="210" t="s">
        <v>147</v>
      </c>
      <c r="M1" s="210"/>
      <c r="N1" s="210"/>
      <c r="O1" s="210"/>
      <c r="P1" s="210"/>
      <c r="Q1" s="210"/>
      <c r="R1" s="210"/>
      <c r="S1" s="210"/>
      <c r="T1" s="224"/>
      <c r="U1" s="210" t="s">
        <v>148</v>
      </c>
      <c r="V1" s="210"/>
      <c r="W1" s="224"/>
      <c r="X1" s="210" t="s">
        <v>149</v>
      </c>
      <c r="Y1" s="210"/>
    </row>
    <row r="2" spans="1:245" s="27" customFormat="1" ht="51.75" customHeight="1" x14ac:dyDescent="0.3">
      <c r="A2" s="230" t="s">
        <v>224</v>
      </c>
      <c r="B2" s="230"/>
      <c r="C2" s="230"/>
      <c r="D2" s="230"/>
      <c r="E2" s="230"/>
      <c r="F2" s="230"/>
      <c r="G2" s="215"/>
      <c r="H2" s="226" t="s">
        <v>195</v>
      </c>
      <c r="I2" s="227"/>
      <c r="J2" s="224"/>
      <c r="L2" s="221" t="s">
        <v>40</v>
      </c>
      <c r="M2" s="222"/>
      <c r="N2" s="222"/>
      <c r="O2" s="222"/>
      <c r="P2" s="223"/>
      <c r="Q2" s="214"/>
      <c r="R2" s="226" t="s">
        <v>195</v>
      </c>
      <c r="S2" s="227"/>
      <c r="T2" s="224"/>
      <c r="U2" s="226" t="s">
        <v>195</v>
      </c>
      <c r="V2" s="227"/>
      <c r="W2" s="224"/>
      <c r="X2" s="226" t="s">
        <v>195</v>
      </c>
      <c r="Y2" s="227"/>
    </row>
    <row r="3" spans="1:245" ht="70.5" customHeight="1" x14ac:dyDescent="0.25">
      <c r="A3" s="28" t="s">
        <v>114</v>
      </c>
      <c r="B3" s="156" t="s">
        <v>221</v>
      </c>
      <c r="C3" s="28" t="s">
        <v>115</v>
      </c>
      <c r="D3" s="28" t="s">
        <v>116</v>
      </c>
      <c r="E3" s="28" t="s">
        <v>117</v>
      </c>
      <c r="F3" s="28" t="s">
        <v>176</v>
      </c>
      <c r="G3" s="215"/>
      <c r="H3" s="122" t="s">
        <v>193</v>
      </c>
      <c r="I3" s="144" t="s">
        <v>194</v>
      </c>
      <c r="J3" s="224"/>
      <c r="L3" s="28" t="s">
        <v>13</v>
      </c>
      <c r="M3" s="28" t="s">
        <v>4</v>
      </c>
      <c r="N3" s="28" t="s">
        <v>6</v>
      </c>
      <c r="O3" s="28" t="s">
        <v>34</v>
      </c>
      <c r="P3" s="28" t="s">
        <v>38</v>
      </c>
      <c r="Q3" s="215"/>
      <c r="R3" s="122" t="s">
        <v>193</v>
      </c>
      <c r="S3" s="123" t="s">
        <v>194</v>
      </c>
      <c r="T3" s="224"/>
      <c r="U3" s="122" t="s">
        <v>193</v>
      </c>
      <c r="V3" s="123" t="s">
        <v>194</v>
      </c>
      <c r="W3" s="224"/>
      <c r="X3" s="122" t="s">
        <v>193</v>
      </c>
      <c r="Y3" s="123" t="s">
        <v>194</v>
      </c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</row>
    <row r="4" spans="1:245" s="3" customFormat="1" ht="15" customHeight="1" x14ac:dyDescent="0.25">
      <c r="A4" s="57">
        <f>((3.14159^2)*29000)/(2.1*'Baseline Given'!E4/'Baseline Given'!N4)^2</f>
        <v>1827.3787308706558</v>
      </c>
      <c r="B4" s="57">
        <f>(2.1*67)/'Baseline Given'!L3</f>
        <v>402.69600431032308</v>
      </c>
      <c r="C4" s="57">
        <f t="shared" ref="C4" si="0">4.71*SQRT(29000/50)</f>
        <v>113.43182093222343</v>
      </c>
      <c r="D4" s="57">
        <f>IF(B4&lt;=(4.71*SQRT(29000/50)),(0.658^(50/A4))*50,(0.877*A4))</f>
        <v>1602.6111469735652</v>
      </c>
      <c r="E4" s="57">
        <f>D4/'Baseline Given'!$B$24</f>
        <v>959.64739339734444</v>
      </c>
      <c r="F4" s="57">
        <f t="shared" ref="F4" si="1">E4/0.1450377</f>
        <v>6616.537585726639</v>
      </c>
      <c r="G4" s="215"/>
      <c r="H4" s="142">
        <v>0</v>
      </c>
      <c r="I4" s="143">
        <v>0.25</v>
      </c>
      <c r="J4" s="224"/>
      <c r="K4" s="8"/>
      <c r="L4" s="14" t="e">
        <f>0.605*'Alternative 1'!$B$22*('Alternative 1'!#REF!/'Alternative 1'!$K4)</f>
        <v>#REF!</v>
      </c>
      <c r="M4" s="14" t="e">
        <f>0.83/SQRT(1+0.01*('Alternative 1'!$K4/'Alternative 1'!#REF!))</f>
        <v>#REF!</v>
      </c>
      <c r="N4" s="14" t="e">
        <f t="shared" ref="N4:N67" si="2">0.1887+(0.8113*M4)</f>
        <v>#REF!</v>
      </c>
      <c r="O4" s="14" t="e">
        <f>'Alternative 1'!$B$20*(1-0.4123*(('Alternative 1'!$B$20/(N4*L4))^0.6))</f>
        <v>#REF!</v>
      </c>
      <c r="P4" s="14" t="e">
        <f>O4/'Alternative 1'!$B$23</f>
        <v>#REF!</v>
      </c>
      <c r="Q4" s="228"/>
      <c r="R4" s="147">
        <v>0</v>
      </c>
      <c r="S4" s="143">
        <v>0.25</v>
      </c>
      <c r="T4" s="224"/>
      <c r="U4" s="147">
        <v>0</v>
      </c>
      <c r="V4" s="143">
        <v>0.25</v>
      </c>
      <c r="W4" s="224"/>
      <c r="X4" s="147">
        <v>0</v>
      </c>
      <c r="Y4" s="143">
        <v>0.25</v>
      </c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</row>
    <row r="5" spans="1:245" s="3" customFormat="1" ht="15" customHeight="1" x14ac:dyDescent="0.25">
      <c r="A5" s="15"/>
      <c r="B5" s="15"/>
      <c r="C5" s="15"/>
      <c r="D5" s="15"/>
      <c r="E5" s="15"/>
      <c r="F5" s="8"/>
      <c r="G5" s="215"/>
      <c r="H5" s="142">
        <v>0.1</v>
      </c>
      <c r="I5" s="143">
        <v>1.35</v>
      </c>
      <c r="J5" s="224"/>
      <c r="K5" s="8"/>
      <c r="L5" s="14" t="e">
        <f>0.605*'Alternative 1'!$B$22*('Alternative 1'!#REF!/'Alternative 1'!$K5)</f>
        <v>#REF!</v>
      </c>
      <c r="M5" s="14" t="e">
        <f>0.83/SQRT(1+0.01*('Alternative 1'!$K5/'Alternative 1'!#REF!))</f>
        <v>#REF!</v>
      </c>
      <c r="N5" s="14" t="e">
        <f t="shared" si="2"/>
        <v>#REF!</v>
      </c>
      <c r="O5" s="14" t="e">
        <f>'Alternative 1'!$B$20*(1-0.4123*(('Alternative 1'!$B$20/(N5*L5))^0.6))</f>
        <v>#REF!</v>
      </c>
      <c r="P5" s="14" t="e">
        <f>O5/'Alternative 1'!$B$23</f>
        <v>#REF!</v>
      </c>
      <c r="Q5" s="228"/>
      <c r="R5" s="147">
        <v>0.1</v>
      </c>
      <c r="S5" s="143">
        <v>1.35</v>
      </c>
      <c r="T5" s="224"/>
      <c r="U5" s="147">
        <v>0.1</v>
      </c>
      <c r="V5" s="143">
        <v>1.35</v>
      </c>
      <c r="W5" s="224"/>
      <c r="X5" s="147">
        <v>0.1</v>
      </c>
      <c r="Y5" s="143">
        <v>1.35</v>
      </c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</row>
    <row r="6" spans="1:245" s="3" customFormat="1" ht="15" customHeight="1" x14ac:dyDescent="0.25">
      <c r="A6" s="15"/>
      <c r="B6" s="15"/>
      <c r="C6" s="15"/>
      <c r="D6" s="15"/>
      <c r="E6" s="15"/>
      <c r="F6" s="15"/>
      <c r="G6" s="215"/>
      <c r="H6" s="142">
        <v>0.2</v>
      </c>
      <c r="I6" s="143">
        <v>1.593</v>
      </c>
      <c r="J6" s="224"/>
      <c r="K6" s="8"/>
      <c r="L6" s="14" t="e">
        <f>0.605*'Alternative 1'!$B$22*('Alternative 1'!#REF!/'Alternative 1'!$K6)</f>
        <v>#REF!</v>
      </c>
      <c r="M6" s="14" t="e">
        <f>0.83/SQRT(1+0.01*('Alternative 1'!$K6/'Alternative 1'!#REF!))</f>
        <v>#REF!</v>
      </c>
      <c r="N6" s="14" t="e">
        <f t="shared" si="2"/>
        <v>#REF!</v>
      </c>
      <c r="O6" s="14" t="e">
        <f>'Alternative 1'!$B$20*(1-0.4123*(('Alternative 1'!$B$20/(N6*L6))^0.6))</f>
        <v>#REF!</v>
      </c>
      <c r="P6" s="14" t="e">
        <f>O6/'Alternative 1'!$B$23</f>
        <v>#REF!</v>
      </c>
      <c r="Q6" s="228"/>
      <c r="R6" s="147">
        <v>0.2</v>
      </c>
      <c r="S6" s="143">
        <v>1.593</v>
      </c>
      <c r="T6" s="224"/>
      <c r="U6" s="147">
        <v>0.2</v>
      </c>
      <c r="V6" s="143">
        <v>1.593</v>
      </c>
      <c r="W6" s="224"/>
      <c r="X6" s="147">
        <v>0.2</v>
      </c>
      <c r="Y6" s="143">
        <v>1.593</v>
      </c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</row>
    <row r="7" spans="1:245" s="3" customFormat="1" ht="15" customHeight="1" x14ac:dyDescent="0.25">
      <c r="A7" s="15"/>
      <c r="B7" s="15"/>
      <c r="C7" s="15"/>
      <c r="D7" s="15"/>
      <c r="E7" s="15"/>
      <c r="F7" s="15"/>
      <c r="G7" s="215"/>
      <c r="H7" s="142">
        <v>0.3</v>
      </c>
      <c r="I7" s="143">
        <v>1.7629999999999999</v>
      </c>
      <c r="J7" s="224"/>
      <c r="K7" s="8"/>
      <c r="L7" s="14" t="e">
        <f>0.605*'Alternative 1'!$B$22*('Alternative 1'!#REF!/'Alternative 1'!$K7)</f>
        <v>#REF!</v>
      </c>
      <c r="M7" s="14" t="e">
        <f>0.83/SQRT(1+0.01*('Alternative 1'!$K7/'Alternative 1'!#REF!))</f>
        <v>#REF!</v>
      </c>
      <c r="N7" s="14" t="e">
        <f t="shared" si="2"/>
        <v>#REF!</v>
      </c>
      <c r="O7" s="14" t="e">
        <f>'Alternative 1'!$B$20*(1-0.4123*(('Alternative 1'!$B$20/(N7*L7))^0.6))</f>
        <v>#REF!</v>
      </c>
      <c r="P7" s="14" t="e">
        <f>O7/'Alternative 1'!$B$23</f>
        <v>#REF!</v>
      </c>
      <c r="Q7" s="228"/>
      <c r="R7" s="147">
        <v>0.3</v>
      </c>
      <c r="S7" s="143">
        <v>1.7629999999999999</v>
      </c>
      <c r="T7" s="224"/>
      <c r="U7" s="147">
        <v>0.3</v>
      </c>
      <c r="V7" s="143">
        <v>1.7629999999999999</v>
      </c>
      <c r="W7" s="224"/>
      <c r="X7" s="147">
        <v>0.3</v>
      </c>
      <c r="Y7" s="143">
        <v>1.7629999999999999</v>
      </c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</row>
    <row r="8" spans="1:245" s="3" customFormat="1" ht="15" customHeight="1" x14ac:dyDescent="0.25">
      <c r="A8" s="15"/>
      <c r="B8" s="15"/>
      <c r="C8" s="15"/>
      <c r="D8" s="15"/>
      <c r="E8" s="15"/>
      <c r="F8" s="15"/>
      <c r="G8" s="215"/>
      <c r="H8" s="142">
        <v>0.4</v>
      </c>
      <c r="I8" s="143">
        <v>1.9039999999999999</v>
      </c>
      <c r="J8" s="224"/>
      <c r="K8" s="8"/>
      <c r="L8" s="14" t="e">
        <f>0.605*'Alternative 1'!$B$22*('Alternative 1'!#REF!/'Alternative 1'!$K8)</f>
        <v>#REF!</v>
      </c>
      <c r="M8" s="14" t="e">
        <f>0.83/SQRT(1+0.01*('Alternative 1'!$K8/'Alternative 1'!#REF!))</f>
        <v>#REF!</v>
      </c>
      <c r="N8" s="14" t="e">
        <f t="shared" si="2"/>
        <v>#REF!</v>
      </c>
      <c r="O8" s="14" t="e">
        <f>'Alternative 1'!$B$20*(1-0.4123*(('Alternative 1'!$B$20/(N8*L8))^0.6))</f>
        <v>#REF!</v>
      </c>
      <c r="P8" s="14" t="e">
        <f>O8/'Alternative 1'!$B$23</f>
        <v>#REF!</v>
      </c>
      <c r="Q8" s="228"/>
      <c r="R8" s="147">
        <v>0.4</v>
      </c>
      <c r="S8" s="143">
        <v>1.9039999999999999</v>
      </c>
      <c r="T8" s="224"/>
      <c r="U8" s="147">
        <v>0.4</v>
      </c>
      <c r="V8" s="143">
        <v>1.9039999999999999</v>
      </c>
      <c r="W8" s="224"/>
      <c r="X8" s="147">
        <v>0.4</v>
      </c>
      <c r="Y8" s="143">
        <v>1.9039999999999999</v>
      </c>
      <c r="Z8" s="6"/>
      <c r="AA8" s="6"/>
      <c r="AB8" s="6"/>
      <c r="AC8" s="6"/>
      <c r="AD8" s="154"/>
      <c r="AE8" s="154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</row>
    <row r="9" spans="1:245" s="3" customFormat="1" ht="15" customHeight="1" x14ac:dyDescent="0.25">
      <c r="A9" s="15"/>
      <c r="B9" s="15"/>
      <c r="C9" s="15"/>
      <c r="D9" s="15"/>
      <c r="E9" s="15"/>
      <c r="F9" s="15"/>
      <c r="G9" s="215"/>
      <c r="H9" s="142">
        <v>0.5</v>
      </c>
      <c r="I9" s="143">
        <v>2.0230000000000001</v>
      </c>
      <c r="J9" s="224"/>
      <c r="K9" s="8"/>
      <c r="L9" s="14" t="e">
        <f>0.605*'Alternative 1'!$B$22*('Alternative 1'!#REF!/'Alternative 1'!$K9)</f>
        <v>#REF!</v>
      </c>
      <c r="M9" s="14" t="e">
        <f>0.83/SQRT(1+0.01*('Alternative 1'!$K9/'Alternative 1'!#REF!))</f>
        <v>#REF!</v>
      </c>
      <c r="N9" s="14" t="e">
        <f t="shared" si="2"/>
        <v>#REF!</v>
      </c>
      <c r="O9" s="14" t="e">
        <f>'Alternative 1'!$B$20*(1-0.4123*(('Alternative 1'!$B$20/(N9*L9))^0.6))</f>
        <v>#REF!</v>
      </c>
      <c r="P9" s="14" t="e">
        <f>O9/'Alternative 1'!$B$23</f>
        <v>#REF!</v>
      </c>
      <c r="Q9" s="228"/>
      <c r="R9" s="147">
        <v>0.5</v>
      </c>
      <c r="S9" s="143">
        <v>2.0230000000000001</v>
      </c>
      <c r="T9" s="224"/>
      <c r="U9" s="147">
        <v>0.5</v>
      </c>
      <c r="V9" s="143">
        <v>2.0230000000000001</v>
      </c>
      <c r="W9" s="224"/>
      <c r="X9" s="147">
        <v>0.5</v>
      </c>
      <c r="Y9" s="143">
        <v>2.0230000000000001</v>
      </c>
      <c r="Z9" s="6"/>
      <c r="AA9" s="6"/>
      <c r="AB9" s="6"/>
      <c r="AC9" s="6"/>
      <c r="AD9" s="154"/>
      <c r="AE9" s="155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</row>
    <row r="10" spans="1:245" s="3" customFormat="1" ht="15" customHeight="1" x14ac:dyDescent="0.25">
      <c r="A10" s="15"/>
      <c r="B10" s="15"/>
      <c r="C10" s="15"/>
      <c r="D10" s="15"/>
      <c r="E10" s="15"/>
      <c r="F10" s="15"/>
      <c r="G10" s="215"/>
      <c r="H10" s="142">
        <v>0.6</v>
      </c>
      <c r="I10" s="143">
        <v>2.1280000000000001</v>
      </c>
      <c r="J10" s="224"/>
      <c r="K10" s="8"/>
      <c r="L10" s="14" t="e">
        <f>0.605*'Alternative 1'!$B$22*('Alternative 1'!#REF!/'Alternative 1'!$K10)</f>
        <v>#REF!</v>
      </c>
      <c r="M10" s="14" t="e">
        <f>0.83/SQRT(1+0.01*('Alternative 1'!$K10/'Alternative 1'!#REF!))</f>
        <v>#REF!</v>
      </c>
      <c r="N10" s="14" t="e">
        <f t="shared" si="2"/>
        <v>#REF!</v>
      </c>
      <c r="O10" s="14" t="e">
        <f>'Alternative 1'!$B$20*(1-0.4123*(('Alternative 1'!$B$20/(N10*L10))^0.6))</f>
        <v>#REF!</v>
      </c>
      <c r="P10" s="14" t="e">
        <f>O10/'Alternative 1'!$B$23</f>
        <v>#REF!</v>
      </c>
      <c r="Q10" s="228"/>
      <c r="R10" s="147">
        <v>0.6</v>
      </c>
      <c r="S10" s="143">
        <v>2.1280000000000001</v>
      </c>
      <c r="T10" s="224"/>
      <c r="U10" s="147">
        <v>0.6</v>
      </c>
      <c r="V10" s="143">
        <v>2.1280000000000001</v>
      </c>
      <c r="W10" s="224"/>
      <c r="X10" s="147">
        <v>0.6</v>
      </c>
      <c r="Y10" s="143">
        <v>2.1280000000000001</v>
      </c>
      <c r="Z10" s="6"/>
      <c r="AA10" s="6"/>
      <c r="AB10" s="6"/>
      <c r="AC10" s="6"/>
      <c r="AD10" s="154"/>
      <c r="AE10" s="155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</row>
    <row r="11" spans="1:245" s="3" customFormat="1" ht="15" customHeight="1" x14ac:dyDescent="0.25">
      <c r="A11" s="15"/>
      <c r="B11" s="15"/>
      <c r="C11" s="15"/>
      <c r="D11" s="15"/>
      <c r="E11" s="15"/>
      <c r="F11" s="15"/>
      <c r="G11" s="215"/>
      <c r="H11" s="142">
        <v>0.7</v>
      </c>
      <c r="I11" s="143">
        <v>2.2229999999999999</v>
      </c>
      <c r="J11" s="224"/>
      <c r="K11" s="8"/>
      <c r="L11" s="14" t="e">
        <f>0.605*'Alternative 1'!$B$22*('Alternative 1'!#REF!/'Alternative 1'!$K11)</f>
        <v>#REF!</v>
      </c>
      <c r="M11" s="14" t="e">
        <f>0.83/SQRT(1+0.01*('Alternative 1'!$K11/'Alternative 1'!#REF!))</f>
        <v>#REF!</v>
      </c>
      <c r="N11" s="14" t="e">
        <f t="shared" si="2"/>
        <v>#REF!</v>
      </c>
      <c r="O11" s="14" t="e">
        <f>'Alternative 1'!$B$20*(1-0.4123*(('Alternative 1'!$B$20/(N11*L11))^0.6))</f>
        <v>#REF!</v>
      </c>
      <c r="P11" s="14" t="e">
        <f>O11/'Alternative 1'!$B$23</f>
        <v>#REF!</v>
      </c>
      <c r="Q11" s="228"/>
      <c r="R11" s="147">
        <v>0.7</v>
      </c>
      <c r="S11" s="143">
        <v>2.2229999999999999</v>
      </c>
      <c r="T11" s="224"/>
      <c r="U11" s="147">
        <v>0.7</v>
      </c>
      <c r="V11" s="143">
        <v>2.2229999999999999</v>
      </c>
      <c r="W11" s="224"/>
      <c r="X11" s="147">
        <v>0.7</v>
      </c>
      <c r="Y11" s="143">
        <v>2.2229999999999999</v>
      </c>
      <c r="Z11" s="6"/>
      <c r="AA11" s="6"/>
      <c r="AB11" s="6"/>
      <c r="AC11" s="6"/>
      <c r="AD11" s="154"/>
      <c r="AE11" s="155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</row>
    <row r="12" spans="1:245" s="3" customFormat="1" ht="15" customHeight="1" x14ac:dyDescent="0.25">
      <c r="A12" s="15"/>
      <c r="B12" s="15"/>
      <c r="C12" s="15"/>
      <c r="D12" s="15"/>
      <c r="E12" s="15"/>
      <c r="F12" s="15"/>
      <c r="G12" s="215"/>
      <c r="H12" s="142">
        <v>0.8</v>
      </c>
      <c r="I12" s="143">
        <v>2.3109999999999999</v>
      </c>
      <c r="J12" s="224"/>
      <c r="K12" s="8"/>
      <c r="L12" s="14" t="e">
        <f>0.605*'Alternative 1'!$B$22*('Alternative 1'!#REF!/'Alternative 1'!$K12)</f>
        <v>#REF!</v>
      </c>
      <c r="M12" s="14" t="e">
        <f>0.83/SQRT(1+0.01*('Alternative 1'!$K12/'Alternative 1'!#REF!))</f>
        <v>#REF!</v>
      </c>
      <c r="N12" s="14" t="e">
        <f t="shared" si="2"/>
        <v>#REF!</v>
      </c>
      <c r="O12" s="14" t="e">
        <f>'Alternative 1'!$B$20*(1-0.4123*(('Alternative 1'!$B$20/(N12*L12))^0.6))</f>
        <v>#REF!</v>
      </c>
      <c r="P12" s="14" t="e">
        <f>O12/'Alternative 1'!$B$23</f>
        <v>#REF!</v>
      </c>
      <c r="Q12" s="228"/>
      <c r="R12" s="147">
        <v>0.8</v>
      </c>
      <c r="S12" s="143">
        <v>2.3109999999999999</v>
      </c>
      <c r="T12" s="224"/>
      <c r="U12" s="147">
        <v>0.8</v>
      </c>
      <c r="V12" s="143">
        <v>2.3109999999999999</v>
      </c>
      <c r="W12" s="224"/>
      <c r="X12" s="147">
        <v>0.8</v>
      </c>
      <c r="Y12" s="143">
        <v>2.3109999999999999</v>
      </c>
      <c r="Z12" s="6"/>
      <c r="AA12" s="6"/>
      <c r="AB12" s="6"/>
      <c r="AC12" s="6"/>
      <c r="AD12" s="154"/>
      <c r="AE12" s="155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</row>
    <row r="13" spans="1:245" s="3" customFormat="1" ht="15" customHeight="1" x14ac:dyDescent="0.25">
      <c r="A13" s="15"/>
      <c r="B13" s="15"/>
      <c r="C13" s="15"/>
      <c r="D13" s="15"/>
      <c r="E13" s="15"/>
      <c r="F13" s="15"/>
      <c r="G13" s="215"/>
      <c r="H13" s="142">
        <v>0.9</v>
      </c>
      <c r="I13" s="143">
        <v>2.3919999999999999</v>
      </c>
      <c r="J13" s="224"/>
      <c r="K13" s="8"/>
      <c r="L13" s="14" t="e">
        <f>0.605*'Alternative 1'!$B$22*('Alternative 1'!#REF!/'Alternative 1'!$K13)</f>
        <v>#REF!</v>
      </c>
      <c r="M13" s="14" t="e">
        <f>0.83/SQRT(1+0.01*('Alternative 1'!$K13/'Alternative 1'!#REF!))</f>
        <v>#REF!</v>
      </c>
      <c r="N13" s="14" t="e">
        <f t="shared" si="2"/>
        <v>#REF!</v>
      </c>
      <c r="O13" s="14" t="e">
        <f>'Alternative 1'!$B$20*(1-0.4123*(('Alternative 1'!$B$20/(N13*L13))^0.6))</f>
        <v>#REF!</v>
      </c>
      <c r="P13" s="14" t="e">
        <f>O13/'Alternative 1'!$B$23</f>
        <v>#REF!</v>
      </c>
      <c r="Q13" s="228"/>
      <c r="R13" s="147">
        <v>0.9</v>
      </c>
      <c r="S13" s="143">
        <v>2.3919999999999999</v>
      </c>
      <c r="T13" s="224"/>
      <c r="U13" s="147">
        <v>0.9</v>
      </c>
      <c r="V13" s="143">
        <v>2.3919999999999999</v>
      </c>
      <c r="W13" s="224"/>
      <c r="X13" s="147">
        <v>0.9</v>
      </c>
      <c r="Y13" s="143">
        <v>2.3919999999999999</v>
      </c>
      <c r="Z13" s="6"/>
      <c r="AA13" s="6"/>
      <c r="AB13" s="6"/>
      <c r="AC13" s="6"/>
      <c r="AD13" s="154"/>
      <c r="AE13" s="155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</row>
    <row r="14" spans="1:245" s="3" customFormat="1" ht="15" customHeight="1" x14ac:dyDescent="0.25">
      <c r="A14" s="15"/>
      <c r="B14" s="15"/>
      <c r="C14" s="15"/>
      <c r="D14" s="15"/>
      <c r="E14" s="15"/>
      <c r="F14" s="15"/>
      <c r="G14" s="215"/>
      <c r="H14" s="142">
        <v>1</v>
      </c>
      <c r="I14" s="143">
        <f>(3.14159)^2/(4)</f>
        <v>2.4673969320249998</v>
      </c>
      <c r="J14" s="224"/>
      <c r="K14" s="8"/>
      <c r="L14" s="14" t="e">
        <f>0.605*'Alternative 1'!$B$22*('Alternative 1'!#REF!/'Alternative 1'!$K14)</f>
        <v>#REF!</v>
      </c>
      <c r="M14" s="14" t="e">
        <f>0.83/SQRT(1+0.01*('Alternative 1'!$K14/'Alternative 1'!#REF!))</f>
        <v>#REF!</v>
      </c>
      <c r="N14" s="14" t="e">
        <f t="shared" si="2"/>
        <v>#REF!</v>
      </c>
      <c r="O14" s="14" t="e">
        <f>'Alternative 1'!$B$20*(1-0.4123*(('Alternative 1'!$B$20/(N14*L14))^0.6))</f>
        <v>#REF!</v>
      </c>
      <c r="P14" s="14" t="e">
        <f>O14/'Alternative 1'!$B$23</f>
        <v>#REF!</v>
      </c>
      <c r="Q14" s="228"/>
      <c r="R14" s="147">
        <v>1</v>
      </c>
      <c r="S14" s="143">
        <f>(3.14159)^2/(4)</f>
        <v>2.4673969320249998</v>
      </c>
      <c r="T14" s="224"/>
      <c r="U14" s="147">
        <v>1</v>
      </c>
      <c r="V14" s="143">
        <f>(3.14159)^2/(4)</f>
        <v>2.4673969320249998</v>
      </c>
      <c r="W14" s="224"/>
      <c r="X14" s="147">
        <v>1</v>
      </c>
      <c r="Y14" s="143">
        <f>(3.14159)^2/(4)</f>
        <v>2.4673969320249998</v>
      </c>
      <c r="Z14" s="6"/>
      <c r="AA14" s="6"/>
      <c r="AB14" s="6"/>
      <c r="AC14" s="6"/>
      <c r="AD14" s="154"/>
      <c r="AE14" s="155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</row>
    <row r="15" spans="1:245" s="3" customFormat="1" ht="15" customHeight="1" x14ac:dyDescent="0.25">
      <c r="A15" s="15"/>
      <c r="B15" s="15"/>
      <c r="C15" s="15"/>
      <c r="D15" s="15"/>
      <c r="E15" s="15"/>
      <c r="F15" s="15"/>
      <c r="G15" s="215"/>
      <c r="H15" s="231"/>
      <c r="I15" s="225"/>
      <c r="J15" s="224"/>
      <c r="K15" s="8"/>
      <c r="L15" s="14" t="e">
        <f>0.605*'Alternative 1'!$B$22*('Alternative 1'!#REF!/'Alternative 1'!$K15)</f>
        <v>#REF!</v>
      </c>
      <c r="M15" s="14" t="e">
        <f>0.83/SQRT(1+0.01*('Alternative 1'!$K15/'Alternative 1'!#REF!))</f>
        <v>#REF!</v>
      </c>
      <c r="N15" s="14" t="e">
        <f t="shared" si="2"/>
        <v>#REF!</v>
      </c>
      <c r="O15" s="14" t="e">
        <f>'Alternative 1'!$B$20*(1-0.4123*(('Alternative 1'!$B$20/(N15*L15))^0.6))</f>
        <v>#REF!</v>
      </c>
      <c r="P15" s="14" t="e">
        <f>O15/'Alternative 1'!$B$23</f>
        <v>#REF!</v>
      </c>
      <c r="Q15" s="228"/>
      <c r="R15" s="225"/>
      <c r="S15" s="225"/>
      <c r="T15" s="224"/>
      <c r="U15" s="225"/>
      <c r="V15" s="225"/>
      <c r="W15" s="224"/>
      <c r="X15" s="225"/>
      <c r="Y15" s="225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</row>
    <row r="16" spans="1:245" s="3" customFormat="1" ht="15" customHeight="1" x14ac:dyDescent="0.25">
      <c r="A16" s="15"/>
      <c r="B16" s="15"/>
      <c r="C16" s="15"/>
      <c r="D16" s="15"/>
      <c r="E16" s="15"/>
      <c r="F16" s="15"/>
      <c r="G16" s="215"/>
      <c r="H16" s="60" t="s">
        <v>196</v>
      </c>
      <c r="I16" s="145">
        <f>'Baseline Given'!$L70/'Baseline Given'!$L3</f>
        <v>0.37981905840886288</v>
      </c>
      <c r="J16" s="224"/>
      <c r="K16" s="8"/>
      <c r="L16" s="14" t="e">
        <f>0.605*'Alternative 1'!$B$22*('Alternative 1'!#REF!/'Alternative 1'!$K16)</f>
        <v>#REF!</v>
      </c>
      <c r="M16" s="14" t="e">
        <f>0.83/SQRT(1+0.01*('Alternative 1'!$K16/'Alternative 1'!#REF!))</f>
        <v>#REF!</v>
      </c>
      <c r="N16" s="14" t="e">
        <f t="shared" si="2"/>
        <v>#REF!</v>
      </c>
      <c r="O16" s="14" t="e">
        <f>'Alternative 1'!$B$20*(1-0.4123*(('Alternative 1'!$B$20/(N16*L16))^0.6))</f>
        <v>#REF!</v>
      </c>
      <c r="P16" s="14" t="e">
        <f>O16/'Alternative 1'!$B$23</f>
        <v>#REF!</v>
      </c>
      <c r="Q16" s="228"/>
      <c r="R16" s="148" t="s">
        <v>196</v>
      </c>
      <c r="S16" s="124">
        <f>(VLOOKUP('Alternative 1'!$B$12,'Alternative 1'!$F$3:$P$93,7,FALSE)/'Alternative 1'!$L$3)</f>
        <v>0.66162570888468797</v>
      </c>
      <c r="T16" s="224"/>
      <c r="U16" s="148" t="s">
        <v>196</v>
      </c>
      <c r="V16" s="124">
        <f>(VLOOKUP('Alternative 2'!$B$12,'Alternative 2'!$F$3:$P$93,7,FALSE)/'Alternative 2'!$L$3)</f>
        <v>0.66666666666666674</v>
      </c>
      <c r="W16" s="224"/>
      <c r="X16" s="148" t="s">
        <v>196</v>
      </c>
      <c r="Y16" s="124">
        <f>(VLOOKUP('Alternative 3'!$B$12,'Alternative 3'!$F$3:$P$93,7,FALSE)/'Alternative 3'!$L$3)</f>
        <v>0.66666666666666652</v>
      </c>
      <c r="Z16" s="6"/>
      <c r="AA16" s="6"/>
      <c r="AB16" s="154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</row>
    <row r="17" spans="1:245" s="3" customFormat="1" ht="15" customHeight="1" x14ac:dyDescent="0.25">
      <c r="A17" s="15"/>
      <c r="B17" s="15"/>
      <c r="C17" s="15"/>
      <c r="D17" s="15"/>
      <c r="E17" s="15"/>
      <c r="F17" s="15"/>
      <c r="G17" s="215"/>
      <c r="H17" s="95" t="s">
        <v>198</v>
      </c>
      <c r="I17" s="146">
        <f>I8</f>
        <v>1.9039999999999999</v>
      </c>
      <c r="J17" s="224"/>
      <c r="K17" s="8"/>
      <c r="L17" s="14" t="e">
        <f>0.605*'Alternative 1'!$B$22*('Alternative 1'!#REF!/'Alternative 1'!$K17)</f>
        <v>#REF!</v>
      </c>
      <c r="M17" s="14" t="e">
        <f>0.83/SQRT(1+0.01*('Alternative 1'!$K17/'Alternative 1'!#REF!))</f>
        <v>#REF!</v>
      </c>
      <c r="N17" s="14" t="e">
        <f t="shared" si="2"/>
        <v>#REF!</v>
      </c>
      <c r="O17" s="14" t="e">
        <f>'Alternative 1'!$B$20*(1-0.4123*(('Alternative 1'!$B$20/(N17*L17))^0.6))</f>
        <v>#REF!</v>
      </c>
      <c r="P17" s="14" t="e">
        <f>O17/'Alternative 1'!$B$23</f>
        <v>#REF!</v>
      </c>
      <c r="Q17" s="228"/>
      <c r="R17" s="149" t="s">
        <v>198</v>
      </c>
      <c r="S17" s="127">
        <f>VLOOKUP(ROUND(S16,1),R4:S14,2,FALSE)</f>
        <v>2.2229999999999999</v>
      </c>
      <c r="T17" s="224"/>
      <c r="U17" s="149" t="s">
        <v>198</v>
      </c>
      <c r="V17" s="127">
        <f>VLOOKUP(ROUND(V16,1),U4:V14,2,FALSE)</f>
        <v>2.2229999999999999</v>
      </c>
      <c r="W17" s="224"/>
      <c r="X17" s="149" t="s">
        <v>198</v>
      </c>
      <c r="Y17" s="127">
        <f>VLOOKUP(ROUND(Y16,1),X4:Y14,2,FALSE)</f>
        <v>2.2229999999999999</v>
      </c>
      <c r="Z17" s="6"/>
      <c r="AA17" s="6"/>
      <c r="AB17" s="154"/>
      <c r="AC17" s="154"/>
      <c r="AD17" s="154"/>
      <c r="AE17" s="154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</row>
    <row r="18" spans="1:245" s="3" customFormat="1" ht="15" customHeight="1" x14ac:dyDescent="0.25">
      <c r="A18" s="15"/>
      <c r="B18" s="15"/>
      <c r="C18" s="15"/>
      <c r="D18" s="15"/>
      <c r="E18" s="15"/>
      <c r="F18" s="15"/>
      <c r="G18" s="215"/>
      <c r="H18" s="60" t="s">
        <v>197</v>
      </c>
      <c r="I18" s="128">
        <f>SQRT(3.14159^2/(I17))</f>
        <v>2.2767536098692194</v>
      </c>
      <c r="J18" s="224"/>
      <c r="K18" s="8"/>
      <c r="L18" s="14" t="e">
        <f>0.605*'Alternative 1'!$B$22*('Alternative 1'!#REF!/'Alternative 1'!$K18)</f>
        <v>#REF!</v>
      </c>
      <c r="M18" s="14" t="e">
        <f>0.83/SQRT(1+0.01*('Alternative 1'!$K18/'Alternative 1'!#REF!))</f>
        <v>#REF!</v>
      </c>
      <c r="N18" s="14" t="e">
        <f t="shared" si="2"/>
        <v>#REF!</v>
      </c>
      <c r="O18" s="14" t="e">
        <f>'Alternative 1'!$B$20*(1-0.4123*(('Alternative 1'!$B$20/(N18*L18))^0.6))</f>
        <v>#REF!</v>
      </c>
      <c r="P18" s="14" t="e">
        <f>O18/'Alternative 1'!$B$23</f>
        <v>#REF!</v>
      </c>
      <c r="Q18" s="228"/>
      <c r="R18" s="148" t="s">
        <v>197</v>
      </c>
      <c r="S18" s="128">
        <f>SQRT(3.14159^2/(S17))</f>
        <v>2.1070739335506223</v>
      </c>
      <c r="T18" s="224"/>
      <c r="U18" s="148" t="s">
        <v>197</v>
      </c>
      <c r="V18" s="128">
        <f>SQRT(3.14159^2/(V17))</f>
        <v>2.1070739335506223</v>
      </c>
      <c r="W18" s="224"/>
      <c r="X18" s="148" t="s">
        <v>197</v>
      </c>
      <c r="Y18" s="128">
        <f>SQRT(3.14159^2/(Y17))</f>
        <v>2.1070739335506223</v>
      </c>
      <c r="Z18" s="6"/>
      <c r="AA18" s="6"/>
      <c r="AB18" s="154"/>
      <c r="AC18" s="155"/>
      <c r="AD18" s="155"/>
      <c r="AE18" s="155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</row>
    <row r="19" spans="1:245" s="3" customFormat="1" ht="15" customHeight="1" x14ac:dyDescent="0.25">
      <c r="A19" s="15"/>
      <c r="B19" s="15"/>
      <c r="C19" s="15"/>
      <c r="D19" s="15"/>
      <c r="E19" s="15"/>
      <c r="F19" s="15"/>
      <c r="G19" s="215"/>
      <c r="H19" s="125" t="s">
        <v>199</v>
      </c>
      <c r="I19" s="128">
        <f>(I18*'Baseline Given'!$B$27)/'Baseline Given'!$L3</f>
        <v>436.59027690163748</v>
      </c>
      <c r="J19" s="224"/>
      <c r="K19" s="8"/>
      <c r="L19" s="14" t="e">
        <f>0.605*'Alternative 1'!$B$22*('Alternative 1'!#REF!/'Alternative 1'!$K19)</f>
        <v>#REF!</v>
      </c>
      <c r="M19" s="14" t="e">
        <f>0.83/SQRT(1+0.01*('Alternative 1'!$K19/'Alternative 1'!#REF!))</f>
        <v>#REF!</v>
      </c>
      <c r="N19" s="14" t="e">
        <f t="shared" si="2"/>
        <v>#REF!</v>
      </c>
      <c r="O19" s="14" t="e">
        <f>'Alternative 1'!$B$20*(1-0.4123*(('Alternative 1'!$B$20/(N19*L19))^0.6))</f>
        <v>#REF!</v>
      </c>
      <c r="P19" s="14" t="e">
        <f>O19/'Alternative 1'!$B$23</f>
        <v>#REF!</v>
      </c>
      <c r="Q19" s="228"/>
      <c r="R19" s="150" t="s">
        <v>199</v>
      </c>
      <c r="S19" s="128">
        <f>(S18*'Alternative 1'!$B$26)/('Alternative 1'!$L$3)</f>
        <v>570.54133028275078</v>
      </c>
      <c r="T19" s="224"/>
      <c r="U19" s="150" t="s">
        <v>199</v>
      </c>
      <c r="V19" s="128">
        <f>(V18*'Alternative 2'!$B$26)/('Alternative 2'!$L$3)</f>
        <v>1142.6792371276094</v>
      </c>
      <c r="W19" s="224"/>
      <c r="X19" s="150" t="s">
        <v>199</v>
      </c>
      <c r="Y19" s="128">
        <f>(Y18*'Alternative 3'!$B$26)/('Alternative 3'!$L$3)</f>
        <v>1134.0389404385537</v>
      </c>
      <c r="Z19" s="6"/>
      <c r="AA19" s="6"/>
      <c r="AB19" s="154"/>
      <c r="AC19" s="155"/>
      <c r="AD19" s="155"/>
      <c r="AE19" s="155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</row>
    <row r="20" spans="1:245" s="3" customFormat="1" ht="15" customHeight="1" x14ac:dyDescent="0.25">
      <c r="A20" s="15"/>
      <c r="B20" s="15"/>
      <c r="C20" s="15"/>
      <c r="D20" s="15"/>
      <c r="E20" s="15"/>
      <c r="F20" s="15"/>
      <c r="G20" s="215"/>
      <c r="H20" s="125" t="s">
        <v>223</v>
      </c>
      <c r="I20" s="128">
        <f>((3.14159^2)*200000)/(I19)^2</f>
        <v>10.355734044252555</v>
      </c>
      <c r="J20" s="224"/>
      <c r="K20" s="8"/>
      <c r="L20" s="14" t="e">
        <f>0.605*'Alternative 1'!$B$22*('Alternative 1'!#REF!/'Alternative 1'!$K20)</f>
        <v>#REF!</v>
      </c>
      <c r="M20" s="14" t="e">
        <f>0.83/SQRT(1+0.01*('Alternative 1'!$K20/'Alternative 1'!#REF!))</f>
        <v>#REF!</v>
      </c>
      <c r="N20" s="14" t="e">
        <f t="shared" si="2"/>
        <v>#REF!</v>
      </c>
      <c r="O20" s="14" t="e">
        <f>'Alternative 1'!$B$20*(1-0.4123*(('Alternative 1'!$B$20/(N20*L20))^0.6))</f>
        <v>#REF!</v>
      </c>
      <c r="P20" s="14" t="e">
        <f>O20/'Alternative 1'!$B$23</f>
        <v>#REF!</v>
      </c>
      <c r="Q20" s="228"/>
      <c r="R20" s="125" t="s">
        <v>223</v>
      </c>
      <c r="S20" s="128">
        <f>((3.14159^2)*29000)/(S19)^2</f>
        <v>0.87927107954399819</v>
      </c>
      <c r="T20" s="224"/>
      <c r="U20" s="125" t="s">
        <v>223</v>
      </c>
      <c r="V20" s="128">
        <f>((3.14159^2)*29000)/(V19)^2</f>
        <v>0.21920393057521331</v>
      </c>
      <c r="W20" s="224"/>
      <c r="X20" s="125" t="s">
        <v>223</v>
      </c>
      <c r="Y20" s="128">
        <f>((3.14159^2)*29000)/(Y19)^2</f>
        <v>0.22255690570920006</v>
      </c>
      <c r="Z20" s="6"/>
      <c r="AA20" s="6"/>
      <c r="AB20" s="154"/>
      <c r="AC20" s="155"/>
      <c r="AD20" s="155"/>
      <c r="AE20" s="155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</row>
    <row r="21" spans="1:245" s="3" customFormat="1" ht="15" customHeight="1" x14ac:dyDescent="0.25">
      <c r="A21" s="15"/>
      <c r="B21" s="15"/>
      <c r="C21" s="15"/>
      <c r="D21" s="15"/>
      <c r="E21" s="15"/>
      <c r="F21" s="15"/>
      <c r="G21" s="215"/>
      <c r="H21" s="150" t="s">
        <v>200</v>
      </c>
      <c r="I21" s="128">
        <f>0.877*I20</f>
        <v>9.081978756809491</v>
      </c>
      <c r="J21" s="224"/>
      <c r="K21" s="8"/>
      <c r="L21" s="14"/>
      <c r="M21" s="14"/>
      <c r="N21" s="14"/>
      <c r="O21" s="14"/>
      <c r="P21" s="14"/>
      <c r="Q21" s="228"/>
      <c r="R21" s="150" t="s">
        <v>200</v>
      </c>
      <c r="S21" s="128">
        <f>0.877*S20</f>
        <v>0.77112073676008641</v>
      </c>
      <c r="T21" s="224"/>
      <c r="U21" s="150" t="s">
        <v>200</v>
      </c>
      <c r="V21" s="128">
        <f>0.877*V20</f>
        <v>0.19224184711446207</v>
      </c>
      <c r="W21" s="224"/>
      <c r="X21" s="150" t="s">
        <v>200</v>
      </c>
      <c r="Y21" s="128">
        <f>0.877*Y20</f>
        <v>0.19518240630696845</v>
      </c>
      <c r="Z21" s="6"/>
      <c r="AA21" s="6"/>
      <c r="AB21" s="154"/>
      <c r="AC21" s="155"/>
      <c r="AD21" s="155"/>
      <c r="AE21" s="155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</row>
    <row r="22" spans="1:245" s="3" customFormat="1" ht="15" customHeight="1" x14ac:dyDescent="0.25">
      <c r="A22" s="15"/>
      <c r="B22" s="15"/>
      <c r="C22" s="15"/>
      <c r="D22" s="15"/>
      <c r="E22" s="15"/>
      <c r="F22" s="15"/>
      <c r="G22" s="215"/>
      <c r="H22" s="125" t="s">
        <v>201</v>
      </c>
      <c r="I22" s="128">
        <f>I21/1.67</f>
        <v>5.4383106328200546</v>
      </c>
      <c r="J22" s="224"/>
      <c r="K22" s="8"/>
      <c r="L22" s="14" t="e">
        <f>0.605*'Alternative 1'!$B$22*('Alternative 1'!#REF!/'Alternative 1'!$K21)</f>
        <v>#REF!</v>
      </c>
      <c r="M22" s="14" t="e">
        <f>0.83/SQRT(1+0.01*('Alternative 1'!$K21/'Alternative 1'!#REF!))</f>
        <v>#REF!</v>
      </c>
      <c r="N22" s="14" t="e">
        <f t="shared" si="2"/>
        <v>#REF!</v>
      </c>
      <c r="O22" s="14" t="e">
        <f>'Alternative 1'!$B$20*(1-0.4123*(('Alternative 1'!$B$20/(N22*L22))^0.6))</f>
        <v>#REF!</v>
      </c>
      <c r="P22" s="14" t="e">
        <f>O22/'Alternative 1'!$B$23</f>
        <v>#REF!</v>
      </c>
      <c r="Q22" s="228"/>
      <c r="R22" s="150" t="s">
        <v>201</v>
      </c>
      <c r="S22" s="128">
        <f>S21/1.67</f>
        <v>0.46174894416771645</v>
      </c>
      <c r="T22" s="224"/>
      <c r="U22" s="150" t="s">
        <v>201</v>
      </c>
      <c r="V22" s="128">
        <f>V21/1.67</f>
        <v>0.11511487851165395</v>
      </c>
      <c r="W22" s="224"/>
      <c r="X22" s="150" t="s">
        <v>201</v>
      </c>
      <c r="Y22" s="128">
        <f>Y21/1.67</f>
        <v>0.11687569239938231</v>
      </c>
      <c r="Z22" s="6"/>
      <c r="AA22" s="6"/>
      <c r="AB22" s="154"/>
      <c r="AC22" s="155"/>
      <c r="AD22" s="155"/>
      <c r="AE22" s="155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</row>
    <row r="23" spans="1:245" s="3" customFormat="1" ht="15" customHeight="1" x14ac:dyDescent="0.25">
      <c r="A23" s="15"/>
      <c r="B23" s="15"/>
      <c r="C23" s="15"/>
      <c r="D23" s="15"/>
      <c r="E23" s="15"/>
      <c r="F23" s="15"/>
      <c r="G23" s="215"/>
      <c r="H23" s="60" t="s">
        <v>209</v>
      </c>
      <c r="I23" s="66">
        <f>'Combined Stress'!I3</f>
        <v>0.18457056086714724</v>
      </c>
      <c r="J23" s="224"/>
      <c r="K23" s="8"/>
      <c r="L23" s="14" t="e">
        <f>0.605*'Alternative 1'!$B$22*('Alternative 1'!#REF!/'Alternative 1'!$K22)</f>
        <v>#REF!</v>
      </c>
      <c r="M23" s="14" t="e">
        <f>0.83/SQRT(1+0.01*('Alternative 1'!$K22/'Alternative 1'!#REF!))</f>
        <v>#REF!</v>
      </c>
      <c r="N23" s="14" t="e">
        <f t="shared" si="2"/>
        <v>#REF!</v>
      </c>
      <c r="O23" s="14" t="e">
        <f>'Alternative 1'!$B$20*(1-0.4123*(('Alternative 1'!$B$20/(N23*L23))^0.6))</f>
        <v>#REF!</v>
      </c>
      <c r="P23" s="14" t="e">
        <f>O23/'Alternative 1'!$B$23</f>
        <v>#REF!</v>
      </c>
      <c r="Q23" s="228"/>
      <c r="R23" s="60" t="s">
        <v>209</v>
      </c>
      <c r="S23" s="66">
        <f>'Combined Stress'!U3</f>
        <v>0.10062315716977011</v>
      </c>
      <c r="T23" s="224"/>
      <c r="U23" s="60" t="s">
        <v>209</v>
      </c>
      <c r="V23" s="66">
        <f>'Combined Stress'!AF3</f>
        <v>0.10003579700000188</v>
      </c>
      <c r="W23" s="224"/>
      <c r="X23" s="60" t="s">
        <v>209</v>
      </c>
      <c r="Y23" s="66">
        <f>'Combined Stress'!AQ3</f>
        <v>9.9260252997995818E-2</v>
      </c>
      <c r="Z23" s="6"/>
      <c r="AA23" s="6"/>
      <c r="AB23" s="154"/>
      <c r="AC23" s="155"/>
      <c r="AD23" s="155"/>
      <c r="AE23" s="155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</row>
    <row r="24" spans="1:245" s="2" customFormat="1" ht="15" customHeight="1" x14ac:dyDescent="0.25">
      <c r="A24" s="15"/>
      <c r="B24" s="15"/>
      <c r="C24" s="15"/>
      <c r="D24" s="15"/>
      <c r="E24" s="15"/>
      <c r="F24" s="15"/>
      <c r="G24" s="15"/>
      <c r="H24" s="15"/>
      <c r="I24" s="118"/>
      <c r="J24" s="118"/>
      <c r="K24" s="8"/>
      <c r="L24" s="14" t="e">
        <f>0.605*'Alternative 1'!$B$22*('Alternative 1'!#REF!/'Alternative 1'!$K23)</f>
        <v>#REF!</v>
      </c>
      <c r="M24" s="14" t="e">
        <f>0.83/SQRT(1+0.01*('Alternative 1'!$K23/'Alternative 1'!#REF!))</f>
        <v>#REF!</v>
      </c>
      <c r="N24" s="14" t="e">
        <f t="shared" si="2"/>
        <v>#REF!</v>
      </c>
      <c r="O24" s="14" t="e">
        <f>'Alternative 1'!$B$20*(1-0.4123*(('Alternative 1'!$B$20/(N24*L24))^0.6))</f>
        <v>#REF!</v>
      </c>
      <c r="P24" s="14" t="e">
        <f>O24/'Alternative 1'!$B$23</f>
        <v>#REF!</v>
      </c>
      <c r="Q24" s="228"/>
      <c r="R24" s="126"/>
      <c r="S24" s="118"/>
      <c r="T24" s="118"/>
      <c r="U24" s="118"/>
      <c r="V24" s="118"/>
      <c r="W24" s="118"/>
      <c r="X24" s="118"/>
      <c r="Y24" s="6"/>
      <c r="Z24" s="6"/>
      <c r="AA24" s="6"/>
      <c r="AB24" s="154"/>
      <c r="AC24" s="155"/>
      <c r="AD24" s="155"/>
      <c r="AE24" s="155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</row>
    <row r="25" spans="1:245" s="2" customFormat="1" ht="15" customHeight="1" x14ac:dyDescent="0.25">
      <c r="A25" s="15"/>
      <c r="B25" s="15"/>
      <c r="C25" s="15"/>
      <c r="D25" s="15"/>
      <c r="E25" s="15"/>
      <c r="F25" s="15"/>
      <c r="G25" s="15"/>
      <c r="H25" s="15"/>
      <c r="I25" s="118"/>
      <c r="J25" s="118"/>
      <c r="K25" s="8"/>
      <c r="L25" s="14" t="e">
        <f>0.605*'Alternative 1'!$B$22*('Alternative 1'!#REF!/'Alternative 1'!$K24)</f>
        <v>#REF!</v>
      </c>
      <c r="M25" s="14" t="e">
        <f>0.83/SQRT(1+0.01*('Alternative 1'!$K24/'Alternative 1'!#REF!))</f>
        <v>#REF!</v>
      </c>
      <c r="N25" s="14" t="e">
        <f t="shared" si="2"/>
        <v>#REF!</v>
      </c>
      <c r="O25" s="14" t="e">
        <f>'Alternative 1'!$B$20*(1-0.4123*(('Alternative 1'!$B$20/(N25*L25))^0.6))</f>
        <v>#REF!</v>
      </c>
      <c r="P25" s="14" t="e">
        <f>O25/'Alternative 1'!$B$23</f>
        <v>#REF!</v>
      </c>
      <c r="Q25" s="228"/>
      <c r="R25" s="118"/>
      <c r="S25" s="118"/>
      <c r="T25" s="118"/>
      <c r="U25" s="118"/>
      <c r="V25" s="118"/>
      <c r="W25" s="118"/>
      <c r="X25" s="118"/>
      <c r="Y25" s="6"/>
      <c r="Z25" s="6"/>
      <c r="AA25" s="6"/>
      <c r="AB25" s="154"/>
      <c r="AC25" s="155"/>
      <c r="AD25" s="155"/>
      <c r="AE25" s="155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</row>
    <row r="26" spans="1:245" s="2" customFormat="1" ht="15" customHeight="1" x14ac:dyDescent="0.25">
      <c r="A26" s="15"/>
      <c r="B26" s="15"/>
      <c r="C26" s="15"/>
      <c r="D26" s="15"/>
      <c r="E26" s="15"/>
      <c r="F26" s="15"/>
      <c r="G26" s="15"/>
      <c r="H26" s="15"/>
      <c r="I26" s="118"/>
      <c r="J26" s="118"/>
      <c r="K26" s="8"/>
      <c r="L26" s="14" t="e">
        <f>0.605*'Alternative 1'!$B$22*('Alternative 1'!#REF!/'Alternative 1'!$K25)</f>
        <v>#REF!</v>
      </c>
      <c r="M26" s="14" t="e">
        <f>0.83/SQRT(1+0.01*('Alternative 1'!$K25/'Alternative 1'!#REF!))</f>
        <v>#REF!</v>
      </c>
      <c r="N26" s="14" t="e">
        <f t="shared" si="2"/>
        <v>#REF!</v>
      </c>
      <c r="O26" s="14" t="e">
        <f>'Alternative 1'!$B$20*(1-0.4123*(('Alternative 1'!$B$20/(N26*L26))^0.6))</f>
        <v>#REF!</v>
      </c>
      <c r="P26" s="14" t="e">
        <f>O26/'Alternative 1'!$B$23</f>
        <v>#REF!</v>
      </c>
      <c r="Q26" s="228"/>
      <c r="R26" s="118"/>
      <c r="S26" s="118"/>
      <c r="T26" s="118"/>
      <c r="U26" s="118"/>
      <c r="V26" s="118"/>
      <c r="W26" s="118"/>
      <c r="X26" s="118"/>
      <c r="Y26" s="6"/>
      <c r="Z26" s="6"/>
      <c r="AA26" s="6"/>
      <c r="AB26" s="154"/>
      <c r="AC26" s="154"/>
      <c r="AD26" s="154"/>
      <c r="AE26" s="154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</row>
    <row r="27" spans="1:245" s="2" customFormat="1" ht="15" customHeight="1" x14ac:dyDescent="0.25">
      <c r="A27" s="15"/>
      <c r="B27" s="15"/>
      <c r="C27" s="15"/>
      <c r="D27" s="15"/>
      <c r="E27" s="15"/>
      <c r="F27" s="15"/>
      <c r="G27" s="15"/>
      <c r="H27" s="15"/>
      <c r="I27" s="118"/>
      <c r="J27" s="118"/>
      <c r="K27" s="8"/>
      <c r="L27" s="14" t="e">
        <f>0.605*'Alternative 1'!$B$22*('Alternative 1'!#REF!/'Alternative 1'!$K26)</f>
        <v>#REF!</v>
      </c>
      <c r="M27" s="14" t="e">
        <f>0.83/SQRT(1+0.01*('Alternative 1'!$K26/'Alternative 1'!#REF!))</f>
        <v>#REF!</v>
      </c>
      <c r="N27" s="14" t="e">
        <f t="shared" si="2"/>
        <v>#REF!</v>
      </c>
      <c r="O27" s="14" t="e">
        <f>'Alternative 1'!$B$20*(1-0.4123*(('Alternative 1'!$B$20/(N27*L27))^0.6))</f>
        <v>#REF!</v>
      </c>
      <c r="P27" s="14" t="e">
        <f>O27/'Alternative 1'!$B$23</f>
        <v>#REF!</v>
      </c>
      <c r="Q27" s="228"/>
      <c r="R27" s="118"/>
      <c r="S27" s="118"/>
      <c r="T27" s="118"/>
      <c r="U27" s="118"/>
      <c r="V27" s="118"/>
      <c r="W27" s="118"/>
      <c r="X27" s="118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</row>
    <row r="28" spans="1:245" s="2" customFormat="1" ht="15" customHeight="1" x14ac:dyDescent="0.25">
      <c r="A28" s="15"/>
      <c r="B28" s="15"/>
      <c r="C28" s="15"/>
      <c r="D28" s="15"/>
      <c r="E28" s="15"/>
      <c r="F28" s="15"/>
      <c r="G28" s="15"/>
      <c r="H28" s="15"/>
      <c r="I28" s="118"/>
      <c r="J28" s="118"/>
      <c r="K28" s="8"/>
      <c r="L28" s="14" t="e">
        <f>0.605*'Alternative 1'!$B$22*('Alternative 1'!#REF!/'Alternative 1'!$K27)</f>
        <v>#REF!</v>
      </c>
      <c r="M28" s="14" t="e">
        <f>0.83/SQRT(1+0.01*('Alternative 1'!$K27/'Alternative 1'!#REF!))</f>
        <v>#REF!</v>
      </c>
      <c r="N28" s="14" t="e">
        <f t="shared" si="2"/>
        <v>#REF!</v>
      </c>
      <c r="O28" s="14" t="e">
        <f>'Alternative 1'!$B$20*(1-0.4123*(('Alternative 1'!$B$20/(N28*L28))^0.6))</f>
        <v>#REF!</v>
      </c>
      <c r="P28" s="14" t="e">
        <f>O28/'Alternative 1'!$B$23</f>
        <v>#REF!</v>
      </c>
      <c r="Q28" s="228"/>
      <c r="R28" s="118"/>
      <c r="S28" s="118"/>
      <c r="T28" s="118"/>
      <c r="U28" s="118"/>
      <c r="V28" s="118"/>
      <c r="W28" s="118"/>
      <c r="X28" s="118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</row>
    <row r="29" spans="1:245" s="2" customFormat="1" ht="15" customHeight="1" x14ac:dyDescent="0.25">
      <c r="A29" s="15"/>
      <c r="B29" s="15"/>
      <c r="C29" s="15"/>
      <c r="D29" s="15"/>
      <c r="E29" s="15"/>
      <c r="F29" s="15"/>
      <c r="G29" s="15"/>
      <c r="H29" s="15"/>
      <c r="I29" s="118"/>
      <c r="J29" s="118"/>
      <c r="K29" s="8"/>
      <c r="L29" s="14" t="e">
        <f>0.605*'Alternative 1'!$B$22*('Alternative 1'!#REF!/'Alternative 1'!$K28)</f>
        <v>#REF!</v>
      </c>
      <c r="M29" s="14" t="e">
        <f>0.83/SQRT(1+0.01*('Alternative 1'!$K28/'Alternative 1'!#REF!))</f>
        <v>#REF!</v>
      </c>
      <c r="N29" s="14" t="e">
        <f t="shared" si="2"/>
        <v>#REF!</v>
      </c>
      <c r="O29" s="14" t="e">
        <f>'Alternative 1'!$B$20*(1-0.4123*(('Alternative 1'!$B$20/(N29*L29))^0.6))</f>
        <v>#REF!</v>
      </c>
      <c r="P29" s="14" t="e">
        <f>O29/'Alternative 1'!$B$23</f>
        <v>#REF!</v>
      </c>
      <c r="Q29" s="228"/>
      <c r="R29" s="118"/>
      <c r="S29" s="118"/>
      <c r="T29" s="118"/>
      <c r="U29" s="118"/>
      <c r="V29" s="118"/>
      <c r="W29" s="118"/>
      <c r="X29" s="118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</row>
    <row r="30" spans="1:245" s="2" customFormat="1" ht="15" customHeight="1" x14ac:dyDescent="0.25">
      <c r="A30" s="15"/>
      <c r="B30" s="15"/>
      <c r="C30" s="15"/>
      <c r="D30" s="15"/>
      <c r="E30" s="15"/>
      <c r="F30" s="15"/>
      <c r="G30" s="15"/>
      <c r="H30" s="15"/>
      <c r="I30" s="118"/>
      <c r="J30" s="118"/>
      <c r="K30" s="8"/>
      <c r="L30" s="14" t="e">
        <f>0.605*'Alternative 1'!$B$22*('Alternative 1'!#REF!/'Alternative 1'!$K29)</f>
        <v>#REF!</v>
      </c>
      <c r="M30" s="14" t="e">
        <f>0.83/SQRT(1+0.01*('Alternative 1'!$K29/'Alternative 1'!#REF!))</f>
        <v>#REF!</v>
      </c>
      <c r="N30" s="14" t="e">
        <f t="shared" si="2"/>
        <v>#REF!</v>
      </c>
      <c r="O30" s="14" t="e">
        <f>'Alternative 1'!$B$20*(1-0.4123*(('Alternative 1'!$B$20/(N30*L30))^0.6))</f>
        <v>#REF!</v>
      </c>
      <c r="P30" s="14" t="e">
        <f>O30/'Alternative 1'!$B$23</f>
        <v>#REF!</v>
      </c>
      <c r="Q30" s="228"/>
      <c r="R30" s="118"/>
      <c r="S30" s="118"/>
      <c r="T30" s="118"/>
      <c r="U30" s="118"/>
      <c r="V30" s="118"/>
      <c r="W30" s="118"/>
      <c r="X30" s="118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</row>
    <row r="31" spans="1:245" s="2" customFormat="1" ht="15" customHeight="1" x14ac:dyDescent="0.25">
      <c r="A31" s="15"/>
      <c r="B31" s="15"/>
      <c r="C31" s="15"/>
      <c r="D31" s="15"/>
      <c r="E31" s="15"/>
      <c r="F31" s="15"/>
      <c r="G31" s="15"/>
      <c r="H31" s="15"/>
      <c r="I31" s="118"/>
      <c r="J31" s="118"/>
      <c r="K31" s="8"/>
      <c r="L31" s="14" t="e">
        <f>0.605*'Alternative 1'!$B$22*('Alternative 1'!#REF!/'Alternative 1'!$K30)</f>
        <v>#REF!</v>
      </c>
      <c r="M31" s="14" t="e">
        <f>0.83/SQRT(1+0.01*('Alternative 1'!$K30/'Alternative 1'!#REF!))</f>
        <v>#REF!</v>
      </c>
      <c r="N31" s="14" t="e">
        <f t="shared" si="2"/>
        <v>#REF!</v>
      </c>
      <c r="O31" s="14" t="e">
        <f>'Alternative 1'!$B$20*(1-0.4123*(('Alternative 1'!$B$20/(N31*L31))^0.6))</f>
        <v>#REF!</v>
      </c>
      <c r="P31" s="14" t="e">
        <f>O31/'Alternative 1'!$B$23</f>
        <v>#REF!</v>
      </c>
      <c r="Q31" s="228"/>
      <c r="R31" s="118"/>
      <c r="S31" s="118"/>
      <c r="T31" s="118"/>
      <c r="U31" s="118"/>
      <c r="V31" s="118"/>
      <c r="W31" s="118"/>
      <c r="X31" s="118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</row>
    <row r="32" spans="1:245" s="2" customFormat="1" ht="15" customHeight="1" x14ac:dyDescent="0.25">
      <c r="A32" s="15"/>
      <c r="B32" s="15"/>
      <c r="C32" s="15"/>
      <c r="D32" s="15"/>
      <c r="E32" s="15"/>
      <c r="F32" s="15"/>
      <c r="G32" s="15"/>
      <c r="H32" s="15"/>
      <c r="I32" s="118"/>
      <c r="J32" s="118"/>
      <c r="K32" s="8"/>
      <c r="L32" s="14" t="e">
        <f>0.605*'Alternative 1'!$B$22*('Alternative 1'!#REF!/'Alternative 1'!$K31)</f>
        <v>#REF!</v>
      </c>
      <c r="M32" s="14" t="e">
        <f>0.83/SQRT(1+0.01*('Alternative 1'!$K31/'Alternative 1'!#REF!))</f>
        <v>#REF!</v>
      </c>
      <c r="N32" s="14" t="e">
        <f t="shared" si="2"/>
        <v>#REF!</v>
      </c>
      <c r="O32" s="14" t="e">
        <f>'Alternative 1'!$B$20*(1-0.4123*(('Alternative 1'!$B$20/(N32*L32))^0.6))</f>
        <v>#REF!</v>
      </c>
      <c r="P32" s="14" t="e">
        <f>O32/'Alternative 1'!$B$23</f>
        <v>#REF!</v>
      </c>
      <c r="Q32" s="228"/>
      <c r="R32" s="118"/>
      <c r="S32" s="118"/>
      <c r="T32" s="118"/>
      <c r="U32" s="118"/>
      <c r="V32" s="118"/>
      <c r="W32" s="118"/>
      <c r="X32" s="118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</row>
    <row r="33" spans="1:245" s="2" customFormat="1" ht="15" customHeight="1" x14ac:dyDescent="0.25">
      <c r="A33" s="15"/>
      <c r="B33" s="15"/>
      <c r="C33" s="15"/>
      <c r="D33" s="15"/>
      <c r="E33" s="15"/>
      <c r="F33" s="15"/>
      <c r="G33" s="15"/>
      <c r="H33" s="15"/>
      <c r="I33" s="118"/>
      <c r="J33" s="118"/>
      <c r="K33" s="8"/>
      <c r="L33" s="14" t="e">
        <f>0.605*'Alternative 1'!$B$22*('Alternative 1'!#REF!/'Alternative 1'!$K32)</f>
        <v>#REF!</v>
      </c>
      <c r="M33" s="14" t="e">
        <f>0.83/SQRT(1+0.01*('Alternative 1'!$K32/'Alternative 1'!#REF!))</f>
        <v>#REF!</v>
      </c>
      <c r="N33" s="14" t="e">
        <f t="shared" si="2"/>
        <v>#REF!</v>
      </c>
      <c r="O33" s="14" t="e">
        <f>'Alternative 1'!$B$20*(1-0.4123*(('Alternative 1'!$B$20/(N33*L33))^0.6))</f>
        <v>#REF!</v>
      </c>
      <c r="P33" s="14" t="e">
        <f>O33/'Alternative 1'!$B$23</f>
        <v>#REF!</v>
      </c>
      <c r="Q33" s="228"/>
      <c r="R33" s="118"/>
      <c r="S33" s="118"/>
      <c r="T33" s="118"/>
      <c r="U33" s="118"/>
      <c r="V33" s="118"/>
      <c r="W33" s="118"/>
      <c r="X33" s="118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</row>
    <row r="34" spans="1:245" s="2" customFormat="1" ht="15" customHeight="1" x14ac:dyDescent="0.25">
      <c r="A34" s="15"/>
      <c r="B34" s="15"/>
      <c r="C34" s="15"/>
      <c r="D34" s="15"/>
      <c r="E34" s="15"/>
      <c r="F34" s="15"/>
      <c r="G34" s="15"/>
      <c r="H34" s="15"/>
      <c r="I34" s="118"/>
      <c r="J34" s="118"/>
      <c r="K34" s="8"/>
      <c r="L34" s="14" t="e">
        <f>0.605*'Alternative 1'!$B$22*('Alternative 1'!#REF!/'Alternative 1'!$K33)</f>
        <v>#REF!</v>
      </c>
      <c r="M34" s="14" t="e">
        <f>0.83/SQRT(1+0.01*('Alternative 1'!$K33/'Alternative 1'!#REF!))</f>
        <v>#REF!</v>
      </c>
      <c r="N34" s="14" t="e">
        <f t="shared" si="2"/>
        <v>#REF!</v>
      </c>
      <c r="O34" s="14" t="e">
        <f>'Alternative 1'!$B$20*(1-0.4123*(('Alternative 1'!$B$20/(N34*L34))^0.6))</f>
        <v>#REF!</v>
      </c>
      <c r="P34" s="14" t="e">
        <f>O34/'Alternative 1'!$B$23</f>
        <v>#REF!</v>
      </c>
      <c r="Q34" s="228"/>
      <c r="R34" s="118"/>
      <c r="S34" s="118"/>
      <c r="T34" s="118"/>
      <c r="U34" s="118"/>
      <c r="V34" s="118"/>
      <c r="W34" s="118"/>
      <c r="X34" s="118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</row>
    <row r="35" spans="1:245" s="2" customFormat="1" ht="15" customHeight="1" x14ac:dyDescent="0.25">
      <c r="A35" s="15"/>
      <c r="B35" s="15"/>
      <c r="C35" s="15"/>
      <c r="D35" s="15"/>
      <c r="E35" s="15"/>
      <c r="F35" s="15"/>
      <c r="G35" s="15"/>
      <c r="H35" s="15"/>
      <c r="I35" s="118"/>
      <c r="J35" s="118"/>
      <c r="K35" s="8"/>
      <c r="L35" s="14" t="e">
        <f>0.605*'Alternative 1'!$B$22*('Alternative 1'!#REF!/'Alternative 1'!$K34)</f>
        <v>#REF!</v>
      </c>
      <c r="M35" s="14" t="e">
        <f>0.83/SQRT(1+0.01*('Alternative 1'!$K34/'Alternative 1'!#REF!))</f>
        <v>#REF!</v>
      </c>
      <c r="N35" s="14" t="e">
        <f t="shared" si="2"/>
        <v>#REF!</v>
      </c>
      <c r="O35" s="14" t="e">
        <f>'Alternative 1'!$B$20*(1-0.4123*(('Alternative 1'!$B$20/(N35*L35))^0.6))</f>
        <v>#REF!</v>
      </c>
      <c r="P35" s="14" t="e">
        <f>O35/'Alternative 1'!$B$23</f>
        <v>#REF!</v>
      </c>
      <c r="Q35" s="228"/>
      <c r="R35" s="118"/>
      <c r="S35" s="118"/>
      <c r="T35" s="118"/>
      <c r="U35" s="118"/>
      <c r="V35" s="118"/>
      <c r="W35" s="118"/>
      <c r="X35" s="118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</row>
    <row r="36" spans="1:245" s="2" customFormat="1" ht="15" customHeight="1" x14ac:dyDescent="0.25">
      <c r="A36" s="15"/>
      <c r="B36" s="15"/>
      <c r="C36" s="15"/>
      <c r="D36" s="15"/>
      <c r="E36" s="15"/>
      <c r="F36" s="15"/>
      <c r="G36" s="15"/>
      <c r="H36" s="15"/>
      <c r="I36" s="118"/>
      <c r="J36" s="118"/>
      <c r="K36" s="8"/>
      <c r="L36" s="14" t="e">
        <f>0.605*'Alternative 1'!$B$22*('Alternative 1'!#REF!/'Alternative 1'!$K35)</f>
        <v>#REF!</v>
      </c>
      <c r="M36" s="14" t="e">
        <f>0.83/SQRT(1+0.01*('Alternative 1'!$K35/'Alternative 1'!#REF!))</f>
        <v>#REF!</v>
      </c>
      <c r="N36" s="14" t="e">
        <f t="shared" si="2"/>
        <v>#REF!</v>
      </c>
      <c r="O36" s="14" t="e">
        <f>'Alternative 1'!$B$20*(1-0.4123*(('Alternative 1'!$B$20/(N36*L36))^0.6))</f>
        <v>#REF!</v>
      </c>
      <c r="P36" s="14" t="e">
        <f>O36/'Alternative 1'!$B$23</f>
        <v>#REF!</v>
      </c>
      <c r="Q36" s="228"/>
      <c r="R36" s="118"/>
      <c r="S36" s="118"/>
      <c r="T36" s="118"/>
      <c r="U36" s="118"/>
      <c r="V36" s="118"/>
      <c r="W36" s="118"/>
      <c r="X36" s="118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</row>
    <row r="37" spans="1:245" s="2" customFormat="1" ht="15" customHeight="1" x14ac:dyDescent="0.25">
      <c r="A37" s="15"/>
      <c r="B37" s="15"/>
      <c r="C37" s="15"/>
      <c r="D37" s="15"/>
      <c r="E37" s="15"/>
      <c r="F37" s="15"/>
      <c r="G37" s="15"/>
      <c r="H37" s="15"/>
      <c r="I37" s="118"/>
      <c r="J37" s="118"/>
      <c r="K37" s="8"/>
      <c r="L37" s="14" t="e">
        <f>0.605*'Alternative 1'!$B$22*('Alternative 1'!#REF!/'Alternative 1'!$K36)</f>
        <v>#REF!</v>
      </c>
      <c r="M37" s="14" t="e">
        <f>0.83/SQRT(1+0.01*('Alternative 1'!$K36/'Alternative 1'!#REF!))</f>
        <v>#REF!</v>
      </c>
      <c r="N37" s="14" t="e">
        <f t="shared" si="2"/>
        <v>#REF!</v>
      </c>
      <c r="O37" s="14" t="e">
        <f>'Alternative 1'!$B$20*(1-0.4123*(('Alternative 1'!$B$20/(N37*L37))^0.6))</f>
        <v>#REF!</v>
      </c>
      <c r="P37" s="14" t="e">
        <f>O37/'Alternative 1'!$B$23</f>
        <v>#REF!</v>
      </c>
      <c r="Q37" s="228"/>
      <c r="R37" s="118"/>
      <c r="S37" s="118"/>
      <c r="T37" s="118"/>
      <c r="U37" s="118"/>
      <c r="V37" s="118"/>
      <c r="W37" s="118"/>
      <c r="X37" s="118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</row>
    <row r="38" spans="1:245" s="2" customFormat="1" ht="15" customHeight="1" x14ac:dyDescent="0.25">
      <c r="A38" s="15"/>
      <c r="B38" s="15"/>
      <c r="C38" s="15"/>
      <c r="D38" s="15"/>
      <c r="E38" s="15"/>
      <c r="F38" s="15"/>
      <c r="G38" s="15"/>
      <c r="H38" s="15"/>
      <c r="I38" s="118"/>
      <c r="J38" s="118"/>
      <c r="K38" s="8"/>
      <c r="L38" s="14" t="e">
        <f>0.605*'Alternative 1'!$B$22*('Alternative 1'!#REF!/'Alternative 1'!$K37)</f>
        <v>#REF!</v>
      </c>
      <c r="M38" s="14" t="e">
        <f>0.83/SQRT(1+0.01*('Alternative 1'!$K37/'Alternative 1'!#REF!))</f>
        <v>#REF!</v>
      </c>
      <c r="N38" s="14" t="e">
        <f t="shared" si="2"/>
        <v>#REF!</v>
      </c>
      <c r="O38" s="14" t="e">
        <f>'Alternative 1'!$B$20*(1-0.4123*(('Alternative 1'!$B$20/(N38*L38))^0.6))</f>
        <v>#REF!</v>
      </c>
      <c r="P38" s="14" t="e">
        <f>O38/'Alternative 1'!$B$23</f>
        <v>#REF!</v>
      </c>
      <c r="Q38" s="228"/>
      <c r="R38" s="118"/>
      <c r="S38" s="118"/>
      <c r="T38" s="118"/>
      <c r="U38" s="118"/>
      <c r="V38" s="118"/>
      <c r="W38" s="118"/>
      <c r="X38" s="118"/>
      <c r="Y38" s="118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</row>
    <row r="39" spans="1:245" s="2" customFormat="1" ht="15" customHeight="1" x14ac:dyDescent="0.25">
      <c r="A39" s="15"/>
      <c r="B39" s="15"/>
      <c r="C39" s="15"/>
      <c r="D39" s="15"/>
      <c r="E39" s="15"/>
      <c r="F39" s="15"/>
      <c r="G39" s="15"/>
      <c r="H39" s="15"/>
      <c r="I39" s="118"/>
      <c r="J39" s="118"/>
      <c r="K39" s="8"/>
      <c r="L39" s="14" t="e">
        <f>0.605*'Alternative 1'!$B$22*('Alternative 1'!#REF!/'Alternative 1'!$K38)</f>
        <v>#REF!</v>
      </c>
      <c r="M39" s="14" t="e">
        <f>0.83/SQRT(1+0.01*('Alternative 1'!$K38/'Alternative 1'!#REF!))</f>
        <v>#REF!</v>
      </c>
      <c r="N39" s="14" t="e">
        <f t="shared" si="2"/>
        <v>#REF!</v>
      </c>
      <c r="O39" s="14" t="e">
        <f>'Alternative 1'!$B$20*(1-0.4123*(('Alternative 1'!$B$20/(N39*L39))^0.6))</f>
        <v>#REF!</v>
      </c>
      <c r="P39" s="14" t="e">
        <f>O39/'Alternative 1'!$B$23</f>
        <v>#REF!</v>
      </c>
      <c r="Q39" s="228"/>
      <c r="R39" s="118"/>
      <c r="S39" s="118"/>
      <c r="T39" s="118"/>
      <c r="U39" s="118"/>
      <c r="V39" s="118"/>
      <c r="W39" s="118"/>
      <c r="X39" s="118"/>
      <c r="Y39" s="118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</row>
    <row r="40" spans="1:245" s="2" customFormat="1" ht="15" customHeight="1" x14ac:dyDescent="0.25">
      <c r="A40" s="15"/>
      <c r="B40" s="15"/>
      <c r="C40" s="15"/>
      <c r="D40" s="15"/>
      <c r="E40" s="15"/>
      <c r="F40" s="15"/>
      <c r="G40" s="15"/>
      <c r="H40" s="15"/>
      <c r="I40" s="118"/>
      <c r="J40" s="118"/>
      <c r="K40" s="8"/>
      <c r="L40" s="14" t="e">
        <f>0.605*'Alternative 1'!$B$22*('Alternative 1'!#REF!/'Alternative 1'!$K39)</f>
        <v>#REF!</v>
      </c>
      <c r="M40" s="14" t="e">
        <f>0.83/SQRT(1+0.01*('Alternative 1'!$K39/'Alternative 1'!#REF!))</f>
        <v>#REF!</v>
      </c>
      <c r="N40" s="14" t="e">
        <f t="shared" si="2"/>
        <v>#REF!</v>
      </c>
      <c r="O40" s="14" t="e">
        <f>'Alternative 1'!$B$20*(1-0.4123*(('Alternative 1'!$B$20/(N40*L40))^0.6))</f>
        <v>#REF!</v>
      </c>
      <c r="P40" s="14" t="e">
        <f>O40/'Alternative 1'!$B$23</f>
        <v>#REF!</v>
      </c>
      <c r="Q40" s="228"/>
      <c r="R40" s="118"/>
      <c r="S40" s="118"/>
      <c r="T40" s="118"/>
      <c r="U40" s="118"/>
      <c r="V40" s="118"/>
      <c r="W40" s="118"/>
      <c r="X40" s="118"/>
      <c r="Y40" s="118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</row>
    <row r="41" spans="1:245" s="2" customFormat="1" ht="15" customHeight="1" x14ac:dyDescent="0.25">
      <c r="A41" s="15"/>
      <c r="B41" s="15"/>
      <c r="C41" s="15"/>
      <c r="D41" s="15"/>
      <c r="E41" s="15"/>
      <c r="F41" s="15"/>
      <c r="G41" s="15"/>
      <c r="H41" s="15"/>
      <c r="I41" s="118"/>
      <c r="J41" s="118"/>
      <c r="K41" s="8"/>
      <c r="L41" s="14" t="e">
        <f>0.605*'Alternative 1'!$B$22*('Alternative 1'!#REF!/'Alternative 1'!$K40)</f>
        <v>#REF!</v>
      </c>
      <c r="M41" s="14" t="e">
        <f>0.83/SQRT(1+0.01*('Alternative 1'!$K40/'Alternative 1'!#REF!))</f>
        <v>#VALUE!</v>
      </c>
      <c r="N41" s="14" t="e">
        <f t="shared" si="2"/>
        <v>#VALUE!</v>
      </c>
      <c r="O41" s="14" t="e">
        <f>'Alternative 1'!$B$20*(1-0.4123*(('Alternative 1'!$B$20/(N41*L41))^0.6))</f>
        <v>#VALUE!</v>
      </c>
      <c r="P41" s="14" t="e">
        <f>O41/'Alternative 1'!$B$23</f>
        <v>#VALUE!</v>
      </c>
      <c r="Q41" s="228"/>
      <c r="R41" s="118"/>
      <c r="S41" s="118"/>
      <c r="T41" s="118"/>
      <c r="U41" s="118"/>
      <c r="V41" s="118"/>
      <c r="W41" s="118"/>
      <c r="X41" s="118"/>
      <c r="Y41" s="118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</row>
    <row r="42" spans="1:245" s="2" customFormat="1" ht="15" customHeight="1" x14ac:dyDescent="0.25">
      <c r="A42" s="15"/>
      <c r="B42" s="15"/>
      <c r="C42" s="15"/>
      <c r="D42" s="15"/>
      <c r="E42" s="15"/>
      <c r="F42" s="15"/>
      <c r="G42" s="15"/>
      <c r="H42" s="15"/>
      <c r="I42" s="118"/>
      <c r="J42" s="118"/>
      <c r="K42" s="8"/>
      <c r="L42" s="14" t="e">
        <f>0.605*'Alternative 1'!$B$22*('Alternative 1'!#REF!/'Alternative 1'!$K41)</f>
        <v>#REF!</v>
      </c>
      <c r="M42" s="14" t="e">
        <f>0.83/SQRT(1+0.01*('Alternative 1'!$K41/'Alternative 1'!#REF!))</f>
        <v>#VALUE!</v>
      </c>
      <c r="N42" s="14" t="e">
        <f t="shared" si="2"/>
        <v>#VALUE!</v>
      </c>
      <c r="O42" s="14" t="e">
        <f>'Alternative 1'!$B$20*(1-0.4123*(('Alternative 1'!$B$20/(N42*L42))^0.6))</f>
        <v>#VALUE!</v>
      </c>
      <c r="P42" s="14" t="e">
        <f>O42/'Alternative 1'!$B$23</f>
        <v>#VALUE!</v>
      </c>
      <c r="Q42" s="228"/>
      <c r="R42" s="118"/>
      <c r="S42" s="118"/>
      <c r="T42" s="118"/>
      <c r="U42" s="118"/>
      <c r="V42" s="118"/>
      <c r="W42" s="118"/>
      <c r="X42" s="118"/>
      <c r="Y42" s="118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</row>
    <row r="43" spans="1:245" s="2" customFormat="1" ht="15" customHeight="1" x14ac:dyDescent="0.25">
      <c r="A43" s="15"/>
      <c r="B43" s="15"/>
      <c r="C43" s="15"/>
      <c r="D43" s="15"/>
      <c r="E43" s="15"/>
      <c r="F43" s="15"/>
      <c r="G43" s="15"/>
      <c r="H43" s="15"/>
      <c r="I43" s="118"/>
      <c r="J43" s="118"/>
      <c r="K43" s="8"/>
      <c r="L43" s="14" t="e">
        <f>0.605*'Alternative 1'!$B$22*('Alternative 1'!#REF!/'Alternative 1'!$K42)</f>
        <v>#REF!</v>
      </c>
      <c r="M43" s="14" t="e">
        <f>0.83/SQRT(1+0.01*('Alternative 1'!$K42/'Alternative 1'!#REF!))</f>
        <v>#VALUE!</v>
      </c>
      <c r="N43" s="14" t="e">
        <f t="shared" si="2"/>
        <v>#VALUE!</v>
      </c>
      <c r="O43" s="14" t="e">
        <f>'Alternative 1'!$B$20*(1-0.4123*(('Alternative 1'!$B$20/(N43*L43))^0.6))</f>
        <v>#VALUE!</v>
      </c>
      <c r="P43" s="14" t="e">
        <f>O43/'Alternative 1'!$B$23</f>
        <v>#VALUE!</v>
      </c>
      <c r="Q43" s="228"/>
      <c r="R43" s="118"/>
      <c r="S43" s="118"/>
      <c r="T43" s="118"/>
      <c r="U43" s="118"/>
      <c r="V43" s="118"/>
      <c r="W43" s="118"/>
      <c r="X43" s="118"/>
      <c r="Y43" s="118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</row>
    <row r="44" spans="1:245" s="2" customFormat="1" ht="15" customHeight="1" x14ac:dyDescent="0.25">
      <c r="A44" s="15"/>
      <c r="B44" s="15"/>
      <c r="C44" s="15"/>
      <c r="D44" s="15"/>
      <c r="E44" s="15"/>
      <c r="F44" s="15"/>
      <c r="G44" s="15"/>
      <c r="H44" s="15"/>
      <c r="I44" s="118"/>
      <c r="J44" s="118"/>
      <c r="K44" s="8"/>
      <c r="L44" s="14" t="e">
        <f>0.605*'Alternative 1'!$B$22*('Alternative 1'!#REF!/'Alternative 1'!$K43)</f>
        <v>#REF!</v>
      </c>
      <c r="M44" s="14" t="e">
        <f>0.83/SQRT(1+0.01*('Alternative 1'!$K43/'Alternative 1'!#REF!))</f>
        <v>#VALUE!</v>
      </c>
      <c r="N44" s="14" t="e">
        <f t="shared" si="2"/>
        <v>#VALUE!</v>
      </c>
      <c r="O44" s="14" t="e">
        <f>'Alternative 1'!$B$20*(1-0.4123*(('Alternative 1'!$B$20/(N44*L44))^0.6))</f>
        <v>#VALUE!</v>
      </c>
      <c r="P44" s="14" t="e">
        <f>O44/'Alternative 1'!$B$23</f>
        <v>#VALUE!</v>
      </c>
      <c r="Q44" s="228"/>
      <c r="R44" s="118"/>
      <c r="S44" s="118"/>
      <c r="T44" s="118"/>
      <c r="U44" s="118"/>
      <c r="V44" s="118"/>
      <c r="W44" s="118"/>
      <c r="X44" s="118"/>
      <c r="Y44" s="118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</row>
    <row r="45" spans="1:245" s="2" customFormat="1" ht="15" customHeight="1" x14ac:dyDescent="0.25">
      <c r="A45" s="15"/>
      <c r="B45" s="15"/>
      <c r="C45" s="15"/>
      <c r="D45" s="15"/>
      <c r="E45" s="15"/>
      <c r="F45" s="15"/>
      <c r="G45" s="15"/>
      <c r="H45" s="15"/>
      <c r="I45" s="118"/>
      <c r="J45" s="118"/>
      <c r="K45" s="8"/>
      <c r="L45" s="14" t="e">
        <f>0.605*'Alternative 1'!$B$22*('Alternative 1'!#REF!/'Alternative 1'!$K44)</f>
        <v>#REF!</v>
      </c>
      <c r="M45" s="14" t="e">
        <f>0.83/SQRT(1+0.01*('Alternative 1'!$K44/'Alternative 1'!#REF!))</f>
        <v>#VALUE!</v>
      </c>
      <c r="N45" s="14" t="e">
        <f t="shared" si="2"/>
        <v>#VALUE!</v>
      </c>
      <c r="O45" s="14" t="e">
        <f>'Alternative 1'!$B$20*(1-0.4123*(('Alternative 1'!$B$20/(N45*L45))^0.6))</f>
        <v>#VALUE!</v>
      </c>
      <c r="P45" s="14" t="e">
        <f>O45/'Alternative 1'!$B$23</f>
        <v>#VALUE!</v>
      </c>
      <c r="Q45" s="228"/>
      <c r="R45" s="118"/>
      <c r="S45" s="118"/>
      <c r="T45" s="118"/>
      <c r="U45" s="118"/>
      <c r="V45" s="118"/>
      <c r="W45" s="118"/>
      <c r="X45" s="118"/>
      <c r="Y45" s="118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</row>
    <row r="46" spans="1:245" s="2" customFormat="1" ht="15" customHeight="1" x14ac:dyDescent="0.25">
      <c r="A46" s="15"/>
      <c r="B46" s="15"/>
      <c r="C46" s="15"/>
      <c r="D46" s="15"/>
      <c r="E46" s="15"/>
      <c r="F46" s="15"/>
      <c r="G46" s="15"/>
      <c r="H46" s="15"/>
      <c r="I46" s="118"/>
      <c r="J46" s="118"/>
      <c r="K46" s="8"/>
      <c r="L46" s="14" t="e">
        <f>0.605*'Alternative 1'!$B$22*('Alternative 1'!#REF!/'Alternative 1'!$K45)</f>
        <v>#REF!</v>
      </c>
      <c r="M46" s="14" t="e">
        <f>0.83/SQRT(1+0.01*('Alternative 1'!$K45/'Alternative 1'!#REF!))</f>
        <v>#VALUE!</v>
      </c>
      <c r="N46" s="14" t="e">
        <f t="shared" si="2"/>
        <v>#VALUE!</v>
      </c>
      <c r="O46" s="14" t="e">
        <f>'Alternative 1'!$B$20*(1-0.4123*(('Alternative 1'!$B$20/(N46*L46))^0.6))</f>
        <v>#VALUE!</v>
      </c>
      <c r="P46" s="14" t="e">
        <f>O46/'Alternative 1'!$B$23</f>
        <v>#VALUE!</v>
      </c>
      <c r="Q46" s="228"/>
      <c r="R46" s="118"/>
      <c r="S46" s="118"/>
      <c r="T46" s="118"/>
      <c r="U46" s="118"/>
      <c r="V46" s="118"/>
      <c r="W46" s="118"/>
      <c r="X46" s="118"/>
      <c r="Y46" s="118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</row>
    <row r="47" spans="1:245" s="2" customFormat="1" ht="15" customHeight="1" x14ac:dyDescent="0.25">
      <c r="A47" s="15"/>
      <c r="B47" s="15"/>
      <c r="C47" s="15"/>
      <c r="D47" s="15"/>
      <c r="E47" s="15"/>
      <c r="F47" s="15"/>
      <c r="G47" s="15"/>
      <c r="H47" s="15"/>
      <c r="I47" s="118"/>
      <c r="J47" s="118"/>
      <c r="K47" s="8"/>
      <c r="L47" s="14" t="e">
        <f>0.605*'Alternative 1'!$B$22*('Alternative 1'!#REF!/'Alternative 1'!$K46)</f>
        <v>#REF!</v>
      </c>
      <c r="M47" s="14" t="e">
        <f>0.83/SQRT(1+0.01*('Alternative 1'!$K46/'Alternative 1'!#REF!))</f>
        <v>#VALUE!</v>
      </c>
      <c r="N47" s="14" t="e">
        <f t="shared" si="2"/>
        <v>#VALUE!</v>
      </c>
      <c r="O47" s="14" t="e">
        <f>'Alternative 1'!$B$20*(1-0.4123*(('Alternative 1'!$B$20/(N47*L47))^0.6))</f>
        <v>#VALUE!</v>
      </c>
      <c r="P47" s="14" t="e">
        <f>O47/'Alternative 1'!$B$23</f>
        <v>#VALUE!</v>
      </c>
      <c r="Q47" s="228"/>
      <c r="R47" s="118"/>
      <c r="S47" s="118"/>
      <c r="T47" s="118"/>
      <c r="U47" s="118"/>
      <c r="V47" s="118"/>
      <c r="W47" s="118"/>
      <c r="X47" s="118"/>
      <c r="Y47" s="118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</row>
    <row r="48" spans="1:245" s="3" customFormat="1" ht="15" customHeight="1" x14ac:dyDescent="0.25">
      <c r="A48" s="15"/>
      <c r="B48" s="15"/>
      <c r="C48" s="15"/>
      <c r="D48" s="15"/>
      <c r="E48" s="15"/>
      <c r="F48" s="15"/>
      <c r="G48" s="15"/>
      <c r="H48" s="15"/>
      <c r="I48" s="118"/>
      <c r="J48" s="118"/>
      <c r="K48" s="8"/>
      <c r="L48" s="14" t="e">
        <f>0.605*'Alternative 1'!$B$22*('Alternative 1'!#REF!/'Alternative 1'!$K47)</f>
        <v>#REF!</v>
      </c>
      <c r="M48" s="14" t="e">
        <f>0.83/SQRT(1+0.01*('Alternative 1'!$K47/'Alternative 1'!#REF!))</f>
        <v>#VALUE!</v>
      </c>
      <c r="N48" s="14" t="e">
        <f t="shared" si="2"/>
        <v>#VALUE!</v>
      </c>
      <c r="O48" s="14" t="e">
        <f>'Alternative 1'!$B$20*(1-0.4123*(('Alternative 1'!$B$20/(N48*L48))^0.6))</f>
        <v>#VALUE!</v>
      </c>
      <c r="P48" s="14" t="e">
        <f>O48/'Alternative 1'!$B$23</f>
        <v>#VALUE!</v>
      </c>
      <c r="Q48" s="228"/>
      <c r="R48" s="118"/>
      <c r="S48" s="118"/>
      <c r="T48" s="118"/>
      <c r="U48" s="118"/>
      <c r="V48" s="118"/>
      <c r="W48" s="118"/>
      <c r="X48" s="118"/>
      <c r="Y48" s="118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</row>
    <row r="49" spans="1:245" s="3" customFormat="1" ht="15" customHeight="1" x14ac:dyDescent="0.25">
      <c r="A49" s="15"/>
      <c r="B49" s="15"/>
      <c r="C49" s="15"/>
      <c r="D49" s="15"/>
      <c r="E49" s="15"/>
      <c r="F49" s="15"/>
      <c r="G49" s="15"/>
      <c r="H49" s="15"/>
      <c r="I49" s="118"/>
      <c r="J49" s="118"/>
      <c r="K49" s="8"/>
      <c r="L49" s="14" t="e">
        <f>0.605*'Alternative 1'!$B$22*('Alternative 1'!#REF!/'Alternative 1'!$K48)</f>
        <v>#REF!</v>
      </c>
      <c r="M49" s="14" t="e">
        <f>0.83/SQRT(1+0.01*('Alternative 1'!$K48/'Alternative 1'!#REF!))</f>
        <v>#VALUE!</v>
      </c>
      <c r="N49" s="14" t="e">
        <f t="shared" si="2"/>
        <v>#VALUE!</v>
      </c>
      <c r="O49" s="14" t="e">
        <f>'Alternative 1'!$B$20*(1-0.4123*(('Alternative 1'!$B$20/(N49*L49))^0.6))</f>
        <v>#VALUE!</v>
      </c>
      <c r="P49" s="14" t="e">
        <f>O49/'Alternative 1'!$B$23</f>
        <v>#VALUE!</v>
      </c>
      <c r="Q49" s="228"/>
      <c r="R49" s="118"/>
      <c r="S49" s="118"/>
      <c r="T49" s="118"/>
      <c r="U49" s="118"/>
      <c r="V49" s="118"/>
      <c r="W49" s="118"/>
      <c r="X49" s="118"/>
      <c r="Y49" s="11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</row>
    <row r="50" spans="1:245" s="3" customFormat="1" ht="15" customHeight="1" x14ac:dyDescent="0.25">
      <c r="A50" s="15"/>
      <c r="B50" s="15"/>
      <c r="C50" s="15"/>
      <c r="D50" s="15"/>
      <c r="E50" s="15"/>
      <c r="F50" s="15"/>
      <c r="G50" s="15"/>
      <c r="H50" s="15"/>
      <c r="I50" s="118"/>
      <c r="J50" s="118"/>
      <c r="K50" s="8"/>
      <c r="L50" s="14" t="e">
        <f>0.605*'Alternative 1'!$B$22*('Alternative 1'!#REF!/'Alternative 1'!$K49)</f>
        <v>#REF!</v>
      </c>
      <c r="M50" s="14" t="e">
        <f>0.83/SQRT(1+0.01*('Alternative 1'!$K49/'Alternative 1'!#REF!))</f>
        <v>#VALUE!</v>
      </c>
      <c r="N50" s="14" t="e">
        <f t="shared" si="2"/>
        <v>#VALUE!</v>
      </c>
      <c r="O50" s="14" t="e">
        <f>'Alternative 1'!$B$20*(1-0.4123*(('Alternative 1'!$B$20/(N50*L50))^0.6))</f>
        <v>#VALUE!</v>
      </c>
      <c r="P50" s="14" t="e">
        <f>O50/'Alternative 1'!$B$23</f>
        <v>#VALUE!</v>
      </c>
      <c r="Q50" s="228"/>
      <c r="R50" s="118"/>
      <c r="S50" s="118"/>
      <c r="T50" s="118"/>
      <c r="U50" s="118"/>
      <c r="V50" s="118"/>
      <c r="W50" s="118"/>
      <c r="X50" s="118"/>
      <c r="Y50" s="118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</row>
    <row r="51" spans="1:245" s="3" customFormat="1" ht="15" customHeight="1" x14ac:dyDescent="0.25">
      <c r="A51" s="15"/>
      <c r="B51" s="15"/>
      <c r="C51" s="15"/>
      <c r="D51" s="15"/>
      <c r="E51" s="15"/>
      <c r="F51" s="15"/>
      <c r="G51" s="15"/>
      <c r="H51" s="15"/>
      <c r="I51" s="118"/>
      <c r="J51" s="118"/>
      <c r="K51" s="8"/>
      <c r="L51" s="14" t="e">
        <f>0.605*'Alternative 1'!$B$22*('Alternative 1'!#REF!/'Alternative 1'!$K50)</f>
        <v>#REF!</v>
      </c>
      <c r="M51" s="14" t="e">
        <f>0.83/SQRT(1+0.01*('Alternative 1'!$K50/'Alternative 1'!#REF!))</f>
        <v>#VALUE!</v>
      </c>
      <c r="N51" s="14" t="e">
        <f t="shared" si="2"/>
        <v>#VALUE!</v>
      </c>
      <c r="O51" s="14" t="e">
        <f>'Alternative 1'!$B$20*(1-0.4123*(('Alternative 1'!$B$20/(N51*L51))^0.6))</f>
        <v>#VALUE!</v>
      </c>
      <c r="P51" s="14" t="e">
        <f>O51/'Alternative 1'!$B$23</f>
        <v>#VALUE!</v>
      </c>
      <c r="Q51" s="228"/>
      <c r="R51" s="118"/>
      <c r="S51" s="118"/>
      <c r="T51" s="118"/>
      <c r="U51" s="118"/>
      <c r="V51" s="118"/>
      <c r="W51" s="118"/>
      <c r="X51" s="118"/>
      <c r="Y51" s="118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</row>
    <row r="52" spans="1:245" s="3" customFormat="1" ht="15" customHeight="1" x14ac:dyDescent="0.25">
      <c r="A52" s="15"/>
      <c r="B52" s="15"/>
      <c r="C52" s="15"/>
      <c r="D52" s="15"/>
      <c r="E52" s="15"/>
      <c r="F52" s="15"/>
      <c r="G52" s="15"/>
      <c r="H52" s="15"/>
      <c r="I52" s="118"/>
      <c r="J52" s="118"/>
      <c r="K52" s="8"/>
      <c r="L52" s="14" t="e">
        <f>0.605*'Alternative 1'!$B$22*('Alternative 1'!#REF!/'Alternative 1'!$K51)</f>
        <v>#REF!</v>
      </c>
      <c r="M52" s="14" t="e">
        <f>0.83/SQRT(1+0.01*('Alternative 1'!$K51/'Alternative 1'!#REF!))</f>
        <v>#VALUE!</v>
      </c>
      <c r="N52" s="14" t="e">
        <f t="shared" si="2"/>
        <v>#VALUE!</v>
      </c>
      <c r="O52" s="14" t="e">
        <f>'Alternative 1'!$B$20*(1-0.4123*(('Alternative 1'!$B$20/(N52*L52))^0.6))</f>
        <v>#VALUE!</v>
      </c>
      <c r="P52" s="14" t="e">
        <f>O52/'Alternative 1'!$B$23</f>
        <v>#VALUE!</v>
      </c>
      <c r="Q52" s="228"/>
      <c r="R52" s="118"/>
      <c r="S52" s="118"/>
      <c r="T52" s="118"/>
      <c r="U52" s="118"/>
      <c r="V52" s="118"/>
      <c r="W52" s="118"/>
      <c r="X52" s="118"/>
      <c r="Y52" s="118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</row>
    <row r="53" spans="1:245" s="3" customFormat="1" ht="15" customHeight="1" x14ac:dyDescent="0.25">
      <c r="A53" s="15"/>
      <c r="B53" s="15"/>
      <c r="C53" s="15"/>
      <c r="D53" s="15"/>
      <c r="E53" s="15"/>
      <c r="F53" s="15"/>
      <c r="G53" s="15"/>
      <c r="H53" s="15"/>
      <c r="I53" s="118"/>
      <c r="J53" s="118"/>
      <c r="K53" s="8"/>
      <c r="L53" s="14" t="e">
        <f>0.605*'Alternative 1'!$B$22*('Alternative 1'!#REF!/'Alternative 1'!$K52)</f>
        <v>#REF!</v>
      </c>
      <c r="M53" s="14" t="e">
        <f>0.83/SQRT(1+0.01*('Alternative 1'!$K52/'Alternative 1'!#REF!))</f>
        <v>#VALUE!</v>
      </c>
      <c r="N53" s="14" t="e">
        <f t="shared" si="2"/>
        <v>#VALUE!</v>
      </c>
      <c r="O53" s="14" t="e">
        <f>'Alternative 1'!$B$20*(1-0.4123*(('Alternative 1'!$B$20/(N53*L53))^0.6))</f>
        <v>#VALUE!</v>
      </c>
      <c r="P53" s="14" t="e">
        <f>O53/'Alternative 1'!$B$23</f>
        <v>#VALUE!</v>
      </c>
      <c r="Q53" s="228"/>
      <c r="R53" s="118"/>
      <c r="S53" s="118"/>
      <c r="T53" s="118"/>
      <c r="U53" s="118"/>
      <c r="V53" s="118"/>
      <c r="W53" s="118"/>
      <c r="X53" s="118"/>
      <c r="Y53" s="118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</row>
    <row r="54" spans="1:245" s="3" customFormat="1" ht="15" customHeight="1" x14ac:dyDescent="0.25">
      <c r="A54" s="15"/>
      <c r="B54" s="15"/>
      <c r="C54" s="15"/>
      <c r="D54" s="15"/>
      <c r="E54" s="15"/>
      <c r="F54" s="15"/>
      <c r="G54" s="15"/>
      <c r="H54" s="15"/>
      <c r="I54" s="118"/>
      <c r="J54" s="118"/>
      <c r="K54" s="8"/>
      <c r="L54" s="14" t="e">
        <f>0.605*'Alternative 1'!$B$22*('Alternative 1'!#REF!/'Alternative 1'!$K53)</f>
        <v>#REF!</v>
      </c>
      <c r="M54" s="14" t="e">
        <f>0.83/SQRT(1+0.01*('Alternative 1'!$K53/'Alternative 1'!#REF!))</f>
        <v>#VALUE!</v>
      </c>
      <c r="N54" s="14" t="e">
        <f t="shared" si="2"/>
        <v>#VALUE!</v>
      </c>
      <c r="O54" s="14" t="e">
        <f>'Alternative 1'!$B$20*(1-0.4123*(('Alternative 1'!$B$20/(N54*L54))^0.6))</f>
        <v>#VALUE!</v>
      </c>
      <c r="P54" s="14" t="e">
        <f>O54/'Alternative 1'!$B$23</f>
        <v>#VALUE!</v>
      </c>
      <c r="Q54" s="228"/>
      <c r="R54" s="118"/>
      <c r="S54" s="118"/>
      <c r="T54" s="118"/>
      <c r="U54" s="118"/>
      <c r="V54" s="118"/>
      <c r="W54" s="118"/>
      <c r="X54" s="118"/>
      <c r="Y54" s="118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</row>
    <row r="55" spans="1:245" s="3" customFormat="1" ht="15" customHeight="1" x14ac:dyDescent="0.25">
      <c r="A55" s="15"/>
      <c r="B55" s="15"/>
      <c r="C55" s="15"/>
      <c r="D55" s="15"/>
      <c r="E55" s="15"/>
      <c r="F55" s="15"/>
      <c r="G55" s="15"/>
      <c r="H55" s="15"/>
      <c r="I55" s="118"/>
      <c r="J55" s="118"/>
      <c r="K55" s="8"/>
      <c r="L55" s="14" t="e">
        <f>0.605*'Alternative 1'!$B$22*('Alternative 1'!#REF!/'Alternative 1'!$K54)</f>
        <v>#REF!</v>
      </c>
      <c r="M55" s="14" t="e">
        <f>0.83/SQRT(1+0.01*('Alternative 1'!$K54/'Alternative 1'!#REF!))</f>
        <v>#VALUE!</v>
      </c>
      <c r="N55" s="14" t="e">
        <f t="shared" si="2"/>
        <v>#VALUE!</v>
      </c>
      <c r="O55" s="14" t="e">
        <f>'Alternative 1'!$B$20*(1-0.4123*(('Alternative 1'!$B$20/(N55*L55))^0.6))</f>
        <v>#VALUE!</v>
      </c>
      <c r="P55" s="14" t="e">
        <f>O55/'Alternative 1'!$B$23</f>
        <v>#VALUE!</v>
      </c>
      <c r="Q55" s="228"/>
      <c r="R55" s="118"/>
      <c r="S55" s="118"/>
      <c r="T55" s="118"/>
      <c r="U55" s="118"/>
      <c r="V55" s="118"/>
      <c r="W55" s="118"/>
      <c r="X55" s="118"/>
      <c r="Y55" s="118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</row>
    <row r="56" spans="1:245" s="3" customFormat="1" ht="15" customHeight="1" x14ac:dyDescent="0.25">
      <c r="A56" s="15"/>
      <c r="B56" s="15"/>
      <c r="C56" s="15"/>
      <c r="D56" s="15"/>
      <c r="E56" s="15"/>
      <c r="F56" s="15"/>
      <c r="G56" s="15"/>
      <c r="H56" s="15"/>
      <c r="I56" s="118"/>
      <c r="J56" s="118"/>
      <c r="K56" s="8"/>
      <c r="L56" s="14" t="e">
        <f>0.605*'Alternative 1'!$B$22*('Alternative 1'!#REF!/'Alternative 1'!$K55)</f>
        <v>#REF!</v>
      </c>
      <c r="M56" s="14" t="e">
        <f>0.83/SQRT(1+0.01*('Alternative 1'!$K55/'Alternative 1'!#REF!))</f>
        <v>#VALUE!</v>
      </c>
      <c r="N56" s="14" t="e">
        <f t="shared" si="2"/>
        <v>#VALUE!</v>
      </c>
      <c r="O56" s="14" t="e">
        <f>'Alternative 1'!$B$20*(1-0.4123*(('Alternative 1'!$B$20/(N56*L56))^0.6))</f>
        <v>#VALUE!</v>
      </c>
      <c r="P56" s="14" t="e">
        <f>O56/'Alternative 1'!$B$23</f>
        <v>#VALUE!</v>
      </c>
      <c r="Q56" s="228"/>
      <c r="R56" s="118"/>
      <c r="S56" s="118"/>
      <c r="T56" s="118"/>
      <c r="U56" s="118"/>
      <c r="V56" s="118"/>
      <c r="W56" s="118"/>
      <c r="X56" s="118"/>
      <c r="Y56" s="118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</row>
    <row r="57" spans="1:245" s="3" customFormat="1" ht="15" customHeight="1" x14ac:dyDescent="0.25">
      <c r="A57" s="15"/>
      <c r="B57" s="15"/>
      <c r="C57" s="15"/>
      <c r="D57" s="15"/>
      <c r="E57" s="15"/>
      <c r="F57" s="15"/>
      <c r="G57" s="15"/>
      <c r="H57" s="15"/>
      <c r="I57" s="118"/>
      <c r="J57" s="118"/>
      <c r="K57" s="8"/>
      <c r="L57" s="14" t="e">
        <f>0.605*'Alternative 1'!$B$22*('Alternative 1'!#REF!/'Alternative 1'!$K56)</f>
        <v>#REF!</v>
      </c>
      <c r="M57" s="14" t="e">
        <f>0.83/SQRT(1+0.01*('Alternative 1'!$K56/'Alternative 1'!#REF!))</f>
        <v>#VALUE!</v>
      </c>
      <c r="N57" s="14" t="e">
        <f t="shared" si="2"/>
        <v>#VALUE!</v>
      </c>
      <c r="O57" s="14" t="e">
        <f>'Alternative 1'!$B$20*(1-0.4123*(('Alternative 1'!$B$20/(N57*L57))^0.6))</f>
        <v>#VALUE!</v>
      </c>
      <c r="P57" s="14" t="e">
        <f>O57/'Alternative 1'!$B$23</f>
        <v>#VALUE!</v>
      </c>
      <c r="Q57" s="228"/>
      <c r="R57" s="118"/>
      <c r="S57" s="118"/>
      <c r="T57" s="118"/>
      <c r="U57" s="118"/>
      <c r="V57" s="118"/>
      <c r="W57" s="118"/>
      <c r="X57" s="118"/>
      <c r="Y57" s="118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</row>
    <row r="58" spans="1:245" s="3" customFormat="1" ht="15" customHeight="1" x14ac:dyDescent="0.25">
      <c r="A58" s="15"/>
      <c r="B58" s="15"/>
      <c r="C58" s="15"/>
      <c r="D58" s="15"/>
      <c r="E58" s="15"/>
      <c r="F58" s="15"/>
      <c r="G58" s="15"/>
      <c r="H58" s="15"/>
      <c r="I58" s="118"/>
      <c r="J58" s="118"/>
      <c r="K58" s="8"/>
      <c r="L58" s="14" t="e">
        <f>0.605*'Alternative 1'!$B$22*('Alternative 1'!#REF!/'Alternative 1'!$K57)</f>
        <v>#REF!</v>
      </c>
      <c r="M58" s="14" t="e">
        <f>0.83/SQRT(1+0.01*('Alternative 1'!$K57/'Alternative 1'!#REF!))</f>
        <v>#VALUE!</v>
      </c>
      <c r="N58" s="14" t="e">
        <f t="shared" si="2"/>
        <v>#VALUE!</v>
      </c>
      <c r="O58" s="14" t="e">
        <f>'Alternative 1'!$B$20*(1-0.4123*(('Alternative 1'!$B$20/(N58*L58))^0.6))</f>
        <v>#VALUE!</v>
      </c>
      <c r="P58" s="14" t="e">
        <f>O58/'Alternative 1'!$B$23</f>
        <v>#VALUE!</v>
      </c>
      <c r="Q58" s="228"/>
      <c r="R58" s="118"/>
      <c r="S58" s="118"/>
      <c r="T58" s="118"/>
      <c r="U58" s="118"/>
      <c r="V58" s="118"/>
      <c r="W58" s="118"/>
      <c r="X58" s="118"/>
      <c r="Y58" s="118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</row>
    <row r="59" spans="1:245" s="3" customFormat="1" ht="15" customHeight="1" x14ac:dyDescent="0.25">
      <c r="A59" s="15"/>
      <c r="B59" s="15"/>
      <c r="C59" s="15"/>
      <c r="D59" s="15"/>
      <c r="E59" s="15"/>
      <c r="F59" s="15"/>
      <c r="G59" s="15"/>
      <c r="H59" s="15"/>
      <c r="I59" s="118"/>
      <c r="J59" s="118"/>
      <c r="K59" s="8"/>
      <c r="L59" s="14" t="e">
        <f>0.605*'Alternative 1'!$B$22*('Alternative 1'!#REF!/'Alternative 1'!$K58)</f>
        <v>#REF!</v>
      </c>
      <c r="M59" s="14" t="e">
        <f>0.83/SQRT(1+0.01*('Alternative 1'!$K58/'Alternative 1'!#REF!))</f>
        <v>#VALUE!</v>
      </c>
      <c r="N59" s="14" t="e">
        <f t="shared" si="2"/>
        <v>#VALUE!</v>
      </c>
      <c r="O59" s="14" t="e">
        <f>'Alternative 1'!$B$20*(1-0.4123*(('Alternative 1'!$B$20/(N59*L59))^0.6))</f>
        <v>#VALUE!</v>
      </c>
      <c r="P59" s="14" t="e">
        <f>O59/'Alternative 1'!$B$23</f>
        <v>#VALUE!</v>
      </c>
      <c r="Q59" s="228"/>
      <c r="R59" s="118"/>
      <c r="S59" s="118"/>
      <c r="T59" s="118"/>
      <c r="U59" s="118"/>
      <c r="V59" s="118"/>
      <c r="W59" s="118"/>
      <c r="X59" s="118"/>
      <c r="Y59" s="118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</row>
    <row r="60" spans="1:245" s="3" customFormat="1" ht="15" customHeight="1" x14ac:dyDescent="0.25">
      <c r="A60" s="15"/>
      <c r="B60" s="15"/>
      <c r="C60" s="15"/>
      <c r="D60" s="15"/>
      <c r="E60" s="15"/>
      <c r="F60" s="15"/>
      <c r="G60" s="15"/>
      <c r="H60" s="15"/>
      <c r="I60" s="118"/>
      <c r="J60" s="118"/>
      <c r="K60" s="8"/>
      <c r="L60" s="14" t="e">
        <f>0.605*'Alternative 1'!$B$22*('Alternative 1'!#REF!/'Alternative 1'!$K59)</f>
        <v>#REF!</v>
      </c>
      <c r="M60" s="14" t="e">
        <f>0.83/SQRT(1+0.01*('Alternative 1'!$K59/'Alternative 1'!#REF!))</f>
        <v>#VALUE!</v>
      </c>
      <c r="N60" s="14" t="e">
        <f t="shared" si="2"/>
        <v>#VALUE!</v>
      </c>
      <c r="O60" s="14" t="e">
        <f>'Alternative 1'!$B$20*(1-0.4123*(('Alternative 1'!$B$20/(N60*L60))^0.6))</f>
        <v>#VALUE!</v>
      </c>
      <c r="P60" s="14" t="e">
        <f>O60/'Alternative 1'!$B$23</f>
        <v>#VALUE!</v>
      </c>
      <c r="Q60" s="228"/>
      <c r="R60" s="118"/>
      <c r="S60" s="118"/>
      <c r="T60" s="118"/>
      <c r="U60" s="118"/>
      <c r="V60" s="118"/>
      <c r="W60" s="118"/>
      <c r="X60" s="118"/>
      <c r="Y60" s="118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</row>
    <row r="61" spans="1:245" s="3" customFormat="1" ht="15" customHeight="1" x14ac:dyDescent="0.25">
      <c r="A61" s="15"/>
      <c r="B61" s="15"/>
      <c r="C61" s="15"/>
      <c r="D61" s="15"/>
      <c r="E61" s="15"/>
      <c r="F61" s="15"/>
      <c r="G61" s="15"/>
      <c r="H61" s="15"/>
      <c r="I61" s="118"/>
      <c r="J61" s="118"/>
      <c r="K61" s="8"/>
      <c r="L61" s="14" t="e">
        <f>0.605*'Alternative 1'!$B$22*('Alternative 1'!#REF!/'Alternative 1'!$K60)</f>
        <v>#REF!</v>
      </c>
      <c r="M61" s="14" t="e">
        <f>0.83/SQRT(1+0.01*('Alternative 1'!$K60/'Alternative 1'!#REF!))</f>
        <v>#VALUE!</v>
      </c>
      <c r="N61" s="14" t="e">
        <f t="shared" si="2"/>
        <v>#VALUE!</v>
      </c>
      <c r="O61" s="14" t="e">
        <f>'Alternative 1'!$B$20*(1-0.4123*(('Alternative 1'!$B$20/(N61*L61))^0.6))</f>
        <v>#VALUE!</v>
      </c>
      <c r="P61" s="14" t="e">
        <f>O61/'Alternative 1'!$B$23</f>
        <v>#VALUE!</v>
      </c>
      <c r="Q61" s="228"/>
      <c r="R61" s="118"/>
      <c r="S61" s="118"/>
      <c r="T61" s="118"/>
      <c r="U61" s="118"/>
      <c r="V61" s="118"/>
      <c r="W61" s="118"/>
      <c r="X61" s="118"/>
      <c r="Y61" s="118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</row>
    <row r="62" spans="1:245" s="3" customFormat="1" ht="15" customHeight="1" x14ac:dyDescent="0.25">
      <c r="A62" s="15"/>
      <c r="B62" s="15"/>
      <c r="C62" s="15"/>
      <c r="D62" s="15"/>
      <c r="E62" s="15"/>
      <c r="F62" s="15"/>
      <c r="G62" s="15"/>
      <c r="H62" s="15"/>
      <c r="I62" s="118"/>
      <c r="J62" s="118"/>
      <c r="K62" s="8"/>
      <c r="L62" s="14" t="e">
        <f>0.605*'Alternative 1'!$B$22*('Alternative 1'!#REF!/'Alternative 1'!$K61)</f>
        <v>#REF!</v>
      </c>
      <c r="M62" s="14" t="e">
        <f>0.83/SQRT(1+0.01*('Alternative 1'!$K61/'Alternative 1'!#REF!))</f>
        <v>#VALUE!</v>
      </c>
      <c r="N62" s="14" t="e">
        <f t="shared" si="2"/>
        <v>#VALUE!</v>
      </c>
      <c r="O62" s="14" t="e">
        <f>'Alternative 1'!$B$20*(1-0.4123*(('Alternative 1'!$B$20/(N62*L62))^0.6))</f>
        <v>#VALUE!</v>
      </c>
      <c r="P62" s="14" t="e">
        <f>O62/'Alternative 1'!$B$23</f>
        <v>#VALUE!</v>
      </c>
      <c r="Q62" s="228"/>
      <c r="R62" s="118"/>
      <c r="S62" s="118"/>
      <c r="T62" s="118"/>
      <c r="U62" s="118"/>
      <c r="V62" s="118"/>
      <c r="W62" s="118"/>
      <c r="X62" s="118"/>
      <c r="Y62" s="118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</row>
    <row r="63" spans="1:245" s="3" customFormat="1" ht="15" customHeight="1" x14ac:dyDescent="0.25">
      <c r="A63" s="15"/>
      <c r="B63" s="15"/>
      <c r="C63" s="15"/>
      <c r="D63" s="15"/>
      <c r="E63" s="15"/>
      <c r="F63" s="15"/>
      <c r="G63" s="15"/>
      <c r="H63" s="15"/>
      <c r="I63" s="118"/>
      <c r="J63" s="118"/>
      <c r="K63" s="8"/>
      <c r="L63" s="14" t="e">
        <f>0.605*'Alternative 1'!$B$22*('Alternative 1'!#REF!/'Alternative 1'!$K62)</f>
        <v>#REF!</v>
      </c>
      <c r="M63" s="14" t="e">
        <f>0.83/SQRT(1+0.01*('Alternative 1'!$K62/'Alternative 1'!#REF!))</f>
        <v>#VALUE!</v>
      </c>
      <c r="N63" s="14" t="e">
        <f t="shared" si="2"/>
        <v>#VALUE!</v>
      </c>
      <c r="O63" s="14" t="e">
        <f>'Alternative 1'!$B$20*(1-0.4123*(('Alternative 1'!$B$20/(N63*L63))^0.6))</f>
        <v>#VALUE!</v>
      </c>
      <c r="P63" s="14" t="e">
        <f>O63/'Alternative 1'!$B$23</f>
        <v>#VALUE!</v>
      </c>
      <c r="Q63" s="228"/>
      <c r="R63" s="118"/>
      <c r="S63" s="118"/>
      <c r="T63" s="118"/>
      <c r="U63" s="118"/>
      <c r="V63" s="118"/>
      <c r="W63" s="118"/>
      <c r="X63" s="118"/>
      <c r="Y63" s="118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</row>
    <row r="64" spans="1:245" s="3" customFormat="1" ht="15" customHeight="1" x14ac:dyDescent="0.25">
      <c r="A64" s="15"/>
      <c r="B64" s="15"/>
      <c r="C64" s="15"/>
      <c r="D64" s="15"/>
      <c r="E64" s="15"/>
      <c r="F64" s="15"/>
      <c r="G64" s="15"/>
      <c r="H64" s="15"/>
      <c r="I64" s="118"/>
      <c r="J64" s="118"/>
      <c r="K64" s="8"/>
      <c r="L64" s="14" t="e">
        <f>0.605*'Alternative 1'!$B$22*('Alternative 1'!#REF!/'Alternative 1'!$K63)</f>
        <v>#REF!</v>
      </c>
      <c r="M64" s="14" t="e">
        <f>0.83/SQRT(1+0.01*('Alternative 1'!$K63/'Alternative 1'!#REF!))</f>
        <v>#VALUE!</v>
      </c>
      <c r="N64" s="14" t="e">
        <f t="shared" si="2"/>
        <v>#VALUE!</v>
      </c>
      <c r="O64" s="14" t="e">
        <f>'Alternative 1'!$B$20*(1-0.4123*(('Alternative 1'!$B$20/(N64*L64))^0.6))</f>
        <v>#VALUE!</v>
      </c>
      <c r="P64" s="14" t="e">
        <f>O64/'Alternative 1'!$B$23</f>
        <v>#VALUE!</v>
      </c>
      <c r="Q64" s="228"/>
      <c r="R64" s="118"/>
      <c r="S64" s="118"/>
      <c r="T64" s="118"/>
      <c r="U64" s="118"/>
      <c r="V64" s="118"/>
      <c r="W64" s="118"/>
      <c r="X64" s="118"/>
      <c r="Y64" s="118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</row>
    <row r="65" spans="1:245" s="3" customFormat="1" ht="15" customHeight="1" x14ac:dyDescent="0.25">
      <c r="A65" s="15"/>
      <c r="B65" s="15"/>
      <c r="C65" s="15"/>
      <c r="D65" s="15"/>
      <c r="E65" s="15"/>
      <c r="F65" s="15"/>
      <c r="G65" s="15"/>
      <c r="H65" s="15"/>
      <c r="I65" s="118"/>
      <c r="J65" s="118"/>
      <c r="K65" s="8"/>
      <c r="L65" s="14" t="e">
        <f>0.605*'Alternative 1'!$B$22*('Alternative 1'!#REF!/'Alternative 1'!$K64)</f>
        <v>#REF!</v>
      </c>
      <c r="M65" s="14" t="e">
        <f>0.83/SQRT(1+0.01*('Alternative 1'!$K64/'Alternative 1'!#REF!))</f>
        <v>#VALUE!</v>
      </c>
      <c r="N65" s="14" t="e">
        <f t="shared" si="2"/>
        <v>#VALUE!</v>
      </c>
      <c r="O65" s="14" t="e">
        <f>'Alternative 1'!$B$20*(1-0.4123*(('Alternative 1'!$B$20/(N65*L65))^0.6))</f>
        <v>#VALUE!</v>
      </c>
      <c r="P65" s="14" t="e">
        <f>O65/'Alternative 1'!$B$23</f>
        <v>#VALUE!</v>
      </c>
      <c r="Q65" s="228"/>
      <c r="R65" s="118"/>
      <c r="S65" s="118"/>
      <c r="T65" s="118"/>
      <c r="U65" s="118"/>
      <c r="V65" s="118"/>
      <c r="W65" s="118"/>
      <c r="X65" s="118"/>
      <c r="Y65" s="118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</row>
    <row r="66" spans="1:245" s="3" customFormat="1" ht="15" customHeight="1" x14ac:dyDescent="0.25">
      <c r="A66" s="15"/>
      <c r="B66" s="15"/>
      <c r="C66" s="15"/>
      <c r="D66" s="15"/>
      <c r="E66" s="15"/>
      <c r="F66" s="15"/>
      <c r="G66" s="15"/>
      <c r="H66" s="15"/>
      <c r="I66" s="118"/>
      <c r="J66" s="118"/>
      <c r="K66" s="8"/>
      <c r="L66" s="14" t="e">
        <f>0.605*'Alternative 1'!$B$22*('Alternative 1'!#REF!/'Alternative 1'!$K65)</f>
        <v>#REF!</v>
      </c>
      <c r="M66" s="14" t="e">
        <f>0.83/SQRT(1+0.01*('Alternative 1'!$K65/'Alternative 1'!#REF!))</f>
        <v>#VALUE!</v>
      </c>
      <c r="N66" s="14" t="e">
        <f t="shared" si="2"/>
        <v>#VALUE!</v>
      </c>
      <c r="O66" s="14" t="e">
        <f>'Alternative 1'!$B$20*(1-0.4123*(('Alternative 1'!$B$20/(N66*L66))^0.6))</f>
        <v>#VALUE!</v>
      </c>
      <c r="P66" s="14" t="e">
        <f>O66/'Alternative 1'!$B$23</f>
        <v>#VALUE!</v>
      </c>
      <c r="Q66" s="228"/>
      <c r="R66" s="118"/>
      <c r="S66" s="118"/>
      <c r="T66" s="118"/>
      <c r="U66" s="118"/>
      <c r="V66" s="118"/>
      <c r="W66" s="118"/>
      <c r="X66" s="118"/>
      <c r="Y66" s="118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</row>
    <row r="67" spans="1:245" s="3" customFormat="1" ht="15" customHeight="1" x14ac:dyDescent="0.25">
      <c r="A67" s="15"/>
      <c r="B67" s="15"/>
      <c r="C67" s="15"/>
      <c r="D67" s="15"/>
      <c r="E67" s="15"/>
      <c r="F67" s="15"/>
      <c r="G67" s="15"/>
      <c r="H67" s="15"/>
      <c r="I67" s="118"/>
      <c r="J67" s="118"/>
      <c r="K67" s="8"/>
      <c r="L67" s="14" t="e">
        <f>0.605*'Alternative 1'!$B$22*('Alternative 1'!#REF!/'Alternative 1'!$K66)</f>
        <v>#REF!</v>
      </c>
      <c r="M67" s="14" t="e">
        <f>0.83/SQRT(1+0.01*('Alternative 1'!$K66/'Alternative 1'!#REF!))</f>
        <v>#VALUE!</v>
      </c>
      <c r="N67" s="14" t="e">
        <f t="shared" si="2"/>
        <v>#VALUE!</v>
      </c>
      <c r="O67" s="14" t="e">
        <f>'Alternative 1'!$B$20*(1-0.4123*(('Alternative 1'!$B$20/(N67*L67))^0.6))</f>
        <v>#VALUE!</v>
      </c>
      <c r="P67" s="14" t="e">
        <f>O67/'Alternative 1'!$B$23</f>
        <v>#VALUE!</v>
      </c>
      <c r="Q67" s="228"/>
      <c r="R67" s="118"/>
      <c r="S67" s="118"/>
      <c r="T67" s="118"/>
      <c r="U67" s="118"/>
      <c r="V67" s="118"/>
      <c r="W67" s="118"/>
      <c r="X67" s="118"/>
      <c r="Y67" s="118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</row>
    <row r="68" spans="1:245" s="3" customFormat="1" ht="15" customHeight="1" x14ac:dyDescent="0.25">
      <c r="A68" s="15"/>
      <c r="B68" s="15"/>
      <c r="C68" s="15"/>
      <c r="D68" s="15"/>
      <c r="E68" s="15"/>
      <c r="F68" s="15"/>
      <c r="G68" s="15"/>
      <c r="H68" s="15"/>
      <c r="I68" s="118"/>
      <c r="J68" s="118"/>
      <c r="K68" s="8"/>
      <c r="L68" s="14" t="e">
        <f>0.605*'Alternative 1'!$B$22*('Alternative 1'!#REF!/'Alternative 1'!$K67)</f>
        <v>#REF!</v>
      </c>
      <c r="M68" s="14" t="e">
        <f>0.83/SQRT(1+0.01*('Alternative 1'!$K67/'Alternative 1'!#REF!))</f>
        <v>#VALUE!</v>
      </c>
      <c r="N68" s="14" t="e">
        <f>0.1887+(0.8113*M68)</f>
        <v>#VALUE!</v>
      </c>
      <c r="O68" s="14" t="e">
        <f>'Alternative 1'!$B$20*(1-0.4123*(('Alternative 1'!$B$20/(N68*L68))^0.6))</f>
        <v>#VALUE!</v>
      </c>
      <c r="P68" s="14" t="e">
        <f>O68/'Alternative 1'!$B$23</f>
        <v>#VALUE!</v>
      </c>
      <c r="Q68" s="228"/>
      <c r="R68" s="118"/>
      <c r="S68" s="118"/>
      <c r="T68" s="118"/>
      <c r="U68" s="118"/>
      <c r="V68" s="118"/>
      <c r="W68" s="118"/>
      <c r="X68" s="118"/>
      <c r="Y68" s="118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</row>
    <row r="69" spans="1:245" s="3" customFormat="1" ht="15" customHeight="1" x14ac:dyDescent="0.25">
      <c r="A69" s="15"/>
      <c r="B69" s="15"/>
      <c r="C69" s="15"/>
      <c r="D69" s="15"/>
      <c r="E69" s="15"/>
      <c r="F69" s="15"/>
      <c r="G69" s="15"/>
      <c r="H69" s="15"/>
      <c r="I69" s="118"/>
      <c r="J69" s="118"/>
      <c r="K69" s="8"/>
      <c r="L69" s="14" t="e">
        <f>0.605*'Alternative 1'!$B$22*('Alternative 1'!#REF!/'Alternative 1'!$K68)</f>
        <v>#REF!</v>
      </c>
      <c r="M69" s="14" t="e">
        <f>0.83/SQRT(1+0.01*('Alternative 1'!$K68/'Alternative 1'!#REF!))</f>
        <v>#VALUE!</v>
      </c>
      <c r="N69" s="14" t="e">
        <f>0.1887+(0.8113*M69)</f>
        <v>#VALUE!</v>
      </c>
      <c r="O69" s="14" t="e">
        <f>'Alternative 1'!$B$20*(1-0.4123*(('Alternative 1'!$B$20/(N69*L69))^0.6))</f>
        <v>#VALUE!</v>
      </c>
      <c r="P69" s="14" t="e">
        <f>O69/'Alternative 1'!$B$23</f>
        <v>#VALUE!</v>
      </c>
      <c r="Q69" s="228"/>
      <c r="R69" s="118"/>
      <c r="S69" s="118"/>
      <c r="T69" s="118"/>
      <c r="U69" s="118"/>
      <c r="V69" s="118"/>
      <c r="W69" s="118"/>
      <c r="X69" s="118"/>
      <c r="Y69" s="118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</row>
    <row r="70" spans="1:245" s="3" customFormat="1" ht="15" customHeight="1" x14ac:dyDescent="0.25">
      <c r="A70" s="15"/>
      <c r="B70" s="15"/>
      <c r="C70" s="15"/>
      <c r="D70" s="15"/>
      <c r="E70" s="15"/>
      <c r="F70" s="15"/>
      <c r="G70" s="15"/>
      <c r="H70" s="15"/>
      <c r="I70" s="118"/>
      <c r="J70" s="118"/>
      <c r="K70" s="8"/>
      <c r="L70" s="14" t="e">
        <f>0.605*'Alternative 1'!$B$22*('Alternative 1'!#REF!/'Alternative 1'!$K69)</f>
        <v>#REF!</v>
      </c>
      <c r="M70" s="14" t="e">
        <f>0.83/SQRT(1+0.01*('Alternative 1'!$K69/'Alternative 1'!#REF!))</f>
        <v>#VALUE!</v>
      </c>
      <c r="N70" s="14" t="e">
        <f>0.1887+(0.8113*M70)</f>
        <v>#VALUE!</v>
      </c>
      <c r="O70" s="14" t="e">
        <f>'Alternative 1'!$B$20*(1-0.4123*(('Alternative 1'!$B$20/(N70*L70))^0.6))</f>
        <v>#VALUE!</v>
      </c>
      <c r="P70" s="14" t="e">
        <f>O70/'Alternative 1'!$B$23</f>
        <v>#VALUE!</v>
      </c>
      <c r="Q70" s="228"/>
      <c r="R70" s="118"/>
      <c r="S70" s="118"/>
      <c r="T70" s="118"/>
      <c r="U70" s="118"/>
      <c r="V70" s="118"/>
      <c r="W70" s="118"/>
      <c r="X70" s="118"/>
      <c r="Y70" s="118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</row>
    <row r="71" spans="1:245" s="3" customFormat="1" ht="15" customHeight="1" x14ac:dyDescent="0.25">
      <c r="A71" s="15"/>
      <c r="B71" s="15"/>
      <c r="C71" s="15"/>
      <c r="D71" s="15"/>
      <c r="E71" s="15"/>
      <c r="F71" s="15"/>
      <c r="G71" s="15"/>
      <c r="H71" s="15"/>
      <c r="I71" s="118"/>
      <c r="J71" s="118"/>
      <c r="K71" s="8"/>
      <c r="L71" s="14" t="e">
        <f>0.605*'Alternative 1'!$B$22*('Alternative 1'!#REF!/'Alternative 1'!$K70)</f>
        <v>#REF!</v>
      </c>
      <c r="M71" s="14" t="e">
        <f>0.83/SQRT(1+0.01*('Alternative 1'!$K70/'Alternative 1'!#REF!))</f>
        <v>#VALUE!</v>
      </c>
      <c r="N71" s="14" t="e">
        <f>0.1887+(0.8113*M71)</f>
        <v>#VALUE!</v>
      </c>
      <c r="O71" s="14" t="e">
        <f>'Alternative 1'!$B$20*(1-0.4123*(('Alternative 1'!$B$20/(N71*L71))^0.6))</f>
        <v>#VALUE!</v>
      </c>
      <c r="P71" s="14" t="e">
        <f>O71/'Alternative 1'!$B$23</f>
        <v>#VALUE!</v>
      </c>
      <c r="Q71" s="229"/>
      <c r="R71" s="118"/>
      <c r="S71" s="118"/>
      <c r="T71" s="118"/>
      <c r="U71" s="118"/>
      <c r="V71" s="118"/>
      <c r="W71" s="118"/>
      <c r="X71" s="118"/>
      <c r="Y71" s="118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</row>
    <row r="72" spans="1:245" ht="15" customHeight="1" x14ac:dyDescent="0.25">
      <c r="H72" s="15"/>
      <c r="I72" s="119"/>
      <c r="J72" s="118"/>
      <c r="L72" s="7"/>
      <c r="M72" s="7"/>
      <c r="N72" s="7"/>
      <c r="O72" s="6"/>
      <c r="P72" s="6"/>
      <c r="Q72" s="6"/>
      <c r="R72" s="118"/>
      <c r="S72" s="118"/>
      <c r="T72" s="118"/>
      <c r="U72" s="118"/>
      <c r="V72" s="118"/>
      <c r="W72" s="118"/>
      <c r="X72" s="118"/>
      <c r="Y72" s="118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</row>
    <row r="73" spans="1:245" ht="15" customHeight="1" x14ac:dyDescent="0.25">
      <c r="H73" s="15"/>
      <c r="J73" s="118"/>
      <c r="R73" s="118"/>
      <c r="S73" s="118"/>
      <c r="T73" s="118"/>
      <c r="U73" s="118"/>
      <c r="V73" s="118"/>
      <c r="W73" s="118"/>
      <c r="X73" s="118"/>
      <c r="Y73" s="118"/>
    </row>
    <row r="74" spans="1:245" ht="15" customHeight="1" x14ac:dyDescent="0.25">
      <c r="H74" s="15"/>
      <c r="J74" s="118"/>
      <c r="R74" s="118"/>
      <c r="S74" s="118"/>
      <c r="T74" s="118"/>
      <c r="U74" s="118"/>
      <c r="V74" s="118"/>
      <c r="W74" s="118"/>
      <c r="X74" s="118"/>
      <c r="Y74" s="118"/>
    </row>
    <row r="75" spans="1:245" ht="15" customHeight="1" x14ac:dyDescent="0.25">
      <c r="H75" s="15"/>
      <c r="J75" s="118"/>
      <c r="R75" s="118"/>
      <c r="S75" s="118"/>
      <c r="T75" s="118"/>
      <c r="U75" s="118"/>
      <c r="V75" s="118"/>
      <c r="W75" s="118"/>
      <c r="X75" s="118"/>
      <c r="Y75" s="118"/>
    </row>
    <row r="76" spans="1:245" ht="15" customHeight="1" x14ac:dyDescent="0.25">
      <c r="H76" s="15"/>
      <c r="J76" s="118"/>
      <c r="R76" s="118"/>
      <c r="S76" s="118"/>
      <c r="T76" s="118"/>
      <c r="U76" s="118"/>
      <c r="V76" s="118"/>
      <c r="W76" s="118"/>
      <c r="X76" s="118"/>
      <c r="Y76" s="118"/>
    </row>
    <row r="77" spans="1:245" ht="15" customHeight="1" x14ac:dyDescent="0.25">
      <c r="H77" s="15"/>
      <c r="J77" s="118"/>
      <c r="R77" s="118"/>
      <c r="S77" s="118"/>
      <c r="T77" s="118"/>
      <c r="U77" s="118"/>
      <c r="V77" s="118"/>
      <c r="W77" s="118"/>
      <c r="X77" s="118"/>
    </row>
    <row r="78" spans="1:245" ht="15" customHeight="1" x14ac:dyDescent="0.25">
      <c r="H78" s="15"/>
      <c r="J78" s="118"/>
      <c r="R78" s="118"/>
      <c r="S78" s="118"/>
      <c r="T78" s="118"/>
      <c r="U78" s="118"/>
      <c r="V78" s="118"/>
      <c r="W78" s="118"/>
      <c r="X78" s="118"/>
    </row>
    <row r="79" spans="1:245" ht="15" customHeight="1" x14ac:dyDescent="0.25">
      <c r="H79" s="15"/>
      <c r="J79" s="118"/>
      <c r="R79" s="118"/>
      <c r="S79" s="118"/>
      <c r="T79" s="118"/>
      <c r="U79" s="118"/>
      <c r="V79" s="118"/>
      <c r="W79" s="118"/>
      <c r="X79" s="118"/>
    </row>
    <row r="80" spans="1:245" ht="15" customHeight="1" x14ac:dyDescent="0.25">
      <c r="H80" s="15"/>
      <c r="J80" s="118"/>
      <c r="R80" s="118"/>
      <c r="S80" s="118"/>
      <c r="T80" s="118"/>
      <c r="U80" s="118"/>
      <c r="V80" s="118"/>
      <c r="W80" s="118"/>
      <c r="X80" s="118"/>
    </row>
    <row r="81" spans="8:24" ht="15" customHeight="1" x14ac:dyDescent="0.25">
      <c r="H81" s="15"/>
      <c r="J81" s="118"/>
      <c r="R81" s="118"/>
      <c r="S81" s="118"/>
      <c r="T81" s="118"/>
      <c r="U81" s="118"/>
      <c r="V81" s="118"/>
      <c r="W81" s="118"/>
      <c r="X81" s="118"/>
    </row>
    <row r="82" spans="8:24" ht="15" customHeight="1" x14ac:dyDescent="0.25">
      <c r="H82" s="15"/>
      <c r="J82" s="118"/>
      <c r="R82" s="118"/>
      <c r="S82" s="118"/>
      <c r="T82" s="118"/>
      <c r="U82" s="118"/>
      <c r="V82" s="118"/>
      <c r="W82" s="118"/>
      <c r="X82" s="118"/>
    </row>
    <row r="83" spans="8:24" ht="15" customHeight="1" x14ac:dyDescent="0.25">
      <c r="H83" s="15"/>
      <c r="J83" s="118"/>
      <c r="R83" s="118"/>
      <c r="S83" s="118"/>
      <c r="T83" s="118"/>
      <c r="U83" s="118"/>
      <c r="V83" s="118"/>
      <c r="W83" s="118"/>
      <c r="X83" s="118"/>
    </row>
    <row r="84" spans="8:24" ht="15" customHeight="1" x14ac:dyDescent="0.25">
      <c r="H84" s="15"/>
      <c r="J84" s="118"/>
      <c r="R84" s="118"/>
      <c r="S84" s="118"/>
      <c r="T84" s="118"/>
      <c r="U84" s="118"/>
      <c r="V84" s="118"/>
      <c r="W84" s="118"/>
      <c r="X84" s="118"/>
    </row>
    <row r="85" spans="8:24" ht="15" customHeight="1" x14ac:dyDescent="0.25">
      <c r="H85" s="15"/>
      <c r="J85" s="118"/>
      <c r="R85" s="118"/>
      <c r="S85" s="118"/>
      <c r="T85" s="118"/>
      <c r="U85" s="118"/>
      <c r="V85" s="118"/>
      <c r="W85" s="118"/>
      <c r="X85" s="118"/>
    </row>
    <row r="86" spans="8:24" ht="15" customHeight="1" x14ac:dyDescent="0.25">
      <c r="H86" s="15"/>
      <c r="J86" s="118"/>
      <c r="R86" s="118"/>
      <c r="S86" s="118"/>
      <c r="T86" s="118"/>
      <c r="U86" s="118"/>
      <c r="V86" s="118"/>
      <c r="W86" s="118"/>
      <c r="X86" s="118"/>
    </row>
    <row r="87" spans="8:24" ht="15" customHeight="1" x14ac:dyDescent="0.25">
      <c r="H87" s="15"/>
      <c r="J87" s="118"/>
      <c r="R87" s="118"/>
      <c r="S87" s="118"/>
      <c r="T87" s="118"/>
      <c r="U87" s="118"/>
      <c r="V87" s="118"/>
      <c r="W87" s="118"/>
      <c r="X87" s="118"/>
    </row>
    <row r="88" spans="8:24" ht="15" customHeight="1" x14ac:dyDescent="0.25">
      <c r="H88" s="15"/>
      <c r="J88" s="118"/>
      <c r="R88" s="118"/>
      <c r="S88" s="118"/>
      <c r="T88" s="118"/>
      <c r="U88" s="118"/>
      <c r="V88" s="118"/>
      <c r="W88" s="118"/>
      <c r="X88" s="118"/>
    </row>
    <row r="89" spans="8:24" ht="15" customHeight="1" x14ac:dyDescent="0.25">
      <c r="H89" s="15"/>
      <c r="J89" s="118"/>
      <c r="R89" s="118"/>
      <c r="S89" s="118"/>
      <c r="T89" s="118"/>
      <c r="U89" s="118"/>
      <c r="V89" s="118"/>
      <c r="W89" s="118"/>
      <c r="X89" s="118"/>
    </row>
    <row r="90" spans="8:24" ht="15" customHeight="1" x14ac:dyDescent="0.25">
      <c r="H90" s="15"/>
      <c r="J90" s="118"/>
      <c r="R90" s="118"/>
      <c r="S90" s="118"/>
      <c r="T90" s="118"/>
      <c r="U90" s="118"/>
      <c r="V90" s="118"/>
      <c r="W90" s="118"/>
      <c r="X90" s="118"/>
    </row>
    <row r="91" spans="8:24" ht="15" customHeight="1" x14ac:dyDescent="0.25">
      <c r="H91" s="15"/>
      <c r="J91" s="118"/>
      <c r="R91" s="118"/>
      <c r="S91" s="118"/>
      <c r="T91" s="118"/>
      <c r="U91" s="118"/>
      <c r="V91" s="118"/>
      <c r="W91" s="118"/>
      <c r="X91" s="118"/>
    </row>
    <row r="92" spans="8:24" ht="15" customHeight="1" x14ac:dyDescent="0.25">
      <c r="H92" s="15"/>
      <c r="J92" s="118"/>
      <c r="R92" s="118"/>
      <c r="S92" s="118"/>
      <c r="T92" s="118"/>
      <c r="U92" s="118"/>
      <c r="V92" s="118"/>
      <c r="W92" s="118"/>
      <c r="X92" s="118"/>
    </row>
    <row r="93" spans="8:24" ht="15" customHeight="1" x14ac:dyDescent="0.25">
      <c r="H93" s="15"/>
      <c r="J93" s="118"/>
      <c r="R93" s="118"/>
      <c r="S93" s="118"/>
      <c r="T93" s="118"/>
      <c r="U93" s="118"/>
      <c r="V93" s="118"/>
      <c r="W93" s="118"/>
      <c r="X93" s="118"/>
    </row>
    <row r="94" spans="8:24" ht="15" customHeight="1" x14ac:dyDescent="0.25">
      <c r="H94" s="15"/>
      <c r="J94" s="118"/>
      <c r="R94" s="118"/>
      <c r="S94" s="118"/>
      <c r="T94" s="118"/>
      <c r="U94" s="118"/>
      <c r="V94" s="118"/>
      <c r="W94" s="118"/>
      <c r="X94" s="118"/>
    </row>
    <row r="95" spans="8:24" ht="51.75" customHeight="1" x14ac:dyDescent="0.25">
      <c r="H95" s="15"/>
      <c r="J95" s="118"/>
      <c r="R95" s="118"/>
      <c r="S95" s="118"/>
      <c r="T95" s="118"/>
      <c r="U95" s="118"/>
      <c r="V95" s="118"/>
      <c r="W95" s="118"/>
      <c r="X95" s="118"/>
    </row>
    <row r="96" spans="8:24" ht="51.75" customHeight="1" x14ac:dyDescent="0.25">
      <c r="H96" s="15"/>
      <c r="J96" s="118"/>
    </row>
    <row r="97" spans="8:10" ht="51.75" customHeight="1" x14ac:dyDescent="0.25">
      <c r="H97" s="15"/>
      <c r="J97" s="118"/>
    </row>
    <row r="98" spans="8:10" ht="51.75" customHeight="1" x14ac:dyDescent="0.25">
      <c r="H98" s="15"/>
      <c r="J98" s="118"/>
    </row>
    <row r="99" spans="8:10" ht="51.75" customHeight="1" x14ac:dyDescent="0.25">
      <c r="H99" s="15"/>
      <c r="J99" s="118"/>
    </row>
    <row r="100" spans="8:10" ht="51.75" customHeight="1" x14ac:dyDescent="0.25">
      <c r="H100" s="15"/>
      <c r="J100" s="118"/>
    </row>
    <row r="101" spans="8:10" ht="51.75" customHeight="1" x14ac:dyDescent="0.25">
      <c r="H101" s="15"/>
      <c r="J101" s="118"/>
    </row>
    <row r="102" spans="8:10" ht="51.75" customHeight="1" x14ac:dyDescent="0.25">
      <c r="H102" s="15"/>
      <c r="J102" s="118"/>
    </row>
    <row r="103" spans="8:10" ht="51.75" customHeight="1" x14ac:dyDescent="0.25">
      <c r="H103" s="15"/>
      <c r="J103" s="118"/>
    </row>
    <row r="104" spans="8:10" ht="51.75" customHeight="1" x14ac:dyDescent="0.25">
      <c r="H104" s="15"/>
      <c r="J104" s="118"/>
    </row>
    <row r="105" spans="8:10" ht="51.75" customHeight="1" x14ac:dyDescent="0.25">
      <c r="H105" s="15"/>
      <c r="J105" s="118"/>
    </row>
    <row r="106" spans="8:10" ht="51.75" customHeight="1" x14ac:dyDescent="0.25">
      <c r="H106" s="15"/>
      <c r="J106" s="118"/>
    </row>
    <row r="107" spans="8:10" ht="51.75" customHeight="1" x14ac:dyDescent="0.25">
      <c r="H107" s="15"/>
      <c r="J107" s="118"/>
    </row>
    <row r="108" spans="8:10" ht="51.75" customHeight="1" x14ac:dyDescent="0.25">
      <c r="H108" s="15"/>
      <c r="J108" s="118"/>
    </row>
    <row r="109" spans="8:10" ht="51.75" customHeight="1" x14ac:dyDescent="0.25">
      <c r="H109" s="15"/>
      <c r="J109" s="118"/>
    </row>
    <row r="110" spans="8:10" ht="51.75" customHeight="1" x14ac:dyDescent="0.25">
      <c r="H110" s="15"/>
      <c r="J110" s="118"/>
    </row>
    <row r="111" spans="8:10" ht="51.75" customHeight="1" x14ac:dyDescent="0.25">
      <c r="H111" s="15"/>
      <c r="J111" s="118"/>
    </row>
    <row r="112" spans="8:10" ht="51.75" customHeight="1" x14ac:dyDescent="0.25">
      <c r="H112" s="15"/>
      <c r="J112" s="118"/>
    </row>
    <row r="113" spans="8:10" ht="51.75" customHeight="1" x14ac:dyDescent="0.25">
      <c r="H113" s="15"/>
      <c r="J113" s="118"/>
    </row>
    <row r="114" spans="8:10" ht="51.75" customHeight="1" x14ac:dyDescent="0.25">
      <c r="H114" s="15"/>
      <c r="J114" s="118"/>
    </row>
    <row r="115" spans="8:10" ht="51.75" customHeight="1" x14ac:dyDescent="0.25">
      <c r="H115" s="15"/>
      <c r="J115" s="118"/>
    </row>
    <row r="116" spans="8:10" ht="51.75" customHeight="1" x14ac:dyDescent="0.25">
      <c r="H116" s="15"/>
      <c r="J116" s="118"/>
    </row>
    <row r="117" spans="8:10" ht="51.75" customHeight="1" x14ac:dyDescent="0.25">
      <c r="H117" s="15"/>
      <c r="J117" s="118"/>
    </row>
    <row r="118" spans="8:10" ht="51.75" customHeight="1" x14ac:dyDescent="0.25">
      <c r="H118" s="15"/>
      <c r="J118" s="118"/>
    </row>
    <row r="119" spans="8:10" ht="51.75" customHeight="1" x14ac:dyDescent="0.25">
      <c r="H119" s="15"/>
      <c r="J119" s="118"/>
    </row>
    <row r="120" spans="8:10" ht="51.75" customHeight="1" x14ac:dyDescent="0.25">
      <c r="H120" s="15"/>
      <c r="J120" s="118"/>
    </row>
    <row r="121" spans="8:10" ht="51.75" customHeight="1" x14ac:dyDescent="0.25">
      <c r="H121" s="15"/>
      <c r="J121" s="118"/>
    </row>
    <row r="122" spans="8:10" ht="51.75" customHeight="1" x14ac:dyDescent="0.25">
      <c r="H122" s="15"/>
      <c r="J122" s="118"/>
    </row>
    <row r="123" spans="8:10" ht="51.75" customHeight="1" x14ac:dyDescent="0.25">
      <c r="H123" s="15"/>
      <c r="J123" s="118"/>
    </row>
    <row r="124" spans="8:10" ht="51.75" customHeight="1" x14ac:dyDescent="0.25">
      <c r="H124" s="15"/>
      <c r="J124" s="118"/>
    </row>
    <row r="125" spans="8:10" ht="51.75" customHeight="1" x14ac:dyDescent="0.25">
      <c r="H125" s="15"/>
      <c r="J125" s="118"/>
    </row>
    <row r="126" spans="8:10" ht="51.75" customHeight="1" x14ac:dyDescent="0.25">
      <c r="H126" s="15"/>
      <c r="J126" s="118"/>
    </row>
    <row r="127" spans="8:10" ht="51.75" customHeight="1" x14ac:dyDescent="0.25">
      <c r="H127" s="15"/>
      <c r="J127" s="118"/>
    </row>
    <row r="128" spans="8:10" ht="51.75" customHeight="1" x14ac:dyDescent="0.25">
      <c r="H128" s="15"/>
      <c r="J128" s="118"/>
    </row>
    <row r="129" spans="8:10" ht="51.75" customHeight="1" x14ac:dyDescent="0.25">
      <c r="H129" s="15"/>
      <c r="J129" s="118"/>
    </row>
    <row r="130" spans="8:10" ht="51.75" customHeight="1" x14ac:dyDescent="0.25">
      <c r="H130" s="15"/>
      <c r="J130" s="118"/>
    </row>
    <row r="131" spans="8:10" ht="51.75" customHeight="1" x14ac:dyDescent="0.25">
      <c r="H131" s="15"/>
      <c r="J131" s="118"/>
    </row>
    <row r="132" spans="8:10" ht="51.75" customHeight="1" x14ac:dyDescent="0.25">
      <c r="H132" s="15"/>
      <c r="J132" s="118"/>
    </row>
    <row r="133" spans="8:10" ht="51.75" customHeight="1" x14ac:dyDescent="0.25">
      <c r="H133" s="15"/>
      <c r="J133" s="118"/>
    </row>
    <row r="134" spans="8:10" ht="51.75" customHeight="1" x14ac:dyDescent="0.25">
      <c r="H134" s="15"/>
      <c r="J134" s="118"/>
    </row>
    <row r="135" spans="8:10" ht="51.75" customHeight="1" x14ac:dyDescent="0.25">
      <c r="H135" s="15"/>
      <c r="J135" s="118"/>
    </row>
    <row r="136" spans="8:10" ht="51.75" customHeight="1" x14ac:dyDescent="0.25">
      <c r="H136" s="15"/>
      <c r="J136" s="118"/>
    </row>
    <row r="137" spans="8:10" ht="51.75" customHeight="1" x14ac:dyDescent="0.25">
      <c r="H137" s="15"/>
      <c r="J137" s="118"/>
    </row>
    <row r="138" spans="8:10" ht="51.75" customHeight="1" x14ac:dyDescent="0.25">
      <c r="H138" s="15"/>
      <c r="J138" s="118"/>
    </row>
    <row r="139" spans="8:10" ht="51.75" customHeight="1" x14ac:dyDescent="0.25">
      <c r="H139" s="15"/>
      <c r="J139" s="118"/>
    </row>
    <row r="140" spans="8:10" ht="51.75" customHeight="1" x14ac:dyDescent="0.25">
      <c r="H140" s="15"/>
      <c r="J140" s="118"/>
    </row>
    <row r="141" spans="8:10" ht="51.75" customHeight="1" x14ac:dyDescent="0.25">
      <c r="H141" s="15"/>
      <c r="J141" s="118"/>
    </row>
    <row r="142" spans="8:10" ht="51.75" customHeight="1" x14ac:dyDescent="0.25">
      <c r="H142" s="15"/>
      <c r="J142" s="118"/>
    </row>
    <row r="143" spans="8:10" ht="51.75" customHeight="1" x14ac:dyDescent="0.25">
      <c r="H143" s="15"/>
      <c r="J143" s="118"/>
    </row>
    <row r="144" spans="8:10" ht="51.75" customHeight="1" x14ac:dyDescent="0.25">
      <c r="H144" s="15"/>
      <c r="J144" s="118"/>
    </row>
    <row r="145" spans="8:10" ht="51.75" customHeight="1" x14ac:dyDescent="0.25">
      <c r="H145" s="15"/>
      <c r="J145" s="118"/>
    </row>
    <row r="146" spans="8:10" ht="51.75" customHeight="1" x14ac:dyDescent="0.25">
      <c r="H146" s="15"/>
      <c r="J146" s="118"/>
    </row>
    <row r="147" spans="8:10" ht="51.75" customHeight="1" x14ac:dyDescent="0.25">
      <c r="H147" s="15"/>
      <c r="J147" s="118"/>
    </row>
    <row r="148" spans="8:10" ht="51.75" customHeight="1" x14ac:dyDescent="0.25">
      <c r="J148" s="118"/>
    </row>
    <row r="149" spans="8:10" ht="51.75" customHeight="1" x14ac:dyDescent="0.25">
      <c r="J149" s="118"/>
    </row>
    <row r="150" spans="8:10" ht="51.75" customHeight="1" x14ac:dyDescent="0.25">
      <c r="J150" s="118"/>
    </row>
    <row r="151" spans="8:10" ht="51.75" customHeight="1" x14ac:dyDescent="0.25">
      <c r="J151" s="118"/>
    </row>
    <row r="152" spans="8:10" ht="51.75" customHeight="1" x14ac:dyDescent="0.25">
      <c r="J152" s="118"/>
    </row>
    <row r="153" spans="8:10" ht="51.75" customHeight="1" x14ac:dyDescent="0.25">
      <c r="J153" s="118"/>
    </row>
    <row r="154" spans="8:10" ht="51.75" customHeight="1" x14ac:dyDescent="0.25">
      <c r="J154" s="118"/>
    </row>
    <row r="155" spans="8:10" ht="51.75" customHeight="1" x14ac:dyDescent="0.25">
      <c r="J155" s="118"/>
    </row>
    <row r="156" spans="8:10" ht="51.75" customHeight="1" x14ac:dyDescent="0.25">
      <c r="J156" s="118"/>
    </row>
    <row r="157" spans="8:10" ht="51.75" customHeight="1" x14ac:dyDescent="0.25">
      <c r="J157" s="118"/>
    </row>
    <row r="158" spans="8:10" ht="51.75" customHeight="1" x14ac:dyDescent="0.25">
      <c r="J158" s="118"/>
    </row>
    <row r="159" spans="8:10" ht="51.75" customHeight="1" x14ac:dyDescent="0.25">
      <c r="J159" s="118"/>
    </row>
    <row r="160" spans="8:10" ht="51.75" customHeight="1" x14ac:dyDescent="0.25">
      <c r="J160" s="118"/>
    </row>
    <row r="161" spans="10:10" ht="51.75" customHeight="1" x14ac:dyDescent="0.25">
      <c r="J161" s="118"/>
    </row>
    <row r="162" spans="10:10" ht="51.75" customHeight="1" x14ac:dyDescent="0.25">
      <c r="J162" s="118"/>
    </row>
    <row r="163" spans="10:10" ht="51.75" customHeight="1" x14ac:dyDescent="0.25">
      <c r="J163" s="118"/>
    </row>
    <row r="164" spans="10:10" ht="51.75" customHeight="1" x14ac:dyDescent="0.25">
      <c r="J164" s="118"/>
    </row>
    <row r="165" spans="10:10" ht="51.75" customHeight="1" x14ac:dyDescent="0.25">
      <c r="J165" s="118"/>
    </row>
    <row r="166" spans="10:10" ht="51.75" customHeight="1" x14ac:dyDescent="0.25">
      <c r="J166" s="118"/>
    </row>
    <row r="167" spans="10:10" ht="51.75" customHeight="1" x14ac:dyDescent="0.25">
      <c r="J167" s="118"/>
    </row>
    <row r="168" spans="10:10" ht="51.75" customHeight="1" x14ac:dyDescent="0.25">
      <c r="J168" s="118"/>
    </row>
    <row r="169" spans="10:10" ht="51.75" customHeight="1" x14ac:dyDescent="0.25">
      <c r="J169" s="118"/>
    </row>
    <row r="170" spans="10:10" ht="51.75" customHeight="1" x14ac:dyDescent="0.25">
      <c r="J170" s="118"/>
    </row>
    <row r="171" spans="10:10" ht="51.75" customHeight="1" x14ac:dyDescent="0.25">
      <c r="J171" s="118"/>
    </row>
    <row r="172" spans="10:10" ht="51.75" customHeight="1" x14ac:dyDescent="0.25">
      <c r="J172" s="118"/>
    </row>
    <row r="173" spans="10:10" ht="51.75" customHeight="1" x14ac:dyDescent="0.25">
      <c r="J173" s="118"/>
    </row>
    <row r="174" spans="10:10" ht="51.75" customHeight="1" x14ac:dyDescent="0.25">
      <c r="J174" s="118"/>
    </row>
    <row r="175" spans="10:10" ht="51.75" customHeight="1" x14ac:dyDescent="0.25">
      <c r="J175" s="118"/>
    </row>
    <row r="176" spans="10:10" ht="51.75" customHeight="1" x14ac:dyDescent="0.25">
      <c r="J176" s="118"/>
    </row>
    <row r="177" spans="10:10" ht="51.75" customHeight="1" x14ac:dyDescent="0.25">
      <c r="J177" s="118"/>
    </row>
    <row r="178" spans="10:10" ht="51.75" customHeight="1" x14ac:dyDescent="0.25">
      <c r="J178" s="118"/>
    </row>
    <row r="179" spans="10:10" ht="51.75" customHeight="1" x14ac:dyDescent="0.25">
      <c r="J179" s="118"/>
    </row>
    <row r="180" spans="10:10" ht="51.75" customHeight="1" x14ac:dyDescent="0.25">
      <c r="J180" s="118"/>
    </row>
    <row r="181" spans="10:10" ht="51.75" customHeight="1" x14ac:dyDescent="0.25">
      <c r="J181" s="118"/>
    </row>
    <row r="182" spans="10:10" ht="51.75" customHeight="1" x14ac:dyDescent="0.25">
      <c r="J182" s="118"/>
    </row>
    <row r="183" spans="10:10" ht="51.75" customHeight="1" x14ac:dyDescent="0.25">
      <c r="J183" s="118"/>
    </row>
    <row r="184" spans="10:10" ht="51.75" customHeight="1" x14ac:dyDescent="0.25">
      <c r="J184" s="118"/>
    </row>
    <row r="185" spans="10:10" ht="51.75" customHeight="1" x14ac:dyDescent="0.25">
      <c r="J185" s="118"/>
    </row>
    <row r="186" spans="10:10" ht="51.75" customHeight="1" x14ac:dyDescent="0.25">
      <c r="J186" s="118"/>
    </row>
    <row r="187" spans="10:10" ht="51.75" customHeight="1" x14ac:dyDescent="0.25">
      <c r="J187" s="118"/>
    </row>
    <row r="188" spans="10:10" ht="51.75" customHeight="1" x14ac:dyDescent="0.25">
      <c r="J188" s="118"/>
    </row>
    <row r="189" spans="10:10" ht="51.75" customHeight="1" x14ac:dyDescent="0.25">
      <c r="J189" s="118"/>
    </row>
    <row r="190" spans="10:10" ht="51.75" customHeight="1" x14ac:dyDescent="0.25">
      <c r="J190" s="118"/>
    </row>
    <row r="191" spans="10:10" ht="51.75" customHeight="1" x14ac:dyDescent="0.25">
      <c r="J191" s="118"/>
    </row>
    <row r="192" spans="10:10" ht="51.75" customHeight="1" x14ac:dyDescent="0.25">
      <c r="J192" s="118"/>
    </row>
    <row r="193" spans="10:10" ht="51.75" customHeight="1" x14ac:dyDescent="0.25">
      <c r="J193" s="118"/>
    </row>
    <row r="194" spans="10:10" ht="51.75" customHeight="1" x14ac:dyDescent="0.25">
      <c r="J194" s="118"/>
    </row>
    <row r="195" spans="10:10" ht="51.75" customHeight="1" x14ac:dyDescent="0.25">
      <c r="J195" s="118"/>
    </row>
    <row r="196" spans="10:10" ht="51.75" customHeight="1" x14ac:dyDescent="0.25">
      <c r="J196" s="118"/>
    </row>
    <row r="197" spans="10:10" ht="51.75" customHeight="1" x14ac:dyDescent="0.25">
      <c r="J197" s="118"/>
    </row>
    <row r="198" spans="10:10" ht="51.75" customHeight="1" x14ac:dyDescent="0.25">
      <c r="J198" s="118"/>
    </row>
    <row r="199" spans="10:10" ht="51.75" customHeight="1" x14ac:dyDescent="0.25">
      <c r="J199" s="118"/>
    </row>
    <row r="200" spans="10:10" ht="51.75" customHeight="1" x14ac:dyDescent="0.25">
      <c r="J200" s="118"/>
    </row>
    <row r="201" spans="10:10" ht="51.75" customHeight="1" x14ac:dyDescent="0.25">
      <c r="J201" s="118"/>
    </row>
    <row r="202" spans="10:10" ht="51.75" customHeight="1" x14ac:dyDescent="0.25">
      <c r="J202" s="118"/>
    </row>
    <row r="203" spans="10:10" ht="51.75" customHeight="1" x14ac:dyDescent="0.25">
      <c r="J203" s="118"/>
    </row>
    <row r="204" spans="10:10" ht="51.75" customHeight="1" x14ac:dyDescent="0.25">
      <c r="J204" s="118"/>
    </row>
    <row r="205" spans="10:10" ht="51.75" customHeight="1" x14ac:dyDescent="0.25">
      <c r="J205" s="118"/>
    </row>
    <row r="206" spans="10:10" ht="51.75" customHeight="1" x14ac:dyDescent="0.25">
      <c r="J206" s="118"/>
    </row>
    <row r="207" spans="10:10" ht="51.75" customHeight="1" x14ac:dyDescent="0.25">
      <c r="J207" s="118"/>
    </row>
    <row r="208" spans="10:10" ht="51.75" customHeight="1" x14ac:dyDescent="0.25">
      <c r="J208" s="118"/>
    </row>
    <row r="209" spans="10:10" ht="51.75" customHeight="1" x14ac:dyDescent="0.25">
      <c r="J209" s="118"/>
    </row>
    <row r="210" spans="10:10" ht="51.75" customHeight="1" x14ac:dyDescent="0.25">
      <c r="J210" s="118"/>
    </row>
    <row r="211" spans="10:10" ht="51.75" customHeight="1" x14ac:dyDescent="0.25">
      <c r="J211" s="118"/>
    </row>
    <row r="212" spans="10:10" ht="51.75" customHeight="1" x14ac:dyDescent="0.25">
      <c r="J212" s="118"/>
    </row>
    <row r="213" spans="10:10" ht="51.75" customHeight="1" x14ac:dyDescent="0.25">
      <c r="J213" s="118"/>
    </row>
    <row r="214" spans="10:10" ht="51.75" customHeight="1" x14ac:dyDescent="0.25">
      <c r="J214" s="118"/>
    </row>
    <row r="215" spans="10:10" ht="51.75" customHeight="1" x14ac:dyDescent="0.25">
      <c r="J215" s="118"/>
    </row>
    <row r="216" spans="10:10" ht="51.75" customHeight="1" x14ac:dyDescent="0.25">
      <c r="J216" s="118"/>
    </row>
    <row r="217" spans="10:10" ht="51.75" customHeight="1" x14ac:dyDescent="0.25">
      <c r="J217" s="118"/>
    </row>
    <row r="218" spans="10:10" ht="51.75" customHeight="1" x14ac:dyDescent="0.25">
      <c r="J218" s="118"/>
    </row>
    <row r="219" spans="10:10" ht="51.75" customHeight="1" x14ac:dyDescent="0.25">
      <c r="J219" s="118"/>
    </row>
    <row r="220" spans="10:10" ht="51.75" customHeight="1" x14ac:dyDescent="0.25">
      <c r="J220" s="118"/>
    </row>
    <row r="221" spans="10:10" ht="51.75" customHeight="1" x14ac:dyDescent="0.25">
      <c r="J221" s="118"/>
    </row>
    <row r="222" spans="10:10" ht="51.75" customHeight="1" x14ac:dyDescent="0.25">
      <c r="J222" s="118"/>
    </row>
    <row r="223" spans="10:10" ht="51.75" customHeight="1" x14ac:dyDescent="0.25">
      <c r="J223" s="118"/>
    </row>
    <row r="224" spans="10:10" ht="51.75" customHeight="1" x14ac:dyDescent="0.25">
      <c r="J224" s="118"/>
    </row>
    <row r="225" spans="10:10" ht="51.75" customHeight="1" x14ac:dyDescent="0.25">
      <c r="J225" s="118"/>
    </row>
    <row r="226" spans="10:10" ht="51.75" customHeight="1" x14ac:dyDescent="0.25">
      <c r="J226" s="118"/>
    </row>
    <row r="227" spans="10:10" ht="51.75" customHeight="1" x14ac:dyDescent="0.25">
      <c r="J227" s="118"/>
    </row>
    <row r="228" spans="10:10" ht="51.75" customHeight="1" x14ac:dyDescent="0.25">
      <c r="J228" s="118"/>
    </row>
    <row r="229" spans="10:10" ht="51.75" customHeight="1" x14ac:dyDescent="0.25">
      <c r="J229" s="118"/>
    </row>
    <row r="230" spans="10:10" ht="51.75" customHeight="1" x14ac:dyDescent="0.25">
      <c r="J230" s="118"/>
    </row>
    <row r="231" spans="10:10" ht="51.75" customHeight="1" x14ac:dyDescent="0.25">
      <c r="J231" s="118"/>
    </row>
    <row r="232" spans="10:10" ht="51.75" customHeight="1" x14ac:dyDescent="0.25">
      <c r="J232" s="118"/>
    </row>
    <row r="233" spans="10:10" ht="51.75" customHeight="1" x14ac:dyDescent="0.25">
      <c r="J233" s="118"/>
    </row>
    <row r="234" spans="10:10" ht="51.75" customHeight="1" x14ac:dyDescent="0.25">
      <c r="J234" s="118"/>
    </row>
    <row r="235" spans="10:10" ht="51.75" customHeight="1" x14ac:dyDescent="0.25">
      <c r="J235" s="118"/>
    </row>
    <row r="236" spans="10:10" ht="51.75" customHeight="1" x14ac:dyDescent="0.25">
      <c r="J236" s="118"/>
    </row>
    <row r="237" spans="10:10" ht="51.75" customHeight="1" x14ac:dyDescent="0.25">
      <c r="J237" s="118"/>
    </row>
    <row r="238" spans="10:10" ht="51.75" customHeight="1" x14ac:dyDescent="0.25">
      <c r="J238" s="118"/>
    </row>
    <row r="239" spans="10:10" ht="51.75" customHeight="1" x14ac:dyDescent="0.25">
      <c r="J239" s="118"/>
    </row>
    <row r="240" spans="10:10" ht="51.75" customHeight="1" x14ac:dyDescent="0.25">
      <c r="J240" s="118"/>
    </row>
    <row r="241" spans="10:10" ht="51.75" customHeight="1" x14ac:dyDescent="0.25">
      <c r="J241" s="118"/>
    </row>
    <row r="242" spans="10:10" ht="51.75" customHeight="1" x14ac:dyDescent="0.25">
      <c r="J242" s="118"/>
    </row>
    <row r="243" spans="10:10" ht="51.75" customHeight="1" x14ac:dyDescent="0.25">
      <c r="J243" s="118"/>
    </row>
    <row r="244" spans="10:10" ht="51.75" customHeight="1" x14ac:dyDescent="0.25">
      <c r="J244" s="118"/>
    </row>
    <row r="245" spans="10:10" ht="51.75" customHeight="1" x14ac:dyDescent="0.25">
      <c r="J245" s="118"/>
    </row>
    <row r="246" spans="10:10" ht="51.75" customHeight="1" x14ac:dyDescent="0.25">
      <c r="J246" s="118"/>
    </row>
    <row r="247" spans="10:10" ht="51.75" customHeight="1" x14ac:dyDescent="0.25">
      <c r="J247" s="118"/>
    </row>
    <row r="248" spans="10:10" ht="51.75" customHeight="1" x14ac:dyDescent="0.25">
      <c r="J248" s="118"/>
    </row>
    <row r="249" spans="10:10" ht="51.75" customHeight="1" x14ac:dyDescent="0.25">
      <c r="J249" s="118"/>
    </row>
    <row r="250" spans="10:10" ht="51.75" customHeight="1" x14ac:dyDescent="0.25">
      <c r="J250" s="118"/>
    </row>
    <row r="251" spans="10:10" ht="51.75" customHeight="1" x14ac:dyDescent="0.25">
      <c r="J251" s="118"/>
    </row>
    <row r="252" spans="10:10" ht="51.75" customHeight="1" x14ac:dyDescent="0.25">
      <c r="J252" s="118"/>
    </row>
    <row r="253" spans="10:10" ht="51.75" customHeight="1" x14ac:dyDescent="0.25">
      <c r="J253" s="118"/>
    </row>
    <row r="254" spans="10:10" ht="51.75" customHeight="1" x14ac:dyDescent="0.25">
      <c r="J254" s="118"/>
    </row>
    <row r="255" spans="10:10" ht="51.75" customHeight="1" x14ac:dyDescent="0.25">
      <c r="J255" s="118"/>
    </row>
    <row r="256" spans="10:10" ht="51.75" customHeight="1" x14ac:dyDescent="0.25">
      <c r="J256" s="118"/>
    </row>
    <row r="257" spans="10:10" ht="51.75" customHeight="1" x14ac:dyDescent="0.25">
      <c r="J257" s="118"/>
    </row>
    <row r="258" spans="10:10" ht="51.75" customHeight="1" x14ac:dyDescent="0.25">
      <c r="J258" s="118"/>
    </row>
    <row r="259" spans="10:10" ht="51.75" customHeight="1" x14ac:dyDescent="0.25">
      <c r="J259" s="118"/>
    </row>
    <row r="260" spans="10:10" ht="51.75" customHeight="1" x14ac:dyDescent="0.25">
      <c r="J260" s="118"/>
    </row>
    <row r="261" spans="10:10" ht="51.75" customHeight="1" x14ac:dyDescent="0.25">
      <c r="J261" s="118"/>
    </row>
    <row r="262" spans="10:10" ht="51.75" customHeight="1" x14ac:dyDescent="0.25">
      <c r="J262" s="118"/>
    </row>
    <row r="263" spans="10:10" ht="51.75" customHeight="1" x14ac:dyDescent="0.25">
      <c r="J263" s="118"/>
    </row>
    <row r="264" spans="10:10" ht="51.75" customHeight="1" x14ac:dyDescent="0.25">
      <c r="J264" s="118"/>
    </row>
    <row r="265" spans="10:10" ht="51.75" customHeight="1" x14ac:dyDescent="0.25">
      <c r="J265" s="118"/>
    </row>
    <row r="266" spans="10:10" ht="51.75" customHeight="1" x14ac:dyDescent="0.25">
      <c r="J266" s="118"/>
    </row>
    <row r="267" spans="10:10" ht="51.75" customHeight="1" x14ac:dyDescent="0.25">
      <c r="J267" s="118"/>
    </row>
    <row r="268" spans="10:10" ht="51.75" customHeight="1" x14ac:dyDescent="0.25">
      <c r="J268" s="118"/>
    </row>
    <row r="269" spans="10:10" ht="51.75" customHeight="1" x14ac:dyDescent="0.25">
      <c r="J269" s="118"/>
    </row>
    <row r="270" spans="10:10" ht="51.75" customHeight="1" x14ac:dyDescent="0.25">
      <c r="J270" s="118"/>
    </row>
    <row r="271" spans="10:10" ht="51.75" customHeight="1" x14ac:dyDescent="0.25">
      <c r="J271" s="118"/>
    </row>
    <row r="272" spans="10:10" ht="51.75" customHeight="1" x14ac:dyDescent="0.25">
      <c r="J272" s="118"/>
    </row>
    <row r="273" spans="10:10" ht="51.75" customHeight="1" x14ac:dyDescent="0.25">
      <c r="J273" s="118"/>
    </row>
    <row r="274" spans="10:10" ht="51.75" customHeight="1" x14ac:dyDescent="0.25">
      <c r="J274" s="118"/>
    </row>
    <row r="275" spans="10:10" ht="51.75" customHeight="1" x14ac:dyDescent="0.25">
      <c r="J275" s="118"/>
    </row>
    <row r="276" spans="10:10" ht="51.75" customHeight="1" x14ac:dyDescent="0.25">
      <c r="J276" s="118"/>
    </row>
    <row r="277" spans="10:10" ht="51.75" customHeight="1" x14ac:dyDescent="0.25">
      <c r="J277" s="118"/>
    </row>
    <row r="278" spans="10:10" ht="51.75" customHeight="1" x14ac:dyDescent="0.25">
      <c r="J278" s="118"/>
    </row>
    <row r="279" spans="10:10" ht="51.75" customHeight="1" x14ac:dyDescent="0.25">
      <c r="J279" s="118"/>
    </row>
    <row r="280" spans="10:10" ht="51.75" customHeight="1" x14ac:dyDescent="0.25">
      <c r="J280" s="118"/>
    </row>
    <row r="281" spans="10:10" ht="51.75" customHeight="1" x14ac:dyDescent="0.25">
      <c r="J281" s="118"/>
    </row>
    <row r="282" spans="10:10" ht="51.75" customHeight="1" x14ac:dyDescent="0.25">
      <c r="J282" s="118"/>
    </row>
    <row r="283" spans="10:10" ht="51.75" customHeight="1" x14ac:dyDescent="0.25">
      <c r="J283" s="118"/>
    </row>
    <row r="284" spans="10:10" ht="51.75" customHeight="1" x14ac:dyDescent="0.25">
      <c r="J284" s="118"/>
    </row>
    <row r="285" spans="10:10" ht="51.75" customHeight="1" x14ac:dyDescent="0.25">
      <c r="J285" s="118"/>
    </row>
    <row r="286" spans="10:10" ht="51.75" customHeight="1" x14ac:dyDescent="0.25">
      <c r="J286" s="118"/>
    </row>
    <row r="287" spans="10:10" ht="51.75" customHeight="1" x14ac:dyDescent="0.25">
      <c r="J287" s="118"/>
    </row>
    <row r="288" spans="10:10" ht="51.75" customHeight="1" x14ac:dyDescent="0.25">
      <c r="J288" s="118"/>
    </row>
    <row r="289" spans="10:10" ht="51.75" customHeight="1" x14ac:dyDescent="0.25">
      <c r="J289" s="118"/>
    </row>
    <row r="290" spans="10:10" ht="51.75" customHeight="1" x14ac:dyDescent="0.25">
      <c r="J290" s="118"/>
    </row>
    <row r="291" spans="10:10" ht="51.75" customHeight="1" x14ac:dyDescent="0.25">
      <c r="J291" s="118"/>
    </row>
    <row r="292" spans="10:10" ht="51.75" customHeight="1" x14ac:dyDescent="0.25">
      <c r="J292" s="118"/>
    </row>
    <row r="293" spans="10:10" ht="51.75" customHeight="1" x14ac:dyDescent="0.25">
      <c r="J293" s="118"/>
    </row>
    <row r="294" spans="10:10" ht="51.75" customHeight="1" x14ac:dyDescent="0.25">
      <c r="J294" s="118"/>
    </row>
    <row r="295" spans="10:10" ht="51.75" customHeight="1" x14ac:dyDescent="0.25">
      <c r="J295" s="118"/>
    </row>
    <row r="296" spans="10:10" ht="51.75" customHeight="1" x14ac:dyDescent="0.25">
      <c r="J296" s="118"/>
    </row>
    <row r="297" spans="10:10" ht="51.75" customHeight="1" x14ac:dyDescent="0.25">
      <c r="J297" s="118"/>
    </row>
    <row r="298" spans="10:10" ht="51.75" customHeight="1" x14ac:dyDescent="0.25">
      <c r="J298" s="118"/>
    </row>
    <row r="299" spans="10:10" ht="51.75" customHeight="1" x14ac:dyDescent="0.25">
      <c r="J299" s="118"/>
    </row>
    <row r="300" spans="10:10" ht="51.75" customHeight="1" x14ac:dyDescent="0.25">
      <c r="J300" s="118"/>
    </row>
    <row r="301" spans="10:10" ht="51.75" customHeight="1" x14ac:dyDescent="0.25">
      <c r="J301" s="118"/>
    </row>
    <row r="302" spans="10:10" ht="51.75" customHeight="1" x14ac:dyDescent="0.25">
      <c r="J302" s="118"/>
    </row>
    <row r="303" spans="10:10" ht="51.75" customHeight="1" x14ac:dyDescent="0.25">
      <c r="J303" s="118"/>
    </row>
    <row r="304" spans="10:10" ht="51.75" customHeight="1" x14ac:dyDescent="0.25">
      <c r="J304" s="118"/>
    </row>
    <row r="305" spans="10:10" ht="51.75" customHeight="1" x14ac:dyDescent="0.25">
      <c r="J305" s="118"/>
    </row>
    <row r="306" spans="10:10" ht="51.75" customHeight="1" x14ac:dyDescent="0.25">
      <c r="J306" s="118"/>
    </row>
    <row r="307" spans="10:10" ht="51.75" customHeight="1" x14ac:dyDescent="0.25">
      <c r="J307" s="118"/>
    </row>
    <row r="308" spans="10:10" ht="51.75" customHeight="1" x14ac:dyDescent="0.25">
      <c r="J308" s="118"/>
    </row>
    <row r="309" spans="10:10" ht="51.75" customHeight="1" x14ac:dyDescent="0.25">
      <c r="J309" s="118"/>
    </row>
    <row r="310" spans="10:10" ht="51.75" customHeight="1" x14ac:dyDescent="0.25">
      <c r="J310" s="118"/>
    </row>
    <row r="311" spans="10:10" ht="51.75" customHeight="1" x14ac:dyDescent="0.25">
      <c r="J311" s="118"/>
    </row>
    <row r="312" spans="10:10" ht="51.75" customHeight="1" x14ac:dyDescent="0.25">
      <c r="J312" s="118"/>
    </row>
    <row r="313" spans="10:10" ht="51.75" customHeight="1" x14ac:dyDescent="0.25">
      <c r="J313" s="118"/>
    </row>
    <row r="314" spans="10:10" ht="51.75" customHeight="1" x14ac:dyDescent="0.25">
      <c r="J314" s="118"/>
    </row>
    <row r="315" spans="10:10" ht="51.75" customHeight="1" x14ac:dyDescent="0.25">
      <c r="J315" s="118"/>
    </row>
    <row r="316" spans="10:10" ht="51.75" customHeight="1" x14ac:dyDescent="0.25">
      <c r="J316" s="118"/>
    </row>
    <row r="317" spans="10:10" ht="51.75" customHeight="1" x14ac:dyDescent="0.25">
      <c r="J317" s="118"/>
    </row>
    <row r="318" spans="10:10" ht="51.75" customHeight="1" x14ac:dyDescent="0.25">
      <c r="J318" s="118"/>
    </row>
    <row r="319" spans="10:10" ht="51.75" customHeight="1" x14ac:dyDescent="0.25">
      <c r="J319" s="118"/>
    </row>
    <row r="320" spans="10:10" ht="51.75" customHeight="1" x14ac:dyDescent="0.25">
      <c r="J320" s="118"/>
    </row>
    <row r="321" spans="10:10" ht="51.75" customHeight="1" x14ac:dyDescent="0.25">
      <c r="J321" s="118"/>
    </row>
    <row r="322" spans="10:10" ht="51.75" customHeight="1" x14ac:dyDescent="0.25">
      <c r="J322" s="118"/>
    </row>
    <row r="323" spans="10:10" ht="51.75" customHeight="1" x14ac:dyDescent="0.25">
      <c r="J323" s="118"/>
    </row>
    <row r="324" spans="10:10" ht="51.75" customHeight="1" x14ac:dyDescent="0.25">
      <c r="J324" s="118"/>
    </row>
    <row r="325" spans="10:10" ht="51.75" customHeight="1" x14ac:dyDescent="0.25">
      <c r="J325" s="118"/>
    </row>
    <row r="326" spans="10:10" ht="51.75" customHeight="1" x14ac:dyDescent="0.25">
      <c r="J326" s="118"/>
    </row>
    <row r="327" spans="10:10" ht="51.75" customHeight="1" x14ac:dyDescent="0.25">
      <c r="J327" s="118"/>
    </row>
    <row r="328" spans="10:10" ht="51.75" customHeight="1" x14ac:dyDescent="0.25">
      <c r="J328" s="118"/>
    </row>
    <row r="329" spans="10:10" ht="51.75" customHeight="1" x14ac:dyDescent="0.25">
      <c r="J329" s="118"/>
    </row>
    <row r="330" spans="10:10" ht="51.75" customHeight="1" x14ac:dyDescent="0.25">
      <c r="J330" s="118"/>
    </row>
    <row r="331" spans="10:10" ht="51.75" customHeight="1" x14ac:dyDescent="0.25">
      <c r="J331" s="118"/>
    </row>
    <row r="332" spans="10:10" ht="51.75" customHeight="1" x14ac:dyDescent="0.25">
      <c r="J332" s="118"/>
    </row>
    <row r="333" spans="10:10" ht="51.75" customHeight="1" x14ac:dyDescent="0.25">
      <c r="J333" s="118"/>
    </row>
    <row r="334" spans="10:10" ht="51.75" customHeight="1" x14ac:dyDescent="0.25">
      <c r="J334" s="118"/>
    </row>
    <row r="335" spans="10:10" ht="51.75" customHeight="1" x14ac:dyDescent="0.25">
      <c r="J335" s="118"/>
    </row>
    <row r="336" spans="10:10" ht="51.75" customHeight="1" x14ac:dyDescent="0.25">
      <c r="J336" s="118"/>
    </row>
    <row r="337" spans="10:10" ht="51.75" customHeight="1" x14ac:dyDescent="0.25">
      <c r="J337" s="118"/>
    </row>
    <row r="338" spans="10:10" ht="51.75" customHeight="1" x14ac:dyDescent="0.25">
      <c r="J338" s="118"/>
    </row>
    <row r="339" spans="10:10" ht="51.75" customHeight="1" x14ac:dyDescent="0.25">
      <c r="J339" s="118"/>
    </row>
    <row r="340" spans="10:10" ht="51.75" customHeight="1" x14ac:dyDescent="0.25">
      <c r="J340" s="118"/>
    </row>
    <row r="341" spans="10:10" ht="51.75" customHeight="1" x14ac:dyDescent="0.25">
      <c r="J341" s="118"/>
    </row>
    <row r="342" spans="10:10" ht="51.75" customHeight="1" x14ac:dyDescent="0.25">
      <c r="J342" s="118"/>
    </row>
    <row r="343" spans="10:10" ht="51.75" customHeight="1" x14ac:dyDescent="0.25">
      <c r="J343" s="118"/>
    </row>
    <row r="344" spans="10:10" ht="51.75" customHeight="1" x14ac:dyDescent="0.25">
      <c r="J344" s="118"/>
    </row>
    <row r="345" spans="10:10" ht="51.75" customHeight="1" x14ac:dyDescent="0.25">
      <c r="J345" s="118"/>
    </row>
    <row r="346" spans="10:10" ht="51.75" customHeight="1" x14ac:dyDescent="0.25">
      <c r="J346" s="118"/>
    </row>
    <row r="347" spans="10:10" ht="51.75" customHeight="1" x14ac:dyDescent="0.25">
      <c r="J347" s="118"/>
    </row>
    <row r="348" spans="10:10" ht="51.75" customHeight="1" x14ac:dyDescent="0.25">
      <c r="J348" s="118"/>
    </row>
    <row r="349" spans="10:10" ht="51.75" customHeight="1" x14ac:dyDescent="0.25">
      <c r="J349" s="118"/>
    </row>
    <row r="350" spans="10:10" ht="51.75" customHeight="1" x14ac:dyDescent="0.25">
      <c r="J350" s="118"/>
    </row>
    <row r="351" spans="10:10" ht="51.75" customHeight="1" x14ac:dyDescent="0.25">
      <c r="J351" s="118"/>
    </row>
    <row r="352" spans="10:10" ht="51.75" customHeight="1" x14ac:dyDescent="0.25">
      <c r="J352" s="118"/>
    </row>
    <row r="353" spans="10:10" ht="51.75" customHeight="1" x14ac:dyDescent="0.25">
      <c r="J353" s="118"/>
    </row>
    <row r="354" spans="10:10" ht="51.75" customHeight="1" x14ac:dyDescent="0.25">
      <c r="J354" s="118"/>
    </row>
    <row r="355" spans="10:10" ht="51.75" customHeight="1" x14ac:dyDescent="0.25">
      <c r="J355" s="118"/>
    </row>
    <row r="356" spans="10:10" ht="51.75" customHeight="1" x14ac:dyDescent="0.25">
      <c r="J356" s="118"/>
    </row>
    <row r="357" spans="10:10" ht="51.75" customHeight="1" x14ac:dyDescent="0.25">
      <c r="J357" s="118"/>
    </row>
    <row r="358" spans="10:10" ht="51.75" customHeight="1" x14ac:dyDescent="0.25">
      <c r="J358" s="118"/>
    </row>
    <row r="359" spans="10:10" ht="51.75" customHeight="1" x14ac:dyDescent="0.25">
      <c r="J359" s="118"/>
    </row>
    <row r="360" spans="10:10" ht="51.75" customHeight="1" x14ac:dyDescent="0.25">
      <c r="J360" s="118"/>
    </row>
    <row r="361" spans="10:10" ht="51.75" customHeight="1" x14ac:dyDescent="0.25">
      <c r="J361" s="118"/>
    </row>
    <row r="362" spans="10:10" ht="51.75" customHeight="1" x14ac:dyDescent="0.25">
      <c r="J362" s="118"/>
    </row>
    <row r="363" spans="10:10" ht="51.75" customHeight="1" x14ac:dyDescent="0.25">
      <c r="J363" s="118"/>
    </row>
    <row r="364" spans="10:10" ht="51.75" customHeight="1" x14ac:dyDescent="0.25">
      <c r="J364" s="118"/>
    </row>
    <row r="365" spans="10:10" ht="51.75" customHeight="1" x14ac:dyDescent="0.25">
      <c r="J365" s="118"/>
    </row>
    <row r="366" spans="10:10" ht="51.75" customHeight="1" x14ac:dyDescent="0.25">
      <c r="J366" s="118"/>
    </row>
    <row r="367" spans="10:10" ht="51.75" customHeight="1" x14ac:dyDescent="0.25">
      <c r="J367" s="118"/>
    </row>
    <row r="368" spans="10:10" ht="51.75" customHeight="1" x14ac:dyDescent="0.25">
      <c r="J368" s="118"/>
    </row>
    <row r="369" spans="10:10" ht="51.75" customHeight="1" x14ac:dyDescent="0.25">
      <c r="J369" s="118"/>
    </row>
    <row r="370" spans="10:10" ht="51.75" customHeight="1" x14ac:dyDescent="0.25">
      <c r="J370" s="118"/>
    </row>
    <row r="371" spans="10:10" ht="51.75" customHeight="1" x14ac:dyDescent="0.25">
      <c r="J371" s="118"/>
    </row>
    <row r="372" spans="10:10" ht="51.75" customHeight="1" x14ac:dyDescent="0.25">
      <c r="J372" s="118"/>
    </row>
    <row r="373" spans="10:10" ht="51.75" customHeight="1" x14ac:dyDescent="0.25">
      <c r="J373" s="118"/>
    </row>
    <row r="374" spans="10:10" ht="51.75" customHeight="1" x14ac:dyDescent="0.25">
      <c r="J374" s="118"/>
    </row>
    <row r="375" spans="10:10" ht="51.75" customHeight="1" x14ac:dyDescent="0.25">
      <c r="J375" s="118"/>
    </row>
    <row r="376" spans="10:10" ht="51.75" customHeight="1" x14ac:dyDescent="0.25">
      <c r="J376" s="118"/>
    </row>
    <row r="377" spans="10:10" ht="51.75" customHeight="1" x14ac:dyDescent="0.25">
      <c r="J377" s="118"/>
    </row>
    <row r="378" spans="10:10" ht="51.75" customHeight="1" x14ac:dyDescent="0.25">
      <c r="J378" s="118"/>
    </row>
    <row r="379" spans="10:10" ht="51.75" customHeight="1" x14ac:dyDescent="0.25">
      <c r="J379" s="118"/>
    </row>
    <row r="380" spans="10:10" ht="51.75" customHeight="1" x14ac:dyDescent="0.25">
      <c r="J380" s="118"/>
    </row>
    <row r="381" spans="10:10" ht="51.75" customHeight="1" x14ac:dyDescent="0.25">
      <c r="J381" s="118"/>
    </row>
    <row r="382" spans="10:10" ht="51.75" customHeight="1" x14ac:dyDescent="0.25">
      <c r="J382" s="118"/>
    </row>
    <row r="383" spans="10:10" ht="51.75" customHeight="1" x14ac:dyDescent="0.25">
      <c r="J383" s="118"/>
    </row>
    <row r="384" spans="10:10" ht="51.75" customHeight="1" x14ac:dyDescent="0.25">
      <c r="J384" s="118"/>
    </row>
    <row r="385" spans="10:10" ht="51.75" customHeight="1" x14ac:dyDescent="0.25">
      <c r="J385" s="118"/>
    </row>
    <row r="386" spans="10:10" ht="51.75" customHeight="1" x14ac:dyDescent="0.25">
      <c r="J386" s="118"/>
    </row>
    <row r="387" spans="10:10" ht="51.75" customHeight="1" x14ac:dyDescent="0.25">
      <c r="J387" s="118"/>
    </row>
    <row r="388" spans="10:10" ht="51.75" customHeight="1" x14ac:dyDescent="0.25">
      <c r="J388" s="118"/>
    </row>
    <row r="389" spans="10:10" ht="51.75" customHeight="1" x14ac:dyDescent="0.25">
      <c r="J389" s="118"/>
    </row>
    <row r="390" spans="10:10" ht="51.75" customHeight="1" x14ac:dyDescent="0.25">
      <c r="J390" s="118"/>
    </row>
    <row r="391" spans="10:10" ht="51.75" customHeight="1" x14ac:dyDescent="0.25">
      <c r="J391" s="118"/>
    </row>
    <row r="392" spans="10:10" ht="51.75" customHeight="1" x14ac:dyDescent="0.25">
      <c r="J392" s="118"/>
    </row>
    <row r="393" spans="10:10" ht="51.75" customHeight="1" x14ac:dyDescent="0.25">
      <c r="J393" s="118"/>
    </row>
    <row r="394" spans="10:10" ht="51.75" customHeight="1" x14ac:dyDescent="0.25">
      <c r="J394" s="118"/>
    </row>
    <row r="395" spans="10:10" ht="51.75" customHeight="1" x14ac:dyDescent="0.25">
      <c r="J395" s="118"/>
    </row>
    <row r="396" spans="10:10" ht="51.75" customHeight="1" x14ac:dyDescent="0.25">
      <c r="J396" s="118"/>
    </row>
    <row r="397" spans="10:10" ht="51.75" customHeight="1" x14ac:dyDescent="0.25">
      <c r="J397" s="118"/>
    </row>
    <row r="398" spans="10:10" ht="51.75" customHeight="1" x14ac:dyDescent="0.25">
      <c r="J398" s="118"/>
    </row>
    <row r="399" spans="10:10" ht="51.75" customHeight="1" x14ac:dyDescent="0.25">
      <c r="J399" s="118"/>
    </row>
    <row r="400" spans="10:10" ht="51.75" customHeight="1" x14ac:dyDescent="0.25">
      <c r="J400" s="118"/>
    </row>
    <row r="401" spans="10:10" ht="51.75" customHeight="1" x14ac:dyDescent="0.25">
      <c r="J401" s="118"/>
    </row>
    <row r="402" spans="10:10" ht="51.75" customHeight="1" x14ac:dyDescent="0.25">
      <c r="J402" s="118"/>
    </row>
    <row r="403" spans="10:10" ht="51.75" customHeight="1" x14ac:dyDescent="0.25">
      <c r="J403" s="118"/>
    </row>
    <row r="404" spans="10:10" ht="51.75" customHeight="1" x14ac:dyDescent="0.25">
      <c r="J404" s="118"/>
    </row>
    <row r="405" spans="10:10" ht="51.75" customHeight="1" x14ac:dyDescent="0.25">
      <c r="J405" s="118"/>
    </row>
    <row r="406" spans="10:10" ht="51.75" customHeight="1" x14ac:dyDescent="0.25">
      <c r="J406" s="118"/>
    </row>
    <row r="407" spans="10:10" ht="51.75" customHeight="1" x14ac:dyDescent="0.25">
      <c r="J407" s="118"/>
    </row>
    <row r="408" spans="10:10" ht="51.75" customHeight="1" x14ac:dyDescent="0.25">
      <c r="J408" s="118"/>
    </row>
    <row r="409" spans="10:10" ht="51.75" customHeight="1" x14ac:dyDescent="0.25">
      <c r="J409" s="118"/>
    </row>
    <row r="410" spans="10:10" ht="51.75" customHeight="1" x14ac:dyDescent="0.25">
      <c r="J410" s="118"/>
    </row>
    <row r="411" spans="10:10" ht="51.75" customHeight="1" x14ac:dyDescent="0.25">
      <c r="J411" s="118"/>
    </row>
    <row r="412" spans="10:10" ht="51.75" customHeight="1" x14ac:dyDescent="0.25">
      <c r="J412" s="118"/>
    </row>
    <row r="413" spans="10:10" ht="51.75" customHeight="1" x14ac:dyDescent="0.25">
      <c r="J413" s="118"/>
    </row>
    <row r="414" spans="10:10" ht="51.75" customHeight="1" x14ac:dyDescent="0.25">
      <c r="J414" s="118"/>
    </row>
    <row r="415" spans="10:10" ht="51.75" customHeight="1" x14ac:dyDescent="0.25">
      <c r="J415" s="118"/>
    </row>
    <row r="416" spans="10:10" ht="51.75" customHeight="1" x14ac:dyDescent="0.25">
      <c r="J416" s="118"/>
    </row>
    <row r="417" spans="10:10" ht="51.75" customHeight="1" x14ac:dyDescent="0.25">
      <c r="J417" s="118"/>
    </row>
    <row r="418" spans="10:10" ht="51.75" customHeight="1" x14ac:dyDescent="0.25">
      <c r="J418" s="118"/>
    </row>
    <row r="419" spans="10:10" ht="51.75" customHeight="1" x14ac:dyDescent="0.25">
      <c r="J419" s="118"/>
    </row>
    <row r="420" spans="10:10" ht="51.75" customHeight="1" x14ac:dyDescent="0.25">
      <c r="J420" s="118"/>
    </row>
    <row r="421" spans="10:10" ht="51.75" customHeight="1" x14ac:dyDescent="0.25">
      <c r="J421" s="118"/>
    </row>
    <row r="422" spans="10:10" ht="51.75" customHeight="1" x14ac:dyDescent="0.25">
      <c r="J422" s="118"/>
    </row>
    <row r="423" spans="10:10" ht="51.75" customHeight="1" x14ac:dyDescent="0.25">
      <c r="J423" s="118"/>
    </row>
    <row r="424" spans="10:10" ht="51.75" customHeight="1" x14ac:dyDescent="0.25">
      <c r="J424" s="118"/>
    </row>
    <row r="425" spans="10:10" ht="51.75" customHeight="1" x14ac:dyDescent="0.25">
      <c r="J425" s="118"/>
    </row>
    <row r="426" spans="10:10" ht="51.75" customHeight="1" x14ac:dyDescent="0.25">
      <c r="J426" s="118"/>
    </row>
    <row r="427" spans="10:10" ht="51.75" customHeight="1" x14ac:dyDescent="0.25">
      <c r="J427" s="118"/>
    </row>
    <row r="428" spans="10:10" ht="51.75" customHeight="1" x14ac:dyDescent="0.25">
      <c r="J428" s="118"/>
    </row>
    <row r="429" spans="10:10" ht="51.75" customHeight="1" x14ac:dyDescent="0.25">
      <c r="J429" s="118"/>
    </row>
    <row r="430" spans="10:10" ht="51.75" customHeight="1" x14ac:dyDescent="0.25">
      <c r="J430" s="118"/>
    </row>
    <row r="431" spans="10:10" ht="51.75" customHeight="1" x14ac:dyDescent="0.25">
      <c r="J431" s="118"/>
    </row>
    <row r="432" spans="10:10" ht="51.75" customHeight="1" x14ac:dyDescent="0.25">
      <c r="J432" s="118"/>
    </row>
    <row r="433" spans="10:10" ht="51.75" customHeight="1" x14ac:dyDescent="0.25">
      <c r="J433" s="118"/>
    </row>
    <row r="434" spans="10:10" ht="51.75" customHeight="1" x14ac:dyDescent="0.25">
      <c r="J434" s="118"/>
    </row>
    <row r="435" spans="10:10" ht="51.75" customHeight="1" x14ac:dyDescent="0.25">
      <c r="J435" s="118"/>
    </row>
    <row r="436" spans="10:10" ht="51.75" customHeight="1" x14ac:dyDescent="0.25">
      <c r="J436" s="118"/>
    </row>
    <row r="437" spans="10:10" ht="51.75" customHeight="1" x14ac:dyDescent="0.25">
      <c r="J437" s="118"/>
    </row>
    <row r="438" spans="10:10" ht="51.75" customHeight="1" x14ac:dyDescent="0.25">
      <c r="J438" s="118"/>
    </row>
    <row r="439" spans="10:10" ht="51.75" customHeight="1" x14ac:dyDescent="0.25">
      <c r="J439" s="118"/>
    </row>
    <row r="440" spans="10:10" ht="51.75" customHeight="1" x14ac:dyDescent="0.25">
      <c r="J440" s="118"/>
    </row>
    <row r="441" spans="10:10" ht="51.75" customHeight="1" x14ac:dyDescent="0.25">
      <c r="J441" s="118"/>
    </row>
    <row r="442" spans="10:10" ht="51.75" customHeight="1" x14ac:dyDescent="0.25">
      <c r="J442" s="118"/>
    </row>
    <row r="443" spans="10:10" ht="51.75" customHeight="1" x14ac:dyDescent="0.25">
      <c r="J443" s="118"/>
    </row>
    <row r="444" spans="10:10" ht="51.75" customHeight="1" x14ac:dyDescent="0.25">
      <c r="J444" s="118"/>
    </row>
    <row r="445" spans="10:10" ht="51.75" customHeight="1" x14ac:dyDescent="0.25">
      <c r="J445" s="118"/>
    </row>
    <row r="446" spans="10:10" ht="51.75" customHeight="1" x14ac:dyDescent="0.25">
      <c r="J446" s="118"/>
    </row>
    <row r="447" spans="10:10" ht="51.75" customHeight="1" x14ac:dyDescent="0.25">
      <c r="J447" s="118"/>
    </row>
    <row r="448" spans="10:10" ht="51.75" customHeight="1" x14ac:dyDescent="0.25">
      <c r="J448" s="118"/>
    </row>
    <row r="449" spans="10:10" ht="51.75" customHeight="1" x14ac:dyDescent="0.25">
      <c r="J449" s="118"/>
    </row>
    <row r="450" spans="10:10" ht="51.75" customHeight="1" x14ac:dyDescent="0.25">
      <c r="J450" s="118"/>
    </row>
    <row r="451" spans="10:10" ht="51.75" customHeight="1" x14ac:dyDescent="0.25">
      <c r="J451" s="118"/>
    </row>
    <row r="452" spans="10:10" ht="51.75" customHeight="1" x14ac:dyDescent="0.25">
      <c r="J452" s="118"/>
    </row>
    <row r="453" spans="10:10" ht="51.75" customHeight="1" x14ac:dyDescent="0.25">
      <c r="J453" s="118"/>
    </row>
    <row r="454" spans="10:10" ht="51.75" customHeight="1" x14ac:dyDescent="0.25">
      <c r="J454" s="118"/>
    </row>
    <row r="455" spans="10:10" ht="51.75" customHeight="1" x14ac:dyDescent="0.25">
      <c r="J455" s="118"/>
    </row>
    <row r="456" spans="10:10" ht="51.75" customHeight="1" x14ac:dyDescent="0.25">
      <c r="J456" s="118"/>
    </row>
    <row r="457" spans="10:10" ht="51.75" customHeight="1" x14ac:dyDescent="0.25">
      <c r="J457" s="118"/>
    </row>
    <row r="458" spans="10:10" ht="51.75" customHeight="1" x14ac:dyDescent="0.25">
      <c r="J458" s="118"/>
    </row>
    <row r="459" spans="10:10" ht="51.75" customHeight="1" x14ac:dyDescent="0.25">
      <c r="J459" s="118"/>
    </row>
    <row r="460" spans="10:10" ht="51.75" customHeight="1" x14ac:dyDescent="0.25">
      <c r="J460" s="118"/>
    </row>
    <row r="461" spans="10:10" ht="51.75" customHeight="1" x14ac:dyDescent="0.25">
      <c r="J461" s="118"/>
    </row>
    <row r="462" spans="10:10" ht="51.75" customHeight="1" x14ac:dyDescent="0.25">
      <c r="J462" s="118"/>
    </row>
    <row r="463" spans="10:10" ht="51.75" customHeight="1" x14ac:dyDescent="0.25">
      <c r="J463" s="118"/>
    </row>
    <row r="464" spans="10:10" ht="51.75" customHeight="1" x14ac:dyDescent="0.25">
      <c r="J464" s="118"/>
    </row>
    <row r="465" spans="10:10" ht="51.75" customHeight="1" x14ac:dyDescent="0.25">
      <c r="J465" s="118"/>
    </row>
    <row r="466" spans="10:10" ht="51.75" customHeight="1" x14ac:dyDescent="0.25">
      <c r="J466" s="118"/>
    </row>
    <row r="467" spans="10:10" ht="51.75" customHeight="1" x14ac:dyDescent="0.25">
      <c r="J467" s="118"/>
    </row>
    <row r="468" spans="10:10" ht="51.75" customHeight="1" x14ac:dyDescent="0.25">
      <c r="J468" s="118"/>
    </row>
    <row r="469" spans="10:10" ht="51.75" customHeight="1" x14ac:dyDescent="0.25">
      <c r="J469" s="118"/>
    </row>
    <row r="470" spans="10:10" ht="51.75" customHeight="1" x14ac:dyDescent="0.25">
      <c r="J470" s="118"/>
    </row>
    <row r="471" spans="10:10" ht="51.75" customHeight="1" x14ac:dyDescent="0.25">
      <c r="J471" s="118"/>
    </row>
    <row r="472" spans="10:10" ht="51.75" customHeight="1" x14ac:dyDescent="0.25">
      <c r="J472" s="118"/>
    </row>
    <row r="473" spans="10:10" ht="51.75" customHeight="1" x14ac:dyDescent="0.25">
      <c r="J473" s="118"/>
    </row>
    <row r="474" spans="10:10" ht="51.75" customHeight="1" x14ac:dyDescent="0.25">
      <c r="J474" s="118"/>
    </row>
    <row r="475" spans="10:10" ht="51.75" customHeight="1" x14ac:dyDescent="0.25">
      <c r="J475" s="118"/>
    </row>
    <row r="476" spans="10:10" ht="51.75" customHeight="1" x14ac:dyDescent="0.25">
      <c r="J476" s="118"/>
    </row>
    <row r="477" spans="10:10" ht="51.75" customHeight="1" x14ac:dyDescent="0.25">
      <c r="J477" s="118"/>
    </row>
    <row r="478" spans="10:10" ht="51.75" customHeight="1" x14ac:dyDescent="0.25">
      <c r="J478" s="118"/>
    </row>
    <row r="479" spans="10:10" ht="51.75" customHeight="1" x14ac:dyDescent="0.25">
      <c r="J479" s="118"/>
    </row>
    <row r="480" spans="10:10" ht="51.75" customHeight="1" x14ac:dyDescent="0.25">
      <c r="J480" s="118"/>
    </row>
    <row r="481" spans="10:10" ht="51.75" customHeight="1" x14ac:dyDescent="0.25">
      <c r="J481" s="118"/>
    </row>
    <row r="482" spans="10:10" ht="51.75" customHeight="1" x14ac:dyDescent="0.25">
      <c r="J482" s="118"/>
    </row>
    <row r="483" spans="10:10" ht="51.75" customHeight="1" x14ac:dyDescent="0.25">
      <c r="J483" s="118"/>
    </row>
    <row r="484" spans="10:10" ht="51.75" customHeight="1" x14ac:dyDescent="0.25">
      <c r="J484" s="118"/>
    </row>
    <row r="485" spans="10:10" ht="51.75" customHeight="1" x14ac:dyDescent="0.25">
      <c r="J485" s="118"/>
    </row>
    <row r="486" spans="10:10" ht="51.75" customHeight="1" x14ac:dyDescent="0.25">
      <c r="J486" s="118"/>
    </row>
    <row r="487" spans="10:10" ht="51.75" customHeight="1" x14ac:dyDescent="0.25">
      <c r="J487" s="118"/>
    </row>
    <row r="488" spans="10:10" ht="51.75" customHeight="1" x14ac:dyDescent="0.25">
      <c r="J488" s="118"/>
    </row>
    <row r="489" spans="10:10" ht="51.75" customHeight="1" x14ac:dyDescent="0.25">
      <c r="J489" s="118"/>
    </row>
    <row r="490" spans="10:10" ht="51.75" customHeight="1" x14ac:dyDescent="0.25">
      <c r="J490" s="118"/>
    </row>
    <row r="491" spans="10:10" ht="51.75" customHeight="1" x14ac:dyDescent="0.25">
      <c r="J491" s="118"/>
    </row>
    <row r="492" spans="10:10" ht="51.75" customHeight="1" x14ac:dyDescent="0.25">
      <c r="J492" s="118"/>
    </row>
    <row r="493" spans="10:10" ht="51.75" customHeight="1" x14ac:dyDescent="0.25">
      <c r="J493" s="118"/>
    </row>
    <row r="494" spans="10:10" ht="51.75" customHeight="1" x14ac:dyDescent="0.25">
      <c r="J494" s="118"/>
    </row>
    <row r="495" spans="10:10" ht="51.75" customHeight="1" x14ac:dyDescent="0.25">
      <c r="J495" s="118"/>
    </row>
    <row r="496" spans="10:10" ht="51.75" customHeight="1" x14ac:dyDescent="0.25">
      <c r="J496" s="118"/>
    </row>
    <row r="497" spans="10:10" ht="51.75" customHeight="1" x14ac:dyDescent="0.25">
      <c r="J497" s="118"/>
    </row>
    <row r="498" spans="10:10" ht="51.75" customHeight="1" x14ac:dyDescent="0.25">
      <c r="J498" s="118"/>
    </row>
    <row r="499" spans="10:10" ht="51.75" customHeight="1" x14ac:dyDescent="0.25">
      <c r="J499" s="118"/>
    </row>
    <row r="500" spans="10:10" ht="51.75" customHeight="1" x14ac:dyDescent="0.25">
      <c r="J500" s="118"/>
    </row>
    <row r="501" spans="10:10" ht="51.75" customHeight="1" x14ac:dyDescent="0.25">
      <c r="J501" s="118"/>
    </row>
    <row r="502" spans="10:10" ht="51.75" customHeight="1" x14ac:dyDescent="0.25">
      <c r="J502" s="118"/>
    </row>
    <row r="503" spans="10:10" ht="51.75" customHeight="1" x14ac:dyDescent="0.25">
      <c r="J503" s="118"/>
    </row>
    <row r="504" spans="10:10" ht="51.75" customHeight="1" x14ac:dyDescent="0.25">
      <c r="J504" s="118"/>
    </row>
    <row r="505" spans="10:10" ht="51.75" customHeight="1" x14ac:dyDescent="0.25">
      <c r="J505" s="118"/>
    </row>
    <row r="506" spans="10:10" ht="51.75" customHeight="1" x14ac:dyDescent="0.25">
      <c r="J506" s="118"/>
    </row>
    <row r="507" spans="10:10" ht="51.75" customHeight="1" x14ac:dyDescent="0.25">
      <c r="J507" s="118"/>
    </row>
    <row r="508" spans="10:10" ht="51.75" customHeight="1" x14ac:dyDescent="0.25">
      <c r="J508" s="118"/>
    </row>
    <row r="509" spans="10:10" ht="51.75" customHeight="1" x14ac:dyDescent="0.25">
      <c r="J509" s="118"/>
    </row>
    <row r="510" spans="10:10" ht="51.75" customHeight="1" x14ac:dyDescent="0.25">
      <c r="J510" s="118"/>
    </row>
    <row r="511" spans="10:10" ht="51.75" customHeight="1" x14ac:dyDescent="0.25">
      <c r="J511" s="118"/>
    </row>
    <row r="512" spans="10:10" ht="51.75" customHeight="1" x14ac:dyDescent="0.25">
      <c r="J512" s="118"/>
    </row>
    <row r="513" spans="10:10" ht="51.75" customHeight="1" x14ac:dyDescent="0.25">
      <c r="J513" s="118"/>
    </row>
    <row r="514" spans="10:10" ht="51.75" customHeight="1" x14ac:dyDescent="0.25">
      <c r="J514" s="118"/>
    </row>
    <row r="515" spans="10:10" ht="51.75" customHeight="1" x14ac:dyDescent="0.25">
      <c r="J515" s="118"/>
    </row>
    <row r="516" spans="10:10" ht="51.75" customHeight="1" x14ac:dyDescent="0.25">
      <c r="J516" s="118"/>
    </row>
    <row r="517" spans="10:10" ht="51.75" customHeight="1" x14ac:dyDescent="0.25">
      <c r="J517" s="118"/>
    </row>
    <row r="518" spans="10:10" ht="51.75" customHeight="1" x14ac:dyDescent="0.25">
      <c r="J518" s="118"/>
    </row>
    <row r="519" spans="10:10" ht="51.75" customHeight="1" x14ac:dyDescent="0.25">
      <c r="J519" s="118"/>
    </row>
    <row r="520" spans="10:10" ht="51.75" customHeight="1" x14ac:dyDescent="0.25">
      <c r="J520" s="118"/>
    </row>
    <row r="521" spans="10:10" ht="51.75" customHeight="1" x14ac:dyDescent="0.25">
      <c r="J521" s="118"/>
    </row>
    <row r="522" spans="10:10" ht="51.75" customHeight="1" x14ac:dyDescent="0.25">
      <c r="J522" s="118"/>
    </row>
    <row r="523" spans="10:10" ht="51.75" customHeight="1" x14ac:dyDescent="0.25">
      <c r="J523" s="118"/>
    </row>
    <row r="524" spans="10:10" ht="51.75" customHeight="1" x14ac:dyDescent="0.25">
      <c r="J524" s="118"/>
    </row>
    <row r="525" spans="10:10" ht="51.75" customHeight="1" x14ac:dyDescent="0.25">
      <c r="J525" s="118"/>
    </row>
    <row r="526" spans="10:10" ht="51.75" customHeight="1" x14ac:dyDescent="0.25">
      <c r="J526" s="118"/>
    </row>
    <row r="527" spans="10:10" ht="51.75" customHeight="1" x14ac:dyDescent="0.25">
      <c r="J527" s="118"/>
    </row>
    <row r="528" spans="10:10" ht="51.75" customHeight="1" x14ac:dyDescent="0.25">
      <c r="J528" s="118"/>
    </row>
    <row r="529" spans="10:10" ht="51.75" customHeight="1" x14ac:dyDescent="0.25">
      <c r="J529" s="118"/>
    </row>
    <row r="530" spans="10:10" ht="51.75" customHeight="1" x14ac:dyDescent="0.25">
      <c r="J530" s="118"/>
    </row>
    <row r="531" spans="10:10" ht="51.75" customHeight="1" x14ac:dyDescent="0.25">
      <c r="J531" s="118"/>
    </row>
    <row r="532" spans="10:10" ht="51.75" customHeight="1" x14ac:dyDescent="0.25">
      <c r="J532" s="118"/>
    </row>
    <row r="533" spans="10:10" ht="51.75" customHeight="1" x14ac:dyDescent="0.25">
      <c r="J533" s="118"/>
    </row>
    <row r="534" spans="10:10" ht="51.75" customHeight="1" x14ac:dyDescent="0.25">
      <c r="J534" s="118"/>
    </row>
    <row r="535" spans="10:10" ht="51.75" customHeight="1" x14ac:dyDescent="0.25">
      <c r="J535" s="118"/>
    </row>
    <row r="536" spans="10:10" ht="51.75" customHeight="1" x14ac:dyDescent="0.25">
      <c r="J536" s="118"/>
    </row>
    <row r="537" spans="10:10" ht="51.75" customHeight="1" x14ac:dyDescent="0.25">
      <c r="J537" s="118"/>
    </row>
    <row r="538" spans="10:10" ht="51.75" customHeight="1" x14ac:dyDescent="0.25">
      <c r="J538" s="118"/>
    </row>
    <row r="539" spans="10:10" ht="51.75" customHeight="1" x14ac:dyDescent="0.25">
      <c r="J539" s="118"/>
    </row>
    <row r="540" spans="10:10" ht="51.75" customHeight="1" x14ac:dyDescent="0.25">
      <c r="J540" s="118"/>
    </row>
    <row r="541" spans="10:10" ht="51.75" customHeight="1" x14ac:dyDescent="0.25">
      <c r="J541" s="118"/>
    </row>
    <row r="542" spans="10:10" ht="51.75" customHeight="1" x14ac:dyDescent="0.25">
      <c r="J542" s="118"/>
    </row>
    <row r="543" spans="10:10" ht="51.75" customHeight="1" x14ac:dyDescent="0.25">
      <c r="J543" s="118"/>
    </row>
    <row r="544" spans="10:10" ht="51.75" customHeight="1" x14ac:dyDescent="0.25">
      <c r="J544" s="118"/>
    </row>
    <row r="545" spans="10:10" ht="51.75" customHeight="1" x14ac:dyDescent="0.25">
      <c r="J545" s="118"/>
    </row>
    <row r="546" spans="10:10" ht="51.75" customHeight="1" x14ac:dyDescent="0.25">
      <c r="J546" s="118"/>
    </row>
    <row r="547" spans="10:10" ht="51.75" customHeight="1" x14ac:dyDescent="0.25">
      <c r="J547" s="118"/>
    </row>
    <row r="548" spans="10:10" ht="51.75" customHeight="1" x14ac:dyDescent="0.25">
      <c r="J548" s="118"/>
    </row>
    <row r="549" spans="10:10" ht="51.75" customHeight="1" x14ac:dyDescent="0.25">
      <c r="J549" s="118"/>
    </row>
    <row r="550" spans="10:10" ht="51.75" customHeight="1" x14ac:dyDescent="0.25">
      <c r="J550" s="118"/>
    </row>
    <row r="551" spans="10:10" ht="51.75" customHeight="1" x14ac:dyDescent="0.25">
      <c r="J551" s="118"/>
    </row>
    <row r="552" spans="10:10" ht="51.75" customHeight="1" x14ac:dyDescent="0.25">
      <c r="J552" s="118"/>
    </row>
    <row r="553" spans="10:10" ht="51.75" customHeight="1" x14ac:dyDescent="0.25">
      <c r="J553" s="118"/>
    </row>
    <row r="554" spans="10:10" ht="51.75" customHeight="1" x14ac:dyDescent="0.25">
      <c r="J554" s="118"/>
    </row>
    <row r="555" spans="10:10" ht="51.75" customHeight="1" x14ac:dyDescent="0.25">
      <c r="J555" s="118"/>
    </row>
    <row r="556" spans="10:10" ht="51.75" customHeight="1" x14ac:dyDescent="0.25">
      <c r="J556" s="118"/>
    </row>
    <row r="557" spans="10:10" ht="51.75" customHeight="1" x14ac:dyDescent="0.25">
      <c r="J557" s="118"/>
    </row>
    <row r="558" spans="10:10" ht="51.75" customHeight="1" x14ac:dyDescent="0.25">
      <c r="J558" s="118"/>
    </row>
    <row r="559" spans="10:10" ht="51.75" customHeight="1" x14ac:dyDescent="0.25">
      <c r="J559" s="118"/>
    </row>
    <row r="560" spans="10:10" ht="51.75" customHeight="1" x14ac:dyDescent="0.25">
      <c r="J560" s="118"/>
    </row>
    <row r="561" spans="10:10" ht="51.75" customHeight="1" x14ac:dyDescent="0.25">
      <c r="J561" s="118"/>
    </row>
    <row r="562" spans="10:10" ht="51.75" customHeight="1" x14ac:dyDescent="0.25">
      <c r="J562" s="118"/>
    </row>
    <row r="563" spans="10:10" ht="51.75" customHeight="1" x14ac:dyDescent="0.25">
      <c r="J563" s="118"/>
    </row>
    <row r="564" spans="10:10" ht="51.75" customHeight="1" x14ac:dyDescent="0.25">
      <c r="J564" s="118"/>
    </row>
    <row r="565" spans="10:10" ht="51.75" customHeight="1" x14ac:dyDescent="0.25">
      <c r="J565" s="118"/>
    </row>
    <row r="566" spans="10:10" ht="51.75" customHeight="1" x14ac:dyDescent="0.25">
      <c r="J566" s="118"/>
    </row>
    <row r="567" spans="10:10" ht="51.75" customHeight="1" x14ac:dyDescent="0.25">
      <c r="J567" s="118"/>
    </row>
    <row r="568" spans="10:10" ht="51.75" customHeight="1" x14ac:dyDescent="0.25">
      <c r="J568" s="118"/>
    </row>
    <row r="569" spans="10:10" ht="51.75" customHeight="1" x14ac:dyDescent="0.25">
      <c r="J569" s="118"/>
    </row>
    <row r="570" spans="10:10" ht="51.75" customHeight="1" x14ac:dyDescent="0.25">
      <c r="J570" s="118"/>
    </row>
    <row r="571" spans="10:10" ht="51.75" customHeight="1" x14ac:dyDescent="0.25">
      <c r="J571" s="118"/>
    </row>
    <row r="572" spans="10:10" ht="51.75" customHeight="1" x14ac:dyDescent="0.25">
      <c r="J572" s="118"/>
    </row>
    <row r="573" spans="10:10" ht="51.75" customHeight="1" x14ac:dyDescent="0.25">
      <c r="J573" s="118"/>
    </row>
    <row r="574" spans="10:10" ht="51.75" customHeight="1" x14ac:dyDescent="0.25">
      <c r="J574" s="118"/>
    </row>
    <row r="575" spans="10:10" ht="51.75" customHeight="1" x14ac:dyDescent="0.25">
      <c r="J575" s="118"/>
    </row>
    <row r="576" spans="10:10" ht="51.75" customHeight="1" x14ac:dyDescent="0.25">
      <c r="J576" s="118"/>
    </row>
    <row r="577" spans="10:10" ht="51.75" customHeight="1" x14ac:dyDescent="0.25">
      <c r="J577" s="118"/>
    </row>
    <row r="578" spans="10:10" ht="51.75" customHeight="1" x14ac:dyDescent="0.25">
      <c r="J578" s="118"/>
    </row>
    <row r="579" spans="10:10" ht="51.75" customHeight="1" x14ac:dyDescent="0.25">
      <c r="J579" s="118"/>
    </row>
    <row r="580" spans="10:10" ht="51.75" customHeight="1" x14ac:dyDescent="0.25">
      <c r="J580" s="118"/>
    </row>
    <row r="581" spans="10:10" ht="51.75" customHeight="1" x14ac:dyDescent="0.25">
      <c r="J581" s="118"/>
    </row>
    <row r="582" spans="10:10" ht="51.75" customHeight="1" x14ac:dyDescent="0.25">
      <c r="J582" s="118"/>
    </row>
    <row r="583" spans="10:10" ht="51.75" customHeight="1" x14ac:dyDescent="0.25">
      <c r="J583" s="118"/>
    </row>
    <row r="584" spans="10:10" ht="51.75" customHeight="1" x14ac:dyDescent="0.25">
      <c r="J584" s="118"/>
    </row>
    <row r="585" spans="10:10" ht="51.75" customHeight="1" x14ac:dyDescent="0.25">
      <c r="J585" s="118"/>
    </row>
    <row r="586" spans="10:10" ht="51.75" customHeight="1" x14ac:dyDescent="0.25">
      <c r="J586" s="118"/>
    </row>
    <row r="587" spans="10:10" ht="51.75" customHeight="1" x14ac:dyDescent="0.25">
      <c r="J587" s="118"/>
    </row>
    <row r="588" spans="10:10" ht="51.75" customHeight="1" x14ac:dyDescent="0.25">
      <c r="J588" s="118"/>
    </row>
    <row r="589" spans="10:10" ht="51.75" customHeight="1" x14ac:dyDescent="0.25">
      <c r="J589" s="118"/>
    </row>
    <row r="590" spans="10:10" ht="51.75" customHeight="1" x14ac:dyDescent="0.25">
      <c r="J590" s="118"/>
    </row>
    <row r="591" spans="10:10" ht="51.75" customHeight="1" x14ac:dyDescent="0.25">
      <c r="J591" s="118"/>
    </row>
    <row r="592" spans="10:10" ht="51.75" customHeight="1" x14ac:dyDescent="0.25">
      <c r="J592" s="118"/>
    </row>
    <row r="593" spans="10:10" ht="51.75" customHeight="1" x14ac:dyDescent="0.25">
      <c r="J593" s="118"/>
    </row>
    <row r="594" spans="10:10" ht="51.75" customHeight="1" x14ac:dyDescent="0.25">
      <c r="J594" s="118"/>
    </row>
    <row r="595" spans="10:10" ht="51.75" customHeight="1" x14ac:dyDescent="0.25">
      <c r="J595" s="118"/>
    </row>
    <row r="596" spans="10:10" ht="51.75" customHeight="1" x14ac:dyDescent="0.25">
      <c r="J596" s="118"/>
    </row>
    <row r="597" spans="10:10" ht="51.75" customHeight="1" x14ac:dyDescent="0.25">
      <c r="J597" s="118"/>
    </row>
    <row r="598" spans="10:10" ht="51.75" customHeight="1" x14ac:dyDescent="0.25">
      <c r="J598" s="118"/>
    </row>
    <row r="599" spans="10:10" ht="51.75" customHeight="1" x14ac:dyDescent="0.25">
      <c r="J599" s="118"/>
    </row>
    <row r="600" spans="10:10" ht="51.75" customHeight="1" x14ac:dyDescent="0.25">
      <c r="J600" s="118"/>
    </row>
    <row r="601" spans="10:10" ht="51.75" customHeight="1" x14ac:dyDescent="0.25">
      <c r="J601" s="118"/>
    </row>
    <row r="602" spans="10:10" ht="51.75" customHeight="1" x14ac:dyDescent="0.25">
      <c r="J602" s="118"/>
    </row>
    <row r="603" spans="10:10" ht="51.75" customHeight="1" x14ac:dyDescent="0.25">
      <c r="J603" s="118"/>
    </row>
    <row r="604" spans="10:10" ht="51.75" customHeight="1" x14ac:dyDescent="0.25">
      <c r="J604" s="118"/>
    </row>
    <row r="605" spans="10:10" ht="51.75" customHeight="1" x14ac:dyDescent="0.25">
      <c r="J605" s="118"/>
    </row>
    <row r="606" spans="10:10" ht="51.75" customHeight="1" x14ac:dyDescent="0.25">
      <c r="J606" s="118"/>
    </row>
    <row r="607" spans="10:10" ht="51.75" customHeight="1" x14ac:dyDescent="0.25">
      <c r="J607" s="118"/>
    </row>
    <row r="608" spans="10:10" ht="51.75" customHeight="1" x14ac:dyDescent="0.25">
      <c r="J608" s="118"/>
    </row>
    <row r="609" spans="10:10" ht="51.75" customHeight="1" x14ac:dyDescent="0.25">
      <c r="J609" s="118"/>
    </row>
    <row r="610" spans="10:10" ht="51.75" customHeight="1" x14ac:dyDescent="0.25">
      <c r="J610" s="118"/>
    </row>
    <row r="611" spans="10:10" ht="51.75" customHeight="1" x14ac:dyDescent="0.25">
      <c r="J611" s="118"/>
    </row>
    <row r="612" spans="10:10" ht="51.75" customHeight="1" x14ac:dyDescent="0.25">
      <c r="J612" s="118"/>
    </row>
    <row r="613" spans="10:10" ht="51.75" customHeight="1" x14ac:dyDescent="0.25">
      <c r="J613" s="118"/>
    </row>
    <row r="614" spans="10:10" ht="51.75" customHeight="1" x14ac:dyDescent="0.25">
      <c r="J614" s="118"/>
    </row>
    <row r="615" spans="10:10" ht="51.75" customHeight="1" x14ac:dyDescent="0.25">
      <c r="J615" s="118"/>
    </row>
    <row r="616" spans="10:10" ht="51.75" customHeight="1" x14ac:dyDescent="0.25">
      <c r="J616" s="118"/>
    </row>
    <row r="617" spans="10:10" ht="51.75" customHeight="1" x14ac:dyDescent="0.25">
      <c r="J617" s="118"/>
    </row>
    <row r="618" spans="10:10" ht="51.75" customHeight="1" x14ac:dyDescent="0.25">
      <c r="J618" s="118"/>
    </row>
    <row r="619" spans="10:10" ht="51.75" customHeight="1" x14ac:dyDescent="0.25">
      <c r="J619" s="118"/>
    </row>
    <row r="620" spans="10:10" ht="51.75" customHeight="1" x14ac:dyDescent="0.25">
      <c r="J620" s="118"/>
    </row>
    <row r="621" spans="10:10" ht="51.75" customHeight="1" x14ac:dyDescent="0.25">
      <c r="J621" s="118"/>
    </row>
    <row r="622" spans="10:10" ht="51.75" customHeight="1" x14ac:dyDescent="0.25">
      <c r="J622" s="118"/>
    </row>
    <row r="623" spans="10:10" ht="51.75" customHeight="1" x14ac:dyDescent="0.25">
      <c r="J623" s="118"/>
    </row>
    <row r="624" spans="10:10" ht="51.75" customHeight="1" x14ac:dyDescent="0.25">
      <c r="J624" s="118"/>
    </row>
    <row r="625" spans="10:10" ht="51.75" customHeight="1" x14ac:dyDescent="0.25">
      <c r="J625" s="118"/>
    </row>
    <row r="626" spans="10:10" ht="51.75" customHeight="1" x14ac:dyDescent="0.25">
      <c r="J626" s="118"/>
    </row>
    <row r="627" spans="10:10" ht="51.75" customHeight="1" x14ac:dyDescent="0.25">
      <c r="J627" s="118"/>
    </row>
    <row r="628" spans="10:10" ht="51.75" customHeight="1" x14ac:dyDescent="0.25">
      <c r="J628" s="118"/>
    </row>
    <row r="629" spans="10:10" ht="51.75" customHeight="1" x14ac:dyDescent="0.25">
      <c r="J629" s="118"/>
    </row>
    <row r="630" spans="10:10" ht="51.75" customHeight="1" x14ac:dyDescent="0.25">
      <c r="J630" s="118"/>
    </row>
    <row r="631" spans="10:10" ht="51.75" customHeight="1" x14ac:dyDescent="0.25">
      <c r="J631" s="118"/>
    </row>
    <row r="632" spans="10:10" ht="51.75" customHeight="1" x14ac:dyDescent="0.25">
      <c r="J632" s="118"/>
    </row>
    <row r="633" spans="10:10" ht="51.75" customHeight="1" x14ac:dyDescent="0.25">
      <c r="J633" s="118"/>
    </row>
    <row r="634" spans="10:10" ht="51.75" customHeight="1" x14ac:dyDescent="0.25">
      <c r="J634" s="118"/>
    </row>
    <row r="635" spans="10:10" ht="51.75" customHeight="1" x14ac:dyDescent="0.25">
      <c r="J635" s="118"/>
    </row>
    <row r="636" spans="10:10" ht="51.75" customHeight="1" x14ac:dyDescent="0.25">
      <c r="J636" s="118"/>
    </row>
    <row r="637" spans="10:10" ht="51.75" customHeight="1" x14ac:dyDescent="0.25">
      <c r="J637" s="118"/>
    </row>
    <row r="638" spans="10:10" ht="51.75" customHeight="1" x14ac:dyDescent="0.25">
      <c r="J638" s="118"/>
    </row>
    <row r="639" spans="10:10" ht="51.75" customHeight="1" x14ac:dyDescent="0.25">
      <c r="J639" s="118"/>
    </row>
    <row r="640" spans="10:10" ht="51.75" customHeight="1" x14ac:dyDescent="0.25">
      <c r="J640" s="118"/>
    </row>
    <row r="641" spans="10:10" ht="51.75" customHeight="1" x14ac:dyDescent="0.25">
      <c r="J641" s="118"/>
    </row>
    <row r="642" spans="10:10" ht="51.75" customHeight="1" x14ac:dyDescent="0.25">
      <c r="J642" s="118"/>
    </row>
    <row r="643" spans="10:10" ht="51.75" customHeight="1" x14ac:dyDescent="0.25">
      <c r="J643" s="118"/>
    </row>
    <row r="644" spans="10:10" ht="51.75" customHeight="1" x14ac:dyDescent="0.25">
      <c r="J644" s="118"/>
    </row>
    <row r="645" spans="10:10" ht="51.75" customHeight="1" x14ac:dyDescent="0.25">
      <c r="J645" s="118"/>
    </row>
    <row r="646" spans="10:10" ht="51.75" customHeight="1" x14ac:dyDescent="0.25">
      <c r="J646" s="118"/>
    </row>
    <row r="647" spans="10:10" ht="51.75" customHeight="1" x14ac:dyDescent="0.25">
      <c r="J647" s="118"/>
    </row>
    <row r="648" spans="10:10" ht="51.75" customHeight="1" x14ac:dyDescent="0.25">
      <c r="J648" s="118"/>
    </row>
    <row r="649" spans="10:10" ht="51.75" customHeight="1" x14ac:dyDescent="0.25">
      <c r="J649" s="118"/>
    </row>
    <row r="650" spans="10:10" ht="51.75" customHeight="1" x14ac:dyDescent="0.25">
      <c r="J650" s="118"/>
    </row>
    <row r="651" spans="10:10" ht="51.75" customHeight="1" x14ac:dyDescent="0.25">
      <c r="J651" s="118"/>
    </row>
    <row r="652" spans="10:10" ht="51.75" customHeight="1" x14ac:dyDescent="0.25">
      <c r="J652" s="118"/>
    </row>
    <row r="653" spans="10:10" ht="51.75" customHeight="1" x14ac:dyDescent="0.25">
      <c r="J653" s="118"/>
    </row>
    <row r="654" spans="10:10" ht="51.75" customHeight="1" x14ac:dyDescent="0.25">
      <c r="J654" s="118"/>
    </row>
    <row r="655" spans="10:10" ht="51.75" customHeight="1" x14ac:dyDescent="0.25">
      <c r="J655" s="118"/>
    </row>
    <row r="656" spans="10:10" ht="51.75" customHeight="1" x14ac:dyDescent="0.25">
      <c r="J656" s="118"/>
    </row>
    <row r="657" spans="10:10" ht="51.75" customHeight="1" x14ac:dyDescent="0.25">
      <c r="J657" s="118"/>
    </row>
    <row r="658" spans="10:10" ht="51.75" customHeight="1" x14ac:dyDescent="0.25">
      <c r="J658" s="118"/>
    </row>
    <row r="659" spans="10:10" ht="51.75" customHeight="1" x14ac:dyDescent="0.25">
      <c r="J659" s="118"/>
    </row>
    <row r="660" spans="10:10" ht="51.75" customHeight="1" x14ac:dyDescent="0.25">
      <c r="J660" s="118"/>
    </row>
    <row r="661" spans="10:10" ht="51.75" customHeight="1" x14ac:dyDescent="0.25">
      <c r="J661" s="118"/>
    </row>
    <row r="662" spans="10:10" ht="51.75" customHeight="1" x14ac:dyDescent="0.25">
      <c r="J662" s="118"/>
    </row>
    <row r="663" spans="10:10" ht="51.75" customHeight="1" x14ac:dyDescent="0.25">
      <c r="J663" s="118"/>
    </row>
    <row r="664" spans="10:10" ht="51.75" customHeight="1" x14ac:dyDescent="0.25">
      <c r="J664" s="118"/>
    </row>
    <row r="665" spans="10:10" ht="51.75" customHeight="1" x14ac:dyDescent="0.25">
      <c r="J665" s="118"/>
    </row>
    <row r="666" spans="10:10" ht="51.75" customHeight="1" x14ac:dyDescent="0.25">
      <c r="J666" s="118"/>
    </row>
    <row r="667" spans="10:10" ht="51.75" customHeight="1" x14ac:dyDescent="0.25">
      <c r="J667" s="118"/>
    </row>
    <row r="668" spans="10:10" ht="51.75" customHeight="1" x14ac:dyDescent="0.25">
      <c r="J668" s="118"/>
    </row>
    <row r="669" spans="10:10" ht="51.75" customHeight="1" x14ac:dyDescent="0.25">
      <c r="J669" s="118"/>
    </row>
    <row r="670" spans="10:10" ht="51.75" customHeight="1" x14ac:dyDescent="0.25">
      <c r="J670" s="118"/>
    </row>
    <row r="671" spans="10:10" ht="51.75" customHeight="1" x14ac:dyDescent="0.25">
      <c r="J671" s="118"/>
    </row>
    <row r="672" spans="10:10" ht="51.75" customHeight="1" x14ac:dyDescent="0.25">
      <c r="J672" s="118"/>
    </row>
    <row r="673" spans="10:10" ht="51.75" customHeight="1" x14ac:dyDescent="0.25">
      <c r="J673" s="118"/>
    </row>
    <row r="674" spans="10:10" ht="51.75" customHeight="1" x14ac:dyDescent="0.25">
      <c r="J674" s="118"/>
    </row>
    <row r="675" spans="10:10" ht="51.75" customHeight="1" x14ac:dyDescent="0.25">
      <c r="J675" s="118"/>
    </row>
    <row r="676" spans="10:10" ht="51.75" customHeight="1" x14ac:dyDescent="0.25">
      <c r="J676" s="118"/>
    </row>
    <row r="677" spans="10:10" ht="51.75" customHeight="1" x14ac:dyDescent="0.25">
      <c r="J677" s="118"/>
    </row>
    <row r="678" spans="10:10" ht="51.75" customHeight="1" x14ac:dyDescent="0.25">
      <c r="J678" s="118"/>
    </row>
    <row r="679" spans="10:10" ht="51.75" customHeight="1" x14ac:dyDescent="0.25">
      <c r="J679" s="118"/>
    </row>
    <row r="680" spans="10:10" ht="51.75" customHeight="1" x14ac:dyDescent="0.25">
      <c r="J680" s="118"/>
    </row>
    <row r="681" spans="10:10" ht="51.75" customHeight="1" x14ac:dyDescent="0.25">
      <c r="J681" s="118"/>
    </row>
    <row r="682" spans="10:10" ht="51.75" customHeight="1" x14ac:dyDescent="0.25">
      <c r="J682" s="118"/>
    </row>
    <row r="683" spans="10:10" ht="51.75" customHeight="1" x14ac:dyDescent="0.25">
      <c r="J683" s="118"/>
    </row>
    <row r="684" spans="10:10" ht="51.75" customHeight="1" x14ac:dyDescent="0.25">
      <c r="J684" s="118"/>
    </row>
    <row r="685" spans="10:10" ht="51.75" customHeight="1" x14ac:dyDescent="0.25">
      <c r="J685" s="118"/>
    </row>
    <row r="686" spans="10:10" ht="51.75" customHeight="1" x14ac:dyDescent="0.25">
      <c r="J686" s="118"/>
    </row>
    <row r="687" spans="10:10" ht="51.75" customHeight="1" x14ac:dyDescent="0.25">
      <c r="J687" s="118"/>
    </row>
    <row r="688" spans="10:10" ht="51.75" customHeight="1" x14ac:dyDescent="0.25">
      <c r="J688" s="118"/>
    </row>
    <row r="689" spans="10:10" ht="51.75" customHeight="1" x14ac:dyDescent="0.25">
      <c r="J689" s="118"/>
    </row>
    <row r="690" spans="10:10" ht="51.75" customHeight="1" x14ac:dyDescent="0.25">
      <c r="J690" s="118"/>
    </row>
    <row r="691" spans="10:10" ht="51.75" customHeight="1" x14ac:dyDescent="0.25">
      <c r="J691" s="118"/>
    </row>
    <row r="692" spans="10:10" ht="51.75" customHeight="1" x14ac:dyDescent="0.25">
      <c r="J692" s="118"/>
    </row>
    <row r="693" spans="10:10" ht="51.75" customHeight="1" x14ac:dyDescent="0.25">
      <c r="J693" s="118"/>
    </row>
    <row r="694" spans="10:10" ht="51.75" customHeight="1" x14ac:dyDescent="0.25">
      <c r="J694" s="118"/>
    </row>
    <row r="695" spans="10:10" ht="51.75" customHeight="1" x14ac:dyDescent="0.25">
      <c r="J695" s="118"/>
    </row>
    <row r="696" spans="10:10" ht="51.75" customHeight="1" x14ac:dyDescent="0.25">
      <c r="J696" s="118"/>
    </row>
    <row r="697" spans="10:10" ht="51.75" customHeight="1" x14ac:dyDescent="0.25">
      <c r="J697" s="118"/>
    </row>
    <row r="698" spans="10:10" ht="51.75" customHeight="1" x14ac:dyDescent="0.25">
      <c r="J698" s="118"/>
    </row>
    <row r="699" spans="10:10" ht="51.75" customHeight="1" x14ac:dyDescent="0.25">
      <c r="J699" s="118"/>
    </row>
    <row r="700" spans="10:10" ht="51.75" customHeight="1" x14ac:dyDescent="0.25">
      <c r="J700" s="118"/>
    </row>
    <row r="701" spans="10:10" ht="51.75" customHeight="1" x14ac:dyDescent="0.25">
      <c r="J701" s="118"/>
    </row>
    <row r="702" spans="10:10" ht="51.75" customHeight="1" x14ac:dyDescent="0.25">
      <c r="J702" s="118"/>
    </row>
    <row r="703" spans="10:10" ht="51.75" customHeight="1" x14ac:dyDescent="0.25">
      <c r="J703" s="118"/>
    </row>
    <row r="704" spans="10:10" ht="51.75" customHeight="1" x14ac:dyDescent="0.25">
      <c r="J704" s="118"/>
    </row>
    <row r="705" spans="10:10" ht="51.75" customHeight="1" x14ac:dyDescent="0.25">
      <c r="J705" s="118"/>
    </row>
    <row r="706" spans="10:10" ht="51.75" customHeight="1" x14ac:dyDescent="0.25">
      <c r="J706" s="118"/>
    </row>
    <row r="707" spans="10:10" ht="51.75" customHeight="1" x14ac:dyDescent="0.25">
      <c r="J707" s="118"/>
    </row>
    <row r="708" spans="10:10" ht="51.75" customHeight="1" x14ac:dyDescent="0.25">
      <c r="J708" s="118"/>
    </row>
    <row r="709" spans="10:10" ht="51.75" customHeight="1" x14ac:dyDescent="0.25">
      <c r="J709" s="118"/>
    </row>
    <row r="710" spans="10:10" ht="51.75" customHeight="1" x14ac:dyDescent="0.25">
      <c r="J710" s="118"/>
    </row>
    <row r="711" spans="10:10" ht="51.75" customHeight="1" x14ac:dyDescent="0.25">
      <c r="J711" s="118"/>
    </row>
    <row r="712" spans="10:10" ht="51.75" customHeight="1" x14ac:dyDescent="0.25">
      <c r="J712" s="118"/>
    </row>
    <row r="713" spans="10:10" ht="51.75" customHeight="1" x14ac:dyDescent="0.25">
      <c r="J713" s="118"/>
    </row>
    <row r="714" spans="10:10" ht="51.75" customHeight="1" x14ac:dyDescent="0.25">
      <c r="J714" s="118"/>
    </row>
    <row r="715" spans="10:10" ht="51.75" customHeight="1" x14ac:dyDescent="0.25">
      <c r="J715" s="118"/>
    </row>
    <row r="716" spans="10:10" ht="51.75" customHeight="1" x14ac:dyDescent="0.25">
      <c r="J716" s="118"/>
    </row>
    <row r="717" spans="10:10" ht="51.75" customHeight="1" x14ac:dyDescent="0.25">
      <c r="J717" s="118"/>
    </row>
    <row r="718" spans="10:10" ht="51.75" customHeight="1" x14ac:dyDescent="0.25">
      <c r="J718" s="118"/>
    </row>
    <row r="719" spans="10:10" ht="51.75" customHeight="1" x14ac:dyDescent="0.25">
      <c r="J719" s="118"/>
    </row>
    <row r="720" spans="10:10" ht="51.75" customHeight="1" x14ac:dyDescent="0.25">
      <c r="J720" s="118"/>
    </row>
    <row r="721" spans="10:10" ht="51.75" customHeight="1" x14ac:dyDescent="0.25">
      <c r="J721" s="118"/>
    </row>
    <row r="722" spans="10:10" ht="51.75" customHeight="1" x14ac:dyDescent="0.25">
      <c r="J722" s="118"/>
    </row>
    <row r="723" spans="10:10" ht="51.75" customHeight="1" x14ac:dyDescent="0.25">
      <c r="J723" s="118"/>
    </row>
    <row r="724" spans="10:10" ht="51.75" customHeight="1" x14ac:dyDescent="0.25">
      <c r="J724" s="118"/>
    </row>
    <row r="725" spans="10:10" ht="51.75" customHeight="1" x14ac:dyDescent="0.25">
      <c r="J725" s="118"/>
    </row>
  </sheetData>
  <mergeCells count="19">
    <mergeCell ref="R2:S2"/>
    <mergeCell ref="H15:I15"/>
    <mergeCell ref="R15:S15"/>
    <mergeCell ref="U15:V15"/>
    <mergeCell ref="X15:Y15"/>
    <mergeCell ref="U2:V2"/>
    <mergeCell ref="G2:G23"/>
    <mergeCell ref="X1:Y1"/>
    <mergeCell ref="H2:I2"/>
    <mergeCell ref="A1:I1"/>
    <mergeCell ref="L1:S1"/>
    <mergeCell ref="U1:V1"/>
    <mergeCell ref="L2:P2"/>
    <mergeCell ref="Q2:Q71"/>
    <mergeCell ref="J1:J23"/>
    <mergeCell ref="T1:T23"/>
    <mergeCell ref="W1:W23"/>
    <mergeCell ref="A2:F2"/>
    <mergeCell ref="X2:Y2"/>
  </mergeCells>
  <pageMargins left="0.7" right="0.7" top="0.75" bottom="0.75" header="0.3" footer="0.3"/>
  <pageSetup orientation="portrait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4"/>
  <sheetViews>
    <sheetView topLeftCell="C1" zoomScale="90" zoomScaleNormal="90" workbookViewId="0">
      <selection activeCell="Z4" sqref="Z4"/>
    </sheetView>
  </sheetViews>
  <sheetFormatPr defaultRowHeight="15" x14ac:dyDescent="0.25"/>
  <cols>
    <col min="2" max="2" width="12.140625" bestFit="1" customWidth="1"/>
    <col min="3" max="4" width="15.7109375" style="15" bestFit="1" customWidth="1"/>
    <col min="5" max="5" width="3.85546875" customWidth="1"/>
    <col min="7" max="7" width="13.85546875" hidden="1" customWidth="1"/>
    <col min="8" max="8" width="13.85546875" style="15" customWidth="1"/>
    <col min="9" max="9" width="13.85546875" hidden="1" customWidth="1"/>
    <col min="10" max="10" width="13.85546875" style="15" customWidth="1"/>
    <col min="11" max="11" width="13.85546875" bestFit="1" customWidth="1"/>
    <col min="12" max="12" width="4.7109375" customWidth="1"/>
    <col min="14" max="14" width="13.85546875" hidden="1" customWidth="1"/>
    <col min="15" max="15" width="10" style="15" customWidth="1"/>
    <col min="16" max="16" width="13.5703125" hidden="1" customWidth="1"/>
    <col min="17" max="17" width="13.5703125" style="15" customWidth="1"/>
    <col min="18" max="18" width="15" bestFit="1" customWidth="1"/>
    <col min="19" max="19" width="4.42578125" customWidth="1"/>
    <col min="21" max="21" width="13.85546875" hidden="1" customWidth="1"/>
    <col min="22" max="22" width="10.7109375" style="15" customWidth="1"/>
    <col min="23" max="23" width="13.85546875" hidden="1" customWidth="1"/>
    <col min="24" max="24" width="13.85546875" style="15" customWidth="1"/>
    <col min="25" max="25" width="14.5703125" customWidth="1"/>
  </cols>
  <sheetData>
    <row r="1" spans="1:26" ht="26.25" x14ac:dyDescent="0.25">
      <c r="A1" s="210" t="s">
        <v>78</v>
      </c>
      <c r="B1" s="210"/>
      <c r="C1" s="210"/>
      <c r="D1" s="210"/>
      <c r="E1" s="217"/>
      <c r="F1" s="209" t="s">
        <v>147</v>
      </c>
      <c r="G1" s="210"/>
      <c r="H1" s="210"/>
      <c r="I1" s="210"/>
      <c r="J1" s="210"/>
      <c r="K1" s="210"/>
      <c r="L1" s="217"/>
      <c r="M1" s="209" t="s">
        <v>148</v>
      </c>
      <c r="N1" s="210"/>
      <c r="O1" s="210"/>
      <c r="P1" s="210"/>
      <c r="Q1" s="210"/>
      <c r="R1" s="210"/>
      <c r="S1" s="217"/>
      <c r="T1" s="209" t="s">
        <v>149</v>
      </c>
      <c r="U1" s="210"/>
      <c r="V1" s="210"/>
      <c r="W1" s="210"/>
      <c r="X1" s="210"/>
      <c r="Y1" s="210"/>
      <c r="Z1" s="15"/>
    </row>
    <row r="2" spans="1:26" ht="18.75" x14ac:dyDescent="0.25">
      <c r="A2" s="232" t="s">
        <v>206</v>
      </c>
      <c r="B2" s="219"/>
      <c r="C2" s="219"/>
      <c r="D2" s="219"/>
      <c r="E2" s="217"/>
      <c r="F2" s="232" t="s">
        <v>206</v>
      </c>
      <c r="G2" s="219"/>
      <c r="H2" s="219"/>
      <c r="I2" s="219"/>
      <c r="J2" s="219"/>
      <c r="K2" s="219"/>
      <c r="L2" s="217"/>
      <c r="M2" s="232" t="s">
        <v>206</v>
      </c>
      <c r="N2" s="219"/>
      <c r="O2" s="219"/>
      <c r="P2" s="219"/>
      <c r="Q2" s="219"/>
      <c r="R2" s="219"/>
      <c r="S2" s="217"/>
      <c r="T2" s="232" t="s">
        <v>206</v>
      </c>
      <c r="U2" s="219"/>
      <c r="V2" s="219"/>
      <c r="W2" s="219"/>
      <c r="X2" s="219"/>
      <c r="Y2" s="219"/>
      <c r="Z2" s="15"/>
    </row>
    <row r="3" spans="1:26" ht="39.75" customHeight="1" x14ac:dyDescent="0.25">
      <c r="A3" s="28" t="s">
        <v>205</v>
      </c>
      <c r="B3" s="28" t="s">
        <v>203</v>
      </c>
      <c r="C3" s="28" t="s">
        <v>204</v>
      </c>
      <c r="D3" s="28" t="s">
        <v>208</v>
      </c>
      <c r="E3" s="217"/>
      <c r="F3" s="28" t="s">
        <v>205</v>
      </c>
      <c r="G3" s="28" t="s">
        <v>203</v>
      </c>
      <c r="H3" s="28" t="s">
        <v>203</v>
      </c>
      <c r="I3" s="28" t="s">
        <v>204</v>
      </c>
      <c r="J3" s="28" t="s">
        <v>204</v>
      </c>
      <c r="K3" s="28" t="s">
        <v>208</v>
      </c>
      <c r="L3" s="217"/>
      <c r="M3" s="28" t="s">
        <v>205</v>
      </c>
      <c r="N3" s="28" t="s">
        <v>203</v>
      </c>
      <c r="O3" s="28" t="s">
        <v>203</v>
      </c>
      <c r="P3" s="28" t="s">
        <v>204</v>
      </c>
      <c r="Q3" s="28" t="s">
        <v>204</v>
      </c>
      <c r="R3" s="28" t="s">
        <v>208</v>
      </c>
      <c r="S3" s="217"/>
      <c r="T3" s="28" t="s">
        <v>205</v>
      </c>
      <c r="U3" s="28" t="s">
        <v>203</v>
      </c>
      <c r="V3" s="28" t="s">
        <v>203</v>
      </c>
      <c r="W3" s="28" t="s">
        <v>204</v>
      </c>
      <c r="X3" s="28" t="s">
        <v>204</v>
      </c>
      <c r="Y3" s="28" t="s">
        <v>208</v>
      </c>
    </row>
    <row r="4" spans="1:26" x14ac:dyDescent="0.25">
      <c r="A4" s="152">
        <v>2</v>
      </c>
      <c r="B4" s="151">
        <f>('Baseline-tilt up (3 pt)'!S3)/1000000/('Column Buckling'!$I$22*'Baseline Given'!$M$4)</f>
        <v>0.44859369697231699</v>
      </c>
      <c r="C4" s="151">
        <f>('Baseline-tilt up (3 pt)'!R3)/1000000/('Baseline Given'!$B$21*1000000*(1/6*((2*'Baseline Given'!$I$4)^3-(2*'Baseline Given'!$J$4)^3))/1.67)</f>
        <v>-5.8308783035599488E-8</v>
      </c>
      <c r="D4" s="151">
        <f>ABS(B4)+ABS(C4)</f>
        <v>0.44859375528110002</v>
      </c>
      <c r="E4" s="217"/>
      <c r="F4" s="152">
        <v>2</v>
      </c>
      <c r="G4" s="151">
        <f>'Alternative 1-Tilt Up (3pt)'!$S3/('Column Buckling'!$S$22*'Alternative 1'!$M$4)</f>
        <v>3952893.7728145779</v>
      </c>
      <c r="H4" s="151">
        <f>G4/1000000</f>
        <v>3.9528937728145781</v>
      </c>
      <c r="I4" s="151">
        <f>'Alternative 1-Tilt Up (3pt)'!$R3/('Alternative 1'!$B$20*(1/6*((2*'Alternative 1'!$I$4)^3-(2*'Alternative 1'!$J$4)^3))/1.67)</f>
        <v>79253.717477339553</v>
      </c>
      <c r="J4" s="151">
        <f>I4/1000000</f>
        <v>7.9253717477339558E-2</v>
      </c>
      <c r="K4" s="151">
        <f>ABS(H4)+ABS(J4)</f>
        <v>4.0321474902919174</v>
      </c>
      <c r="L4" s="217"/>
      <c r="M4" s="152">
        <v>2</v>
      </c>
      <c r="N4" s="151">
        <f>'Alternative 2-Tilt Up (3pt)'!$S3/('Column Buckling'!$V$22*'Alternative 2'!$M$4)</f>
        <v>8001034.7549868692</v>
      </c>
      <c r="O4" s="151">
        <f>N4/1000000</f>
        <v>8.0010347549868683</v>
      </c>
      <c r="P4" s="151">
        <f>'Alternative 2-Tilt Up (3pt)'!$R3/('Alternative 2'!$B$20*(1/6*((2*'Alternative 2'!$I$4)^3-(2*'Alternative 2'!$J$4)^3))/1.67)</f>
        <v>62773.674746665005</v>
      </c>
      <c r="Q4" s="151">
        <f>P4/1000000</f>
        <v>6.2773674746665009E-2</v>
      </c>
      <c r="R4" s="151">
        <f>ABS(O4)+ABS(Q4)</f>
        <v>8.063808429733534</v>
      </c>
      <c r="S4" s="217"/>
      <c r="T4" s="152">
        <v>2</v>
      </c>
      <c r="U4" s="151">
        <f>'Alternative 3-Tilt Up (3pt)'!$S3/('Column Buckling'!$Y$22*'Alternative 3'!$M$4)</f>
        <v>7843398.79400317</v>
      </c>
      <c r="V4" s="151">
        <f>U4/1000000</f>
        <v>7.8433987940031704</v>
      </c>
      <c r="W4" s="151">
        <f>'Alternative 3-Tilt Up (3pt)'!$R3/('Alternative 3'!$B$20*(1/6*((2*'Alternative 3'!$I$4)^3-(2*'Alternative 3'!$J$4)^3))/1.67)</f>
        <v>70127.132766000606</v>
      </c>
      <c r="X4" s="151">
        <f>W4/1000000</f>
        <v>7.0127132766000605E-2</v>
      </c>
      <c r="Y4" s="151">
        <f>ABS(V4)+ABS(X4)</f>
        <v>7.9135259267691707</v>
      </c>
    </row>
    <row r="5" spans="1:26" x14ac:dyDescent="0.25">
      <c r="A5" s="152">
        <v>10</v>
      </c>
      <c r="B5" s="151">
        <f>('Baseline-tilt up (3 pt)'!Y3)/1000000/('Column Buckling'!$I$22*'Baseline Given'!$M$4)</f>
        <v>0.1101655386630512</v>
      </c>
      <c r="C5" s="151">
        <f>('Baseline-tilt up (3 pt)'!X3)/1000000/('Baseline Given'!$B$21*1000000*(1/6*((2*'Baseline Given'!$I$4)^3-(2*'Baseline Given'!$J$4)^3))/1.67)</f>
        <v>-1.2616884333760902E-7</v>
      </c>
      <c r="D5" s="151">
        <f t="shared" ref="D5:D13" si="0">ABS(B5)+ABS(C5)</f>
        <v>0.11016566483189454</v>
      </c>
      <c r="E5" s="217"/>
      <c r="F5" s="152">
        <v>10</v>
      </c>
      <c r="G5" s="151">
        <f>'Alternative 1-Tilt Up (3pt)'!$Y3/('Column Buckling'!$S$22*'Alternative 1'!$M$4)</f>
        <v>1009198.5510497896</v>
      </c>
      <c r="H5" s="151">
        <f t="shared" ref="H5:H13" si="1">G5/1000000</f>
        <v>1.0091985510497896</v>
      </c>
      <c r="I5" s="151">
        <f>'Alternative 1-Tilt Up (3pt)'!$X3/('Alternative 1'!$B$20*(1/6*((2*'Alternative 1'!$I$4)^3-(2*'Alternative 1'!$J$4)^3))/1.67)</f>
        <v>40214.740410892766</v>
      </c>
      <c r="J5" s="151">
        <f t="shared" ref="J5:J13" si="2">I5/1000000</f>
        <v>4.0214740410892763E-2</v>
      </c>
      <c r="K5" s="151">
        <f t="shared" ref="K5:K13" si="3">ABS(H5)+ABS(J5)</f>
        <v>1.0494132914606824</v>
      </c>
      <c r="L5" s="217"/>
      <c r="M5" s="152">
        <v>10</v>
      </c>
      <c r="N5" s="151">
        <f>'Alternative 2-Tilt Up (3pt)'!$Y3/('Column Buckling'!$V$22*'Alternative 2'!$M$4)</f>
        <v>2044412.5789109182</v>
      </c>
      <c r="O5" s="151">
        <f t="shared" ref="O5:O13" si="4">N5/1000000</f>
        <v>2.0444125789109182</v>
      </c>
      <c r="P5" s="151">
        <f>'Alternative 2-Tilt Up (3pt)'!$X3/('Alternative 2'!$B$20*(1/6*((2*'Alternative 2'!$I$4)^3-(2*'Alternative 2'!$J$4)^3))/1.67)</f>
        <v>38566.267317382008</v>
      </c>
      <c r="Q5" s="151">
        <f t="shared" ref="Q5:Q13" si="5">P5/1000000</f>
        <v>3.8566267317382011E-2</v>
      </c>
      <c r="R5" s="151">
        <f t="shared" ref="R5:R13" si="6">ABS(O5)+ABS(Q5)</f>
        <v>2.0829788462283001</v>
      </c>
      <c r="S5" s="217"/>
      <c r="T5" s="152">
        <v>10</v>
      </c>
      <c r="U5" s="151">
        <f>'Alternative 3-Tilt Up (3pt)'!$Y3/('Column Buckling'!$Y$22*'Alternative 3'!$M$4)</f>
        <v>2000277.8992142337</v>
      </c>
      <c r="V5" s="151">
        <f t="shared" ref="V5:V13" si="7">U5/1000000</f>
        <v>2.0002778992142338</v>
      </c>
      <c r="W5" s="151">
        <f>'Alternative 3-Tilt Up (3pt)'!$X3/('Alternative 3'!$B$20*(1/6*((2*'Alternative 3'!$I$4)^3-(2*'Alternative 3'!$J$4)^3))/1.67)</f>
        <v>31631.447365750308</v>
      </c>
      <c r="X5" s="151">
        <f t="shared" ref="X5:X13" si="8">W5/1000000</f>
        <v>3.1631447365750305E-2</v>
      </c>
      <c r="Y5" s="151">
        <f t="shared" ref="Y5:Y13" si="9">ABS(V5)+ABS(X5)</f>
        <v>2.031909346579984</v>
      </c>
    </row>
    <row r="6" spans="1:26" x14ac:dyDescent="0.25">
      <c r="A6" s="152">
        <v>20</v>
      </c>
      <c r="B6" s="151">
        <f>('Baseline-tilt up (3 pt)'!AE3)/1000000/('Column Buckling'!$I$22*'Baseline Given'!$M$4)</f>
        <v>5.7458167882886747E-2</v>
      </c>
      <c r="C6" s="151">
        <f>('Baseline-tilt up (3 pt)'!AD3)/1000000/('Baseline Given'!$B$21*1000000*(1/6*((2*'Baseline Given'!$I$4)^3-(2*'Baseline Given'!$J$4)^3))/1.67)</f>
        <v>-8.7841100854946741E-8</v>
      </c>
      <c r="D6" s="151">
        <f t="shared" si="0"/>
        <v>5.7458255723987606E-2</v>
      </c>
      <c r="E6" s="217"/>
      <c r="F6" s="152">
        <v>20</v>
      </c>
      <c r="G6" s="151">
        <f>'Alternative 1-Tilt Up (3pt)'!$AE3/('Column Buckling'!$S$22*'Alternative 1'!$M$4)</f>
        <v>550742.88572366431</v>
      </c>
      <c r="H6" s="151">
        <f t="shared" si="1"/>
        <v>0.55074288572366425</v>
      </c>
      <c r="I6" s="151">
        <f>'Alternative 1-Tilt Up (3pt)'!$AD3/('Alternative 1'!$B$20*(1/6*((2*'Alternative 1'!$I$4)^3-(2*'Alternative 1'!$J$4)^3))/1.67)</f>
        <v>56316.397866540588</v>
      </c>
      <c r="J6" s="151">
        <f t="shared" si="2"/>
        <v>5.6316397866540586E-2</v>
      </c>
      <c r="K6" s="151">
        <f t="shared" si="3"/>
        <v>0.60705928359020489</v>
      </c>
      <c r="L6" s="217"/>
      <c r="M6" s="152">
        <v>20</v>
      </c>
      <c r="N6" s="151">
        <f>'Alternative 2-Tilt Up (3pt)'!$AE3/('Column Buckling'!$V$22*'Alternative 2'!$M$4)</f>
        <v>1116720.7049644494</v>
      </c>
      <c r="O6" s="151">
        <f t="shared" si="4"/>
        <v>1.1167207049644494</v>
      </c>
      <c r="P6" s="151">
        <f>'Alternative 2-Tilt Up (3pt)'!$AD3/('Alternative 2'!$B$20*(1/6*((2*'Alternative 2'!$I$4)^3-(2*'Alternative 2'!$J$4)^3))/1.67)</f>
        <v>47831.066191887519</v>
      </c>
      <c r="Q6" s="151">
        <f t="shared" si="5"/>
        <v>4.7831066191887518E-2</v>
      </c>
      <c r="R6" s="151">
        <f t="shared" si="6"/>
        <v>1.1645517711563369</v>
      </c>
      <c r="S6" s="217"/>
      <c r="T6" s="152">
        <v>20</v>
      </c>
      <c r="U6" s="151">
        <f>'Alternative 3-Tilt Up (3pt)'!$AE3/('Column Buckling'!$Y$22*'Alternative 3'!$M$4)</f>
        <v>1090261.9044028139</v>
      </c>
      <c r="V6" s="151">
        <f t="shared" si="7"/>
        <v>1.0902619044028139</v>
      </c>
      <c r="W6" s="151">
        <f>'Alternative 3-Tilt Up (3pt)'!$AD3/('Alternative 3'!$B$20*(1/6*((2*'Alternative 3'!$I$4)^3-(2*'Alternative 3'!$J$4)^3))/1.67)</f>
        <v>47931.382904145452</v>
      </c>
      <c r="X6" s="151">
        <f t="shared" si="8"/>
        <v>4.7931382904145454E-2</v>
      </c>
      <c r="Y6" s="151">
        <f t="shared" si="9"/>
        <v>1.1381932873069593</v>
      </c>
    </row>
    <row r="7" spans="1:26" x14ac:dyDescent="0.25">
      <c r="A7" s="152">
        <v>30</v>
      </c>
      <c r="B7" s="151">
        <f>('Baseline-tilt up (3 pt)'!AK3)/1000000/('Column Buckling'!$I$22*'Baseline Given'!$M$4)</f>
        <v>3.9831750073988585E-2</v>
      </c>
      <c r="C7" s="151">
        <f>('Baseline-tilt up (3 pt)'!AJ3)/1000000/('Baseline Given'!$B$21*1000000*(1/6*((2*'Baseline Given'!$I$4)^3-(2*'Baseline Given'!$J$4)^3))/1.67)</f>
        <v>-7.2698747450859799E-8</v>
      </c>
      <c r="D7" s="151">
        <f t="shared" si="0"/>
        <v>3.9831822772736038E-2</v>
      </c>
      <c r="E7" s="217"/>
      <c r="F7" s="152">
        <v>30</v>
      </c>
      <c r="G7" s="151">
        <f>'Alternative 1-Tilt Up (3pt)'!$AK3/('Column Buckling'!$S$22*'Alternative 1'!$M$4)</f>
        <v>397426.1949064497</v>
      </c>
      <c r="H7" s="151">
        <f t="shared" si="1"/>
        <v>0.3974261949064497</v>
      </c>
      <c r="I7" s="151">
        <f>'Alternative 1-Tilt Up (3pt)'!$AJ3/('Alternative 1'!$B$20*(1/6*((2*'Alternative 1'!$I$4)^3-(2*'Alternative 1'!$J$4)^3))/1.67)</f>
        <v>56452.202498043509</v>
      </c>
      <c r="J7" s="151">
        <f t="shared" si="2"/>
        <v>5.6452202498043509E-2</v>
      </c>
      <c r="K7" s="151">
        <f t="shared" si="3"/>
        <v>0.45387839740449321</v>
      </c>
      <c r="L7" s="217"/>
      <c r="M7" s="152">
        <v>30</v>
      </c>
      <c r="N7" s="151">
        <f>'Alternative 2-Tilt Up (3pt)'!$AK3/('Column Buckling'!$V$22*'Alternative 2'!$M$4)</f>
        <v>806483.07065159944</v>
      </c>
      <c r="O7" s="151">
        <f t="shared" si="4"/>
        <v>0.80648307065159941</v>
      </c>
      <c r="P7" s="151">
        <f>'Alternative 2-Tilt Up (3pt)'!$AJ3/('Alternative 2'!$B$20*(1/6*((2*'Alternative 2'!$I$4)^3-(2*'Alternative 2'!$J$4)^3))/1.67)</f>
        <v>46877.793728081924</v>
      </c>
      <c r="Q7" s="151">
        <f t="shared" si="5"/>
        <v>4.6877793728081922E-2</v>
      </c>
      <c r="R7" s="151">
        <f t="shared" si="6"/>
        <v>0.85336086437968128</v>
      </c>
      <c r="S7" s="217"/>
      <c r="T7" s="152">
        <v>30</v>
      </c>
      <c r="U7" s="151">
        <f>'Alternative 3-Tilt Up (3pt)'!$AK3/('Column Buckling'!$Y$22*'Alternative 3'!$M$4)</f>
        <v>785934.87415782036</v>
      </c>
      <c r="V7" s="151">
        <f t="shared" si="7"/>
        <v>0.78593487415782037</v>
      </c>
      <c r="W7" s="151">
        <f>'Alternative 3-Tilt Up (3pt)'!$AJ3/('Alternative 3'!$B$20*(1/6*((2*'Alternative 3'!$I$4)^3-(2*'Alternative 3'!$J$4)^3))/1.67)</f>
        <v>48674.22471634925</v>
      </c>
      <c r="X7" s="151">
        <f t="shared" si="8"/>
        <v>4.8674224716349253E-2</v>
      </c>
      <c r="Y7" s="151">
        <f t="shared" si="9"/>
        <v>0.83460909887416967</v>
      </c>
    </row>
    <row r="8" spans="1:26" x14ac:dyDescent="0.25">
      <c r="A8" s="152">
        <v>40</v>
      </c>
      <c r="B8" s="151">
        <f>('Baseline-tilt up (3 pt)'!AQ3)/1000000/('Column Buckling'!$I$22*'Baseline Given'!$M$4)</f>
        <v>3.0519866246716734E-2</v>
      </c>
      <c r="C8" s="151">
        <f>('Baseline-tilt up (3 pt)'!AP3)/1000000/('Baseline Given'!$B$21*1000000*(1/6*((2*'Baseline Given'!$I$4)^3-(2*'Baseline Given'!$J$4)^3))/1.67)</f>
        <v>-6.1774283195054259E-8</v>
      </c>
      <c r="D8" s="151">
        <f t="shared" si="0"/>
        <v>3.0519928020999929E-2</v>
      </c>
      <c r="E8" s="217"/>
      <c r="F8" s="152">
        <v>40</v>
      </c>
      <c r="G8" s="151">
        <f>'Alternative 1-Tilt Up (3pt)'!$AQ3/('Column Buckling'!$S$22*'Alternative 1'!$M$4)</f>
        <v>316430.38065344968</v>
      </c>
      <c r="H8" s="151">
        <f t="shared" si="1"/>
        <v>0.31643038065344969</v>
      </c>
      <c r="I8" s="151">
        <f>'Alternative 1-Tilt Up (3pt)'!$AP3/('Alternative 1'!$B$20*(1/6*((2*'Alternative 1'!$I$4)^3-(2*'Alternative 1'!$J$4)^3))/1.67)</f>
        <v>51329.028539144434</v>
      </c>
      <c r="J8" s="151">
        <f t="shared" si="2"/>
        <v>5.1329028539144436E-2</v>
      </c>
      <c r="K8" s="151">
        <f t="shared" si="3"/>
        <v>0.36775940919259414</v>
      </c>
      <c r="L8" s="217"/>
      <c r="M8" s="152">
        <v>40</v>
      </c>
      <c r="N8" s="151">
        <f>'Alternative 2-Tilt Up (3pt)'!$AQ3/('Column Buckling'!$V$22*'Alternative 2'!$M$4)</f>
        <v>642587.64177668747</v>
      </c>
      <c r="O8" s="151">
        <f t="shared" si="4"/>
        <v>0.64258764177668748</v>
      </c>
      <c r="P8" s="151">
        <f>'Alternative 2-Tilt Up (3pt)'!$AP3/('Alternative 2'!$B$20*(1/6*((2*'Alternative 2'!$I$4)^3-(2*'Alternative 2'!$J$4)^3))/1.67)</f>
        <v>42320.821837686315</v>
      </c>
      <c r="Q8" s="151">
        <f t="shared" si="5"/>
        <v>4.2320821837686318E-2</v>
      </c>
      <c r="R8" s="151">
        <f t="shared" si="6"/>
        <v>0.68490846361437385</v>
      </c>
      <c r="S8" s="217"/>
      <c r="T8" s="152">
        <v>40</v>
      </c>
      <c r="U8" s="151">
        <f>'Alternative 3-Tilt Up (3pt)'!$AQ3/('Column Buckling'!$Y$22*'Alternative 3'!$M$4)</f>
        <v>625161.79472337977</v>
      </c>
      <c r="V8" s="151">
        <f t="shared" si="7"/>
        <v>0.62516179472337974</v>
      </c>
      <c r="W8" s="151">
        <f>'Alternative 3-Tilt Up (3pt)'!$AP3/('Alternative 3'!$B$20*(1/6*((2*'Alternative 3'!$I$4)^3-(2*'Alternative 3'!$J$4)^3))/1.67)</f>
        <v>44432.396835188832</v>
      </c>
      <c r="X8" s="151">
        <f t="shared" si="8"/>
        <v>4.4432396835188834E-2</v>
      </c>
      <c r="Y8" s="151">
        <f t="shared" si="9"/>
        <v>0.66959419155856859</v>
      </c>
    </row>
    <row r="9" spans="1:26" x14ac:dyDescent="0.25">
      <c r="A9" s="152">
        <v>50</v>
      </c>
      <c r="B9" s="151">
        <f>('Baseline-tilt up (3 pt)'!AW3)/1000000/('Column Buckling'!$I$22*'Baseline Given'!$M$4)</f>
        <v>2.4669856554710726E-2</v>
      </c>
      <c r="C9" s="151">
        <f>('Baseline-tilt up (3 pt)'!AV3)/1000000/('Baseline Given'!$B$21*1000000*(1/6*((2*'Baseline Given'!$I$4)^3-(2*'Baseline Given'!$J$4)^3))/1.67)</f>
        <v>-5.1745246305621197E-8</v>
      </c>
      <c r="D9" s="151">
        <f t="shared" si="0"/>
        <v>2.4669908299957032E-2</v>
      </c>
      <c r="E9" s="217"/>
      <c r="F9" s="152">
        <v>50</v>
      </c>
      <c r="G9" s="151">
        <f>'Alternative 1-Tilt Up (3pt)'!$AW3/('Column Buckling'!$S$22*'Alternative 1'!$M$4)</f>
        <v>265546.29390115599</v>
      </c>
      <c r="H9" s="151">
        <f t="shared" si="1"/>
        <v>0.26554629390115597</v>
      </c>
      <c r="I9" s="151">
        <f>'Alternative 1-Tilt Up (3pt)'!$AV3/('Alternative 1'!$B$20*(1/6*((2*'Alternative 1'!$I$4)^3-(2*'Alternative 1'!$J$4)^3))/1.67)</f>
        <v>43117.317558974988</v>
      </c>
      <c r="J9" s="151">
        <f t="shared" si="2"/>
        <v>4.3117317558974987E-2</v>
      </c>
      <c r="K9" s="151">
        <f t="shared" si="3"/>
        <v>0.30866361146013094</v>
      </c>
      <c r="L9" s="217"/>
      <c r="M9" s="152">
        <v>50</v>
      </c>
      <c r="N9" s="151">
        <f>'Alternative 2-Tilt Up (3pt)'!$AW3/('Column Buckling'!$V$22*'Alternative 2'!$M$4)</f>
        <v>539623.24565645109</v>
      </c>
      <c r="O9" s="151">
        <f t="shared" si="4"/>
        <v>0.53962324565645114</v>
      </c>
      <c r="P9" s="151">
        <f>'Alternative 2-Tilt Up (3pt)'!$AV3/('Alternative 2'!$B$20*(1/6*((2*'Alternative 2'!$I$4)^3-(2*'Alternative 2'!$J$4)^3))/1.67)</f>
        <v>35537.351163006635</v>
      </c>
      <c r="Q9" s="151">
        <f t="shared" si="5"/>
        <v>3.5537351163006638E-2</v>
      </c>
      <c r="R9" s="151">
        <f t="shared" si="6"/>
        <v>0.57516059681945775</v>
      </c>
      <c r="S9" s="217"/>
      <c r="T9" s="152">
        <v>50</v>
      </c>
      <c r="U9" s="151">
        <f>'Alternative 3-Tilt Up (3pt)'!$AW3/('Column Buckling'!$Y$22*'Alternative 3'!$M$4)</f>
        <v>524159.0683800269</v>
      </c>
      <c r="V9" s="151">
        <f t="shared" si="7"/>
        <v>0.5241590683800269</v>
      </c>
      <c r="W9" s="151">
        <f>'Alternative 3-Tilt Up (3pt)'!$AV3/('Alternative 3'!$B$20*(1/6*((2*'Alternative 3'!$I$4)^3-(2*'Alternative 3'!$J$4)^3))/1.67)</f>
        <v>37327.741422234969</v>
      </c>
      <c r="X9" s="151">
        <f t="shared" si="8"/>
        <v>3.7327741422234967E-2</v>
      </c>
      <c r="Y9" s="151">
        <f t="shared" si="9"/>
        <v>0.56148680980226184</v>
      </c>
    </row>
    <row r="10" spans="1:26" x14ac:dyDescent="0.25">
      <c r="A10" s="152">
        <v>60</v>
      </c>
      <c r="B10" s="151">
        <f>('Baseline-tilt up (3 pt)'!BC3)/1000000/('Column Buckling'!$I$22*'Baseline Given'!$M$4)</f>
        <v>2.0766976681917241E-2</v>
      </c>
      <c r="C10" s="151">
        <f>('Baseline-tilt up (3 pt)'!BB3)/1000000/('Baseline Given'!$B$21*1000000*(1/6*((2*'Baseline Given'!$I$4)^3-(2*'Baseline Given'!$J$4)^3))/1.67)</f>
        <v>-4.1712016487095794E-8</v>
      </c>
      <c r="D10" s="151">
        <f t="shared" si="0"/>
        <v>2.0767018393933728E-2</v>
      </c>
      <c r="E10" s="217"/>
      <c r="F10" s="152">
        <v>60</v>
      </c>
      <c r="G10" s="151">
        <f>'Alternative 1-Tilt Up (3pt)'!$BC3/('Column Buckling'!$S$22*'Alternative 1'!$M$4)</f>
        <v>231598.44340166164</v>
      </c>
      <c r="H10" s="151">
        <f t="shared" si="1"/>
        <v>0.23159844340166164</v>
      </c>
      <c r="I10" s="151">
        <f>'Alternative 1-Tilt Up (3pt)'!$BB3/('Alternative 1'!$B$20*(1/6*((2*'Alternative 1'!$I$4)^3-(2*'Alternative 1'!$J$4)^3))/1.67)</f>
        <v>32730.57153582789</v>
      </c>
      <c r="J10" s="151">
        <f t="shared" si="2"/>
        <v>3.2730571535827889E-2</v>
      </c>
      <c r="K10" s="151">
        <f t="shared" si="3"/>
        <v>0.2643290149374895</v>
      </c>
      <c r="L10" s="217"/>
      <c r="M10" s="152">
        <v>60</v>
      </c>
      <c r="N10" s="151">
        <f>'Alternative 2-Tilt Up (3pt)'!$BC3/('Column Buckling'!$V$22*'Alternative 2'!$M$4)</f>
        <v>470928.87551088078</v>
      </c>
      <c r="O10" s="151">
        <f t="shared" si="4"/>
        <v>0.47092887551088081</v>
      </c>
      <c r="P10" s="151">
        <f>'Alternative 2-Tilt Up (3pt)'!$BB3/('Alternative 2'!$B$20*(1/6*((2*'Alternative 2'!$I$4)^3-(2*'Alternative 2'!$J$4)^3))/1.67)</f>
        <v>27141.73643273185</v>
      </c>
      <c r="Q10" s="151">
        <f t="shared" si="5"/>
        <v>2.714173643273185E-2</v>
      </c>
      <c r="R10" s="151">
        <f t="shared" si="6"/>
        <v>0.49807061194361268</v>
      </c>
      <c r="S10" s="217"/>
      <c r="T10" s="152">
        <v>60</v>
      </c>
      <c r="U10" s="151">
        <f>'Alternative 3-Tilt Up (3pt)'!$BC3/('Column Buckling'!$Y$22*'Alternative 3'!$M$4)</f>
        <v>456773.79019411583</v>
      </c>
      <c r="V10" s="151">
        <f t="shared" si="7"/>
        <v>0.45677379019411585</v>
      </c>
      <c r="W10" s="151">
        <f>'Alternative 3-Tilt Up (3pt)'!$BB3/('Alternative 3'!$B$20*(1/6*((2*'Alternative 3'!$I$4)^3-(2*'Alternative 3'!$J$4)^3))/1.67)</f>
        <v>28232.932937311743</v>
      </c>
      <c r="X10" s="151">
        <f t="shared" si="8"/>
        <v>2.8232932937311744E-2</v>
      </c>
      <c r="Y10" s="151">
        <f t="shared" si="9"/>
        <v>0.48500672313142756</v>
      </c>
    </row>
    <row r="11" spans="1:26" x14ac:dyDescent="0.25">
      <c r="A11" s="152">
        <v>70</v>
      </c>
      <c r="B11" s="151">
        <f>('Baseline-tilt up (3 pt)'!BI3)/1000000/('Column Buckling'!$I$22*'Baseline Given'!$M$4)</f>
        <v>1.8211637143928604E-2</v>
      </c>
      <c r="C11" s="151">
        <f>('Baseline-tilt up (3 pt)'!BH3)/1000000/('Baseline Given'!$B$21*1000000*(1/6*((2*'Baseline Given'!$I$4)^3-(2*'Baseline Given'!$J$4)^3))/1.67)</f>
        <v>-3.1468407161994563E-8</v>
      </c>
      <c r="D11" s="151">
        <f t="shared" si="0"/>
        <v>1.8211668612335766E-2</v>
      </c>
      <c r="E11" s="217"/>
      <c r="F11" s="152">
        <v>70</v>
      </c>
      <c r="G11" s="151">
        <f>'Alternative 1-Tilt Up (3pt)'!$BI3/('Column Buckling'!$S$22*'Alternative 1'!$M$4)</f>
        <v>209371.482969487</v>
      </c>
      <c r="H11" s="151">
        <f t="shared" si="1"/>
        <v>0.20937148296948699</v>
      </c>
      <c r="I11" s="151">
        <f>'Alternative 1-Tilt Up (3pt)'!$BH3/('Alternative 1'!$B$20*(1/6*((2*'Alternative 1'!$I$4)^3-(2*'Alternative 1'!$J$4)^3))/1.67)</f>
        <v>20766.139986792761</v>
      </c>
      <c r="J11" s="151">
        <f t="shared" si="2"/>
        <v>2.0766139986792762E-2</v>
      </c>
      <c r="K11" s="151">
        <f t="shared" si="3"/>
        <v>0.23013762295627976</v>
      </c>
      <c r="L11" s="217"/>
      <c r="M11" s="152">
        <v>70</v>
      </c>
      <c r="N11" s="151">
        <f>'Alternative 2-Tilt Up (3pt)'!$BI3/('Column Buckling'!$V$22*'Alternative 2'!$M$4)</f>
        <v>425951.03089777177</v>
      </c>
      <c r="O11" s="151">
        <f t="shared" si="4"/>
        <v>0.42595103089777175</v>
      </c>
      <c r="P11" s="151">
        <f>'Alternative 1-Tilt Up (3pt)'!$BH3/('Alternative 1'!$B$20*(1/6*((2*'Alternative 1'!$I$4)^3-(2*'Alternative 1'!$J$4)^3))/1.67)</f>
        <v>20766.139986792761</v>
      </c>
      <c r="Q11" s="151">
        <f t="shared" si="5"/>
        <v>2.0766139986792762E-2</v>
      </c>
      <c r="R11" s="151">
        <f t="shared" si="6"/>
        <v>0.44671717088456453</v>
      </c>
      <c r="S11" s="217"/>
      <c r="T11" s="152">
        <v>70</v>
      </c>
      <c r="U11" s="151">
        <f>'Alternative 3-Tilt Up (3pt)'!$BI3/('Column Buckling'!$Y$22*'Alternative 3'!$M$4)</f>
        <v>412653.63643500331</v>
      </c>
      <c r="V11" s="151">
        <f t="shared" si="7"/>
        <v>0.4126536364350033</v>
      </c>
      <c r="W11" s="151">
        <f>'Alternative 3-Tilt Up (3pt)'!$BH3/('Alternative 3'!$B$20*(1/6*((2*'Alternative 3'!$I$4)^3-(2*'Alternative 3'!$J$4)^3))/1.67)</f>
        <v>17703.015945077252</v>
      </c>
      <c r="X11" s="151">
        <f t="shared" si="8"/>
        <v>1.7703015945077252E-2</v>
      </c>
      <c r="Y11" s="151">
        <f t="shared" si="9"/>
        <v>0.43035665238008053</v>
      </c>
    </row>
    <row r="12" spans="1:26" x14ac:dyDescent="0.25">
      <c r="A12" s="152">
        <v>80</v>
      </c>
      <c r="B12" s="151">
        <f>('Baseline-tilt up (3 pt)'!BO3)/1000000/('Column Buckling'!$I$22*'Baseline Given'!$M$4)</f>
        <v>1.6738096918533105E-2</v>
      </c>
      <c r="C12" s="151">
        <f>('Baseline-tilt up (3 pt)'!BN3)/1000000/('Baseline Given'!$B$21*1000000*(1/6*((2*'Baseline Given'!$I$4)^3-(2*'Baseline Given'!$J$4)^3))/1.67)</f>
        <v>-2.108131968079675E-8</v>
      </c>
      <c r="D12" s="151">
        <f t="shared" si="0"/>
        <v>1.6738117999852784E-2</v>
      </c>
      <c r="E12" s="217"/>
      <c r="F12" s="152">
        <v>80</v>
      </c>
      <c r="G12" s="151">
        <f>'Alternative 1-Tilt Up (3pt)'!$BO3/('Column Buckling'!$S$22*'Alternative 1'!$M$4)</f>
        <v>196553.92570267851</v>
      </c>
      <c r="H12" s="151">
        <f t="shared" si="1"/>
        <v>0.19655392570267852</v>
      </c>
      <c r="I12" s="151">
        <f>'Alternative 1-Tilt Up (3pt)'!$BN3/('Alternative 1'!$B$20*(1/6*((2*'Alternative 1'!$I$4)^3-(2*'Alternative 1'!$J$4)^3))/1.67)</f>
        <v>7722.2728434976025</v>
      </c>
      <c r="J12" s="151">
        <f t="shared" si="2"/>
        <v>7.7222728434976021E-3</v>
      </c>
      <c r="K12" s="151">
        <f t="shared" si="3"/>
        <v>0.20427619854617612</v>
      </c>
      <c r="L12" s="217"/>
      <c r="M12" s="152">
        <v>80</v>
      </c>
      <c r="N12" s="151">
        <f>'Alternative 2-Tilt Up (3pt)'!$BO3/('Column Buckling'!$V$22*'Alternative 2'!$M$4)</f>
        <v>400012.21982313175</v>
      </c>
      <c r="O12" s="151">
        <f t="shared" si="4"/>
        <v>0.40001221982313173</v>
      </c>
      <c r="P12" s="151">
        <f>'Alternative 2-Tilt Up (3pt)'!$BN3/('Alternative 2'!$B$20*(1/6*((2*'Alternative 2'!$I$4)^3-(2*'Alternative 2'!$J$4)^3))/1.67)</f>
        <v>7172.955292390332</v>
      </c>
      <c r="Q12" s="151">
        <f t="shared" si="5"/>
        <v>7.1729552923903324E-3</v>
      </c>
      <c r="R12" s="151">
        <f t="shared" si="6"/>
        <v>0.40718517511552205</v>
      </c>
      <c r="S12" s="217"/>
      <c r="T12" s="152">
        <v>80</v>
      </c>
      <c r="U12" s="151">
        <f>'Alternative 3-Tilt Up (3pt)'!$BO3/('Column Buckling'!$Y$22*'Alternative 3'!$M$4)</f>
        <v>387210.32936694683</v>
      </c>
      <c r="V12" s="151">
        <f t="shared" si="7"/>
        <v>0.38721032936694683</v>
      </c>
      <c r="W12" s="151">
        <f>'Alternative 3-Tilt Up (3pt)'!$BN3/('Alternative 3'!$B$20*(1/6*((2*'Alternative 3'!$I$4)^3-(2*'Alternative 3'!$J$4)^3))/1.67)</f>
        <v>6191.1961201250097</v>
      </c>
      <c r="X12" s="151">
        <f t="shared" si="8"/>
        <v>6.1911961201250093E-3</v>
      </c>
      <c r="Y12" s="151">
        <f t="shared" si="9"/>
        <v>0.39340152548707186</v>
      </c>
    </row>
    <row r="13" spans="1:26" x14ac:dyDescent="0.25">
      <c r="A13" s="152">
        <v>90</v>
      </c>
      <c r="B13" s="151">
        <f>('Baseline-tilt up (3 pt)'!BU3)/1000000/('Column Buckling'!$I$22*'Baseline Given'!$M$4)</f>
        <v>1.6228153464826253E-2</v>
      </c>
      <c r="C13" s="151">
        <f>('Baseline-tilt up (3 pt)'!BR3)/1000000/('Baseline Given'!$B$21*1000000*(1/6*((2*'Baseline Given'!$I$4)^3-(2*'Baseline Given'!$J$4)^3))/1.67)</f>
        <v>-1.1920461850011936E-13</v>
      </c>
      <c r="D13" s="151">
        <f t="shared" si="0"/>
        <v>1.6228153464945456E-2</v>
      </c>
      <c r="E13" s="217"/>
      <c r="F13" s="152">
        <v>90</v>
      </c>
      <c r="G13" s="151">
        <f>'Alternative 1-Tilt Up (3pt)'!$BU3/('Column Buckling'!$S$22*'Alternative 1'!$M$4)</f>
        <v>192117.5907258394</v>
      </c>
      <c r="H13" s="151">
        <f t="shared" si="1"/>
        <v>0.19211759072583939</v>
      </c>
      <c r="I13" s="151">
        <f>'Alternative 1-Tilt Up (3pt)'!$BR3/('Alternative 1'!$B$20*(1/6*((2*'Alternative 1'!$I$4)^3-(2*'Alternative 1'!$J$4)^3))/1.67)</f>
        <v>6.8351044760458515E-2</v>
      </c>
      <c r="J13" s="151">
        <f t="shared" si="2"/>
        <v>6.8351044760458519E-8</v>
      </c>
      <c r="K13" s="151">
        <f t="shared" si="3"/>
        <v>0.19211765907688416</v>
      </c>
      <c r="L13" s="217"/>
      <c r="M13" s="152">
        <v>90</v>
      </c>
      <c r="N13" s="151">
        <f>'Alternative 2-Tilt Up (3pt)'!$BU3/('Column Buckling'!$V$22*'Alternative 2'!$M$4)</f>
        <v>391031.72500673612</v>
      </c>
      <c r="O13" s="151">
        <f t="shared" si="4"/>
        <v>0.39103172500673611</v>
      </c>
      <c r="P13" s="151">
        <f>'Alternative 2-Tilt Up (3pt)'!$BR3/('Alternative 2'!$B$20*(1/6*((2*'Alternative 2'!$I$4)^3-(2*'Alternative 2'!$J$4)^3))/1.67)</f>
        <v>0.13153866650560209</v>
      </c>
      <c r="Q13" s="151">
        <f t="shared" si="5"/>
        <v>1.315386665056021E-7</v>
      </c>
      <c r="R13" s="151">
        <f t="shared" si="6"/>
        <v>0.39103185654540262</v>
      </c>
      <c r="S13" s="217"/>
      <c r="T13" s="152">
        <v>90</v>
      </c>
      <c r="U13" s="151">
        <f>'Alternative 3-Tilt Up (3pt)'!$BU3/('Column Buckling'!$Y$22*'Alternative 3'!$M$4)</f>
        <v>378402.89591791289</v>
      </c>
      <c r="V13" s="151">
        <f t="shared" si="7"/>
        <v>0.37840289591791287</v>
      </c>
      <c r="W13" s="151">
        <f>'Alternative 3-Tilt Up (3pt)'!$BR3/('Alternative 3'!$B$20*(1/6*((2*'Alternative 3'!$I$4)^3-(2*'Alternative 3'!$J$4)^3))/1.67)</f>
        <v>0.10572746184739956</v>
      </c>
      <c r="X13" s="151">
        <f t="shared" si="8"/>
        <v>1.0572746184739956E-7</v>
      </c>
      <c r="Y13" s="151">
        <f t="shared" si="9"/>
        <v>0.37840300164537471</v>
      </c>
    </row>
    <row r="14" spans="1:26" x14ac:dyDescent="0.25">
      <c r="A14" s="15"/>
      <c r="B14" s="15"/>
      <c r="E14" s="15"/>
      <c r="F14" s="15"/>
      <c r="G14" s="15"/>
      <c r="I14" s="15"/>
      <c r="K14" s="15"/>
      <c r="L14" s="15"/>
      <c r="M14" s="15"/>
      <c r="N14" s="15"/>
      <c r="P14" s="15"/>
      <c r="R14" s="15"/>
      <c r="S14" s="15"/>
      <c r="T14" s="15"/>
      <c r="U14" s="15"/>
      <c r="W14" s="15"/>
      <c r="Y14" s="15"/>
      <c r="Z14" s="15"/>
    </row>
    <row r="15" spans="1:26" ht="45" x14ac:dyDescent="0.25">
      <c r="A15" s="4" t="s">
        <v>208</v>
      </c>
      <c r="B15" s="4" t="s">
        <v>222</v>
      </c>
      <c r="E15" s="15"/>
      <c r="F15" s="15"/>
      <c r="G15" s="15"/>
      <c r="I15" s="15"/>
      <c r="K15" s="15"/>
      <c r="L15" s="15"/>
      <c r="M15" s="15"/>
      <c r="N15" s="15"/>
      <c r="P15" s="15"/>
      <c r="R15" s="15"/>
      <c r="S15" s="15"/>
      <c r="T15" s="15"/>
      <c r="U15" s="15"/>
      <c r="W15" s="15"/>
      <c r="Y15" s="15"/>
      <c r="Z15" s="15"/>
    </row>
    <row r="16" spans="1:26" x14ac:dyDescent="0.25">
      <c r="A16" s="15"/>
      <c r="B16" s="15"/>
      <c r="E16" s="15"/>
      <c r="F16" s="15"/>
      <c r="G16" s="15"/>
      <c r="I16" s="15"/>
      <c r="K16" s="15"/>
      <c r="L16" s="15"/>
      <c r="M16" s="15"/>
      <c r="N16" s="15"/>
      <c r="P16" s="15"/>
      <c r="R16" s="15"/>
      <c r="S16" s="15"/>
      <c r="T16" s="15"/>
      <c r="U16" s="15"/>
      <c r="W16" s="15"/>
      <c r="Y16" s="15"/>
      <c r="Z16" s="15"/>
    </row>
    <row r="17" spans="1:26" x14ac:dyDescent="0.25">
      <c r="A17" s="15"/>
      <c r="B17" s="15"/>
      <c r="E17" s="15"/>
      <c r="F17" s="15"/>
      <c r="G17" s="15"/>
      <c r="I17" s="15"/>
      <c r="K17" s="15"/>
      <c r="L17" s="15"/>
      <c r="M17" s="15"/>
      <c r="N17" s="15"/>
      <c r="P17" s="15"/>
      <c r="R17" s="15"/>
      <c r="S17" s="15"/>
      <c r="T17" s="15"/>
      <c r="U17" s="15"/>
      <c r="W17" s="15"/>
      <c r="Y17" s="15"/>
      <c r="Z17" s="15"/>
    </row>
    <row r="18" spans="1:26" x14ac:dyDescent="0.25">
      <c r="A18" s="15"/>
      <c r="B18" s="15"/>
      <c r="E18" s="15"/>
      <c r="F18" s="15"/>
      <c r="G18" s="15"/>
      <c r="I18" s="15"/>
      <c r="K18" s="15"/>
      <c r="L18" s="15"/>
      <c r="M18" s="15"/>
      <c r="N18" s="15"/>
      <c r="P18" s="15"/>
      <c r="R18" s="15"/>
      <c r="S18" s="15"/>
      <c r="T18" s="15"/>
      <c r="U18" s="15"/>
      <c r="W18" s="15"/>
      <c r="Y18" s="15"/>
      <c r="Z18" s="15"/>
    </row>
    <row r="19" spans="1:26" x14ac:dyDescent="0.25">
      <c r="A19" s="15"/>
      <c r="B19" s="15"/>
      <c r="E19" s="15"/>
      <c r="F19" s="15"/>
      <c r="G19" s="15"/>
      <c r="I19" s="15"/>
      <c r="K19" s="15"/>
      <c r="L19" s="15"/>
      <c r="M19" s="15"/>
      <c r="N19" s="15"/>
      <c r="P19" s="15"/>
      <c r="R19" s="15"/>
      <c r="S19" s="15"/>
      <c r="T19" s="15"/>
      <c r="U19" s="15"/>
      <c r="W19" s="15"/>
      <c r="Y19" s="15"/>
      <c r="Z19" s="15"/>
    </row>
    <row r="20" spans="1:26" x14ac:dyDescent="0.25">
      <c r="A20" s="15"/>
      <c r="B20" s="15"/>
      <c r="E20" s="15"/>
      <c r="F20" s="15"/>
      <c r="G20" s="15"/>
      <c r="I20" s="15"/>
      <c r="K20" s="15"/>
      <c r="L20" s="15"/>
      <c r="M20" s="15"/>
      <c r="N20" s="15"/>
      <c r="P20" s="15"/>
      <c r="R20" s="15"/>
      <c r="S20" s="15"/>
      <c r="T20" s="15"/>
      <c r="U20" s="15"/>
      <c r="W20" s="15"/>
      <c r="Y20" s="15"/>
      <c r="Z20" s="15"/>
    </row>
    <row r="21" spans="1:26" x14ac:dyDescent="0.25">
      <c r="A21" s="15"/>
      <c r="B21" s="15"/>
      <c r="E21" s="15"/>
      <c r="F21" s="15"/>
      <c r="G21" s="15"/>
      <c r="I21" s="15"/>
      <c r="K21" s="15"/>
      <c r="L21" s="15"/>
      <c r="M21" s="15"/>
      <c r="N21" s="15"/>
      <c r="P21" s="15"/>
      <c r="R21" s="15"/>
      <c r="S21" s="15"/>
      <c r="T21" s="15"/>
      <c r="U21" s="15"/>
      <c r="W21" s="15"/>
      <c r="Y21" s="15"/>
      <c r="Z21" s="15"/>
    </row>
    <row r="22" spans="1:26" x14ac:dyDescent="0.25">
      <c r="A22" s="15"/>
      <c r="B22" s="15"/>
      <c r="E22" s="15"/>
      <c r="F22" s="15"/>
      <c r="G22" s="15"/>
      <c r="I22" s="15"/>
      <c r="K22" s="15"/>
      <c r="L22" s="15"/>
      <c r="M22" s="15"/>
      <c r="N22" s="15"/>
      <c r="P22" s="15"/>
      <c r="R22" s="15"/>
      <c r="S22" s="15"/>
      <c r="T22" s="15"/>
      <c r="U22" s="15"/>
      <c r="W22" s="15"/>
      <c r="Y22" s="15"/>
      <c r="Z22" s="15"/>
    </row>
    <row r="23" spans="1:26" x14ac:dyDescent="0.25">
      <c r="A23" s="15"/>
      <c r="B23" s="15"/>
      <c r="E23" s="15"/>
      <c r="F23" s="15"/>
      <c r="G23" s="15"/>
      <c r="I23" s="15"/>
      <c r="K23" s="15"/>
      <c r="L23" s="15"/>
      <c r="M23" s="15"/>
      <c r="N23" s="15"/>
      <c r="P23" s="15"/>
      <c r="R23" s="15"/>
      <c r="S23" s="15"/>
      <c r="T23" s="15"/>
      <c r="U23" s="15"/>
      <c r="W23" s="15"/>
      <c r="Y23" s="15"/>
      <c r="Z23" s="15"/>
    </row>
    <row r="24" spans="1:26" x14ac:dyDescent="0.25">
      <c r="A24" s="15"/>
      <c r="B24" s="15"/>
      <c r="E24" s="15"/>
      <c r="F24" s="15"/>
      <c r="G24" s="15"/>
      <c r="I24" s="15"/>
      <c r="K24" s="15"/>
      <c r="L24" s="15"/>
      <c r="M24" s="15"/>
      <c r="N24" s="15"/>
      <c r="P24" s="15"/>
      <c r="R24" s="15"/>
      <c r="S24" s="15"/>
      <c r="T24" s="15"/>
      <c r="U24" s="15"/>
      <c r="W24" s="15"/>
      <c r="Y24" s="15"/>
      <c r="Z24" s="15"/>
    </row>
    <row r="25" spans="1:26" x14ac:dyDescent="0.25">
      <c r="A25" s="15"/>
      <c r="B25" s="15"/>
      <c r="E25" s="15"/>
      <c r="F25" s="15"/>
      <c r="G25" s="15"/>
      <c r="I25" s="15"/>
      <c r="K25" s="15"/>
      <c r="L25" s="15"/>
      <c r="M25" s="15"/>
      <c r="N25" s="15"/>
      <c r="P25" s="15"/>
      <c r="R25" s="15"/>
      <c r="S25" s="15"/>
      <c r="T25" s="15"/>
      <c r="U25" s="15"/>
      <c r="W25" s="15"/>
      <c r="Y25" s="15"/>
      <c r="Z25" s="15"/>
    </row>
    <row r="26" spans="1:26" x14ac:dyDescent="0.25">
      <c r="A26" s="15"/>
      <c r="B26" s="15"/>
      <c r="E26" s="15"/>
      <c r="F26" s="15"/>
      <c r="G26" s="15"/>
      <c r="I26" s="15"/>
      <c r="K26" s="15"/>
      <c r="L26" s="15"/>
      <c r="M26" s="15"/>
      <c r="N26" s="15"/>
      <c r="P26" s="15"/>
      <c r="R26" s="15"/>
      <c r="S26" s="15"/>
      <c r="T26" s="15"/>
      <c r="U26" s="15"/>
      <c r="W26" s="15"/>
      <c r="Y26" s="15"/>
      <c r="Z26" s="15"/>
    </row>
    <row r="27" spans="1:26" x14ac:dyDescent="0.25">
      <c r="A27" s="15"/>
      <c r="B27" s="15"/>
      <c r="E27" s="15"/>
      <c r="F27" s="15"/>
      <c r="G27" s="15"/>
      <c r="I27" s="15"/>
      <c r="K27" s="15"/>
      <c r="L27" s="15"/>
      <c r="M27" s="15"/>
      <c r="N27" s="15"/>
      <c r="P27" s="15"/>
      <c r="R27" s="15"/>
      <c r="S27" s="15"/>
      <c r="T27" s="15"/>
      <c r="U27" s="15"/>
      <c r="W27" s="15"/>
      <c r="Y27" s="15"/>
      <c r="Z27" s="15"/>
    </row>
    <row r="28" spans="1:26" x14ac:dyDescent="0.25">
      <c r="A28" s="15"/>
      <c r="B28" s="15"/>
      <c r="E28" s="15"/>
      <c r="F28" s="15"/>
      <c r="G28" s="15"/>
      <c r="I28" s="15"/>
      <c r="K28" s="15"/>
      <c r="L28" s="15"/>
      <c r="M28" s="15"/>
      <c r="N28" s="15"/>
      <c r="P28" s="15"/>
      <c r="R28" s="15"/>
      <c r="S28" s="15"/>
      <c r="T28" s="15"/>
      <c r="U28" s="15"/>
      <c r="W28" s="15"/>
      <c r="Y28" s="15"/>
      <c r="Z28" s="15"/>
    </row>
    <row r="29" spans="1:26" x14ac:dyDescent="0.25">
      <c r="A29" s="15"/>
      <c r="B29" s="15"/>
      <c r="E29" s="15"/>
      <c r="F29" s="15"/>
      <c r="G29" s="15"/>
      <c r="I29" s="15"/>
      <c r="K29" s="15"/>
      <c r="L29" s="15"/>
      <c r="M29" s="15"/>
      <c r="N29" s="15"/>
      <c r="P29" s="15"/>
      <c r="R29" s="15"/>
      <c r="S29" s="15"/>
      <c r="T29" s="15"/>
      <c r="U29" s="15"/>
      <c r="W29" s="15"/>
      <c r="Y29" s="15"/>
      <c r="Z29" s="15"/>
    </row>
    <row r="30" spans="1:26" x14ac:dyDescent="0.25">
      <c r="A30" s="15"/>
      <c r="B30" s="15"/>
      <c r="E30" s="15"/>
      <c r="F30" s="15"/>
      <c r="G30" s="15"/>
      <c r="I30" s="15"/>
      <c r="K30" s="15"/>
      <c r="L30" s="15"/>
      <c r="M30" s="15"/>
      <c r="N30" s="15"/>
      <c r="P30" s="15"/>
      <c r="R30" s="15"/>
      <c r="S30" s="15"/>
      <c r="T30" s="15"/>
      <c r="U30" s="15"/>
      <c r="W30" s="15"/>
      <c r="Y30" s="15"/>
      <c r="Z30" s="15"/>
    </row>
    <row r="31" spans="1:26" x14ac:dyDescent="0.25">
      <c r="A31" s="15"/>
      <c r="B31" s="15"/>
      <c r="E31" s="15"/>
      <c r="F31" s="15"/>
      <c r="G31" s="15"/>
      <c r="I31" s="15"/>
      <c r="K31" s="15"/>
      <c r="L31" s="15"/>
      <c r="M31" s="15"/>
      <c r="N31" s="15"/>
      <c r="P31" s="15"/>
      <c r="R31" s="15"/>
      <c r="S31" s="15"/>
      <c r="T31" s="15"/>
      <c r="U31" s="15"/>
      <c r="W31" s="15"/>
      <c r="Y31" s="15"/>
      <c r="Z31" s="15"/>
    </row>
    <row r="32" spans="1:26" x14ac:dyDescent="0.25">
      <c r="A32" s="15"/>
      <c r="B32" s="15"/>
      <c r="E32" s="15"/>
      <c r="F32" s="15"/>
      <c r="G32" s="15"/>
      <c r="I32" s="15"/>
      <c r="K32" s="15"/>
      <c r="L32" s="15"/>
      <c r="M32" s="15"/>
      <c r="N32" s="15"/>
      <c r="P32" s="15"/>
      <c r="R32" s="15"/>
      <c r="S32" s="15"/>
      <c r="T32" s="15"/>
      <c r="U32" s="15"/>
      <c r="W32" s="15"/>
      <c r="Y32" s="15"/>
      <c r="Z32" s="15"/>
    </row>
    <row r="33" spans="1:26" x14ac:dyDescent="0.25">
      <c r="A33" s="15"/>
      <c r="B33" s="15"/>
      <c r="E33" s="15"/>
      <c r="F33" s="15"/>
      <c r="G33" s="15"/>
      <c r="I33" s="15"/>
      <c r="K33" s="15"/>
      <c r="L33" s="15"/>
      <c r="M33" s="15"/>
      <c r="N33" s="15"/>
      <c r="P33" s="15"/>
      <c r="R33" s="15"/>
      <c r="S33" s="15"/>
      <c r="T33" s="15"/>
      <c r="U33" s="15"/>
      <c r="W33" s="15"/>
      <c r="Y33" s="15"/>
      <c r="Z33" s="15"/>
    </row>
    <row r="34" spans="1:26" x14ac:dyDescent="0.25">
      <c r="A34" s="15"/>
      <c r="B34" s="15"/>
      <c r="E34" s="15"/>
      <c r="F34" s="15"/>
      <c r="G34" s="15"/>
      <c r="I34" s="15"/>
      <c r="K34" s="15"/>
      <c r="L34" s="15"/>
      <c r="M34" s="15"/>
      <c r="N34" s="15"/>
      <c r="P34" s="15"/>
      <c r="R34" s="15"/>
      <c r="S34" s="15"/>
      <c r="T34" s="15"/>
      <c r="U34" s="15"/>
      <c r="W34" s="15"/>
      <c r="Y34" s="15"/>
      <c r="Z34" s="15"/>
    </row>
    <row r="35" spans="1:26" x14ac:dyDescent="0.25">
      <c r="A35" s="15"/>
      <c r="B35" s="15"/>
      <c r="E35" s="15"/>
      <c r="F35" s="15"/>
      <c r="G35" s="15"/>
      <c r="I35" s="15"/>
      <c r="K35" s="15"/>
      <c r="L35" s="15"/>
      <c r="M35" s="15"/>
      <c r="N35" s="15"/>
      <c r="P35" s="15"/>
      <c r="R35" s="15"/>
      <c r="S35" s="15"/>
      <c r="T35" s="15"/>
      <c r="U35" s="15"/>
      <c r="W35" s="15"/>
      <c r="Y35" s="15"/>
      <c r="Z35" s="15"/>
    </row>
    <row r="36" spans="1:26" x14ac:dyDescent="0.25">
      <c r="A36" s="15"/>
      <c r="B36" s="15"/>
      <c r="E36" s="15"/>
      <c r="F36" s="15"/>
      <c r="G36" s="15"/>
      <c r="I36" s="15"/>
      <c r="K36" s="15"/>
      <c r="L36" s="15"/>
      <c r="M36" s="15"/>
      <c r="N36" s="15"/>
      <c r="P36" s="15"/>
      <c r="R36" s="15"/>
      <c r="S36" s="15"/>
      <c r="T36" s="15"/>
      <c r="U36" s="15"/>
      <c r="W36" s="15"/>
      <c r="Y36" s="15"/>
      <c r="Z36" s="15"/>
    </row>
    <row r="37" spans="1:26" x14ac:dyDescent="0.25">
      <c r="A37" s="15"/>
      <c r="B37" s="15"/>
      <c r="E37" s="15"/>
      <c r="F37" s="15"/>
      <c r="G37" s="15"/>
      <c r="I37" s="15"/>
      <c r="K37" s="15"/>
      <c r="L37" s="15"/>
      <c r="M37" s="15"/>
      <c r="N37" s="15"/>
      <c r="P37" s="15"/>
      <c r="R37" s="15"/>
      <c r="S37" s="15"/>
      <c r="T37" s="15"/>
      <c r="U37" s="15"/>
      <c r="W37" s="15"/>
      <c r="Y37" s="15"/>
      <c r="Z37" s="15"/>
    </row>
    <row r="38" spans="1:26" x14ac:dyDescent="0.25">
      <c r="A38" s="15"/>
      <c r="B38" s="15"/>
      <c r="E38" s="15"/>
      <c r="F38" s="15"/>
      <c r="G38" s="15"/>
      <c r="I38" s="15"/>
      <c r="K38" s="15"/>
      <c r="L38" s="15"/>
      <c r="M38" s="15"/>
      <c r="N38" s="15"/>
      <c r="P38" s="15"/>
      <c r="R38" s="15"/>
      <c r="S38" s="15"/>
      <c r="T38" s="15"/>
      <c r="U38" s="15"/>
      <c r="W38" s="15"/>
      <c r="Y38" s="15"/>
      <c r="Z38" s="15"/>
    </row>
    <row r="39" spans="1:26" x14ac:dyDescent="0.25">
      <c r="A39" s="15"/>
      <c r="B39" s="15"/>
      <c r="E39" s="15"/>
      <c r="F39" s="15"/>
      <c r="G39" s="15"/>
      <c r="I39" s="15"/>
      <c r="K39" s="15"/>
      <c r="L39" s="15"/>
      <c r="M39" s="15"/>
      <c r="N39" s="15"/>
      <c r="P39" s="15"/>
      <c r="R39" s="15"/>
      <c r="S39" s="15"/>
      <c r="T39" s="15"/>
      <c r="U39" s="15"/>
      <c r="W39" s="15"/>
      <c r="Y39" s="15"/>
      <c r="Z39" s="15"/>
    </row>
    <row r="40" spans="1:26" x14ac:dyDescent="0.25">
      <c r="A40" s="15"/>
      <c r="B40" s="15"/>
      <c r="E40" s="15"/>
      <c r="F40" s="15"/>
      <c r="G40" s="15"/>
      <c r="I40" s="15"/>
      <c r="K40" s="15"/>
      <c r="L40" s="15"/>
      <c r="M40" s="15"/>
      <c r="N40" s="15"/>
      <c r="P40" s="15"/>
      <c r="R40" s="15"/>
      <c r="S40" s="15"/>
      <c r="T40" s="15"/>
      <c r="U40" s="15"/>
      <c r="W40" s="15"/>
      <c r="Y40" s="15"/>
      <c r="Z40" s="15"/>
    </row>
    <row r="41" spans="1:26" x14ac:dyDescent="0.25">
      <c r="A41" s="15"/>
      <c r="B41" s="15"/>
      <c r="E41" s="15"/>
      <c r="F41" s="15"/>
      <c r="G41" s="15"/>
      <c r="I41" s="15"/>
      <c r="K41" s="15"/>
      <c r="L41" s="15"/>
      <c r="M41" s="15"/>
      <c r="N41" s="15"/>
      <c r="P41" s="15"/>
      <c r="R41" s="15"/>
      <c r="S41" s="15"/>
      <c r="T41" s="15"/>
      <c r="U41" s="15"/>
      <c r="W41" s="15"/>
      <c r="Y41" s="15"/>
      <c r="Z41" s="15"/>
    </row>
    <row r="42" spans="1:26" x14ac:dyDescent="0.25">
      <c r="A42" s="15"/>
      <c r="B42" s="15"/>
      <c r="E42" s="15"/>
      <c r="F42" s="15"/>
      <c r="G42" s="15"/>
      <c r="I42" s="15"/>
      <c r="K42" s="15"/>
      <c r="L42" s="15"/>
      <c r="M42" s="15"/>
      <c r="N42" s="15"/>
      <c r="P42" s="15"/>
      <c r="R42" s="15"/>
      <c r="S42" s="15"/>
      <c r="T42" s="15"/>
      <c r="U42" s="15"/>
      <c r="W42" s="15"/>
      <c r="Y42" s="15"/>
      <c r="Z42" s="15"/>
    </row>
    <row r="43" spans="1:26" x14ac:dyDescent="0.25">
      <c r="A43" s="15"/>
      <c r="B43" s="15"/>
      <c r="E43" s="15"/>
      <c r="F43" s="15"/>
      <c r="G43" s="15"/>
      <c r="I43" s="15"/>
      <c r="K43" s="15"/>
      <c r="L43" s="15"/>
      <c r="M43" s="15"/>
      <c r="N43" s="15"/>
      <c r="P43" s="15"/>
      <c r="R43" s="15"/>
      <c r="S43" s="15"/>
      <c r="T43" s="15"/>
      <c r="U43" s="15"/>
      <c r="W43" s="15"/>
      <c r="Y43" s="15"/>
      <c r="Z43" s="15"/>
    </row>
    <row r="44" spans="1:26" x14ac:dyDescent="0.25">
      <c r="A44" s="15"/>
      <c r="B44" s="15"/>
      <c r="E44" s="15"/>
      <c r="F44" s="15"/>
      <c r="G44" s="15"/>
      <c r="I44" s="15"/>
      <c r="K44" s="15"/>
      <c r="L44" s="15"/>
      <c r="M44" s="15"/>
      <c r="N44" s="15"/>
      <c r="P44" s="15"/>
      <c r="R44" s="15"/>
      <c r="S44" s="15"/>
      <c r="T44" s="15"/>
      <c r="U44" s="15"/>
      <c r="W44" s="15"/>
      <c r="Y44" s="15"/>
      <c r="Z44" s="15"/>
    </row>
    <row r="45" spans="1:26" x14ac:dyDescent="0.25">
      <c r="A45" s="15"/>
      <c r="B45" s="15"/>
      <c r="E45" s="15"/>
      <c r="F45" s="15"/>
      <c r="G45" s="15"/>
      <c r="I45" s="15"/>
      <c r="K45" s="15"/>
      <c r="L45" s="15"/>
      <c r="M45" s="15"/>
      <c r="N45" s="15"/>
      <c r="P45" s="15"/>
      <c r="R45" s="15"/>
      <c r="S45" s="15"/>
      <c r="T45" s="15"/>
      <c r="U45" s="15"/>
      <c r="W45" s="15"/>
      <c r="Y45" s="15"/>
      <c r="Z45" s="15"/>
    </row>
    <row r="46" spans="1:26" x14ac:dyDescent="0.25">
      <c r="A46" s="15"/>
      <c r="B46" s="15"/>
      <c r="E46" s="15"/>
      <c r="F46" s="15"/>
      <c r="G46" s="15"/>
      <c r="I46" s="15"/>
      <c r="K46" s="15"/>
      <c r="L46" s="15"/>
      <c r="M46" s="15"/>
      <c r="N46" s="15"/>
      <c r="P46" s="15"/>
      <c r="R46" s="15"/>
      <c r="S46" s="15"/>
      <c r="T46" s="15"/>
      <c r="U46" s="15"/>
      <c r="W46" s="15"/>
      <c r="Y46" s="15"/>
      <c r="Z46" s="15"/>
    </row>
    <row r="47" spans="1:26" x14ac:dyDescent="0.25">
      <c r="A47" s="15"/>
      <c r="B47" s="15"/>
      <c r="E47" s="15"/>
      <c r="F47" s="15"/>
      <c r="G47" s="15"/>
      <c r="I47" s="15"/>
      <c r="K47" s="15"/>
      <c r="L47" s="15"/>
      <c r="M47" s="15"/>
      <c r="N47" s="15"/>
      <c r="P47" s="15"/>
      <c r="R47" s="15"/>
      <c r="S47" s="15"/>
      <c r="T47" s="15"/>
      <c r="U47" s="15"/>
      <c r="W47" s="15"/>
      <c r="Y47" s="15"/>
      <c r="Z47" s="15"/>
    </row>
    <row r="48" spans="1:26" x14ac:dyDescent="0.25">
      <c r="A48" s="15"/>
      <c r="B48" s="15"/>
      <c r="E48" s="15"/>
      <c r="F48" s="15"/>
      <c r="G48" s="15"/>
      <c r="I48" s="15"/>
      <c r="K48" s="15"/>
      <c r="L48" s="15"/>
      <c r="M48" s="15"/>
      <c r="N48" s="15"/>
      <c r="P48" s="15"/>
      <c r="R48" s="15"/>
      <c r="S48" s="15"/>
      <c r="T48" s="15"/>
      <c r="U48" s="15"/>
      <c r="W48" s="15"/>
      <c r="Y48" s="15"/>
      <c r="Z48" s="15"/>
    </row>
    <row r="49" spans="1:26" x14ac:dyDescent="0.25">
      <c r="A49" s="15"/>
      <c r="B49" s="15"/>
      <c r="E49" s="15"/>
      <c r="F49" s="15"/>
      <c r="G49" s="15"/>
      <c r="I49" s="15"/>
      <c r="K49" s="15"/>
      <c r="L49" s="15"/>
      <c r="M49" s="15"/>
      <c r="N49" s="15"/>
      <c r="P49" s="15"/>
      <c r="R49" s="15"/>
      <c r="S49" s="15"/>
      <c r="T49" s="15"/>
      <c r="U49" s="15"/>
      <c r="W49" s="15"/>
      <c r="Y49" s="15"/>
      <c r="Z49" s="15"/>
    </row>
    <row r="50" spans="1:26" x14ac:dyDescent="0.25">
      <c r="A50" s="15"/>
      <c r="B50" s="15"/>
      <c r="E50" s="15"/>
      <c r="F50" s="15"/>
      <c r="G50" s="15"/>
      <c r="I50" s="15"/>
      <c r="K50" s="15"/>
      <c r="L50" s="15"/>
      <c r="M50" s="15"/>
      <c r="N50" s="15"/>
      <c r="P50" s="15"/>
      <c r="R50" s="15"/>
      <c r="S50" s="15"/>
      <c r="T50" s="15"/>
      <c r="U50" s="15"/>
      <c r="W50" s="15"/>
      <c r="Y50" s="15"/>
      <c r="Z50" s="15"/>
    </row>
    <row r="51" spans="1:26" x14ac:dyDescent="0.25">
      <c r="A51" s="15"/>
      <c r="B51" s="15"/>
      <c r="E51" s="15"/>
      <c r="F51" s="15"/>
      <c r="G51" s="15"/>
      <c r="I51" s="15"/>
      <c r="K51" s="15"/>
      <c r="L51" s="15"/>
      <c r="M51" s="15"/>
      <c r="N51" s="15"/>
      <c r="P51" s="15"/>
      <c r="R51" s="15"/>
      <c r="S51" s="15"/>
      <c r="T51" s="15"/>
      <c r="U51" s="15"/>
      <c r="W51" s="15"/>
      <c r="Y51" s="15"/>
      <c r="Z51" s="15"/>
    </row>
    <row r="52" spans="1:26" x14ac:dyDescent="0.25">
      <c r="A52" s="15"/>
      <c r="B52" s="15"/>
      <c r="E52" s="15"/>
      <c r="F52" s="15"/>
      <c r="G52" s="15"/>
      <c r="I52" s="15"/>
      <c r="K52" s="15"/>
      <c r="L52" s="15"/>
      <c r="M52" s="15"/>
      <c r="N52" s="15"/>
      <c r="P52" s="15"/>
      <c r="R52" s="15"/>
      <c r="S52" s="15"/>
      <c r="T52" s="15"/>
      <c r="U52" s="15"/>
      <c r="W52" s="15"/>
      <c r="Y52" s="15"/>
      <c r="Z52" s="15"/>
    </row>
    <row r="53" spans="1:26" x14ac:dyDescent="0.25">
      <c r="A53" s="15"/>
      <c r="B53" s="15"/>
      <c r="E53" s="15"/>
      <c r="F53" s="15"/>
      <c r="G53" s="15"/>
      <c r="I53" s="15"/>
      <c r="K53" s="15"/>
      <c r="L53" s="15"/>
      <c r="M53" s="15"/>
      <c r="N53" s="15"/>
      <c r="P53" s="15"/>
      <c r="R53" s="15"/>
      <c r="S53" s="15"/>
      <c r="T53" s="15"/>
      <c r="U53" s="15"/>
      <c r="W53" s="15"/>
      <c r="Y53" s="15"/>
      <c r="Z53" s="15"/>
    </row>
    <row r="54" spans="1:26" x14ac:dyDescent="0.25">
      <c r="A54" s="15"/>
      <c r="B54" s="15"/>
      <c r="E54" s="15"/>
      <c r="F54" s="15"/>
      <c r="G54" s="15"/>
      <c r="I54" s="15"/>
      <c r="K54" s="15"/>
      <c r="L54" s="15"/>
      <c r="M54" s="15"/>
      <c r="N54" s="15"/>
      <c r="P54" s="15"/>
      <c r="R54" s="15"/>
      <c r="S54" s="15"/>
      <c r="T54" s="15"/>
      <c r="U54" s="15"/>
      <c r="W54" s="15"/>
      <c r="Y54" s="15"/>
      <c r="Z54" s="15"/>
    </row>
    <row r="55" spans="1:26" x14ac:dyDescent="0.25">
      <c r="A55" s="15"/>
      <c r="B55" s="15"/>
      <c r="E55" s="15"/>
      <c r="F55" s="15"/>
      <c r="G55" s="15"/>
      <c r="I55" s="15"/>
      <c r="K55" s="15"/>
      <c r="L55" s="15"/>
      <c r="M55" s="15"/>
      <c r="N55" s="15"/>
      <c r="P55" s="15"/>
      <c r="R55" s="15"/>
      <c r="S55" s="15"/>
      <c r="T55" s="15"/>
      <c r="U55" s="15"/>
      <c r="W55" s="15"/>
      <c r="Y55" s="15"/>
      <c r="Z55" s="15"/>
    </row>
    <row r="56" spans="1:26" x14ac:dyDescent="0.25">
      <c r="A56" s="15"/>
      <c r="B56" s="15"/>
      <c r="E56" s="15"/>
      <c r="F56" s="15"/>
      <c r="G56" s="15"/>
      <c r="I56" s="15"/>
      <c r="K56" s="15"/>
      <c r="L56" s="15"/>
      <c r="M56" s="15"/>
      <c r="N56" s="15"/>
      <c r="P56" s="15"/>
      <c r="R56" s="15"/>
      <c r="S56" s="15"/>
      <c r="T56" s="15"/>
      <c r="U56" s="15"/>
      <c r="W56" s="15"/>
      <c r="Y56" s="15"/>
      <c r="Z56" s="15"/>
    </row>
    <row r="57" spans="1:26" x14ac:dyDescent="0.25">
      <c r="A57" s="15"/>
      <c r="B57" s="15"/>
      <c r="E57" s="15"/>
      <c r="F57" s="15"/>
      <c r="G57" s="15"/>
      <c r="I57" s="15"/>
      <c r="K57" s="15"/>
      <c r="L57" s="15"/>
      <c r="M57" s="15"/>
      <c r="N57" s="15"/>
      <c r="P57" s="15"/>
      <c r="R57" s="15"/>
      <c r="S57" s="15"/>
      <c r="T57" s="15"/>
      <c r="U57" s="15"/>
      <c r="W57" s="15"/>
      <c r="Y57" s="15"/>
      <c r="Z57" s="15"/>
    </row>
    <row r="58" spans="1:26" x14ac:dyDescent="0.25">
      <c r="A58" s="15"/>
      <c r="B58" s="15"/>
      <c r="E58" s="15"/>
      <c r="F58" s="15"/>
      <c r="G58" s="15"/>
      <c r="I58" s="15"/>
      <c r="K58" s="15"/>
      <c r="L58" s="15"/>
      <c r="M58" s="15"/>
      <c r="N58" s="15"/>
      <c r="P58" s="15"/>
      <c r="R58" s="15"/>
      <c r="S58" s="15"/>
      <c r="T58" s="15"/>
      <c r="U58" s="15"/>
      <c r="W58" s="15"/>
      <c r="Y58" s="15"/>
      <c r="Z58" s="15"/>
    </row>
    <row r="59" spans="1:26" x14ac:dyDescent="0.25">
      <c r="A59" s="15"/>
      <c r="B59" s="15"/>
      <c r="E59" s="15"/>
      <c r="F59" s="15"/>
      <c r="G59" s="15"/>
      <c r="I59" s="15"/>
      <c r="K59" s="15"/>
      <c r="L59" s="15"/>
      <c r="M59" s="15"/>
      <c r="N59" s="15"/>
      <c r="P59" s="15"/>
      <c r="R59" s="15"/>
      <c r="S59" s="15"/>
      <c r="T59" s="15"/>
      <c r="U59" s="15"/>
      <c r="W59" s="15"/>
      <c r="Y59" s="15"/>
      <c r="Z59" s="15"/>
    </row>
    <row r="60" spans="1:26" x14ac:dyDescent="0.25">
      <c r="A60" s="15"/>
      <c r="B60" s="15"/>
      <c r="E60" s="15"/>
      <c r="F60" s="15"/>
      <c r="G60" s="15"/>
      <c r="I60" s="15"/>
      <c r="K60" s="15"/>
      <c r="L60" s="15"/>
      <c r="M60" s="15"/>
      <c r="N60" s="15"/>
      <c r="P60" s="15"/>
      <c r="R60" s="15"/>
      <c r="S60" s="15"/>
      <c r="T60" s="15"/>
      <c r="U60" s="15"/>
      <c r="W60" s="15"/>
      <c r="Y60" s="15"/>
      <c r="Z60" s="15"/>
    </row>
    <row r="61" spans="1:26" x14ac:dyDescent="0.25">
      <c r="A61" s="15"/>
      <c r="B61" s="15"/>
      <c r="E61" s="15"/>
      <c r="F61" s="15"/>
      <c r="G61" s="15"/>
      <c r="I61" s="15"/>
      <c r="K61" s="15"/>
      <c r="L61" s="15"/>
      <c r="M61" s="15"/>
      <c r="N61" s="15"/>
      <c r="P61" s="15"/>
      <c r="R61" s="15"/>
      <c r="S61" s="15"/>
      <c r="T61" s="15"/>
      <c r="U61" s="15"/>
      <c r="W61" s="15"/>
      <c r="Y61" s="15"/>
      <c r="Z61" s="15"/>
    </row>
    <row r="62" spans="1:26" x14ac:dyDescent="0.25">
      <c r="A62" s="15"/>
      <c r="B62" s="15"/>
      <c r="E62" s="15"/>
      <c r="F62" s="15"/>
      <c r="G62" s="15"/>
      <c r="I62" s="15"/>
      <c r="K62" s="15"/>
      <c r="L62" s="15"/>
      <c r="M62" s="15"/>
      <c r="N62" s="15"/>
      <c r="P62" s="15"/>
      <c r="R62" s="15"/>
      <c r="S62" s="15"/>
      <c r="T62" s="15"/>
      <c r="U62" s="15"/>
      <c r="W62" s="15"/>
      <c r="Y62" s="15"/>
      <c r="Z62" s="15"/>
    </row>
    <row r="63" spans="1:26" x14ac:dyDescent="0.25">
      <c r="A63" s="15"/>
      <c r="B63" s="15"/>
      <c r="E63" s="15"/>
      <c r="F63" s="15"/>
      <c r="G63" s="15"/>
      <c r="I63" s="15"/>
      <c r="K63" s="15"/>
      <c r="L63" s="15"/>
      <c r="M63" s="15"/>
      <c r="N63" s="15"/>
      <c r="P63" s="15"/>
      <c r="R63" s="15"/>
      <c r="S63" s="15"/>
      <c r="T63" s="15"/>
      <c r="U63" s="15"/>
      <c r="W63" s="15"/>
      <c r="Y63" s="15"/>
      <c r="Z63" s="15"/>
    </row>
    <row r="64" spans="1:26" x14ac:dyDescent="0.25">
      <c r="A64" s="15"/>
      <c r="B64" s="15"/>
      <c r="E64" s="15"/>
      <c r="F64" s="15"/>
      <c r="G64" s="15"/>
      <c r="I64" s="15"/>
      <c r="K64" s="15"/>
      <c r="L64" s="15"/>
      <c r="M64" s="15"/>
      <c r="N64" s="15"/>
      <c r="P64" s="15"/>
      <c r="R64" s="15"/>
      <c r="S64" s="15"/>
      <c r="T64" s="15"/>
      <c r="U64" s="15"/>
      <c r="W64" s="15"/>
      <c r="Y64" s="15"/>
      <c r="Z64" s="15"/>
    </row>
    <row r="65" spans="1:26" x14ac:dyDescent="0.25">
      <c r="A65" s="15"/>
      <c r="B65" s="15"/>
      <c r="E65" s="15"/>
      <c r="F65" s="15"/>
      <c r="G65" s="15"/>
      <c r="I65" s="15"/>
      <c r="K65" s="15"/>
      <c r="L65" s="15"/>
      <c r="M65" s="15"/>
      <c r="N65" s="15"/>
      <c r="P65" s="15"/>
      <c r="R65" s="15"/>
      <c r="S65" s="15"/>
      <c r="T65" s="15"/>
      <c r="U65" s="15"/>
      <c r="W65" s="15"/>
      <c r="Y65" s="15"/>
      <c r="Z65" s="15"/>
    </row>
    <row r="66" spans="1:26" x14ac:dyDescent="0.25">
      <c r="A66" s="15"/>
      <c r="B66" s="15"/>
      <c r="E66" s="15"/>
      <c r="F66" s="15"/>
      <c r="G66" s="15"/>
      <c r="I66" s="15"/>
      <c r="K66" s="15"/>
      <c r="L66" s="15"/>
      <c r="M66" s="15"/>
      <c r="N66" s="15"/>
      <c r="P66" s="15"/>
      <c r="R66" s="15"/>
      <c r="S66" s="15"/>
      <c r="T66" s="15"/>
      <c r="U66" s="15"/>
      <c r="W66" s="15"/>
      <c r="Y66" s="15"/>
      <c r="Z66" s="15"/>
    </row>
    <row r="67" spans="1:26" x14ac:dyDescent="0.25">
      <c r="A67" s="15"/>
      <c r="B67" s="15"/>
      <c r="E67" s="15"/>
      <c r="F67" s="15"/>
      <c r="G67" s="15"/>
      <c r="I67" s="15"/>
      <c r="K67" s="15"/>
      <c r="L67" s="15"/>
      <c r="M67" s="15"/>
      <c r="N67" s="15"/>
      <c r="P67" s="15"/>
      <c r="R67" s="15"/>
      <c r="S67" s="15"/>
      <c r="T67" s="15"/>
      <c r="U67" s="15"/>
      <c r="W67" s="15"/>
      <c r="Y67" s="15"/>
      <c r="Z67" s="15"/>
    </row>
    <row r="68" spans="1:26" x14ac:dyDescent="0.25">
      <c r="A68" s="15"/>
      <c r="B68" s="15"/>
      <c r="E68" s="15"/>
      <c r="F68" s="15"/>
      <c r="G68" s="15"/>
      <c r="I68" s="15"/>
      <c r="K68" s="15"/>
      <c r="L68" s="15"/>
      <c r="M68" s="15"/>
      <c r="N68" s="15"/>
      <c r="P68" s="15"/>
      <c r="R68" s="15"/>
      <c r="S68" s="15"/>
      <c r="T68" s="15"/>
      <c r="U68" s="15"/>
      <c r="W68" s="15"/>
      <c r="Y68" s="15"/>
      <c r="Z68" s="15"/>
    </row>
    <row r="69" spans="1:26" x14ac:dyDescent="0.25">
      <c r="A69" s="15"/>
      <c r="B69" s="15"/>
      <c r="E69" s="15"/>
      <c r="F69" s="15"/>
      <c r="G69" s="15"/>
      <c r="I69" s="15"/>
      <c r="K69" s="15"/>
      <c r="L69" s="15"/>
      <c r="M69" s="15"/>
      <c r="N69" s="15"/>
      <c r="P69" s="15"/>
      <c r="R69" s="15"/>
      <c r="S69" s="15"/>
      <c r="T69" s="15"/>
      <c r="U69" s="15"/>
      <c r="W69" s="15"/>
      <c r="Y69" s="15"/>
      <c r="Z69" s="15"/>
    </row>
    <row r="70" spans="1:26" x14ac:dyDescent="0.25">
      <c r="A70" s="15"/>
      <c r="B70" s="15"/>
      <c r="E70" s="15"/>
      <c r="F70" s="15"/>
      <c r="G70" s="15"/>
      <c r="I70" s="15"/>
      <c r="K70" s="15"/>
      <c r="L70" s="15"/>
      <c r="M70" s="15"/>
      <c r="N70" s="15"/>
      <c r="P70" s="15"/>
      <c r="R70" s="15"/>
      <c r="S70" s="15"/>
      <c r="T70" s="15"/>
      <c r="U70" s="15"/>
      <c r="W70" s="15"/>
      <c r="Y70" s="15"/>
      <c r="Z70" s="15"/>
    </row>
    <row r="71" spans="1:26" x14ac:dyDescent="0.25">
      <c r="A71" s="15"/>
      <c r="B71" s="15"/>
      <c r="E71" s="15"/>
      <c r="F71" s="15"/>
      <c r="G71" s="15"/>
      <c r="I71" s="15"/>
      <c r="K71" s="15"/>
      <c r="L71" s="15"/>
      <c r="M71" s="15"/>
      <c r="N71" s="15"/>
      <c r="P71" s="15"/>
      <c r="R71" s="15"/>
      <c r="S71" s="15"/>
      <c r="T71" s="15"/>
      <c r="U71" s="15"/>
      <c r="W71" s="15"/>
      <c r="Y71" s="15"/>
      <c r="Z71" s="15"/>
    </row>
    <row r="72" spans="1:26" x14ac:dyDescent="0.25">
      <c r="A72" s="15"/>
      <c r="B72" s="15"/>
      <c r="E72" s="15"/>
      <c r="F72" s="15"/>
      <c r="G72" s="15"/>
      <c r="I72" s="15"/>
      <c r="K72" s="15"/>
      <c r="L72" s="15"/>
      <c r="M72" s="15"/>
      <c r="N72" s="15"/>
      <c r="P72" s="15"/>
      <c r="R72" s="15"/>
      <c r="S72" s="15"/>
      <c r="T72" s="15"/>
      <c r="U72" s="15"/>
      <c r="W72" s="15"/>
      <c r="Y72" s="15"/>
      <c r="Z72" s="15"/>
    </row>
    <row r="73" spans="1:26" x14ac:dyDescent="0.25">
      <c r="A73" s="15"/>
      <c r="B73" s="15"/>
      <c r="E73" s="15"/>
      <c r="F73" s="15"/>
      <c r="G73" s="15"/>
      <c r="I73" s="15"/>
      <c r="K73" s="15"/>
      <c r="L73" s="15"/>
      <c r="M73" s="15"/>
      <c r="N73" s="15"/>
      <c r="P73" s="15"/>
      <c r="R73" s="15"/>
      <c r="S73" s="15"/>
      <c r="T73" s="15"/>
      <c r="U73" s="15"/>
      <c r="W73" s="15"/>
      <c r="Y73" s="15"/>
      <c r="Z73" s="15"/>
    </row>
    <row r="74" spans="1:26" x14ac:dyDescent="0.25">
      <c r="A74" s="15"/>
      <c r="B74" s="15"/>
      <c r="E74" s="15"/>
      <c r="F74" s="15"/>
      <c r="G74" s="15"/>
      <c r="I74" s="15"/>
      <c r="K74" s="15"/>
      <c r="L74" s="15"/>
      <c r="M74" s="15"/>
      <c r="N74" s="15"/>
      <c r="P74" s="15"/>
      <c r="R74" s="15"/>
      <c r="S74" s="15"/>
      <c r="T74" s="15"/>
      <c r="U74" s="15"/>
      <c r="W74" s="15"/>
      <c r="Y74" s="15"/>
      <c r="Z74" s="15"/>
    </row>
    <row r="75" spans="1:26" x14ac:dyDescent="0.25">
      <c r="A75" s="15"/>
      <c r="B75" s="15"/>
      <c r="E75" s="15"/>
      <c r="F75" s="15"/>
      <c r="G75" s="15"/>
      <c r="I75" s="15"/>
      <c r="K75" s="15"/>
      <c r="L75" s="15"/>
      <c r="M75" s="15"/>
      <c r="N75" s="15"/>
      <c r="P75" s="15"/>
      <c r="R75" s="15"/>
      <c r="S75" s="15"/>
      <c r="T75" s="15"/>
      <c r="U75" s="15"/>
      <c r="W75" s="15"/>
      <c r="Y75" s="15"/>
      <c r="Z75" s="15"/>
    </row>
    <row r="76" spans="1:26" x14ac:dyDescent="0.25">
      <c r="A76" s="15"/>
      <c r="B76" s="15"/>
      <c r="E76" s="15"/>
      <c r="F76" s="15"/>
      <c r="G76" s="15"/>
      <c r="I76" s="15"/>
      <c r="K76" s="15"/>
      <c r="L76" s="15"/>
      <c r="M76" s="15"/>
      <c r="N76" s="15"/>
      <c r="P76" s="15"/>
      <c r="R76" s="15"/>
      <c r="S76" s="15"/>
      <c r="T76" s="15"/>
      <c r="U76" s="15"/>
      <c r="W76" s="15"/>
      <c r="Y76" s="15"/>
      <c r="Z76" s="15"/>
    </row>
    <row r="77" spans="1:26" x14ac:dyDescent="0.25">
      <c r="A77" s="15"/>
      <c r="B77" s="15"/>
      <c r="E77" s="15"/>
      <c r="F77" s="15"/>
      <c r="G77" s="15"/>
      <c r="I77" s="15"/>
      <c r="K77" s="15"/>
      <c r="L77" s="15"/>
      <c r="M77" s="15"/>
      <c r="N77" s="15"/>
      <c r="P77" s="15"/>
      <c r="R77" s="15"/>
      <c r="S77" s="15"/>
      <c r="T77" s="15"/>
      <c r="U77" s="15"/>
      <c r="W77" s="15"/>
      <c r="Y77" s="15"/>
      <c r="Z77" s="15"/>
    </row>
    <row r="78" spans="1:26" x14ac:dyDescent="0.25">
      <c r="A78" s="15"/>
      <c r="B78" s="15"/>
      <c r="E78" s="15"/>
      <c r="F78" s="15"/>
      <c r="G78" s="15"/>
      <c r="I78" s="15"/>
      <c r="K78" s="15"/>
      <c r="L78" s="15"/>
      <c r="M78" s="15"/>
      <c r="N78" s="15"/>
      <c r="P78" s="15"/>
      <c r="R78" s="15"/>
      <c r="S78" s="15"/>
      <c r="T78" s="15"/>
      <c r="U78" s="15"/>
      <c r="W78" s="15"/>
      <c r="Y78" s="15"/>
      <c r="Z78" s="15"/>
    </row>
    <row r="79" spans="1:26" x14ac:dyDescent="0.25">
      <c r="A79" s="15"/>
      <c r="B79" s="15"/>
      <c r="E79" s="15"/>
      <c r="F79" s="15"/>
      <c r="G79" s="15"/>
      <c r="I79" s="15"/>
      <c r="K79" s="15"/>
      <c r="L79" s="15"/>
      <c r="M79" s="15"/>
      <c r="N79" s="15"/>
      <c r="P79" s="15"/>
      <c r="R79" s="15"/>
      <c r="S79" s="15"/>
      <c r="T79" s="15"/>
      <c r="U79" s="15"/>
      <c r="W79" s="15"/>
      <c r="Y79" s="15"/>
      <c r="Z79" s="15"/>
    </row>
    <row r="80" spans="1:26" x14ac:dyDescent="0.25">
      <c r="A80" s="15"/>
      <c r="B80" s="15"/>
      <c r="E80" s="15"/>
      <c r="F80" s="15"/>
      <c r="G80" s="15"/>
      <c r="I80" s="15"/>
      <c r="K80" s="15"/>
      <c r="L80" s="15"/>
      <c r="M80" s="15"/>
      <c r="N80" s="15"/>
      <c r="P80" s="15"/>
      <c r="R80" s="15"/>
      <c r="S80" s="15"/>
      <c r="T80" s="15"/>
      <c r="U80" s="15"/>
      <c r="W80" s="15"/>
      <c r="Y80" s="15"/>
      <c r="Z80" s="15"/>
    </row>
    <row r="81" spans="1:26" x14ac:dyDescent="0.25">
      <c r="A81" s="15"/>
      <c r="B81" s="15"/>
      <c r="E81" s="15"/>
      <c r="F81" s="15"/>
      <c r="G81" s="15"/>
      <c r="I81" s="15"/>
      <c r="K81" s="15"/>
      <c r="L81" s="15"/>
      <c r="M81" s="15"/>
      <c r="N81" s="15"/>
      <c r="P81" s="15"/>
      <c r="R81" s="15"/>
      <c r="S81" s="15"/>
      <c r="T81" s="15"/>
      <c r="U81" s="15"/>
      <c r="W81" s="15"/>
      <c r="Y81" s="15"/>
      <c r="Z81" s="15"/>
    </row>
    <row r="82" spans="1:26" x14ac:dyDescent="0.25">
      <c r="A82" s="15"/>
      <c r="B82" s="15"/>
      <c r="E82" s="15"/>
      <c r="F82" s="15"/>
      <c r="G82" s="15"/>
      <c r="I82" s="15"/>
      <c r="K82" s="15"/>
      <c r="L82" s="15"/>
      <c r="M82" s="15"/>
      <c r="N82" s="15"/>
      <c r="P82" s="15"/>
      <c r="R82" s="15"/>
      <c r="S82" s="15"/>
      <c r="T82" s="15"/>
      <c r="U82" s="15"/>
      <c r="W82" s="15"/>
      <c r="Y82" s="15"/>
      <c r="Z82" s="15"/>
    </row>
    <row r="83" spans="1:26" x14ac:dyDescent="0.25">
      <c r="A83" s="15"/>
      <c r="B83" s="15"/>
      <c r="E83" s="15"/>
      <c r="F83" s="15"/>
      <c r="G83" s="15"/>
      <c r="I83" s="15"/>
      <c r="K83" s="15"/>
      <c r="L83" s="15"/>
      <c r="M83" s="15"/>
      <c r="N83" s="15"/>
      <c r="P83" s="15"/>
      <c r="R83" s="15"/>
      <c r="S83" s="15"/>
      <c r="T83" s="15"/>
      <c r="U83" s="15"/>
      <c r="W83" s="15"/>
      <c r="Y83" s="15"/>
      <c r="Z83" s="15"/>
    </row>
    <row r="84" spans="1:26" x14ac:dyDescent="0.25">
      <c r="A84" s="15"/>
      <c r="B84" s="15"/>
      <c r="E84" s="15"/>
      <c r="F84" s="15"/>
      <c r="G84" s="15"/>
      <c r="I84" s="15"/>
      <c r="K84" s="15"/>
      <c r="L84" s="15"/>
      <c r="M84" s="15"/>
      <c r="N84" s="15"/>
      <c r="P84" s="15"/>
      <c r="R84" s="15"/>
      <c r="S84" s="15"/>
      <c r="T84" s="15"/>
      <c r="U84" s="15"/>
      <c r="W84" s="15"/>
      <c r="Y84" s="15"/>
      <c r="Z84" s="15"/>
    </row>
    <row r="85" spans="1:26" x14ac:dyDescent="0.25">
      <c r="A85" s="15"/>
      <c r="B85" s="15"/>
      <c r="E85" s="15"/>
      <c r="F85" s="15"/>
      <c r="G85" s="15"/>
      <c r="I85" s="15"/>
      <c r="K85" s="15"/>
      <c r="L85" s="15"/>
      <c r="M85" s="15"/>
      <c r="N85" s="15"/>
      <c r="P85" s="15"/>
      <c r="R85" s="15"/>
      <c r="S85" s="15"/>
      <c r="T85" s="15"/>
      <c r="U85" s="15"/>
      <c r="W85" s="15"/>
      <c r="Y85" s="15"/>
      <c r="Z85" s="15"/>
    </row>
    <row r="86" spans="1:26" x14ac:dyDescent="0.25">
      <c r="A86" s="15"/>
      <c r="B86" s="15"/>
      <c r="E86" s="15"/>
      <c r="F86" s="15"/>
      <c r="G86" s="15"/>
      <c r="I86" s="15"/>
      <c r="K86" s="15"/>
      <c r="L86" s="15"/>
      <c r="M86" s="15"/>
      <c r="N86" s="15"/>
      <c r="P86" s="15"/>
      <c r="R86" s="15"/>
      <c r="S86" s="15"/>
      <c r="T86" s="15"/>
      <c r="U86" s="15"/>
      <c r="W86" s="15"/>
      <c r="Y86" s="15"/>
      <c r="Z86" s="15"/>
    </row>
    <row r="87" spans="1:26" x14ac:dyDescent="0.25">
      <c r="A87" s="15"/>
      <c r="B87" s="15"/>
      <c r="E87" s="15"/>
      <c r="F87" s="15"/>
      <c r="G87" s="15"/>
      <c r="I87" s="15"/>
      <c r="K87" s="15"/>
      <c r="L87" s="15"/>
      <c r="M87" s="15"/>
      <c r="N87" s="15"/>
      <c r="P87" s="15"/>
      <c r="R87" s="15"/>
      <c r="S87" s="15"/>
      <c r="T87" s="15"/>
      <c r="U87" s="15"/>
      <c r="W87" s="15"/>
      <c r="Y87" s="15"/>
      <c r="Z87" s="15"/>
    </row>
    <row r="88" spans="1:26" x14ac:dyDescent="0.25">
      <c r="A88" s="15"/>
      <c r="B88" s="15"/>
      <c r="E88" s="15"/>
      <c r="F88" s="15"/>
      <c r="G88" s="15"/>
      <c r="I88" s="15"/>
      <c r="K88" s="15"/>
      <c r="L88" s="15"/>
      <c r="M88" s="15"/>
      <c r="N88" s="15"/>
      <c r="P88" s="15"/>
      <c r="R88" s="15"/>
      <c r="S88" s="15"/>
      <c r="T88" s="15"/>
      <c r="U88" s="15"/>
      <c r="W88" s="15"/>
      <c r="Y88" s="15"/>
      <c r="Z88" s="15"/>
    </row>
    <row r="89" spans="1:26" x14ac:dyDescent="0.25">
      <c r="A89" s="15"/>
      <c r="B89" s="15"/>
      <c r="E89" s="15"/>
      <c r="F89" s="15"/>
      <c r="G89" s="15"/>
      <c r="I89" s="15"/>
      <c r="K89" s="15"/>
      <c r="L89" s="15"/>
      <c r="M89" s="15"/>
      <c r="N89" s="15"/>
      <c r="P89" s="15"/>
      <c r="R89" s="15"/>
      <c r="S89" s="15"/>
      <c r="T89" s="15"/>
      <c r="U89" s="15"/>
      <c r="W89" s="15"/>
      <c r="Y89" s="15"/>
      <c r="Z89" s="15"/>
    </row>
    <row r="90" spans="1:26" x14ac:dyDescent="0.25">
      <c r="A90" s="15"/>
      <c r="B90" s="15"/>
      <c r="E90" s="15"/>
      <c r="F90" s="15"/>
      <c r="G90" s="15"/>
      <c r="I90" s="15"/>
      <c r="K90" s="15"/>
      <c r="L90" s="15"/>
      <c r="M90" s="15"/>
      <c r="N90" s="15"/>
      <c r="P90" s="15"/>
      <c r="R90" s="15"/>
      <c r="S90" s="15"/>
      <c r="T90" s="15"/>
      <c r="U90" s="15"/>
      <c r="W90" s="15"/>
      <c r="Y90" s="15"/>
      <c r="Z90" s="15"/>
    </row>
    <row r="91" spans="1:26" x14ac:dyDescent="0.25">
      <c r="A91" s="15"/>
      <c r="B91" s="15"/>
      <c r="E91" s="15"/>
      <c r="F91" s="15"/>
      <c r="G91" s="15"/>
      <c r="I91" s="15"/>
      <c r="K91" s="15"/>
      <c r="L91" s="15"/>
      <c r="M91" s="15"/>
      <c r="N91" s="15"/>
      <c r="P91" s="15"/>
      <c r="R91" s="15"/>
      <c r="S91" s="15"/>
      <c r="T91" s="15"/>
      <c r="U91" s="15"/>
      <c r="W91" s="15"/>
      <c r="Y91" s="15"/>
      <c r="Z91" s="15"/>
    </row>
    <row r="92" spans="1:26" x14ac:dyDescent="0.25">
      <c r="A92" s="15"/>
      <c r="B92" s="15"/>
      <c r="E92" s="15"/>
      <c r="F92" s="15"/>
      <c r="G92" s="15"/>
      <c r="I92" s="15"/>
      <c r="K92" s="15"/>
      <c r="L92" s="15"/>
      <c r="M92" s="15"/>
      <c r="N92" s="15"/>
      <c r="P92" s="15"/>
      <c r="R92" s="15"/>
      <c r="S92" s="15"/>
      <c r="T92" s="15"/>
      <c r="U92" s="15"/>
      <c r="W92" s="15"/>
      <c r="Y92" s="15"/>
      <c r="Z92" s="15"/>
    </row>
    <row r="93" spans="1:26" x14ac:dyDescent="0.25">
      <c r="A93" s="15"/>
      <c r="B93" s="15"/>
      <c r="E93" s="15"/>
      <c r="F93" s="15"/>
      <c r="G93" s="15"/>
      <c r="I93" s="15"/>
      <c r="K93" s="15"/>
      <c r="L93" s="15"/>
      <c r="M93" s="15"/>
      <c r="N93" s="15"/>
      <c r="P93" s="15"/>
      <c r="R93" s="15"/>
      <c r="S93" s="15"/>
      <c r="T93" s="15"/>
      <c r="U93" s="15"/>
      <c r="W93" s="15"/>
      <c r="Y93" s="15"/>
      <c r="Z93" s="15"/>
    </row>
    <row r="94" spans="1:26" x14ac:dyDescent="0.25">
      <c r="A94" s="15"/>
      <c r="B94" s="15"/>
      <c r="E94" s="15"/>
      <c r="F94" s="15"/>
      <c r="G94" s="15"/>
      <c r="I94" s="15"/>
      <c r="K94" s="15"/>
      <c r="L94" s="15"/>
      <c r="M94" s="15"/>
      <c r="N94" s="15"/>
      <c r="P94" s="15"/>
      <c r="R94" s="15"/>
      <c r="S94" s="15"/>
      <c r="T94" s="15"/>
      <c r="U94" s="15"/>
      <c r="W94" s="15"/>
      <c r="Y94" s="15"/>
      <c r="Z94" s="15"/>
    </row>
  </sheetData>
  <mergeCells count="11">
    <mergeCell ref="T1:Y1"/>
    <mergeCell ref="M1:R1"/>
    <mergeCell ref="F1:K1"/>
    <mergeCell ref="A1:D1"/>
    <mergeCell ref="E1:E13"/>
    <mergeCell ref="L1:L13"/>
    <mergeCell ref="S1:S13"/>
    <mergeCell ref="A2:D2"/>
    <mergeCell ref="F2:K2"/>
    <mergeCell ref="M2:R2"/>
    <mergeCell ref="T2:Y2"/>
  </mergeCells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AI343"/>
  <sheetViews>
    <sheetView showGridLines="0" topLeftCell="A34" zoomScale="60" zoomScaleNormal="60" workbookViewId="0">
      <selection activeCell="C354" sqref="C354"/>
    </sheetView>
  </sheetViews>
  <sheetFormatPr defaultColWidth="9.140625" defaultRowHeight="15" x14ac:dyDescent="0.25"/>
  <cols>
    <col min="1" max="1" width="3.7109375" style="7" customWidth="1"/>
    <col min="2" max="2" width="21.28515625" style="7" customWidth="1"/>
    <col min="3" max="3" width="11.5703125" style="7" customWidth="1"/>
    <col min="4" max="4" width="11.7109375" style="7" customWidth="1"/>
    <col min="5" max="5" width="16.5703125" style="7" customWidth="1"/>
    <col min="6" max="6" width="8.140625" style="7" customWidth="1"/>
    <col min="7" max="7" width="9.140625" style="7"/>
    <col min="8" max="8" width="14.42578125" style="7" customWidth="1"/>
    <col min="9" max="29" width="9.140625" style="7"/>
    <col min="30" max="35" width="0" style="7" hidden="1" customWidth="1"/>
    <col min="36" max="16384" width="9.140625" style="7"/>
  </cols>
  <sheetData>
    <row r="1" spans="1:35" ht="46.5" x14ac:dyDescent="0.7">
      <c r="A1" s="163" t="s">
        <v>174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5"/>
    </row>
    <row r="2" spans="1:35" x14ac:dyDescent="0.2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</row>
    <row r="3" spans="1:35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</row>
    <row r="4" spans="1:35" x14ac:dyDescent="0.25">
      <c r="A4" s="68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</row>
    <row r="5" spans="1:35" x14ac:dyDescent="0.25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</row>
    <row r="6" spans="1:35" x14ac:dyDescent="0.25">
      <c r="A6" s="68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</row>
    <row r="7" spans="1:35" x14ac:dyDescent="0.25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</row>
    <row r="8" spans="1:35" x14ac:dyDescent="0.2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</row>
    <row r="9" spans="1:35" x14ac:dyDescent="0.25">
      <c r="A9" s="68"/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</row>
    <row r="10" spans="1:35" x14ac:dyDescent="0.25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</row>
    <row r="11" spans="1:35" x14ac:dyDescent="0.2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</row>
    <row r="12" spans="1:35" x14ac:dyDescent="0.25">
      <c r="A12" s="68"/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</row>
    <row r="13" spans="1:35" x14ac:dyDescent="0.25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</row>
    <row r="14" spans="1:3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</row>
    <row r="15" spans="1:35" x14ac:dyDescent="0.25">
      <c r="A15" s="68"/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</row>
    <row r="16" spans="1:35" x14ac:dyDescent="0.25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</row>
    <row r="17" spans="1:35" x14ac:dyDescent="0.25">
      <c r="A17" s="68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</row>
    <row r="18" spans="1:35" x14ac:dyDescent="0.25">
      <c r="A18" s="68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</row>
    <row r="19" spans="1:35" x14ac:dyDescent="0.25">
      <c r="A19" s="68"/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</row>
    <row r="20" spans="1:35" ht="8.25" customHeight="1" x14ac:dyDescent="0.25">
      <c r="A20" s="69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</row>
    <row r="21" spans="1:35" x14ac:dyDescent="0.25">
      <c r="A21" s="68"/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</row>
    <row r="22" spans="1:35" x14ac:dyDescent="0.25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</row>
    <row r="23" spans="1:35" x14ac:dyDescent="0.25">
      <c r="A23" s="68"/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</row>
    <row r="24" spans="1:35" x14ac:dyDescent="0.25">
      <c r="A24" s="68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</row>
    <row r="25" spans="1:35" x14ac:dyDescent="0.25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</row>
    <row r="26" spans="1:35" ht="9.75" customHeight="1" x14ac:dyDescent="0.25">
      <c r="A26" s="160"/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2"/>
    </row>
    <row r="27" spans="1:35" x14ac:dyDescent="0.25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</row>
    <row r="28" spans="1:35" x14ac:dyDescent="0.25">
      <c r="A28" s="68"/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</row>
    <row r="29" spans="1:35" x14ac:dyDescent="0.25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</row>
    <row r="30" spans="1:35" x14ac:dyDescent="0.25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</row>
    <row r="31" spans="1:35" x14ac:dyDescent="0.25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</row>
    <row r="32" spans="1:35" x14ac:dyDescent="0.25">
      <c r="A32" s="68"/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</row>
    <row r="33" spans="1:35" x14ac:dyDescent="0.25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</row>
    <row r="34" spans="1:35" x14ac:dyDescent="0.25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</row>
    <row r="35" spans="1:35" x14ac:dyDescent="0.25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</row>
    <row r="36" spans="1:35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</row>
    <row r="37" spans="1:35" x14ac:dyDescent="0.25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</row>
    <row r="38" spans="1:35" x14ac:dyDescent="0.2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</row>
    <row r="39" spans="1:35" ht="8.25" customHeight="1" x14ac:dyDescent="0.25">
      <c r="A39" s="168"/>
      <c r="B39" s="168"/>
      <c r="C39" s="168"/>
      <c r="D39" s="168"/>
      <c r="E39" s="168"/>
      <c r="F39" s="168"/>
      <c r="G39" s="168"/>
      <c r="H39" s="168"/>
      <c r="I39" s="168"/>
      <c r="J39" s="168"/>
      <c r="K39" s="168"/>
      <c r="L39" s="168"/>
      <c r="M39" s="1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</row>
    <row r="40" spans="1:35" x14ac:dyDescent="0.2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</row>
    <row r="41" spans="1:35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</row>
    <row r="42" spans="1:35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</row>
    <row r="43" spans="1:35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</row>
    <row r="44" spans="1:35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</row>
    <row r="45" spans="1:35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</row>
    <row r="46" spans="1:35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</row>
    <row r="47" spans="1:35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</row>
    <row r="48" spans="1:35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</row>
    <row r="49" spans="1:35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</row>
    <row r="50" spans="1:35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</row>
    <row r="51" spans="1:35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</row>
    <row r="52" spans="1:35" ht="9.75" customHeight="1" x14ac:dyDescent="0.25">
      <c r="A52" s="160"/>
      <c r="B52" s="161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  <c r="AA52" s="161"/>
      <c r="AB52" s="161"/>
      <c r="AC52" s="161"/>
      <c r="AD52" s="161"/>
      <c r="AE52" s="161"/>
      <c r="AF52" s="161"/>
      <c r="AG52" s="161"/>
      <c r="AH52" s="161"/>
      <c r="AI52" s="162"/>
    </row>
    <row r="53" spans="1:35" x14ac:dyDescent="0.25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</row>
    <row r="54" spans="1:35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</row>
    <row r="55" spans="1:35" x14ac:dyDescent="0.2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</row>
    <row r="56" spans="1:35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</row>
    <row r="57" spans="1:35" x14ac:dyDescent="0.25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</row>
    <row r="58" spans="1:35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</row>
    <row r="59" spans="1:35" x14ac:dyDescent="0.25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</row>
    <row r="60" spans="1:35" x14ac:dyDescent="0.25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</row>
    <row r="61" spans="1:35" x14ac:dyDescent="0.25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</row>
    <row r="62" spans="1:35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</row>
    <row r="63" spans="1:35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</row>
    <row r="64" spans="1:35" x14ac:dyDescent="0.25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</row>
    <row r="65" spans="1:35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</row>
    <row r="66" spans="1:35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</row>
    <row r="67" spans="1:35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</row>
    <row r="68" spans="1:35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</row>
    <row r="69" spans="1:35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</row>
    <row r="70" spans="1:35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</row>
    <row r="71" spans="1:35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</row>
    <row r="72" spans="1:35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</row>
    <row r="73" spans="1:35" x14ac:dyDescent="0.2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</row>
    <row r="74" spans="1:35" x14ac:dyDescent="0.2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</row>
    <row r="75" spans="1:35" x14ac:dyDescent="0.2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</row>
    <row r="76" spans="1:35" x14ac:dyDescent="0.2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</row>
    <row r="77" spans="1:35" x14ac:dyDescent="0.2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</row>
    <row r="78" spans="1:35" ht="11.25" customHeight="1" x14ac:dyDescent="0.25">
      <c r="A78" s="169"/>
      <c r="B78" s="170"/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1"/>
    </row>
    <row r="79" spans="1:35" x14ac:dyDescent="0.2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</row>
    <row r="80" spans="1:35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</row>
    <row r="81" spans="1:35" x14ac:dyDescent="0.25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</row>
    <row r="82" spans="1:35" x14ac:dyDescent="0.25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</row>
    <row r="83" spans="1:35" x14ac:dyDescent="0.25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</row>
    <row r="84" spans="1:35" ht="31.5" x14ac:dyDescent="0.5">
      <c r="A84" s="68"/>
      <c r="B84" s="176" t="s">
        <v>189</v>
      </c>
      <c r="C84" s="176"/>
      <c r="D84" s="176"/>
      <c r="E84" s="176"/>
      <c r="F84" s="176"/>
      <c r="G84" s="176"/>
      <c r="H84" s="176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</row>
    <row r="85" spans="1:35" ht="28.5" x14ac:dyDescent="0.25">
      <c r="A85" s="68"/>
      <c r="B85" s="93"/>
      <c r="C85" s="172" t="s">
        <v>147</v>
      </c>
      <c r="D85" s="172"/>
      <c r="E85" s="172" t="s">
        <v>148</v>
      </c>
      <c r="F85" s="172"/>
      <c r="G85" s="172" t="s">
        <v>149</v>
      </c>
      <c r="H85" s="172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</row>
    <row r="86" spans="1:35" ht="28.5" x14ac:dyDescent="0.25">
      <c r="A86" s="68"/>
      <c r="B86" s="94" t="s">
        <v>188</v>
      </c>
      <c r="C86" s="173">
        <f>'Alternative 1-Tilt Up (3pt)'!$V$3</f>
        <v>10.121945882682787</v>
      </c>
      <c r="D86" s="174"/>
      <c r="E86" s="175">
        <f>'Alternative 2-Tilt Up (3pt)'!$V$3</f>
        <v>3.5684221951960651</v>
      </c>
      <c r="F86" s="172"/>
      <c r="G86" s="175">
        <f>'Alternative 3-Tilt Up (3pt)'!$V$3</f>
        <v>7.9403441240248389</v>
      </c>
      <c r="H86" s="172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</row>
    <row r="87" spans="1:35" x14ac:dyDescent="0.25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</row>
    <row r="88" spans="1:35" x14ac:dyDescent="0.25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</row>
    <row r="89" spans="1:35" x14ac:dyDescent="0.25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</row>
    <row r="90" spans="1:35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</row>
    <row r="91" spans="1:35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</row>
    <row r="92" spans="1:35" x14ac:dyDescent="0.25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</row>
    <row r="93" spans="1:35" x14ac:dyDescent="0.25">
      <c r="A93" s="169"/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1"/>
    </row>
    <row r="94" spans="1:35" x14ac:dyDescent="0.25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</row>
    <row r="95" spans="1:35" x14ac:dyDescent="0.25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</row>
    <row r="96" spans="1:35" x14ac:dyDescent="0.25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</row>
    <row r="97" spans="1:35" x14ac:dyDescent="0.25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</row>
    <row r="98" spans="1:35" x14ac:dyDescent="0.25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</row>
    <row r="99" spans="1:35" x14ac:dyDescent="0.25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</row>
    <row r="100" spans="1:35" x14ac:dyDescent="0.25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</row>
    <row r="101" spans="1:35" x14ac:dyDescent="0.25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</row>
    <row r="102" spans="1:35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</row>
    <row r="103" spans="1:35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</row>
    <row r="104" spans="1:35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</row>
    <row r="105" spans="1:35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</row>
    <row r="106" spans="1:35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</row>
    <row r="107" spans="1:35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</row>
    <row r="108" spans="1:35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</row>
    <row r="109" spans="1:35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</row>
    <row r="110" spans="1:35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</row>
    <row r="111" spans="1:35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</row>
    <row r="112" spans="1:35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</row>
    <row r="113" spans="1:35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</row>
    <row r="114" spans="1:35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</row>
    <row r="115" spans="1:35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</row>
    <row r="116" spans="1:35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</row>
    <row r="117" spans="1:35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</row>
    <row r="118" spans="1:35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</row>
    <row r="119" spans="1:35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</row>
    <row r="120" spans="1:35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</row>
    <row r="121" spans="1:35" x14ac:dyDescent="0.25">
      <c r="A121" s="169"/>
      <c r="B121" s="170"/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1"/>
    </row>
    <row r="122" spans="1:35" x14ac:dyDescent="0.25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</row>
    <row r="123" spans="1:35" x14ac:dyDescent="0.25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</row>
    <row r="124" spans="1:35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</row>
    <row r="125" spans="1:35" x14ac:dyDescent="0.25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</row>
    <row r="126" spans="1:35" x14ac:dyDescent="0.25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</row>
    <row r="127" spans="1:35" x14ac:dyDescent="0.25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</row>
    <row r="128" spans="1:35" x14ac:dyDescent="0.25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</row>
    <row r="129" spans="1:29" x14ac:dyDescent="0.25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</row>
    <row r="130" spans="1:29" x14ac:dyDescent="0.25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</row>
    <row r="131" spans="1:29" x14ac:dyDescent="0.25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</row>
    <row r="132" spans="1:29" x14ac:dyDescent="0.25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</row>
    <row r="133" spans="1:29" x14ac:dyDescent="0.25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</row>
    <row r="134" spans="1:29" x14ac:dyDescent="0.25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</row>
    <row r="135" spans="1:29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</row>
    <row r="136" spans="1:29" x14ac:dyDescent="0.25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</row>
    <row r="137" spans="1:29" x14ac:dyDescent="0.25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</row>
    <row r="138" spans="1:29" x14ac:dyDescent="0.25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</row>
    <row r="139" spans="1:29" x14ac:dyDescent="0.25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</row>
    <row r="140" spans="1:29" x14ac:dyDescent="0.25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</row>
    <row r="141" spans="1:29" x14ac:dyDescent="0.25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</row>
    <row r="142" spans="1:29" x14ac:dyDescent="0.25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</row>
    <row r="143" spans="1:29" x14ac:dyDescent="0.25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</row>
    <row r="144" spans="1:29" x14ac:dyDescent="0.25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</row>
    <row r="145" spans="1:35" x14ac:dyDescent="0.25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</row>
    <row r="146" spans="1:35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</row>
    <row r="147" spans="1:35" x14ac:dyDescent="0.25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</row>
    <row r="148" spans="1:35" x14ac:dyDescent="0.25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</row>
    <row r="149" spans="1:35" x14ac:dyDescent="0.25">
      <c r="A149" s="169"/>
      <c r="B149" s="170"/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1"/>
    </row>
    <row r="150" spans="1:35" x14ac:dyDescent="0.25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</row>
    <row r="151" spans="1:35" x14ac:dyDescent="0.25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</row>
    <row r="152" spans="1:35" x14ac:dyDescent="0.25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</row>
    <row r="153" spans="1:35" x14ac:dyDescent="0.25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</row>
    <row r="154" spans="1:35" x14ac:dyDescent="0.25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</row>
    <row r="155" spans="1:35" x14ac:dyDescent="0.25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</row>
    <row r="156" spans="1:35" x14ac:dyDescent="0.25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</row>
    <row r="157" spans="1:35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</row>
    <row r="158" spans="1:35" x14ac:dyDescent="0.25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</row>
    <row r="159" spans="1:35" x14ac:dyDescent="0.25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</row>
    <row r="160" spans="1:35" x14ac:dyDescent="0.25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</row>
    <row r="161" spans="1:29" x14ac:dyDescent="0.25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</row>
    <row r="162" spans="1:29" x14ac:dyDescent="0.25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</row>
    <row r="163" spans="1:29" x14ac:dyDescent="0.25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</row>
    <row r="164" spans="1:29" x14ac:dyDescent="0.25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</row>
    <row r="165" spans="1:29" x14ac:dyDescent="0.25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</row>
    <row r="166" spans="1:29" x14ac:dyDescent="0.25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</row>
    <row r="167" spans="1:29" x14ac:dyDescent="0.25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</row>
    <row r="168" spans="1:29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</row>
    <row r="169" spans="1:29" x14ac:dyDescent="0.25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</row>
    <row r="170" spans="1:29" x14ac:dyDescent="0.25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</row>
    <row r="171" spans="1:29" x14ac:dyDescent="0.25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</row>
    <row r="172" spans="1:29" x14ac:dyDescent="0.25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</row>
    <row r="173" spans="1:29" x14ac:dyDescent="0.25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</row>
    <row r="174" spans="1:29" x14ac:dyDescent="0.25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</row>
    <row r="175" spans="1:29" x14ac:dyDescent="0.25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</row>
    <row r="176" spans="1:29" x14ac:dyDescent="0.25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</row>
    <row r="177" spans="1:35" ht="13.5" customHeight="1" x14ac:dyDescent="0.25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</row>
    <row r="178" spans="1:35" ht="39.75" customHeight="1" x14ac:dyDescent="0.25">
      <c r="A178" s="90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  <c r="AF178" s="91"/>
      <c r="AG178" s="91"/>
      <c r="AH178" s="91"/>
      <c r="AI178" s="92"/>
    </row>
    <row r="179" spans="1:35" ht="61.5" x14ac:dyDescent="0.9">
      <c r="A179" s="163" t="s">
        <v>173</v>
      </c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7"/>
    </row>
    <row r="180" spans="1:35" ht="51" customHeight="1" x14ac:dyDescent="0.25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</row>
    <row r="181" spans="1:35" x14ac:dyDescent="0.25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</row>
    <row r="182" spans="1:35" x14ac:dyDescent="0.25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</row>
    <row r="183" spans="1:35" x14ac:dyDescent="0.25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</row>
    <row r="184" spans="1:35" x14ac:dyDescent="0.25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</row>
    <row r="185" spans="1:35" x14ac:dyDescent="0.25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</row>
    <row r="186" spans="1:35" x14ac:dyDescent="0.25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</row>
    <row r="187" spans="1:35" x14ac:dyDescent="0.25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</row>
    <row r="188" spans="1:35" x14ac:dyDescent="0.25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</row>
    <row r="189" spans="1:35" x14ac:dyDescent="0.25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</row>
    <row r="190" spans="1:35" x14ac:dyDescent="0.25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</row>
    <row r="191" spans="1:35" x14ac:dyDescent="0.25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</row>
    <row r="192" spans="1:35" x14ac:dyDescent="0.25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</row>
    <row r="193" spans="1:35" x14ac:dyDescent="0.25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</row>
    <row r="194" spans="1:35" x14ac:dyDescent="0.25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</row>
    <row r="195" spans="1:35" x14ac:dyDescent="0.25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</row>
    <row r="196" spans="1:35" x14ac:dyDescent="0.25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</row>
    <row r="197" spans="1:35" x14ac:dyDescent="0.25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</row>
    <row r="198" spans="1:35" x14ac:dyDescent="0.25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</row>
    <row r="199" spans="1:35" x14ac:dyDescent="0.25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</row>
    <row r="200" spans="1:35" ht="43.5" customHeight="1" x14ac:dyDescent="0.25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</row>
    <row r="201" spans="1:35" x14ac:dyDescent="0.25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</row>
    <row r="202" spans="1:35" x14ac:dyDescent="0.25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</row>
    <row r="203" spans="1:35" x14ac:dyDescent="0.25">
      <c r="A203" s="169"/>
      <c r="B203" s="170"/>
      <c r="C203" s="170"/>
      <c r="D203" s="170"/>
      <c r="E203" s="170"/>
      <c r="F203" s="170"/>
      <c r="G203" s="170"/>
      <c r="H203" s="170"/>
      <c r="I203" s="170"/>
      <c r="J203" s="170"/>
      <c r="K203" s="170"/>
      <c r="L203" s="170"/>
      <c r="M203" s="170"/>
      <c r="N203" s="170"/>
      <c r="O203" s="170"/>
      <c r="P203" s="170"/>
      <c r="Q203" s="170"/>
      <c r="R203" s="170"/>
      <c r="S203" s="170"/>
      <c r="T203" s="170"/>
      <c r="U203" s="170"/>
      <c r="V203" s="170"/>
      <c r="W203" s="170"/>
      <c r="X203" s="170"/>
      <c r="Y203" s="170"/>
      <c r="Z203" s="170"/>
      <c r="AA203" s="170"/>
      <c r="AB203" s="170"/>
      <c r="AC203" s="170"/>
      <c r="AD203" s="170"/>
      <c r="AE203" s="170"/>
      <c r="AF203" s="170"/>
      <c r="AG203" s="170"/>
      <c r="AH203" s="170"/>
      <c r="AI203" s="171"/>
    </row>
    <row r="204" spans="1:35" x14ac:dyDescent="0.25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</row>
    <row r="205" spans="1:35" x14ac:dyDescent="0.25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</row>
    <row r="206" spans="1:35" x14ac:dyDescent="0.25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</row>
    <row r="207" spans="1:35" x14ac:dyDescent="0.25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</row>
    <row r="208" spans="1:35" x14ac:dyDescent="0.25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</row>
    <row r="209" spans="1:29" x14ac:dyDescent="0.25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</row>
    <row r="210" spans="1:29" x14ac:dyDescent="0.25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</row>
    <row r="211" spans="1:29" x14ac:dyDescent="0.25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</row>
    <row r="212" spans="1:29" x14ac:dyDescent="0.25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</row>
    <row r="213" spans="1:29" x14ac:dyDescent="0.25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</row>
    <row r="214" spans="1:29" x14ac:dyDescent="0.25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</row>
    <row r="215" spans="1:29" x14ac:dyDescent="0.25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</row>
    <row r="216" spans="1:29" x14ac:dyDescent="0.25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</row>
    <row r="217" spans="1:29" x14ac:dyDescent="0.25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</row>
    <row r="218" spans="1:29" x14ac:dyDescent="0.25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</row>
    <row r="219" spans="1:29" x14ac:dyDescent="0.25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</row>
    <row r="220" spans="1:29" x14ac:dyDescent="0.25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</row>
    <row r="221" spans="1:29" x14ac:dyDescent="0.25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</row>
    <row r="222" spans="1:29" x14ac:dyDescent="0.25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</row>
    <row r="223" spans="1:29" x14ac:dyDescent="0.25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</row>
    <row r="224" spans="1:29" x14ac:dyDescent="0.25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</row>
    <row r="225" spans="1:35" x14ac:dyDescent="0.25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</row>
    <row r="226" spans="1:35" x14ac:dyDescent="0.25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</row>
    <row r="227" spans="1:35" x14ac:dyDescent="0.25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</row>
    <row r="228" spans="1:35" x14ac:dyDescent="0.25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</row>
    <row r="229" spans="1:35" x14ac:dyDescent="0.25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</row>
    <row r="230" spans="1:35" x14ac:dyDescent="0.25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</row>
    <row r="231" spans="1:35" x14ac:dyDescent="0.25">
      <c r="A231" s="169"/>
      <c r="B231" s="170"/>
      <c r="C231" s="170"/>
      <c r="D231" s="170"/>
      <c r="E231" s="170"/>
      <c r="F231" s="170"/>
      <c r="G231" s="170"/>
      <c r="H231" s="170"/>
      <c r="I231" s="170"/>
      <c r="J231" s="170"/>
      <c r="K231" s="170"/>
      <c r="L231" s="170"/>
      <c r="M231" s="170"/>
      <c r="N231" s="170"/>
      <c r="O231" s="170"/>
      <c r="P231" s="170"/>
      <c r="Q231" s="170"/>
      <c r="R231" s="170"/>
      <c r="S231" s="170"/>
      <c r="T231" s="170"/>
      <c r="U231" s="170"/>
      <c r="V231" s="170"/>
      <c r="W231" s="170"/>
      <c r="X231" s="170"/>
      <c r="Y231" s="170"/>
      <c r="Z231" s="170"/>
      <c r="AA231" s="170"/>
      <c r="AB231" s="170"/>
      <c r="AC231" s="170"/>
      <c r="AD231" s="170"/>
      <c r="AE231" s="170"/>
      <c r="AF231" s="170"/>
      <c r="AG231" s="170"/>
      <c r="AH231" s="170"/>
      <c r="AI231" s="171"/>
    </row>
    <row r="232" spans="1:35" x14ac:dyDescent="0.25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</row>
    <row r="233" spans="1:35" x14ac:dyDescent="0.25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</row>
    <row r="234" spans="1:35" x14ac:dyDescent="0.25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</row>
    <row r="235" spans="1:35" x14ac:dyDescent="0.25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</row>
    <row r="236" spans="1:35" x14ac:dyDescent="0.25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</row>
    <row r="237" spans="1:35" x14ac:dyDescent="0.25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</row>
    <row r="238" spans="1:35" x14ac:dyDescent="0.25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</row>
    <row r="239" spans="1:35" x14ac:dyDescent="0.25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</row>
    <row r="240" spans="1:35" x14ac:dyDescent="0.25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</row>
    <row r="241" spans="1:29" x14ac:dyDescent="0.25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</row>
    <row r="242" spans="1:29" x14ac:dyDescent="0.25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</row>
    <row r="243" spans="1:29" x14ac:dyDescent="0.25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</row>
    <row r="244" spans="1:29" x14ac:dyDescent="0.25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</row>
    <row r="245" spans="1:29" x14ac:dyDescent="0.25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</row>
    <row r="246" spans="1:29" x14ac:dyDescent="0.25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</row>
    <row r="247" spans="1:29" x14ac:dyDescent="0.25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</row>
    <row r="248" spans="1:29" x14ac:dyDescent="0.25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</row>
    <row r="249" spans="1:29" x14ac:dyDescent="0.25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</row>
    <row r="250" spans="1:29" x14ac:dyDescent="0.25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</row>
    <row r="251" spans="1:29" x14ac:dyDescent="0.25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</row>
    <row r="252" spans="1:29" x14ac:dyDescent="0.25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</row>
    <row r="253" spans="1:29" x14ac:dyDescent="0.25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</row>
    <row r="254" spans="1:29" x14ac:dyDescent="0.25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</row>
    <row r="255" spans="1:29" x14ac:dyDescent="0.25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</row>
    <row r="256" spans="1:29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</row>
    <row r="257" spans="1:35" x14ac:dyDescent="0.25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</row>
    <row r="258" spans="1:35" x14ac:dyDescent="0.25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</row>
    <row r="259" spans="1:35" x14ac:dyDescent="0.25">
      <c r="A259" s="169"/>
      <c r="B259" s="170"/>
      <c r="C259" s="170"/>
      <c r="D259" s="170"/>
      <c r="E259" s="170"/>
      <c r="F259" s="170"/>
      <c r="G259" s="170"/>
      <c r="H259" s="170"/>
      <c r="I259" s="170"/>
      <c r="J259" s="170"/>
      <c r="K259" s="170"/>
      <c r="L259" s="170"/>
      <c r="M259" s="170"/>
      <c r="N259" s="170"/>
      <c r="O259" s="170"/>
      <c r="P259" s="170"/>
      <c r="Q259" s="170"/>
      <c r="R259" s="170"/>
      <c r="S259" s="170"/>
      <c r="T259" s="170"/>
      <c r="U259" s="170"/>
      <c r="V259" s="170"/>
      <c r="W259" s="170"/>
      <c r="X259" s="170"/>
      <c r="Y259" s="170"/>
      <c r="Z259" s="170"/>
      <c r="AA259" s="170"/>
      <c r="AB259" s="170"/>
      <c r="AC259" s="170"/>
      <c r="AD259" s="170"/>
      <c r="AE259" s="170"/>
      <c r="AF259" s="170"/>
      <c r="AG259" s="170"/>
      <c r="AH259" s="170"/>
      <c r="AI259" s="171"/>
    </row>
    <row r="260" spans="1:35" x14ac:dyDescent="0.25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</row>
    <row r="261" spans="1:35" x14ac:dyDescent="0.25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</row>
    <row r="262" spans="1:35" x14ac:dyDescent="0.25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</row>
    <row r="263" spans="1:3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</row>
    <row r="264" spans="1:35" x14ac:dyDescent="0.25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</row>
    <row r="265" spans="1:35" x14ac:dyDescent="0.25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</row>
    <row r="266" spans="1:35" x14ac:dyDescent="0.25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</row>
    <row r="267" spans="1:35" x14ac:dyDescent="0.25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</row>
    <row r="268" spans="1:35" x14ac:dyDescent="0.25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</row>
    <row r="269" spans="1:35" x14ac:dyDescent="0.25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</row>
    <row r="270" spans="1:35" x14ac:dyDescent="0.25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</row>
    <row r="271" spans="1:35" x14ac:dyDescent="0.25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</row>
    <row r="272" spans="1:35" x14ac:dyDescent="0.25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</row>
    <row r="273" spans="1:35" x14ac:dyDescent="0.25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</row>
    <row r="274" spans="1:35" x14ac:dyDescent="0.25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</row>
    <row r="275" spans="1:35" x14ac:dyDescent="0.25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</row>
    <row r="276" spans="1:35" x14ac:dyDescent="0.25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</row>
    <row r="277" spans="1:35" x14ac:dyDescent="0.25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</row>
    <row r="278" spans="1:35" x14ac:dyDescent="0.25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</row>
    <row r="279" spans="1:35" x14ac:dyDescent="0.25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</row>
    <row r="280" spans="1:35" x14ac:dyDescent="0.25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</row>
    <row r="281" spans="1:35" x14ac:dyDescent="0.25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</row>
    <row r="282" spans="1:35" x14ac:dyDescent="0.25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</row>
    <row r="283" spans="1:35" x14ac:dyDescent="0.25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</row>
    <row r="284" spans="1:35" x14ac:dyDescent="0.25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</row>
    <row r="285" spans="1:35" x14ac:dyDescent="0.25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</row>
    <row r="286" spans="1:35" x14ac:dyDescent="0.25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</row>
    <row r="287" spans="1:35" x14ac:dyDescent="0.25">
      <c r="A287" s="169"/>
      <c r="B287" s="170"/>
      <c r="C287" s="170"/>
      <c r="D287" s="170"/>
      <c r="E287" s="170"/>
      <c r="F287" s="170"/>
      <c r="G287" s="170"/>
      <c r="H287" s="170"/>
      <c r="I287" s="170"/>
      <c r="J287" s="170"/>
      <c r="K287" s="170"/>
      <c r="L287" s="170"/>
      <c r="M287" s="170"/>
      <c r="N287" s="170"/>
      <c r="O287" s="170"/>
      <c r="P287" s="170"/>
      <c r="Q287" s="170"/>
      <c r="R287" s="170"/>
      <c r="S287" s="170"/>
      <c r="T287" s="170"/>
      <c r="U287" s="170"/>
      <c r="V287" s="170"/>
      <c r="W287" s="170"/>
      <c r="X287" s="170"/>
      <c r="Y287" s="170"/>
      <c r="Z287" s="170"/>
      <c r="AA287" s="170"/>
      <c r="AB287" s="170"/>
      <c r="AC287" s="170"/>
      <c r="AD287" s="170"/>
      <c r="AE287" s="170"/>
      <c r="AF287" s="170"/>
      <c r="AG287" s="170"/>
      <c r="AH287" s="170"/>
      <c r="AI287" s="171"/>
    </row>
    <row r="288" spans="1:35" x14ac:dyDescent="0.25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</row>
    <row r="289" spans="1:3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</row>
    <row r="290" spans="1:35" x14ac:dyDescent="0.25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</row>
    <row r="291" spans="1:35" x14ac:dyDescent="0.25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</row>
    <row r="292" spans="1:35" x14ac:dyDescent="0.25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</row>
    <row r="293" spans="1:35" x14ac:dyDescent="0.25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</row>
    <row r="294" spans="1:35" x14ac:dyDescent="0.25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</row>
    <row r="295" spans="1:35" x14ac:dyDescent="0.25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</row>
    <row r="296" spans="1:35" x14ac:dyDescent="0.25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</row>
    <row r="297" spans="1:3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</row>
    <row r="298" spans="1:35" x14ac:dyDescent="0.25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</row>
    <row r="299" spans="1:35" x14ac:dyDescent="0.25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</row>
    <row r="300" spans="1:35" x14ac:dyDescent="0.25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</row>
    <row r="301" spans="1:35" x14ac:dyDescent="0.25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</row>
    <row r="302" spans="1:35" x14ac:dyDescent="0.25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</row>
    <row r="303" spans="1:35" x14ac:dyDescent="0.25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</row>
    <row r="304" spans="1:35" x14ac:dyDescent="0.25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</row>
    <row r="305" spans="1:35" x14ac:dyDescent="0.25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</row>
    <row r="306" spans="1:35" x14ac:dyDescent="0.25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</row>
    <row r="307" spans="1:35" x14ac:dyDescent="0.25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</row>
    <row r="308" spans="1:35" x14ac:dyDescent="0.25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</row>
    <row r="309" spans="1:35" x14ac:dyDescent="0.25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</row>
    <row r="310" spans="1:35" x14ac:dyDescent="0.25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</row>
    <row r="311" spans="1:35" x14ac:dyDescent="0.25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</row>
    <row r="312" spans="1:35" x14ac:dyDescent="0.25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</row>
    <row r="313" spans="1:35" x14ac:dyDescent="0.25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</row>
    <row r="314" spans="1:35" x14ac:dyDescent="0.25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</row>
    <row r="315" spans="1:35" x14ac:dyDescent="0.25">
      <c r="A315" s="169"/>
      <c r="B315" s="170"/>
      <c r="C315" s="170"/>
      <c r="D315" s="170"/>
      <c r="E315" s="170"/>
      <c r="F315" s="170"/>
      <c r="G315" s="170"/>
      <c r="H315" s="170"/>
      <c r="I315" s="170"/>
      <c r="J315" s="170"/>
      <c r="K315" s="170"/>
      <c r="L315" s="170"/>
      <c r="M315" s="170"/>
      <c r="N315" s="170"/>
      <c r="O315" s="170"/>
      <c r="P315" s="170"/>
      <c r="Q315" s="170"/>
      <c r="R315" s="170"/>
      <c r="S315" s="170"/>
      <c r="T315" s="170"/>
      <c r="U315" s="170"/>
      <c r="V315" s="170"/>
      <c r="W315" s="170"/>
      <c r="X315" s="170"/>
      <c r="Y315" s="170"/>
      <c r="Z315" s="170"/>
      <c r="AA315" s="170"/>
      <c r="AB315" s="170"/>
      <c r="AC315" s="170"/>
      <c r="AD315" s="170"/>
      <c r="AE315" s="170"/>
      <c r="AF315" s="170"/>
      <c r="AG315" s="170"/>
      <c r="AH315" s="170"/>
      <c r="AI315" s="171"/>
    </row>
    <row r="316" spans="1:35" x14ac:dyDescent="0.25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</row>
    <row r="317" spans="1:35" x14ac:dyDescent="0.25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</row>
    <row r="318" spans="1:35" x14ac:dyDescent="0.25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</row>
    <row r="319" spans="1:35" x14ac:dyDescent="0.25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</row>
    <row r="320" spans="1:35" x14ac:dyDescent="0.25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</row>
    <row r="321" spans="1:29" x14ac:dyDescent="0.25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</row>
    <row r="322" spans="1:29" x14ac:dyDescent="0.25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</row>
    <row r="323" spans="1:29" x14ac:dyDescent="0.25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</row>
    <row r="324" spans="1:29" x14ac:dyDescent="0.25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</row>
    <row r="325" spans="1:29" x14ac:dyDescent="0.25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</row>
    <row r="326" spans="1:29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</row>
    <row r="327" spans="1:29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</row>
    <row r="328" spans="1:29" x14ac:dyDescent="0.25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</row>
    <row r="329" spans="1:29" x14ac:dyDescent="0.25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</row>
    <row r="330" spans="1:29" x14ac:dyDescent="0.25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</row>
    <row r="331" spans="1:29" x14ac:dyDescent="0.25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</row>
    <row r="332" spans="1:29" x14ac:dyDescent="0.25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</row>
    <row r="333" spans="1:29" x14ac:dyDescent="0.25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</row>
    <row r="334" spans="1:29" x14ac:dyDescent="0.25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</row>
    <row r="335" spans="1:29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</row>
    <row r="336" spans="1:29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</row>
    <row r="337" spans="1:35" x14ac:dyDescent="0.25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</row>
    <row r="338" spans="1:35" x14ac:dyDescent="0.25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</row>
    <row r="339" spans="1:35" x14ac:dyDescent="0.25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</row>
    <row r="340" spans="1:35" x14ac:dyDescent="0.25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</row>
    <row r="341" spans="1:35" x14ac:dyDescent="0.25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</row>
    <row r="342" spans="1:35" x14ac:dyDescent="0.25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</row>
    <row r="343" spans="1:35" x14ac:dyDescent="0.25">
      <c r="A343" s="169"/>
      <c r="B343" s="170"/>
      <c r="C343" s="170"/>
      <c r="D343" s="170"/>
      <c r="E343" s="170"/>
      <c r="F343" s="170"/>
      <c r="G343" s="170"/>
      <c r="H343" s="170"/>
      <c r="I343" s="170"/>
      <c r="J343" s="170"/>
      <c r="K343" s="170"/>
      <c r="L343" s="170"/>
      <c r="M343" s="170"/>
      <c r="N343" s="170"/>
      <c r="O343" s="170"/>
      <c r="P343" s="170"/>
      <c r="Q343" s="170"/>
      <c r="R343" s="170"/>
      <c r="S343" s="170"/>
      <c r="T343" s="170"/>
      <c r="U343" s="170"/>
      <c r="V343" s="170"/>
      <c r="W343" s="170"/>
      <c r="X343" s="170"/>
      <c r="Y343" s="170"/>
      <c r="Z343" s="170"/>
      <c r="AA343" s="170"/>
      <c r="AB343" s="170"/>
      <c r="AC343" s="170"/>
      <c r="AD343" s="170"/>
      <c r="AE343" s="170"/>
      <c r="AF343" s="170"/>
      <c r="AG343" s="170"/>
      <c r="AH343" s="170"/>
      <c r="AI343" s="171"/>
    </row>
  </sheetData>
  <mergeCells count="22">
    <mergeCell ref="A149:AI149"/>
    <mergeCell ref="A93:AI93"/>
    <mergeCell ref="A231:AI231"/>
    <mergeCell ref="A259:AI259"/>
    <mergeCell ref="A287:AI287"/>
    <mergeCell ref="A315:AI315"/>
    <mergeCell ref="A343:AI343"/>
    <mergeCell ref="A203:AI203"/>
    <mergeCell ref="A179:AI179"/>
    <mergeCell ref="A1:AI1"/>
    <mergeCell ref="A26:AI26"/>
    <mergeCell ref="A39:M39"/>
    <mergeCell ref="A52:AI52"/>
    <mergeCell ref="A78:AI78"/>
    <mergeCell ref="C85:D85"/>
    <mergeCell ref="E85:F85"/>
    <mergeCell ref="G85:H85"/>
    <mergeCell ref="C86:D86"/>
    <mergeCell ref="E86:F86"/>
    <mergeCell ref="G86:H86"/>
    <mergeCell ref="B84:H84"/>
    <mergeCell ref="A121:AI121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Y92"/>
  <sheetViews>
    <sheetView tabSelected="1" zoomScale="60" zoomScaleNormal="60" workbookViewId="0">
      <selection activeCell="AR19" sqref="AR19"/>
    </sheetView>
  </sheetViews>
  <sheetFormatPr defaultRowHeight="15" x14ac:dyDescent="0.25"/>
  <cols>
    <col min="1" max="1" width="8.42578125" style="157" bestFit="1" customWidth="1"/>
    <col min="2" max="9" width="18.42578125" style="157" bestFit="1" customWidth="1"/>
    <col min="10" max="11" width="15.85546875" style="157" bestFit="1" customWidth="1"/>
    <col min="12" max="12" width="13.42578125" style="157" bestFit="1" customWidth="1"/>
    <col min="13" max="13" width="2.5703125" style="233" customWidth="1"/>
    <col min="14" max="14" width="8.42578125" style="157" bestFit="1" customWidth="1"/>
    <col min="15" max="22" width="15.85546875" style="157" bestFit="1" customWidth="1"/>
    <col min="23" max="23" width="13" style="157" bestFit="1" customWidth="1"/>
    <col min="24" max="24" width="9.5703125" style="157" bestFit="1" customWidth="1"/>
    <col min="25" max="25" width="13.42578125" style="157" bestFit="1" customWidth="1"/>
    <col min="26" max="26" width="2.28515625" style="233" customWidth="1"/>
    <col min="27" max="27" width="9.140625" style="157" bestFit="1" customWidth="1"/>
    <col min="28" max="35" width="15.85546875" style="157" bestFit="1" customWidth="1"/>
    <col min="36" max="36" width="13" style="157" bestFit="1" customWidth="1"/>
    <col min="37" max="37" width="12.42578125" style="157" customWidth="1"/>
    <col min="38" max="38" width="13" style="157" bestFit="1" customWidth="1"/>
    <col min="39" max="39" width="2.5703125" style="233" customWidth="1"/>
    <col min="40" max="40" width="8.42578125" style="157" bestFit="1" customWidth="1"/>
    <col min="41" max="48" width="15.85546875" style="157" bestFit="1" customWidth="1"/>
    <col min="49" max="49" width="13" style="157" bestFit="1" customWidth="1"/>
    <col min="50" max="50" width="9.5703125" style="157" bestFit="1" customWidth="1"/>
    <col min="51" max="51" width="13" style="157" bestFit="1" customWidth="1"/>
    <col min="52" max="16384" width="9.140625" style="157"/>
  </cols>
  <sheetData>
    <row r="1" spans="1:51" ht="26.25" x14ac:dyDescent="0.25">
      <c r="A1" s="248" t="s">
        <v>78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N1" s="248" t="s">
        <v>147</v>
      </c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AA1" s="248" t="s">
        <v>148</v>
      </c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N1" s="248" t="s">
        <v>149</v>
      </c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</row>
    <row r="2" spans="1:51" s="159" customFormat="1" ht="45" x14ac:dyDescent="0.25">
      <c r="A2" s="158" t="s">
        <v>49</v>
      </c>
      <c r="B2" s="158" t="s">
        <v>211</v>
      </c>
      <c r="C2" s="158" t="s">
        <v>212</v>
      </c>
      <c r="D2" s="158" t="s">
        <v>213</v>
      </c>
      <c r="E2" s="158" t="s">
        <v>214</v>
      </c>
      <c r="F2" s="158" t="s">
        <v>215</v>
      </c>
      <c r="G2" s="158" t="s">
        <v>216</v>
      </c>
      <c r="H2" s="158" t="s">
        <v>217</v>
      </c>
      <c r="I2" s="158" t="s">
        <v>218</v>
      </c>
      <c r="J2" s="158" t="s">
        <v>219</v>
      </c>
      <c r="K2" s="158" t="s">
        <v>220</v>
      </c>
      <c r="L2" s="158" t="s">
        <v>210</v>
      </c>
      <c r="M2" s="233"/>
      <c r="N2" s="158" t="s">
        <v>49</v>
      </c>
      <c r="O2" s="158" t="s">
        <v>211</v>
      </c>
      <c r="P2" s="158" t="s">
        <v>212</v>
      </c>
      <c r="Q2" s="158" t="s">
        <v>213</v>
      </c>
      <c r="R2" s="158" t="s">
        <v>214</v>
      </c>
      <c r="S2" s="158" t="s">
        <v>215</v>
      </c>
      <c r="T2" s="158" t="s">
        <v>216</v>
      </c>
      <c r="U2" s="158" t="s">
        <v>217</v>
      </c>
      <c r="V2" s="158" t="s">
        <v>218</v>
      </c>
      <c r="W2" s="158" t="s">
        <v>219</v>
      </c>
      <c r="X2" s="158" t="s">
        <v>220</v>
      </c>
      <c r="Y2" s="158" t="s">
        <v>210</v>
      </c>
      <c r="Z2" s="233"/>
      <c r="AA2" s="158" t="s">
        <v>49</v>
      </c>
      <c r="AB2" s="158" t="s">
        <v>211</v>
      </c>
      <c r="AC2" s="158" t="s">
        <v>212</v>
      </c>
      <c r="AD2" s="158" t="s">
        <v>213</v>
      </c>
      <c r="AE2" s="158" t="s">
        <v>214</v>
      </c>
      <c r="AF2" s="158" t="s">
        <v>215</v>
      </c>
      <c r="AG2" s="158" t="s">
        <v>216</v>
      </c>
      <c r="AH2" s="158" t="s">
        <v>217</v>
      </c>
      <c r="AI2" s="158" t="s">
        <v>218</v>
      </c>
      <c r="AJ2" s="158" t="s">
        <v>219</v>
      </c>
      <c r="AK2" s="158" t="s">
        <v>220</v>
      </c>
      <c r="AL2" s="158" t="s">
        <v>210</v>
      </c>
      <c r="AM2" s="233"/>
      <c r="AN2" s="158" t="s">
        <v>49</v>
      </c>
      <c r="AO2" s="158" t="s">
        <v>211</v>
      </c>
      <c r="AP2" s="158" t="s">
        <v>212</v>
      </c>
      <c r="AQ2" s="158" t="s">
        <v>213</v>
      </c>
      <c r="AR2" s="158" t="s">
        <v>214</v>
      </c>
      <c r="AS2" s="158" t="s">
        <v>215</v>
      </c>
      <c r="AT2" s="158" t="s">
        <v>216</v>
      </c>
      <c r="AU2" s="158" t="s">
        <v>217</v>
      </c>
      <c r="AV2" s="158" t="s">
        <v>218</v>
      </c>
      <c r="AW2" s="158" t="s">
        <v>219</v>
      </c>
      <c r="AX2" s="158" t="s">
        <v>220</v>
      </c>
      <c r="AY2" s="158" t="s">
        <v>210</v>
      </c>
    </row>
    <row r="3" spans="1:51" x14ac:dyDescent="0.25">
      <c r="A3" s="249">
        <f>'Baseline Given'!E4</f>
        <v>1</v>
      </c>
      <c r="B3" s="249">
        <f>'Baseline-tilt up (3 pt)'!T3/1000000</f>
        <v>-21.700927661204386</v>
      </c>
      <c r="C3" s="249">
        <f>'Baseline-tilt up (3 pt)'!Z3/1000000</f>
        <v>-46.956578405960762</v>
      </c>
      <c r="D3" s="249">
        <f>'Baseline-tilt up (3 pt)'!AF3/1000000</f>
        <v>-32.69204528192499</v>
      </c>
      <c r="E3" s="249">
        <f>'Baseline-tilt up (3 pt)'!AL3/1000000</f>
        <v>-27.056477212499509</v>
      </c>
      <c r="F3" s="249">
        <f>'Baseline-tilt up (3 pt)'!AR3/1000000</f>
        <v>-22.990691644518968</v>
      </c>
      <c r="G3" s="249">
        <f>'Baseline-tilt up (3 pt)'!AX3/1000000</f>
        <v>-19.258159550404411</v>
      </c>
      <c r="H3" s="249">
        <f>'Baseline-tilt up (3 pt)'!BD3/1000000</f>
        <v>-15.524066963235738</v>
      </c>
      <c r="I3" s="249">
        <f>'Baseline-tilt up (3 pt)'!BJ3/1000000</f>
        <v>-11.711676901554272</v>
      </c>
      <c r="J3" s="249">
        <f>'Baseline-tilt up (3 pt)'!BP3/1000000</f>
        <v>-7.8458882106386101</v>
      </c>
      <c r="K3" s="249">
        <f>'Baseline-tilt up (3 pt)'!BV3/1000000</f>
        <v>-4.0009999874489948</v>
      </c>
      <c r="L3" s="249">
        <f>'Baseline Given'!$B$21/1.67</f>
        <v>149.70059880239521</v>
      </c>
      <c r="N3" s="249">
        <f>'Alternative 1'!$F4</f>
        <v>1</v>
      </c>
      <c r="O3" s="249">
        <f>'Alternative 1-Tilt Up (3pt)'!$T3/1000000</f>
        <v>8.2967013566785148</v>
      </c>
      <c r="P3" s="249">
        <f>'Alternative 1-Tilt Up (3pt)'!$Z3/1000000</f>
        <v>4.2098932636305202</v>
      </c>
      <c r="Q3" s="249">
        <f>'Alternative 1-Tilt Up (3pt)'!$AF3/1000000</f>
        <v>5.8955005450207292</v>
      </c>
      <c r="R3" s="249">
        <f>'Alternative 1-Tilt Up (3pt)'!$AL3/1000000</f>
        <v>5.9097172973233034</v>
      </c>
      <c r="S3" s="249">
        <f>'Alternative 1-Tilt Up (3pt)'!$AR3/1000000</f>
        <v>5.3733961544387281</v>
      </c>
      <c r="T3" s="249">
        <f>'Alternative 1-Tilt Up (3pt)'!$AX3/1000000</f>
        <v>4.513750502494343</v>
      </c>
      <c r="U3" s="249">
        <f>'Alternative 1-Tilt Up (3pt)'!$BD3/1000000</f>
        <v>3.4264105951094388</v>
      </c>
      <c r="V3" s="249">
        <f>'Alternative 1-Tilt Up (3pt)'!$BJ3/1000000</f>
        <v>2.173910162014308</v>
      </c>
      <c r="W3" s="249">
        <f>'Alternative 1-Tilt Up (3pt)'!$BP3/1000000</f>
        <v>0.80840866039636694</v>
      </c>
      <c r="X3" s="249">
        <f>'Alternative 1-Tilt Up (3pt)'!$BV3/1000000</f>
        <v>-2.6370392644219543E-4</v>
      </c>
      <c r="Y3" s="249">
        <f>'Alternative 1'!$B$20/1.67</f>
        <v>149.70059880239521</v>
      </c>
      <c r="AA3" s="249">
        <f>'Alternative 2'!$F4</f>
        <v>1</v>
      </c>
      <c r="AB3" s="249">
        <f>'Alternative 2-Tilt Up (3pt)'!$T3/1000000</f>
        <v>2.6473840514082307</v>
      </c>
      <c r="AC3" s="249">
        <f>'Alternative 2-Tilt Up (3pt)'!$Z3/1000000</f>
        <v>1.6264735405474713</v>
      </c>
      <c r="AD3" s="249">
        <f>'Alternative 2-Tilt Up (3pt)'!$AF3/1000000</f>
        <v>2.0172023114670661</v>
      </c>
      <c r="AE3" s="249">
        <f>'Alternative 2-Tilt Up (3pt)'!$AL3/1000000</f>
        <v>1.9769994983051735</v>
      </c>
      <c r="AF3" s="249">
        <f>'Alternative 2-Tilt Up (3pt)'!$AR3/1000000</f>
        <v>1.7848161546657306</v>
      </c>
      <c r="AG3" s="249">
        <f>'Alternative 2-Tilt Up (3pt)'!$AX3/1000000</f>
        <v>1.4987336184781148</v>
      </c>
      <c r="AH3" s="249">
        <f>'Alternative 2-Tilt Up (3pt)'!$BD3/1000000</f>
        <v>1.1446613640116305</v>
      </c>
      <c r="AI3" s="249">
        <f>'Alternative 2-Tilt Up (3pt)'!$BJ3/1000000</f>
        <v>0.74066347652495423</v>
      </c>
      <c r="AJ3" s="249">
        <f>'Alternative 2-Tilt Up (3pt)'!$BP3/1000000</f>
        <v>0.30250845627843842</v>
      </c>
      <c r="AK3" s="249">
        <f>'Alternative 2-Tilt Up (3pt)'!$BV3/1000000</f>
        <v>-3.213891603539976E-4</v>
      </c>
      <c r="AL3" s="249">
        <f>'Alternative 2'!$B$20/1.67</f>
        <v>149.70059880239521</v>
      </c>
      <c r="AN3" s="249">
        <f>'Alternative 3'!$F4</f>
        <v>1</v>
      </c>
      <c r="AO3" s="249">
        <f>'Alternative 3-Tilt Up (3pt)'!$T3/1000000</f>
        <v>7.0236414592112384</v>
      </c>
      <c r="AP3" s="249">
        <f>'Alternative 3-Tilt Up (3pt)'!$Z3/1000000</f>
        <v>3.1680739874859758</v>
      </c>
      <c r="AQ3" s="249">
        <f>'Alternative 3-Tilt Up (3pt)'!$AF3/1000000</f>
        <v>4.8006076233891388</v>
      </c>
      <c r="AR3" s="249">
        <f>'Alternative 3-Tilt Up (3pt)'!$AL3/1000000</f>
        <v>4.8750075645251858</v>
      </c>
      <c r="AS3" s="249">
        <f>'Alternative 3-Tilt Up (3pt)'!$AR3/1000000</f>
        <v>4.4501637559472762</v>
      </c>
      <c r="AT3" s="249">
        <f>'Alternative 3-Tilt Up (3pt)'!$AX3/1000000</f>
        <v>3.7385910686916906</v>
      </c>
      <c r="AU3" s="249">
        <f>'Alternative 3-Tilt Up (3pt)'!$BD3/1000000</f>
        <v>2.8276929409806582</v>
      </c>
      <c r="AV3" s="249">
        <f>'Alternative 3-Tilt Up (3pt)'!$BJ3/1000000</f>
        <v>1.7730603240234739</v>
      </c>
      <c r="AW3" s="249">
        <f>'Alternative 3-Tilt Up (3pt)'!$BP3/1000000</f>
        <v>0.62008441007444515</v>
      </c>
      <c r="AX3" s="249">
        <f>'Alternative 3-Tilt Up (3pt)'!$BV3/1000000</f>
        <v>-5.1916710518586898E-4</v>
      </c>
      <c r="AY3" s="249">
        <f>'Alternative 3'!$B$20/1.67</f>
        <v>149.70059880239521</v>
      </c>
    </row>
    <row r="4" spans="1:51" x14ac:dyDescent="0.25">
      <c r="A4" s="249">
        <f>'Baseline Given'!E5</f>
        <v>2</v>
      </c>
      <c r="B4" s="249">
        <f>'Baseline-tilt up (3 pt)'!T4/1000000</f>
        <v>-22.225925950328065</v>
      </c>
      <c r="C4" s="249">
        <f>'Baseline-tilt up (3 pt)'!Z4/1000000</f>
        <v>-46.992932419399246</v>
      </c>
      <c r="D4" s="249">
        <f>'Baseline-tilt up (3 pt)'!AF4/1000000</f>
        <v>-32.954571955900029</v>
      </c>
      <c r="E4" s="249">
        <f>'Baseline-tilt up (3 pt)'!AL4/1000000</f>
        <v>-27.356216314530901</v>
      </c>
      <c r="F4" s="249">
        <f>'Baseline-tilt up (3 pt)'!AR4/1000000</f>
        <v>-23.273547451670826</v>
      </c>
      <c r="G4" s="249">
        <f>'Baseline-tilt up (3 pt)'!AX4/1000000</f>
        <v>-19.496130486847729</v>
      </c>
      <c r="H4" s="249">
        <f>'Baseline-tilt up (3 pt)'!BD4/1000000</f>
        <v>-15.698945816332632</v>
      </c>
      <c r="I4" s="249">
        <f>'Baseline-tilt up (3 pt)'!BJ4/1000000</f>
        <v>-11.810750821716649</v>
      </c>
      <c r="J4" s="249">
        <f>'Baseline-tilt up (3 pt)'!BP4/1000000</f>
        <v>-7.8604580872317156</v>
      </c>
      <c r="K4" s="249">
        <f>'Baseline-tilt up (3 pt)'!BV4/1000000</f>
        <v>-3.9257461262682858</v>
      </c>
      <c r="L4" s="249">
        <f>'Baseline Given'!$B$21/1.67</f>
        <v>149.70059880239521</v>
      </c>
      <c r="N4" s="249">
        <f>'Alternative 1'!$F5</f>
        <v>2</v>
      </c>
      <c r="O4" s="249">
        <f>'Alternative 1-Tilt Up (3pt)'!$T4/1000000</f>
        <v>7.5612092466152685</v>
      </c>
      <c r="P4" s="249">
        <f>'Alternative 1-Tilt Up (3pt)'!$Z4/1000000</f>
        <v>3.6710276272600209</v>
      </c>
      <c r="Q4" s="249">
        <f>'Alternative 1-Tilt Up (3pt)'!$AF4/1000000</f>
        <v>5.2932677918307478</v>
      </c>
      <c r="R4" s="249">
        <f>'Alternative 1-Tilt Up (3pt)'!$AL4/1000000</f>
        <v>5.3323655926638391</v>
      </c>
      <c r="S4" s="249">
        <f>'Alternative 1-Tilt Up (3pt)'!$AR4/1000000</f>
        <v>4.8558574498378713</v>
      </c>
      <c r="T4" s="249">
        <f>'Alternative 1-Tilt Up (3pt)'!$AX4/1000000</f>
        <v>4.0792526020718238</v>
      </c>
      <c r="U4" s="249">
        <f>'Alternative 1-Tilt Up (3pt)'!$BD4/1000000</f>
        <v>3.0923998522572784</v>
      </c>
      <c r="V4" s="249">
        <f>'Alternative 1-Tilt Up (3pt)'!$BJ4/1000000</f>
        <v>1.9533970791501629</v>
      </c>
      <c r="W4" s="249">
        <f>'Alternative 1-Tilt Up (3pt)'!$BP4/1000000</f>
        <v>0.71029409915969721</v>
      </c>
      <c r="X4" s="249">
        <f>'Alternative 1-Tilt Up (3pt)'!$BV4/1000000</f>
        <v>-2.5134280489023876E-4</v>
      </c>
      <c r="Y4" s="249">
        <f>'Alternative 1'!$B$20/1.67</f>
        <v>149.70059880239521</v>
      </c>
      <c r="AA4" s="249">
        <f>'Alternative 2'!$F5</f>
        <v>2</v>
      </c>
      <c r="AB4" s="249">
        <f>'Alternative 2-Tilt Up (3pt)'!$T4/1000000</f>
        <v>2.3505289621378771</v>
      </c>
      <c r="AC4" s="249">
        <f>'Alternative 2-Tilt Up (3pt)'!$Z4/1000000</f>
        <v>1.4095101482776564</v>
      </c>
      <c r="AD4" s="249">
        <f>'Alternative 2-Tilt Up (3pt)'!$AF4/1000000</f>
        <v>1.7743906119388422</v>
      </c>
      <c r="AE4" s="249">
        <f>'Alternative 2-Tilt Up (3pt)'!$AL4/1000000</f>
        <v>1.7441510415709207</v>
      </c>
      <c r="AF4" s="249">
        <f>'Alternative 2-Tilt Up (3pt)'!$AR4/1000000</f>
        <v>1.5760759541125871</v>
      </c>
      <c r="AG4" s="249">
        <f>'Alternative 2-Tilt Up (3pt)'!$AX4/1000000</f>
        <v>1.3234955592298807</v>
      </c>
      <c r="AH4" s="249">
        <f>'Alternative 2-Tilt Up (3pt)'!$BD4/1000000</f>
        <v>1.0099770008759208</v>
      </c>
      <c r="AI4" s="249">
        <f>'Alternative 2-Tilt Up (3pt)'!$BJ4/1000000</f>
        <v>0.65179017777601767</v>
      </c>
      <c r="AJ4" s="249">
        <f>'Alternative 2-Tilt Up (3pt)'!$BP4/1000000</f>
        <v>0.26304293426665892</v>
      </c>
      <c r="AK4" s="249">
        <f>'Alternative 2-Tilt Up (3pt)'!$BV4/1000000</f>
        <v>-2.9666691724984976E-4</v>
      </c>
      <c r="AL4" s="249">
        <f>'Alternative 2'!$B$20/1.67</f>
        <v>149.70059880239521</v>
      </c>
      <c r="AN4" s="249">
        <f>'Alternative 3'!$F5</f>
        <v>2</v>
      </c>
      <c r="AO4" s="249">
        <f>'Alternative 3-Tilt Up (3pt)'!$T4/1000000</f>
        <v>6.3352796308748722</v>
      </c>
      <c r="AP4" s="249">
        <f>'Alternative 3-Tilt Up (3pt)'!$Z4/1000000</f>
        <v>2.6684747454649358</v>
      </c>
      <c r="AQ4" s="249">
        <f>'Alternative 3-Tilt Up (3pt)'!$AF4/1000000</f>
        <v>4.2392447842411185</v>
      </c>
      <c r="AR4" s="249">
        <f>'Alternative 3-Tilt Up (3pt)'!$AL4/1000000</f>
        <v>4.3361887903094001</v>
      </c>
      <c r="AS4" s="249">
        <f>'Alternative 3-Tilt Up (3pt)'!$AR4/1000000</f>
        <v>3.9669807401646695</v>
      </c>
      <c r="AT4" s="249">
        <f>'Alternative 3-Tilt Up (3pt)'!$AX4/1000000</f>
        <v>3.3329399830050894</v>
      </c>
      <c r="AU4" s="249">
        <f>'Alternative 3-Tilt Up (3pt)'!$BD4/1000000</f>
        <v>2.515981680866533</v>
      </c>
      <c r="AV4" s="249">
        <f>'Alternative 3-Tilt Up (3pt)'!$BJ4/1000000</f>
        <v>1.5675132436305097</v>
      </c>
      <c r="AW4" s="249">
        <f>'Alternative 3-Tilt Up (3pt)'!$BP4/1000000</f>
        <v>0.52906456086939946</v>
      </c>
      <c r="AX4" s="249">
        <f>'Alternative 3-Tilt Up (3pt)'!$BV4/1000000</f>
        <v>-4.9444486208180169E-4</v>
      </c>
      <c r="AY4" s="249">
        <f>'Alternative 3'!$B$20/1.67</f>
        <v>149.70059880239521</v>
      </c>
    </row>
    <row r="5" spans="1:51" x14ac:dyDescent="0.25">
      <c r="A5" s="249">
        <f>'Baseline Given'!E6</f>
        <v>3</v>
      </c>
      <c r="B5" s="249">
        <f>'Baseline-tilt up (3 pt)'!T5/1000000</f>
        <v>-22.664202465647492</v>
      </c>
      <c r="C5" s="249">
        <f>'Baseline-tilt up (3 pt)'!Z5/1000000</f>
        <v>-46.937524416512744</v>
      </c>
      <c r="D5" s="249">
        <f>'Baseline-tilt up (3 pt)'!AF5/1000000</f>
        <v>-33.132527285219567</v>
      </c>
      <c r="E5" s="249">
        <f>'Baseline-tilt up (3 pt)'!AL5/1000000</f>
        <v>-27.578771711458419</v>
      </c>
      <c r="F5" s="249">
        <f>'Baseline-tilt up (3 pt)'!AR5/1000000</f>
        <v>-23.488362585437041</v>
      </c>
      <c r="G5" s="249">
        <f>'Baseline-tilt up (3 pt)'!AX5/1000000</f>
        <v>-19.677016735803875</v>
      </c>
      <c r="H5" s="249">
        <f>'Baseline-tilt up (3 pt)'!BD5/1000000</f>
        <v>-15.829286554379163</v>
      </c>
      <c r="I5" s="249">
        <f>'Baseline-tilt up (3 pt)'!BJ5/1000000</f>
        <v>-11.879089463425116</v>
      </c>
      <c r="J5" s="249">
        <f>'Baseline-tilt up (3 pt)'!BP5/1000000</f>
        <v>-7.8589548178105595</v>
      </c>
      <c r="K5" s="249">
        <f>'Baseline-tilt up (3 pt)'!BV5/1000000</f>
        <v>-3.8495056886117927</v>
      </c>
      <c r="L5" s="249">
        <f>'Baseline Given'!$B$21/1.67</f>
        <v>149.70059880239521</v>
      </c>
      <c r="N5" s="249">
        <f>'Alternative 1'!$F6</f>
        <v>3</v>
      </c>
      <c r="O5" s="249">
        <f>'Alternative 1-Tilt Up (3pt)'!$T5/1000000</f>
        <v>6.8933433285459733</v>
      </c>
      <c r="P5" s="249">
        <f>'Alternative 1-Tilt Up (3pt)'!$Z5/1000000</f>
        <v>3.198801383989585</v>
      </c>
      <c r="Q5" s="249">
        <f>'Alternative 1-Tilt Up (3pt)'!$AF5/1000000</f>
        <v>4.7546216074489935</v>
      </c>
      <c r="R5" s="249">
        <f>'Alternative 1-Tilt Up (3pt)'!$AL5/1000000</f>
        <v>4.8136155868038806</v>
      </c>
      <c r="S5" s="249">
        <f>'Alternative 1-Tilt Up (3pt)'!$AR5/1000000</f>
        <v>4.3901549910636533</v>
      </c>
      <c r="T5" s="249">
        <f>'Alternative 1-Tilt Up (3pt)'!$AX5/1000000</f>
        <v>3.6882504764040558</v>
      </c>
      <c r="U5" s="249">
        <f>'Alternative 1-Tilt Up (3pt)'!$BD5/1000000</f>
        <v>2.7922228159819777</v>
      </c>
      <c r="V5" s="249">
        <f>'Alternative 1-Tilt Up (3pt)'!$BJ5/1000000</f>
        <v>1.7560276146313276</v>
      </c>
      <c r="W5" s="249">
        <f>'Alternative 1-Tilt Up (3pt)'!$BP5/1000000</f>
        <v>0.62392986090460723</v>
      </c>
      <c r="X5" s="249">
        <f>'Alternative 1-Tilt Up (3pt)'!$BV5/1000000</f>
        <v>-2.3898168333827792E-4</v>
      </c>
      <c r="Y5" s="249">
        <f>'Alternative 1'!$B$20/1.67</f>
        <v>149.70059880239521</v>
      </c>
      <c r="AA5" s="249">
        <f>'Alternative 2'!$F6</f>
        <v>3</v>
      </c>
      <c r="AB5" s="249">
        <f>'Alternative 2-Tilt Up (3pt)'!$T5/1000000</f>
        <v>2.0969500196213207</v>
      </c>
      <c r="AC5" s="249">
        <f>'Alternative 2-Tilt Up (3pt)'!$Z5/1000000</f>
        <v>1.2351914188278408</v>
      </c>
      <c r="AD5" s="249">
        <f>'Alternative 2-Tilt Up (3pt)'!$AF5/1000000</f>
        <v>1.5722699760677548</v>
      </c>
      <c r="AE5" s="249">
        <f>'Alternative 2-Tilt Up (3pt)'!$AL5/1000000</f>
        <v>1.5488036719523832</v>
      </c>
      <c r="AF5" s="249">
        <f>'Alternative 2-Tilt Up (3pt)'!$AR5/1000000</f>
        <v>1.4005074125781958</v>
      </c>
      <c r="AG5" s="249">
        <f>'Alternative 2-Tilt Up (3pt)'!$AX5/1000000</f>
        <v>1.1760918268298217</v>
      </c>
      <c r="AH5" s="249">
        <f>'Alternative 2-Tilt Up (3pt)'!$BD5/1000000</f>
        <v>0.89694390048137529</v>
      </c>
      <c r="AI5" s="249">
        <f>'Alternative 2-Tilt Up (3pt)'!$BJ5/1000000</f>
        <v>0.57772721499891033</v>
      </c>
      <c r="AJ5" s="249">
        <f>'Alternative 2-Tilt Up (3pt)'!$BP5/1000000</f>
        <v>0.23109681689326095</v>
      </c>
      <c r="AK5" s="249">
        <f>'Alternative 2-Tilt Up (3pt)'!$BV5/1000000</f>
        <v>-2.719446741456991E-4</v>
      </c>
      <c r="AL5" s="249">
        <f>'Alternative 2'!$B$20/1.67</f>
        <v>149.70059880239521</v>
      </c>
      <c r="AN5" s="249">
        <f>'Alternative 3'!$F6</f>
        <v>3</v>
      </c>
      <c r="AO5" s="249">
        <f>'Alternative 3-Tilt Up (3pt)'!$T5/1000000</f>
        <v>5.7132745608943267</v>
      </c>
      <c r="AP5" s="249">
        <f>'Alternative 3-Tilt Up (3pt)'!$Z5/1000000</f>
        <v>2.2342639864345863</v>
      </c>
      <c r="AQ5" s="249">
        <f>'Alternative 3-Tilt Up (3pt)'!$AF5/1000000</f>
        <v>3.7402749093673875</v>
      </c>
      <c r="AR5" s="249">
        <f>'Alternative 3-Tilt Up (3pt)'!$AL5/1000000</f>
        <v>3.8548716830043963</v>
      </c>
      <c r="AS5" s="249">
        <f>'Alternative 3-Tilt Up (3pt)'!$AR5/1000000</f>
        <v>3.5346609348774787</v>
      </c>
      <c r="AT5" s="249">
        <f>'Alternative 3-Tilt Up (3pt)'!$AX5/1000000</f>
        <v>2.9699681984856974</v>
      </c>
      <c r="AU5" s="249">
        <f>'Alternative 3-Tilt Up (3pt)'!$BD5/1000000</f>
        <v>2.2374690236221939</v>
      </c>
      <c r="AV5" s="249">
        <f>'Alternative 3-Tilt Up (3pt)'!$BJ5/1000000</f>
        <v>1.3846753450610114</v>
      </c>
      <c r="AW5" s="249">
        <f>'Alternative 3-Tilt Up (3pt)'!$BP5/1000000</f>
        <v>0.44957446544320845</v>
      </c>
      <c r="AX5" s="249">
        <f>'Alternative 3-Tilt Up (3pt)'!$BV5/1000000</f>
        <v>-4.6972261897773034E-4</v>
      </c>
      <c r="AY5" s="249">
        <f>'Alternative 3'!$B$20/1.67</f>
        <v>149.70059880239521</v>
      </c>
    </row>
    <row r="6" spans="1:51" x14ac:dyDescent="0.25">
      <c r="A6" s="249">
        <f>'Baseline Given'!E7</f>
        <v>4</v>
      </c>
      <c r="B6" s="249">
        <f>'Baseline-tilt up (3 pt)'!T6/1000000</f>
        <v>-23.014040573810163</v>
      </c>
      <c r="C6" s="249">
        <f>'Baseline-tilt up (3 pt)'!Z6/1000000</f>
        <v>-46.788537993752279</v>
      </c>
      <c r="D6" s="249">
        <f>'Baseline-tilt up (3 pt)'!AF6/1000000</f>
        <v>-33.224237203677085</v>
      </c>
      <c r="E6" s="249">
        <f>'Baseline-tilt up (3 pt)'!AL6/1000000</f>
        <v>-27.72261557334231</v>
      </c>
      <c r="F6" s="249">
        <f>'Baseline-tilt up (3 pt)'!AR6/1000000</f>
        <v>-23.633790199643482</v>
      </c>
      <c r="G6" s="249">
        <f>'Baseline-tilt up (3 pt)'!AX6/1000000</f>
        <v>-19.799688321787304</v>
      </c>
      <c r="H6" s="249">
        <f>'Baseline-tilt up (3 pt)'!BD6/1000000</f>
        <v>-15.914207557795924</v>
      </c>
      <c r="I6" s="249">
        <f>'Baseline-tilt up (3 pt)'!BJ6/1000000</f>
        <v>-11.9160844304053</v>
      </c>
      <c r="J6" s="249">
        <f>'Baseline-tilt up (3 pt)'!BP6/1000000</f>
        <v>-7.8410602389276152</v>
      </c>
      <c r="K6" s="249">
        <f>'Baseline-tilt up (3 pt)'!BV6/1000000</f>
        <v>-3.772259145473027</v>
      </c>
      <c r="L6" s="249">
        <f>'Baseline Given'!$B$21/1.67</f>
        <v>149.70059880239521</v>
      </c>
      <c r="N6" s="249">
        <f>'Alternative 1'!$F7</f>
        <v>4</v>
      </c>
      <c r="O6" s="249">
        <f>'Alternative 1-Tilt Up (3pt)'!$T6/1000000</f>
        <v>6.2931036024706133</v>
      </c>
      <c r="P6" s="249">
        <f>'Alternative 1-Tilt Up (3pt)'!$Z6/1000000</f>
        <v>2.7932145338192016</v>
      </c>
      <c r="Q6" s="249">
        <f>'Alternative 1-Tilt Up (3pt)'!$AF6/1000000</f>
        <v>4.2795619918754531</v>
      </c>
      <c r="R6" s="249">
        <f>'Alternative 1-Tilt Up (3pt)'!$AL6/1000000</f>
        <v>4.3534672797434224</v>
      </c>
      <c r="S6" s="249">
        <f>'Alternative 1-Tilt Up (3pt)'!$AR6/1000000</f>
        <v>3.9762887781160803</v>
      </c>
      <c r="T6" s="249">
        <f>'Alternative 1-Tilt Up (3pt)'!$AX6/1000000</f>
        <v>3.3407441254910362</v>
      </c>
      <c r="U6" s="249">
        <f>'Alternative 1-Tilt Up (3pt)'!$BD6/1000000</f>
        <v>2.525879486283539</v>
      </c>
      <c r="V6" s="249">
        <f>'Alternative 1-Tilt Up (3pt)'!$BJ6/1000000</f>
        <v>1.5818017684578058</v>
      </c>
      <c r="W6" s="249">
        <f>'Alternative 1-Tilt Up (3pt)'!$BP6/1000000</f>
        <v>0.54931594563109332</v>
      </c>
      <c r="X6" s="249">
        <f>'Alternative 1-Tilt Up (3pt)'!$BV6/1000000</f>
        <v>-2.2662056178631297E-4</v>
      </c>
      <c r="Y6" s="249">
        <f>'Alternative 1'!$B$20/1.67</f>
        <v>149.70059880239521</v>
      </c>
      <c r="AA6" s="249">
        <f>'Alternative 2'!$F7</f>
        <v>4</v>
      </c>
      <c r="AB6" s="249">
        <f>'Alternative 2-Tilt Up (3pt)'!$T6/1000000</f>
        <v>1.8866472238585632</v>
      </c>
      <c r="AC6" s="249">
        <f>'Alternative 2-Tilt Up (3pt)'!$Z6/1000000</f>
        <v>1.1035173521980355</v>
      </c>
      <c r="AD6" s="249">
        <f>'Alternative 2-Tilt Up (3pt)'!$AF6/1000000</f>
        <v>1.4108404038538049</v>
      </c>
      <c r="AE6" s="249">
        <f>'Alternative 2-Tilt Up (3pt)'!$AL6/1000000</f>
        <v>1.3909573894495664</v>
      </c>
      <c r="AF6" s="249">
        <f>'Alternative 2-Tilt Up (3pt)'!$AR6/1000000</f>
        <v>1.2581105300625612</v>
      </c>
      <c r="AG6" s="249">
        <f>'Alternative 2-Tilt Up (3pt)'!$AX6/1000000</f>
        <v>1.05652242127794</v>
      </c>
      <c r="AH6" s="249">
        <f>'Alternative 2-Tilt Up (3pt)'!$BD6/1000000</f>
        <v>0.80556206282799336</v>
      </c>
      <c r="AI6" s="249">
        <f>'Alternative 2-Tilt Up (3pt)'!$BJ6/1000000</f>
        <v>0.51847458819363246</v>
      </c>
      <c r="AJ6" s="249">
        <f>'Alternative 2-Tilt Up (3pt)'!$BP6/1000000</f>
        <v>0.20667010415824497</v>
      </c>
      <c r="AK6" s="249">
        <f>'Alternative 2-Tilt Up (3pt)'!$BV6/1000000</f>
        <v>-2.4722243104154584E-4</v>
      </c>
      <c r="AL6" s="249">
        <f>'Alternative 2'!$B$20/1.67</f>
        <v>149.70059880239521</v>
      </c>
      <c r="AN6" s="249">
        <f>'Alternative 3'!$F7</f>
        <v>4</v>
      </c>
      <c r="AO6" s="249">
        <f>'Alternative 3-Tilt Up (3pt)'!$T6/1000000</f>
        <v>5.1576262492696046</v>
      </c>
      <c r="AP6" s="249">
        <f>'Alternative 3-Tilt Up (3pt)'!$Z6/1000000</f>
        <v>1.8654417103949057</v>
      </c>
      <c r="AQ6" s="249">
        <f>'Alternative 3-Tilt Up (3pt)'!$AF6/1000000</f>
        <v>3.303697998767932</v>
      </c>
      <c r="AR6" s="249">
        <f>'Alternative 3-Tilt Up (3pt)'!$AL6/1000000</f>
        <v>3.4310562426101487</v>
      </c>
      <c r="AS6" s="249">
        <f>'Alternative 3-Tilt Up (3pt)'!$AR6/1000000</f>
        <v>3.153204340085709</v>
      </c>
      <c r="AT6" s="249">
        <f>'Alternative 3-Tilt Up (3pt)'!$AX6/1000000</f>
        <v>2.6496757151335086</v>
      </c>
      <c r="AU6" s="249">
        <f>'Alternative 3-Tilt Up (3pt)'!$BD6/1000000</f>
        <v>1.9921549692476404</v>
      </c>
      <c r="AV6" s="249">
        <f>'Alternative 3-Tilt Up (3pt)'!$BJ6/1000000</f>
        <v>1.2245466283149846</v>
      </c>
      <c r="AW6" s="249">
        <f>'Alternative 3-Tilt Up (3pt)'!$BP6/1000000</f>
        <v>0.38161412379586751</v>
      </c>
      <c r="AX6" s="249">
        <f>'Alternative 3-Tilt Up (3pt)'!$BV6/1000000</f>
        <v>-4.4500037587365493E-4</v>
      </c>
      <c r="AY6" s="249">
        <f>'Alternative 3'!$B$20/1.67</f>
        <v>149.70059880239521</v>
      </c>
    </row>
    <row r="7" spans="1:51" x14ac:dyDescent="0.25">
      <c r="A7" s="249">
        <f>'Baseline Given'!E8</f>
        <v>5</v>
      </c>
      <c r="B7" s="249">
        <f>'Baseline-tilt up (3 pt)'!T7/1000000</f>
        <v>-23.273678033492637</v>
      </c>
      <c r="C7" s="249">
        <f>'Baseline-tilt up (3 pt)'!Z7/1000000</f>
        <v>-46.54410848887688</v>
      </c>
      <c r="D7" s="249">
        <f>'Baseline-tilt up (3 pt)'!AF7/1000000</f>
        <v>-33.22798316803032</v>
      </c>
      <c r="E7" s="249">
        <f>'Baseline-tilt up (3 pt)'!AL7/1000000</f>
        <v>-27.786179478451128</v>
      </c>
      <c r="F7" s="249">
        <f>'Baseline-tilt up (3 pt)'!AR7/1000000</f>
        <v>-23.708447664749158</v>
      </c>
      <c r="G7" s="249">
        <f>'Baseline-tilt up (3 pt)'!AX7/1000000</f>
        <v>-19.86298524782374</v>
      </c>
      <c r="H7" s="249">
        <f>'Baseline-tilt up (3 pt)'!BD7/1000000</f>
        <v>-15.95280378390021</v>
      </c>
      <c r="I7" s="249">
        <f>'Baseline-tilt up (3 pt)'!BJ7/1000000</f>
        <v>-11.921111162348936</v>
      </c>
      <c r="J7" s="249">
        <f>'Baseline-tilt up (3 pt)'!BP7/1000000</f>
        <v>-7.8064477340844087</v>
      </c>
      <c r="K7" s="249">
        <f>'Baseline-tilt up (3 pt)'!BV7/1000000</f>
        <v>-3.6939864489936731</v>
      </c>
      <c r="L7" s="249">
        <f>'Baseline Given'!$B$21/1.67</f>
        <v>149.70059880239521</v>
      </c>
      <c r="N7" s="249">
        <f>'Alternative 1'!$F8</f>
        <v>5</v>
      </c>
      <c r="O7" s="249">
        <f>'Alternative 1-Tilt Up (3pt)'!$T7/1000000</f>
        <v>5.760490068389192</v>
      </c>
      <c r="P7" s="249">
        <f>'Alternative 1-Tilt Up (3pt)'!$Z7/1000000</f>
        <v>2.4542670767488985</v>
      </c>
      <c r="Q7" s="249">
        <f>'Alternative 1-Tilt Up (3pt)'!$AF7/1000000</f>
        <v>3.8680889451101392</v>
      </c>
      <c r="R7" s="249">
        <f>'Alternative 1-Tilt Up (3pt)'!$AL7/1000000</f>
        <v>3.9519206714824646</v>
      </c>
      <c r="S7" s="249">
        <f>'Alternative 1-Tilt Up (3pt)'!$AR7/1000000</f>
        <v>3.6142588109951532</v>
      </c>
      <c r="T7" s="249">
        <f>'Alternative 1-Tilt Up (3pt)'!$AX7/1000000</f>
        <v>3.0367335493327734</v>
      </c>
      <c r="U7" s="249">
        <f>'Alternative 1-Tilt Up (3pt)'!$BD7/1000000</f>
        <v>2.2933698631619577</v>
      </c>
      <c r="V7" s="249">
        <f>'Alternative 1-Tilt Up (3pt)'!$BJ7/1000000</f>
        <v>1.4307195406295987</v>
      </c>
      <c r="W7" s="249">
        <f>'Alternative 1-Tilt Up (3pt)'!$BP7/1000000</f>
        <v>0.48645235333915937</v>
      </c>
      <c r="X7" s="249">
        <f>'Alternative 1-Tilt Up (3pt)'!$BV7/1000000</f>
        <v>-2.1425944023434392E-4</v>
      </c>
      <c r="Y7" s="249">
        <f>'Alternative 1'!$B$20/1.67</f>
        <v>149.70059880239521</v>
      </c>
      <c r="AA7" s="249">
        <f>'Alternative 2'!$F8</f>
        <v>5</v>
      </c>
      <c r="AB7" s="249">
        <f>'Alternative 2-Tilt Up (3pt)'!$T7/1000000</f>
        <v>1.719620574849607</v>
      </c>
      <c r="AC7" s="249">
        <f>'Alternative 2-Tilt Up (3pt)'!$Z7/1000000</f>
        <v>1.0144879483882363</v>
      </c>
      <c r="AD7" s="249">
        <f>'Alternative 2-Tilt Up (3pt)'!$AF7/1000000</f>
        <v>1.2901018952969934</v>
      </c>
      <c r="AE7" s="249">
        <f>'Alternative 2-Tilt Up (3pt)'!$AL7/1000000</f>
        <v>1.2706121940624697</v>
      </c>
      <c r="AF7" s="249">
        <f>'Alternative 2-Tilt Up (3pt)'!$AR7/1000000</f>
        <v>1.1488853065656837</v>
      </c>
      <c r="AG7" s="249">
        <f>'Alternative 2-Tilt Up (3pt)'!$AX7/1000000</f>
        <v>0.9647873425742346</v>
      </c>
      <c r="AH7" s="249">
        <f>'Alternative 2-Tilt Up (3pt)'!$BD7/1000000</f>
        <v>0.73583148791577679</v>
      </c>
      <c r="AI7" s="249">
        <f>'Alternative 2-Tilt Up (3pt)'!$BJ7/1000000</f>
        <v>0.47403229736018426</v>
      </c>
      <c r="AJ7" s="249">
        <f>'Alternative 2-Tilt Up (3pt)'!$BP7/1000000</f>
        <v>0.18976279606161189</v>
      </c>
      <c r="AK7" s="249">
        <f>'Alternative 2-Tilt Up (3pt)'!$BV7/1000000</f>
        <v>-2.2250018793738995E-4</v>
      </c>
      <c r="AL7" s="249">
        <f>'Alternative 2'!$B$20/1.67</f>
        <v>149.70059880239521</v>
      </c>
      <c r="AN7" s="249">
        <f>'Alternative 3'!$F8</f>
        <v>5</v>
      </c>
      <c r="AO7" s="249">
        <f>'Alternative 3-Tilt Up (3pt)'!$T7/1000000</f>
        <v>4.6683346960007137</v>
      </c>
      <c r="AP7" s="249">
        <f>'Alternative 3-Tilt Up (3pt)'!$Z7/1000000</f>
        <v>1.5620079173459005</v>
      </c>
      <c r="AQ7" s="249">
        <f>'Alternative 3-Tilt Up (3pt)'!$AF7/1000000</f>
        <v>2.9295140524427508</v>
      </c>
      <c r="AR7" s="249">
        <f>'Alternative 3-Tilt Up (3pt)'!$AL7/1000000</f>
        <v>3.0647424691266725</v>
      </c>
      <c r="AS7" s="249">
        <f>'Alternative 3-Tilt Up (3pt)'!$AR7/1000000</f>
        <v>2.822610955789369</v>
      </c>
      <c r="AT7" s="249">
        <f>'Alternative 3-Tilt Up (3pt)'!$AX7/1000000</f>
        <v>2.3720625329485241</v>
      </c>
      <c r="AU7" s="249">
        <f>'Alternative 3-Tilt Up (3pt)'!$BD7/1000000</f>
        <v>1.7800395177428714</v>
      </c>
      <c r="AV7" s="249">
        <f>'Alternative 3-Tilt Up (3pt)'!$BJ7/1000000</f>
        <v>1.087127093392436</v>
      </c>
      <c r="AW7" s="249">
        <f>'Alternative 3-Tilt Up (3pt)'!$BP7/1000000</f>
        <v>0.32518353592737953</v>
      </c>
      <c r="AX7" s="249">
        <f>'Alternative 3-Tilt Up (3pt)'!$BV7/1000000</f>
        <v>-4.202781327695755E-4</v>
      </c>
      <c r="AY7" s="249">
        <f>'Alternative 3'!$B$20/1.67</f>
        <v>149.70059880239521</v>
      </c>
    </row>
    <row r="8" spans="1:51" x14ac:dyDescent="0.25">
      <c r="A8" s="249">
        <f>'Baseline Given'!E9</f>
        <v>6</v>
      </c>
      <c r="B8" s="249">
        <f>'Baseline-tilt up (3 pt)'!T8/1000000</f>
        <v>-23.441305470616978</v>
      </c>
      <c r="C8" s="249">
        <f>'Baseline-tilt up (3 pt)'!Z8/1000000</f>
        <v>-46.202321367549899</v>
      </c>
      <c r="D8" s="249">
        <f>'Baseline-tilt up (3 pt)'!AF8/1000000</f>
        <v>-33.142000671027525</v>
      </c>
      <c r="E8" s="249">
        <f>'Baseline-tilt up (3 pt)'!AL8/1000000</f>
        <v>-27.767853056180858</v>
      </c>
      <c r="F8" s="249">
        <f>'Baseline-tilt up (3 pt)'!AR8/1000000</f>
        <v>-23.710915371522496</v>
      </c>
      <c r="G8" s="249">
        <f>'Baseline-tilt up (3 pt)'!AX8/1000000</f>
        <v>-19.865716491759621</v>
      </c>
      <c r="H8" s="249">
        <f>'Baseline-tilt up (3 pt)'!BD8/1000000</f>
        <v>-15.944145983815812</v>
      </c>
      <c r="I8" s="249">
        <f>'Baseline-tilt up (3 pt)'!BJ8/1000000</f>
        <v>-11.89352839451163</v>
      </c>
      <c r="J8" s="249">
        <f>'Baseline-tilt up (3 pt)'!BP8/1000000</f>
        <v>-7.7547819511257092</v>
      </c>
      <c r="K8" s="249">
        <f>'Baseline-tilt up (3 pt)'!BV8/1000000</f>
        <v>-3.6146670151171221</v>
      </c>
      <c r="L8" s="249">
        <f>'Baseline Given'!$B$21/1.67</f>
        <v>149.70059880239521</v>
      </c>
      <c r="N8" s="249">
        <f>'Alternative 1'!$F9</f>
        <v>6</v>
      </c>
      <c r="O8" s="249">
        <f>'Alternative 1-Tilt Up (3pt)'!$T8/1000000</f>
        <v>5.2955027263017058</v>
      </c>
      <c r="P8" s="249">
        <f>'Alternative 1-Tilt Up (3pt)'!$Z8/1000000</f>
        <v>2.1819590127786457</v>
      </c>
      <c r="Q8" s="249">
        <f>'Alternative 1-Tilt Up (3pt)'!$AF8/1000000</f>
        <v>3.5202024671530476</v>
      </c>
      <c r="R8" s="249">
        <f>'Alternative 1-Tilt Up (3pt)'!$AL8/1000000</f>
        <v>3.608975762021001</v>
      </c>
      <c r="S8" s="249">
        <f>'Alternative 1-Tilt Up (3pt)'!$AR8/1000000</f>
        <v>3.3040650897008614</v>
      </c>
      <c r="T8" s="249">
        <f>'Alternative 1-Tilt Up (3pt)'!$AX8/1000000</f>
        <v>2.7762187479292564</v>
      </c>
      <c r="U8" s="249">
        <f>'Alternative 1-Tilt Up (3pt)'!$BD8/1000000</f>
        <v>2.0946939466172378</v>
      </c>
      <c r="V8" s="249">
        <f>'Alternative 1-Tilt Up (3pt)'!$BJ8/1000000</f>
        <v>1.3027809311467018</v>
      </c>
      <c r="W8" s="249">
        <f>'Alternative 1-Tilt Up (3pt)'!$BP8/1000000</f>
        <v>0.43533908402880478</v>
      </c>
      <c r="X8" s="249">
        <f>'Alternative 1-Tilt Up (3pt)'!$BV8/1000000</f>
        <v>-2.0189831868237061E-4</v>
      </c>
      <c r="Y8" s="249">
        <f>'Alternative 1'!$B$20/1.67</f>
        <v>149.70059880239521</v>
      </c>
      <c r="AA8" s="249">
        <f>'Alternative 2'!$F9</f>
        <v>6</v>
      </c>
      <c r="AB8" s="249">
        <f>'Alternative 2-Tilt Up (3pt)'!$T8/1000000</f>
        <v>1.5958700725944501</v>
      </c>
      <c r="AC8" s="249">
        <f>'Alternative 2-Tilt Up (3pt)'!$Z8/1000000</f>
        <v>0.96810320739844091</v>
      </c>
      <c r="AD8" s="249">
        <f>'Alternative 2-Tilt Up (3pt)'!$AF8/1000000</f>
        <v>1.2100544503973198</v>
      </c>
      <c r="AE8" s="249">
        <f>'Alternative 2-Tilt Up (3pt)'!$AL8/1000000</f>
        <v>1.1877680857910922</v>
      </c>
      <c r="AF8" s="249">
        <f>'Alternative 2-Tilt Up (3pt)'!$AR8/1000000</f>
        <v>1.072831742087561</v>
      </c>
      <c r="AG8" s="249">
        <f>'Alternative 2-Tilt Up (3pt)'!$AX8/1000000</f>
        <v>0.90088659071870447</v>
      </c>
      <c r="AH8" s="249">
        <f>'Alternative 2-Tilt Up (3pt)'!$BD8/1000000</f>
        <v>0.68775217574472369</v>
      </c>
      <c r="AI8" s="249">
        <f>'Alternative 2-Tilt Up (3pt)'!$BJ8/1000000</f>
        <v>0.44440034249856497</v>
      </c>
      <c r="AJ8" s="249">
        <f>'Alternative 2-Tilt Up (3pt)'!$BP8/1000000</f>
        <v>0.18037489260336034</v>
      </c>
      <c r="AK8" s="249">
        <f>'Alternative 2-Tilt Up (3pt)'!$BV8/1000000</f>
        <v>-1.9777794483323137E-4</v>
      </c>
      <c r="AL8" s="249">
        <f>'Alternative 2'!$B$20/1.67</f>
        <v>149.70059880239521</v>
      </c>
      <c r="AN8" s="249">
        <f>'Alternative 3'!$F9</f>
        <v>6</v>
      </c>
      <c r="AO8" s="249">
        <f>'Alternative 3-Tilt Up (3pt)'!$T8/1000000</f>
        <v>4.2453999010876498</v>
      </c>
      <c r="AP8" s="249">
        <f>'Alternative 3-Tilt Up (3pt)'!$Z8/1000000</f>
        <v>1.3239626072875732</v>
      </c>
      <c r="AQ8" s="249">
        <f>'Alternative 3-Tilt Up (3pt)'!$AF8/1000000</f>
        <v>2.6177230703918504</v>
      </c>
      <c r="AR8" s="249">
        <f>'Alternative 3-Tilt Up (3pt)'!$AL8/1000000</f>
        <v>2.7559303625539764</v>
      </c>
      <c r="AS8" s="249">
        <f>'Alternative 3-Tilt Up (3pt)'!$AR8/1000000</f>
        <v>2.5428807819884569</v>
      </c>
      <c r="AT8" s="249">
        <f>'Alternative 3-Tilt Up (3pt)'!$AX8/1000000</f>
        <v>2.1371286519307464</v>
      </c>
      <c r="AU8" s="249">
        <f>'Alternative 3-Tilt Up (3pt)'!$BD8/1000000</f>
        <v>1.6011226691078912</v>
      </c>
      <c r="AV8" s="249">
        <f>'Alternative 3-Tilt Up (3pt)'!$BJ8/1000000</f>
        <v>0.97241674029335512</v>
      </c>
      <c r="AW8" s="249">
        <f>'Alternative 3-Tilt Up (3pt)'!$BP8/1000000</f>
        <v>0.28028270183774712</v>
      </c>
      <c r="AX8" s="249">
        <f>'Alternative 3-Tilt Up (3pt)'!$BV8/1000000</f>
        <v>-3.955558896654919E-4</v>
      </c>
      <c r="AY8" s="249">
        <f>'Alternative 3'!$B$20/1.67</f>
        <v>149.70059880239521</v>
      </c>
    </row>
    <row r="9" spans="1:51" x14ac:dyDescent="0.25">
      <c r="A9" s="249">
        <f>'Baseline Given'!E10</f>
        <v>7</v>
      </c>
      <c r="B9" s="249">
        <f>'Baseline-tilt up (3 pt)'!T9/1000000</f>
        <v>-23.515064791982638</v>
      </c>
      <c r="C9" s="249">
        <f>'Baseline-tilt up (3 pt)'!Z9/1000000</f>
        <v>-45.761210544771913</v>
      </c>
      <c r="D9" s="249">
        <f>'Baseline-tilt up (3 pt)'!AF9/1000000</f>
        <v>-32.964477694376605</v>
      </c>
      <c r="E9" s="249">
        <f>'Baseline-tilt up (3 pt)'!AL9/1000000</f>
        <v>-27.665982575163365</v>
      </c>
      <c r="F9" s="249">
        <f>'Baseline-tilt up (3 pt)'!AR9/1000000</f>
        <v>-23.639735486399498</v>
      </c>
      <c r="G9" s="249">
        <f>'Baseline-tilt up (3 pt)'!AX9/1000000</f>
        <v>-19.806658962034312</v>
      </c>
      <c r="H9" s="249">
        <f>'Baseline-tilt up (3 pt)'!BD9/1000000</f>
        <v>-15.887279887754289</v>
      </c>
      <c r="I9" s="249">
        <f>'Baseline-tilt up (3 pt)'!BJ9/1000000</f>
        <v>-11.832677595484197</v>
      </c>
      <c r="J9" s="249">
        <f>'Baseline-tilt up (3 pt)'!BP9/1000000</f>
        <v>-7.6857185082197192</v>
      </c>
      <c r="K9" s="249">
        <f>'Baseline-tilt up (3 pt)'!BV9/1000000</f>
        <v>-3.5342797055414095</v>
      </c>
      <c r="L9" s="249">
        <f>'Baseline Given'!$B$21/1.67</f>
        <v>149.70059880239521</v>
      </c>
      <c r="N9" s="249">
        <f>'Alternative 1'!$F10</f>
        <v>7</v>
      </c>
      <c r="O9" s="249">
        <f>'Alternative 1-Tilt Up (3pt)'!$T9/1000000</f>
        <v>4.8981415762081539</v>
      </c>
      <c r="P9" s="249">
        <f>'Alternative 1-Tilt Up (3pt)'!$Z9/1000000</f>
        <v>1.9762903419084505</v>
      </c>
      <c r="Q9" s="249">
        <f>'Alternative 1-Tilt Up (3pt)'!$AF9/1000000</f>
        <v>3.235902558004168</v>
      </c>
      <c r="R9" s="249">
        <f>'Alternative 1-Tilt Up (3pt)'!$AL9/1000000</f>
        <v>3.3246325513590311</v>
      </c>
      <c r="S9" s="249">
        <f>'Alternative 1-Tilt Up (3pt)'!$AR9/1000000</f>
        <v>3.0457076142332196</v>
      </c>
      <c r="T9" s="249">
        <f>'Alternative 1-Tilt Up (3pt)'!$AX9/1000000</f>
        <v>2.5591997212804882</v>
      </c>
      <c r="U9" s="249">
        <f>'Alternative 1-Tilt Up (3pt)'!$BD9/1000000</f>
        <v>1.9298517366493753</v>
      </c>
      <c r="V9" s="249">
        <f>'Alternative 1-Tilt Up (3pt)'!$BJ9/1000000</f>
        <v>1.1979859400091173</v>
      </c>
      <c r="W9" s="249">
        <f>'Alternative 1-Tilt Up (3pt)'!$BP9/1000000</f>
        <v>0.39597613770002782</v>
      </c>
      <c r="X9" s="249">
        <f>'Alternative 1-Tilt Up (3pt)'!$BV9/1000000</f>
        <v>-1.8953719713039321E-4</v>
      </c>
      <c r="Y9" s="249">
        <f>'Alternative 1'!$B$20/1.67</f>
        <v>149.70059880239521</v>
      </c>
      <c r="AA9" s="249">
        <f>'Alternative 2'!$F10</f>
        <v>7</v>
      </c>
      <c r="AB9" s="249">
        <f>'Alternative 2-Tilt Up (3pt)'!$T9/1000000</f>
        <v>1.5153957170930943</v>
      </c>
      <c r="AC9" s="249">
        <f>'Alternative 2-Tilt Up (3pt)'!$Z9/1000000</f>
        <v>0.96436312922865175</v>
      </c>
      <c r="AD9" s="249">
        <f>'Alternative 2-Tilt Up (3pt)'!$AF9/1000000</f>
        <v>1.1706980691547841</v>
      </c>
      <c r="AE9" s="249">
        <f>'Alternative 2-Tilt Up (3pt)'!$AL9/1000000</f>
        <v>1.1424250646354357</v>
      </c>
      <c r="AF9" s="249">
        <f>'Alternative 2-Tilt Up (3pt)'!$AR9/1000000</f>
        <v>1.0299498366281947</v>
      </c>
      <c r="AG9" s="249">
        <f>'Alternative 2-Tilt Up (3pt)'!$AX9/1000000</f>
        <v>0.86482016571135223</v>
      </c>
      <c r="AH9" s="249">
        <f>'Alternative 2-Tilt Up (3pt)'!$BD9/1000000</f>
        <v>0.6613241263148345</v>
      </c>
      <c r="AI9" s="249">
        <f>'Alternative 2-Tilt Up (3pt)'!$BJ9/1000000</f>
        <v>0.42957872360877564</v>
      </c>
      <c r="AJ9" s="249">
        <f>'Alternative 2-Tilt Up (3pt)'!$BP9/1000000</f>
        <v>0.1785063937834914</v>
      </c>
      <c r="AK9" s="249">
        <f>'Alternative 2-Tilt Up (3pt)'!$BV9/1000000</f>
        <v>-1.730557017290702E-4</v>
      </c>
      <c r="AL9" s="249">
        <f>'Alternative 2'!$B$20/1.67</f>
        <v>149.70059880239521</v>
      </c>
      <c r="AN9" s="249">
        <f>'Alternative 3'!$F10</f>
        <v>7</v>
      </c>
      <c r="AO9" s="249">
        <f>'Alternative 3-Tilt Up (3pt)'!$T9/1000000</f>
        <v>3.8888218645304073</v>
      </c>
      <c r="AP9" s="249">
        <f>'Alternative 3-Tilt Up (3pt)'!$Z9/1000000</f>
        <v>1.1513057802199236</v>
      </c>
      <c r="AQ9" s="249">
        <f>'Alternative 3-Tilt Up (3pt)'!$AF9/1000000</f>
        <v>2.3683250526152309</v>
      </c>
      <c r="AR9" s="249">
        <f>'Alternative 3-Tilt Up (3pt)'!$AL9/1000000</f>
        <v>2.5046199228920458</v>
      </c>
      <c r="AS9" s="249">
        <f>'Alternative 3-Tilt Up (3pt)'!$AR9/1000000</f>
        <v>2.3140138186829655</v>
      </c>
      <c r="AT9" s="249">
        <f>'Alternative 3-Tilt Up (3pt)'!$AX9/1000000</f>
        <v>1.944874072080166</v>
      </c>
      <c r="AU9" s="249">
        <f>'Alternative 3-Tilt Up (3pt)'!$BD9/1000000</f>
        <v>1.4554044233426933</v>
      </c>
      <c r="AV9" s="249">
        <f>'Alternative 3-Tilt Up (3pt)'!$BJ9/1000000</f>
        <v>0.88041556901774565</v>
      </c>
      <c r="AW9" s="249">
        <f>'Alternative 3-Tilt Up (3pt)'!$BP9/1000000</f>
        <v>0.24691162152696569</v>
      </c>
      <c r="AX9" s="249">
        <f>'Alternative 3-Tilt Up (3pt)'!$BV9/1000000</f>
        <v>-3.7083364656140423E-4</v>
      </c>
      <c r="AY9" s="249">
        <f>'Alternative 3'!$B$20/1.67</f>
        <v>149.70059880239521</v>
      </c>
    </row>
    <row r="10" spans="1:51" x14ac:dyDescent="0.25">
      <c r="A10" s="249">
        <f>'Baseline Given'!E11</f>
        <v>8</v>
      </c>
      <c r="B10" s="249">
        <f>'Baseline-tilt up (3 pt)'!T10/1000000</f>
        <v>-23.493047534392787</v>
      </c>
      <c r="C10" s="249">
        <f>'Baseline-tilt up (3 pt)'!Z10/1000000</f>
        <v>-45.218756638058643</v>
      </c>
      <c r="D10" s="249">
        <f>'Baseline-tilt up (3 pt)'!AF10/1000000</f>
        <v>-32.693553098807548</v>
      </c>
      <c r="E10" s="249">
        <f>'Baseline-tilt up (3 pt)'!AL10/1000000</f>
        <v>-27.478869473963286</v>
      </c>
      <c r="F10" s="249">
        <f>'Baseline-tilt up (3 pt)'!AR10/1000000</f>
        <v>-23.493410656231735</v>
      </c>
      <c r="G10" s="249">
        <f>'Baseline-tilt up (3 pt)'!AX10/1000000</f>
        <v>-19.684556410990442</v>
      </c>
      <c r="H10" s="249">
        <f>'Baseline-tilt up (3 pt)'!BD10/1000000</f>
        <v>-15.781225357167951</v>
      </c>
      <c r="I10" s="249">
        <f>'Baseline-tilt up (3 pt)'!BJ10/1000000</f>
        <v>-11.737882382102379</v>
      </c>
      <c r="J10" s="249">
        <f>'Baseline-tilt up (3 pt)'!BP10/1000000</f>
        <v>-7.5989036878825624</v>
      </c>
      <c r="K10" s="249">
        <f>'Baseline-tilt up (3 pt)'!BV10/1000000</f>
        <v>-3.4528028089383156</v>
      </c>
      <c r="L10" s="249">
        <f>'Baseline Given'!$B$21/1.67</f>
        <v>149.70059880239521</v>
      </c>
      <c r="N10" s="249">
        <f>'Alternative 1'!$F11</f>
        <v>8</v>
      </c>
      <c r="O10" s="249">
        <f>'Alternative 1-Tilt Up (3pt)'!$T10/1000000</f>
        <v>4.5684066181085434</v>
      </c>
      <c r="P10" s="249">
        <f>'Alternative 1-Tilt Up (3pt)'!$Z10/1000000</f>
        <v>1.8372610641383247</v>
      </c>
      <c r="Q10" s="249">
        <f>'Alternative 1-Tilt Up (3pt)'!$AF10/1000000</f>
        <v>3.0151892176635156</v>
      </c>
      <c r="R10" s="249">
        <f>'Alternative 1-Tilt Up (3pt)'!$AL10/1000000</f>
        <v>3.098891039496563</v>
      </c>
      <c r="S10" s="249">
        <f>'Alternative 1-Tilt Up (3pt)'!$AR10/1000000</f>
        <v>2.8391863845922161</v>
      </c>
      <c r="T10" s="249">
        <f>'Alternative 1-Tilt Up (3pt)'!$AX10/1000000</f>
        <v>2.3856764693864743</v>
      </c>
      <c r="U10" s="249">
        <f>'Alternative 1-Tilt Up (3pt)'!$BD10/1000000</f>
        <v>1.7988432332583715</v>
      </c>
      <c r="V10" s="249">
        <f>'Alternative 1-Tilt Up (3pt)'!$BJ10/1000000</f>
        <v>1.1163345672168441</v>
      </c>
      <c r="W10" s="249">
        <f>'Alternative 1-Tilt Up (3pt)'!$BP10/1000000</f>
        <v>0.36836351435282783</v>
      </c>
      <c r="X10" s="249">
        <f>'Alternative 1-Tilt Up (3pt)'!$BV10/1000000</f>
        <v>-1.7717607557841172E-4</v>
      </c>
      <c r="Y10" s="249">
        <f>'Alternative 1'!$B$20/1.67</f>
        <v>149.70059880239521</v>
      </c>
      <c r="AA10" s="249">
        <f>'Alternative 2'!$F11</f>
        <v>8</v>
      </c>
      <c r="AB10" s="249">
        <f>'Alternative 2-Tilt Up (3pt)'!$T10/1000000</f>
        <v>1.4781975083455356</v>
      </c>
      <c r="AC10" s="249">
        <f>'Alternative 2-Tilt Up (3pt)'!$Z10/1000000</f>
        <v>1.0032677138788684</v>
      </c>
      <c r="AD10" s="249">
        <f>'Alternative 2-Tilt Up (3pt)'!$AF10/1000000</f>
        <v>1.1720327515693858</v>
      </c>
      <c r="AE10" s="249">
        <f>'Alternative 2-Tilt Up (3pt)'!$AL10/1000000</f>
        <v>1.1345831305954956</v>
      </c>
      <c r="AF10" s="249">
        <f>'Alternative 2-Tilt Up (3pt)'!$AR10/1000000</f>
        <v>1.0202395901875829</v>
      </c>
      <c r="AG10" s="249">
        <f>'Alternative 2-Tilt Up (3pt)'!$AX10/1000000</f>
        <v>0.8565880675521752</v>
      </c>
      <c r="AH10" s="249">
        <f>'Alternative 2-Tilt Up (3pt)'!$BD10/1000000</f>
        <v>0.65654733962611034</v>
      </c>
      <c r="AI10" s="249">
        <f>'Alternative 2-Tilt Up (3pt)'!$BJ10/1000000</f>
        <v>0.42956744069081493</v>
      </c>
      <c r="AJ10" s="249">
        <f>'Alternative 2-Tilt Up (3pt)'!$BP10/1000000</f>
        <v>0.18415729960200439</v>
      </c>
      <c r="AK10" s="249">
        <f>'Alternative 2-Tilt Up (3pt)'!$BV10/1000000</f>
        <v>-1.4833345862490629E-4</v>
      </c>
      <c r="AL10" s="249">
        <f>'Alternative 2'!$B$20/1.67</f>
        <v>149.70059880239521</v>
      </c>
      <c r="AN10" s="249">
        <f>'Alternative 3'!$F11</f>
        <v>8</v>
      </c>
      <c r="AO10" s="249">
        <f>'Alternative 3-Tilt Up (3pt)'!$T10/1000000</f>
        <v>3.598600586328994</v>
      </c>
      <c r="AP10" s="249">
        <f>'Alternative 3-Tilt Up (3pt)'!$Z10/1000000</f>
        <v>1.0440374361429425</v>
      </c>
      <c r="AQ10" s="249">
        <f>'Alternative 3-Tilt Up (3pt)'!$AF10/1000000</f>
        <v>2.1813199991128811</v>
      </c>
      <c r="AR10" s="249">
        <f>'Alternative 3-Tilt Up (3pt)'!$AL10/1000000</f>
        <v>2.3108111501408777</v>
      </c>
      <c r="AS10" s="249">
        <f>'Alternative 3-Tilt Up (3pt)'!$AR10/1000000</f>
        <v>2.1360100658729051</v>
      </c>
      <c r="AT10" s="249">
        <f>'Alternative 3-Tilt Up (3pt)'!$AX10/1000000</f>
        <v>1.7952987933967948</v>
      </c>
      <c r="AU10" s="249">
        <f>'Alternative 3-Tilt Up (3pt)'!$BD10/1000000</f>
        <v>1.3428847804472777</v>
      </c>
      <c r="AV10" s="249">
        <f>'Alternative 3-Tilt Up (3pt)'!$BJ10/1000000</f>
        <v>0.81112357956560899</v>
      </c>
      <c r="AW10" s="249">
        <f>'Alternative 3-Tilt Up (3pt)'!$BP10/1000000</f>
        <v>0.22507029499503606</v>
      </c>
      <c r="AX10" s="249">
        <f>'Alternative 3-Tilt Up (3pt)'!$BV10/1000000</f>
        <v>-3.461114034573125E-4</v>
      </c>
      <c r="AY10" s="249">
        <f>'Alternative 3'!$B$20/1.67</f>
        <v>149.70059880239521</v>
      </c>
    </row>
    <row r="11" spans="1:51" x14ac:dyDescent="0.25">
      <c r="A11" s="249">
        <f>'Baseline Given'!E12</f>
        <v>9</v>
      </c>
      <c r="B11" s="249">
        <f>'Baseline-tilt up (3 pt)'!T11/1000000</f>
        <v>-23.373293146193181</v>
      </c>
      <c r="C11" s="249">
        <f>'Baseline-tilt up (3 pt)'!Z11/1000000</f>
        <v>-44.57288514910357</v>
      </c>
      <c r="D11" s="249">
        <f>'Baseline-tilt up (3 pt)'!AF11/1000000</f>
        <v>-32.327314948224277</v>
      </c>
      <c r="E11" s="249">
        <f>'Baseline-tilt up (3 pt)'!AL11/1000000</f>
        <v>-27.204768831621593</v>
      </c>
      <c r="F11" s="249">
        <f>'Baseline-tilt up (3 pt)'!AR11/1000000</f>
        <v>-23.27040266000613</v>
      </c>
      <c r="G11" s="249">
        <f>'Baseline-tilt up (3 pt)'!AX11/1000000</f>
        <v>-19.498118303695815</v>
      </c>
      <c r="H11" s="249">
        <f>'Baseline-tilt up (3 pt)'!BD11/1000000</f>
        <v>-15.624975502191576</v>
      </c>
      <c r="I11" s="249">
        <f>'Baseline-tilt up (3 pt)'!BJ11/1000000</f>
        <v>-11.608447910402864</v>
      </c>
      <c r="J11" s="249">
        <f>'Baseline-tilt up (3 pt)'!BP11/1000000</f>
        <v>-7.4939741184761619</v>
      </c>
      <c r="K11" s="249">
        <f>'Baseline-tilt up (3 pt)'!BV11/1000000</f>
        <v>-3.370214021403565</v>
      </c>
      <c r="L11" s="249">
        <f>'Baseline Given'!$B$21/1.67</f>
        <v>149.70059880239521</v>
      </c>
      <c r="N11" s="249">
        <f>'Alternative 1'!$F12</f>
        <v>9</v>
      </c>
      <c r="O11" s="249">
        <f>'Alternative 1-Tilt Up (3pt)'!$T11/1000000</f>
        <v>4.3062978520028743</v>
      </c>
      <c r="P11" s="249">
        <f>'Alternative 1-Tilt Up (3pt)'!$Z11/1000000</f>
        <v>1.7648711794682654</v>
      </c>
      <c r="Q11" s="249">
        <f>'Alternative 1-Tilt Up (3pt)'!$AF11/1000000</f>
        <v>2.8580624461310866</v>
      </c>
      <c r="R11" s="249">
        <f>'Alternative 1-Tilt Up (3pt)'!$AL11/1000000</f>
        <v>2.9317512264335925</v>
      </c>
      <c r="S11" s="249">
        <f>'Alternative 1-Tilt Up (3pt)'!$AR11/1000000</f>
        <v>2.6845014007778554</v>
      </c>
      <c r="T11" s="249">
        <f>'Alternative 1-Tilt Up (3pt)'!$AX11/1000000</f>
        <v>2.2556489922472109</v>
      </c>
      <c r="U11" s="249">
        <f>'Alternative 1-Tilt Up (3pt)'!$BD11/1000000</f>
        <v>1.7016684364442272</v>
      </c>
      <c r="V11" s="249">
        <f>'Alternative 1-Tilt Up (3pt)'!$BJ11/1000000</f>
        <v>1.057826812769884</v>
      </c>
      <c r="W11" s="249">
        <f>'Alternative 1-Tilt Up (3pt)'!$BP11/1000000</f>
        <v>0.35250121398720952</v>
      </c>
      <c r="X11" s="249">
        <f>'Alternative 1-Tilt Up (3pt)'!$BV11/1000000</f>
        <v>-1.6481495402642603E-4</v>
      </c>
      <c r="Y11" s="249">
        <f>'Alternative 1'!$B$20/1.67</f>
        <v>149.70059880239521</v>
      </c>
      <c r="AA11" s="249">
        <f>'Alternative 2'!$F12</f>
        <v>9</v>
      </c>
      <c r="AB11" s="249">
        <f>'Alternative 2-Tilt Up (3pt)'!$T11/1000000</f>
        <v>1.4842754463517784</v>
      </c>
      <c r="AC11" s="249">
        <f>'Alternative 2-Tilt Up (3pt)'!$Z11/1000000</f>
        <v>1.0848169613490919</v>
      </c>
      <c r="AD11" s="249">
        <f>'Alternative 2-Tilt Up (3pt)'!$AF11/1000000</f>
        <v>1.2140584976411257</v>
      </c>
      <c r="AE11" s="249">
        <f>'Alternative 2-Tilt Up (3pt)'!$AL11/1000000</f>
        <v>1.164242283671278</v>
      </c>
      <c r="AF11" s="249">
        <f>'Alternative 2-Tilt Up (3pt)'!$AR11/1000000</f>
        <v>1.0437010027657274</v>
      </c>
      <c r="AG11" s="249">
        <f>'Alternative 2-Tilt Up (3pt)'!$AX11/1000000</f>
        <v>0.87619029624117517</v>
      </c>
      <c r="AH11" s="249">
        <f>'Alternative 2-Tilt Up (3pt)'!$BD11/1000000</f>
        <v>0.6734218156785502</v>
      </c>
      <c r="AI11" s="249">
        <f>'Alternative 2-Tilt Up (3pt)'!$BJ11/1000000</f>
        <v>0.44436649374468418</v>
      </c>
      <c r="AJ11" s="249">
        <f>'Alternative 2-Tilt Up (3pt)'!$BP11/1000000</f>
        <v>0.19732761005889976</v>
      </c>
      <c r="AK11" s="249">
        <f>'Alternative 2-Tilt Up (3pt)'!$BV11/1000000</f>
        <v>-1.2361121552073977E-4</v>
      </c>
      <c r="AL11" s="249">
        <f>'Alternative 2'!$B$20/1.67</f>
        <v>149.70059880239521</v>
      </c>
      <c r="AN11" s="249">
        <f>'Alternative 3'!$F12</f>
        <v>9</v>
      </c>
      <c r="AO11" s="249">
        <f>'Alternative 3-Tilt Up (3pt)'!$T11/1000000</f>
        <v>3.3747360664834125</v>
      </c>
      <c r="AP11" s="249">
        <f>'Alternative 3-Tilt Up (3pt)'!$Z11/1000000</f>
        <v>1.0021575750566447</v>
      </c>
      <c r="AQ11" s="249">
        <f>'Alternative 3-Tilt Up (3pt)'!$AF11/1000000</f>
        <v>2.0567079098848162</v>
      </c>
      <c r="AR11" s="249">
        <f>'Alternative 3-Tilt Up (3pt)'!$AL11/1000000</f>
        <v>2.1745040443004902</v>
      </c>
      <c r="AS11" s="249">
        <f>'Alternative 3-Tilt Up (3pt)'!$AR11/1000000</f>
        <v>2.0088695235582708</v>
      </c>
      <c r="AT11" s="249">
        <f>'Alternative 3-Tilt Up (3pt)'!$AX11/1000000</f>
        <v>1.6884028158806248</v>
      </c>
      <c r="AU11" s="249">
        <f>'Alternative 3-Tilt Up (3pt)'!$BD11/1000000</f>
        <v>1.2635637404216513</v>
      </c>
      <c r="AV11" s="249">
        <f>'Alternative 3-Tilt Up (3pt)'!$BJ11/1000000</f>
        <v>0.76454077193694625</v>
      </c>
      <c r="AW11" s="249">
        <f>'Alternative 3-Tilt Up (3pt)'!$BP11/1000000</f>
        <v>0.21475872224195974</v>
      </c>
      <c r="AX11" s="249">
        <f>'Alternative 3-Tilt Up (3pt)'!$BV11/1000000</f>
        <v>-3.213891603532167E-4</v>
      </c>
      <c r="AY11" s="249">
        <f>'Alternative 3'!$B$20/1.67</f>
        <v>149.70059880239521</v>
      </c>
    </row>
    <row r="12" spans="1:51" x14ac:dyDescent="0.25">
      <c r="A12" s="249">
        <f>'Baseline Given'!E13</f>
        <v>10</v>
      </c>
      <c r="B12" s="249">
        <f>'Baseline-tilt up (3 pt)'!T12/1000000</f>
        <v>-23.153787197974431</v>
      </c>
      <c r="C12" s="249">
        <f>'Baseline-tilt up (3 pt)'!Z12/1000000</f>
        <v>-43.821464570486462</v>
      </c>
      <c r="D12" s="249">
        <f>'Baseline-tilt up (3 pt)'!AF12/1000000</f>
        <v>-31.863798764775286</v>
      </c>
      <c r="E12" s="249">
        <f>'Baseline-tilt up (3 pt)'!AL12/1000000</f>
        <v>-26.841887775152951</v>
      </c>
      <c r="F12" s="249">
        <f>'Baseline-tilt up (3 pt)'!AR12/1000000</f>
        <v>-22.969131004987172</v>
      </c>
      <c r="G12" s="249">
        <f>'Baseline-tilt up (3 pt)'!AX12/1000000</f>
        <v>-19.246018640136157</v>
      </c>
      <c r="H12" s="249">
        <f>'Baseline-tilt up (3 pt)'!BD12/1000000</f>
        <v>-15.417495762704192</v>
      </c>
      <c r="I12" s="249">
        <f>'Baseline-tilt up (3 pt)'!BJ12/1000000</f>
        <v>-11.443660241473802</v>
      </c>
      <c r="J12" s="249">
        <f>'Baseline-tilt up (3 pt)'!BP12/1000000</f>
        <v>-7.3705564425769392</v>
      </c>
      <c r="K12" s="249">
        <f>'Baseline-tilt up (3 pt)'!BV12/1000000</f>
        <v>-3.2864904261011612</v>
      </c>
      <c r="L12" s="249">
        <f>'Baseline Given'!$B$21/1.67</f>
        <v>149.70059880239521</v>
      </c>
      <c r="N12" s="249">
        <f>'Alternative 1'!$F13</f>
        <v>10</v>
      </c>
      <c r="O12" s="249">
        <f>'Alternative 1-Tilt Up (3pt)'!$T12/1000000</f>
        <v>4.1118152778911403</v>
      </c>
      <c r="P12" s="249">
        <f>'Alternative 1-Tilt Up (3pt)'!$Z12/1000000</f>
        <v>1.7591206878982604</v>
      </c>
      <c r="Q12" s="249">
        <f>'Alternative 1-Tilt Up (3pt)'!$AF12/1000000</f>
        <v>2.764522243406871</v>
      </c>
      <c r="R12" s="249">
        <f>'Alternative 1-Tilt Up (3pt)'!$AL12/1000000</f>
        <v>2.8232131121701172</v>
      </c>
      <c r="S12" s="249">
        <f>'Alternative 1-Tilt Up (3pt)'!$AR12/1000000</f>
        <v>2.5816526627901335</v>
      </c>
      <c r="T12" s="249">
        <f>'Alternative 1-Tilt Up (3pt)'!$AX12/1000000</f>
        <v>2.1691172898626916</v>
      </c>
      <c r="U12" s="249">
        <f>'Alternative 1-Tilt Up (3pt)'!$BD12/1000000</f>
        <v>1.638327346206941</v>
      </c>
      <c r="V12" s="249">
        <f>'Alternative 1-Tilt Up (3pt)'!$BJ12/1000000</f>
        <v>1.0224626766682352</v>
      </c>
      <c r="W12" s="249">
        <f>'Alternative 1-Tilt Up (3pt)'!$BP12/1000000</f>
        <v>0.34838923660316673</v>
      </c>
      <c r="X12" s="249">
        <f>'Alternative 1-Tilt Up (3pt)'!$BV12/1000000</f>
        <v>-1.5245383247443621E-4</v>
      </c>
      <c r="Y12" s="249">
        <f>'Alternative 1'!$B$20/1.67</f>
        <v>149.70059880239521</v>
      </c>
      <c r="AA12" s="249">
        <f>'Alternative 2'!$F13</f>
        <v>10</v>
      </c>
      <c r="AB12" s="249">
        <f>'Alternative 2-Tilt Up (3pt)'!$T12/1000000</f>
        <v>1.5336295311118213</v>
      </c>
      <c r="AC12" s="249">
        <f>'Alternative 2-Tilt Up (3pt)'!$Z12/1000000</f>
        <v>1.2090108716393195</v>
      </c>
      <c r="AD12" s="249">
        <f>'Alternative 2-Tilt Up (3pt)'!$AF12/1000000</f>
        <v>1.2967753073700037</v>
      </c>
      <c r="AE12" s="249">
        <f>'Alternative 2-Tilt Up (3pt)'!$AL12/1000000</f>
        <v>1.2314025238627779</v>
      </c>
      <c r="AF12" s="249">
        <f>'Alternative 2-Tilt Up (3pt)'!$AR12/1000000</f>
        <v>1.100334074362628</v>
      </c>
      <c r="AG12" s="249">
        <f>'Alternative 2-Tilt Up (3pt)'!$AX12/1000000</f>
        <v>0.92362685177835169</v>
      </c>
      <c r="AH12" s="249">
        <f>'Alternative 2-Tilt Up (3pt)'!$BD12/1000000</f>
        <v>0.71194755447215441</v>
      </c>
      <c r="AI12" s="249">
        <f>'Alternative 2-Tilt Up (3pt)'!$BJ12/1000000</f>
        <v>0.47397588277038299</v>
      </c>
      <c r="AJ12" s="249">
        <f>'Alternative 2-Tilt Up (3pt)'!$BP12/1000000</f>
        <v>0.21801732515417716</v>
      </c>
      <c r="AK12" s="249">
        <f>'Alternative 2-Tilt Up (3pt)'!$BV12/1000000</f>
        <v>-9.8888972416570598E-5</v>
      </c>
      <c r="AL12" s="249">
        <f>'Alternative 2'!$B$20/1.67</f>
        <v>149.70059880239521</v>
      </c>
      <c r="AN12" s="249">
        <f>'Alternative 3'!$F13</f>
        <v>10</v>
      </c>
      <c r="AO12" s="249">
        <f>'Alternative 3-Tilt Up (3pt)'!$T12/1000000</f>
        <v>3.2172283049936516</v>
      </c>
      <c r="AP12" s="249">
        <f>'Alternative 3-Tilt Up (3pt)'!$Z12/1000000</f>
        <v>1.0256661969610172</v>
      </c>
      <c r="AQ12" s="249">
        <f>'Alternative 3-Tilt Up (3pt)'!$AF12/1000000</f>
        <v>1.994488784931026</v>
      </c>
      <c r="AR12" s="249">
        <f>'Alternative 3-Tilt Up (3pt)'!$AL12/1000000</f>
        <v>2.0956986053708655</v>
      </c>
      <c r="AS12" s="249">
        <f>'Alternative 3-Tilt Up (3pt)'!$AR12/1000000</f>
        <v>1.9325921917390523</v>
      </c>
      <c r="AT12" s="249">
        <f>'Alternative 3-Tilt Up (3pt)'!$AX12/1000000</f>
        <v>1.6241861395316588</v>
      </c>
      <c r="AU12" s="249">
        <f>'Alternative 3-Tilt Up (3pt)'!$BD12/1000000</f>
        <v>1.2174413032658087</v>
      </c>
      <c r="AV12" s="249">
        <f>'Alternative 3-Tilt Up (3pt)'!$BJ12/1000000</f>
        <v>0.74066714613175033</v>
      </c>
      <c r="AW12" s="249">
        <f>'Alternative 3-Tilt Up (3pt)'!$BP12/1000000</f>
        <v>0.21597690326773583</v>
      </c>
      <c r="AX12" s="249">
        <f>'Alternative 3-Tilt Up (3pt)'!$BV12/1000000</f>
        <v>-2.9666691724911695E-4</v>
      </c>
      <c r="AY12" s="249">
        <f>'Alternative 3'!$B$20/1.67</f>
        <v>149.70059880239521</v>
      </c>
    </row>
    <row r="13" spans="1:51" x14ac:dyDescent="0.25">
      <c r="A13" s="249">
        <f>'Baseline Given'!E14</f>
        <v>11</v>
      </c>
      <c r="B13" s="249">
        <f>'Baseline-tilt up (3 pt)'!T13/1000000</f>
        <v>-22.832459519005841</v>
      </c>
      <c r="C13" s="249">
        <f>'Baseline-tilt up (3 pt)'!Z13/1000000</f>
        <v>-42.962304413797725</v>
      </c>
      <c r="D13" s="249">
        <f>'Baseline-tilt up (3 pt)'!AF13/1000000</f>
        <v>-31.300985711498789</v>
      </c>
      <c r="E13" s="249">
        <f>'Baseline-tilt up (3 pt)'!AL13/1000000</f>
        <v>-26.388383820943638</v>
      </c>
      <c r="F13" s="249">
        <f>'Baseline-tilt up (3 pt)'!AR13/1000000</f>
        <v>-22.587971464589533</v>
      </c>
      <c r="G13" s="249">
        <f>'Baseline-tilt up (3 pt)'!AX13/1000000</f>
        <v>-18.92689472852112</v>
      </c>
      <c r="H13" s="249">
        <f>'Baseline-tilt up (3 pt)'!BD13/1000000</f>
        <v>-15.15772295124858</v>
      </c>
      <c r="I13" s="249">
        <f>'Baseline-tilt up (3 pt)'!BJ13/1000000</f>
        <v>-11.242785680983726</v>
      </c>
      <c r="J13" s="249">
        <f>'Baseline-tilt up (3 pt)'!BP13/1000000</f>
        <v>-7.2282669715797416</v>
      </c>
      <c r="K13" s="249">
        <f>'Baseline-tilt up (3 pt)'!BV13/1000000</f>
        <v>-3.2016084720628291</v>
      </c>
      <c r="L13" s="249">
        <f>'Baseline Given'!$B$21/1.67</f>
        <v>149.70059880239521</v>
      </c>
      <c r="N13" s="249">
        <f>'Alternative 1'!$F14</f>
        <v>11</v>
      </c>
      <c r="O13" s="249">
        <f>'Alternative 1-Tilt Up (3pt)'!$T13/1000000</f>
        <v>3.9849588957733437</v>
      </c>
      <c r="P13" s="249">
        <f>'Alternative 1-Tilt Up (3pt)'!$Z13/1000000</f>
        <v>1.820009589428323</v>
      </c>
      <c r="Q13" s="249">
        <f>'Alternative 1-Tilt Up (3pt)'!$AF13/1000000</f>
        <v>2.7345686094908812</v>
      </c>
      <c r="R13" s="249">
        <f>'Alternative 1-Tilt Up (3pt)'!$AL13/1000000</f>
        <v>2.7732766967061462</v>
      </c>
      <c r="S13" s="249">
        <f>'Alternative 1-Tilt Up (3pt)'!$AR13/1000000</f>
        <v>2.5306401706290571</v>
      </c>
      <c r="T13" s="249">
        <f>'Alternative 1-Tilt Up (3pt)'!$AX13/1000000</f>
        <v>2.1260813622329295</v>
      </c>
      <c r="U13" s="249">
        <f>'Alternative 1-Tilt Up (3pt)'!$BD13/1000000</f>
        <v>1.6088199625465185</v>
      </c>
      <c r="V13" s="249">
        <f>'Alternative 1-Tilt Up (3pt)'!$BJ13/1000000</f>
        <v>1.0102421589118999</v>
      </c>
      <c r="W13" s="249">
        <f>'Alternative 1-Tilt Up (3pt)'!$BP13/1000000</f>
        <v>0.35602758220070474</v>
      </c>
      <c r="X13" s="249">
        <f>'Alternative 1-Tilt Up (3pt)'!$BV13/1000000</f>
        <v>-1.4009271092244223E-4</v>
      </c>
      <c r="Y13" s="249">
        <f>'Alternative 1'!$B$20/1.67</f>
        <v>149.70059880239521</v>
      </c>
      <c r="AA13" s="249">
        <f>'Alternative 2'!$F14</f>
        <v>11</v>
      </c>
      <c r="AB13" s="249">
        <f>'Alternative 2-Tilt Up (3pt)'!$T13/1000000</f>
        <v>1.4006403583956171</v>
      </c>
      <c r="AC13" s="249">
        <f>'Alternative 2-Tilt Up (3pt)'!$Z13/1000000</f>
        <v>1.1283356043561157</v>
      </c>
      <c r="AD13" s="249">
        <f>'Alternative 2-Tilt Up (3pt)'!$AF13/1000000</f>
        <v>1.1959374365035602</v>
      </c>
      <c r="AE13" s="249">
        <f>'Alternative 2-Tilt Up (3pt)'!$AL13/1000000</f>
        <v>1.1324218500468533</v>
      </c>
      <c r="AF13" s="249">
        <f>'Alternative 2-Tilt Up (3pt)'!$AR13/1000000</f>
        <v>1.0109314291886637</v>
      </c>
      <c r="AG13" s="249">
        <f>'Alternative 2-Tilt Up (3pt)'!$AX13/1000000</f>
        <v>0.84855296921845924</v>
      </c>
      <c r="AH13" s="249">
        <f>'Alternative 2-Tilt Up (3pt)'!$BD13/1000000</f>
        <v>0.65463487316009394</v>
      </c>
      <c r="AI13" s="249">
        <f>'Alternative 2-Tilt Up (3pt)'!$BJ13/1000000</f>
        <v>0.43694252089550217</v>
      </c>
      <c r="AJ13" s="249">
        <f>'Alternative 2-Tilt Up (3pt)'!$BP13/1000000</f>
        <v>0.20298608410389696</v>
      </c>
      <c r="AK13" s="249">
        <f>'Alternative 2-Tilt Up (3pt)'!$BV13/1000000</f>
        <v>-8.2407477013801315E-5</v>
      </c>
      <c r="AL13" s="249">
        <f>'Alternative 2'!$B$20/1.67</f>
        <v>149.70059880239521</v>
      </c>
      <c r="AN13" s="249">
        <f>'Alternative 3'!$F14</f>
        <v>11</v>
      </c>
      <c r="AO13" s="249">
        <f>'Alternative 3-Tilt Up (3pt)'!$T13/1000000</f>
        <v>3.1260773018597172</v>
      </c>
      <c r="AP13" s="249">
        <f>'Alternative 3-Tilt Up (3pt)'!$Z13/1000000</f>
        <v>1.1145633018560677</v>
      </c>
      <c r="AQ13" s="249">
        <f>'Alternative 3-Tilt Up (3pt)'!$AF13/1000000</f>
        <v>1.9946626242515169</v>
      </c>
      <c r="AR13" s="249">
        <f>'Alternative 3-Tilt Up (3pt)'!$AL13/1000000</f>
        <v>2.0743948333520157</v>
      </c>
      <c r="AS13" s="249">
        <f>'Alternative 3-Tilt Up (3pt)'!$AR13/1000000</f>
        <v>1.907178070415269</v>
      </c>
      <c r="AT13" s="249">
        <f>'Alternative 3-Tilt Up (3pt)'!$AX13/1000000</f>
        <v>1.6026487643499001</v>
      </c>
      <c r="AU13" s="249">
        <f>'Alternative 3-Tilt Up (3pt)'!$BD13/1000000</f>
        <v>1.2045174689797522</v>
      </c>
      <c r="AV13" s="249">
        <f>'Alternative 3-Tilt Up (3pt)'!$BJ13/1000000</f>
        <v>0.73950270215003222</v>
      </c>
      <c r="AW13" s="249">
        <f>'Alternative 3-Tilt Up (3pt)'!$BP13/1000000</f>
        <v>0.22872483807236527</v>
      </c>
      <c r="AX13" s="249">
        <f>'Alternative 3-Tilt Up (3pt)'!$BV13/1000000</f>
        <v>-2.7194467414501296E-4</v>
      </c>
      <c r="AY13" s="249">
        <f>'Alternative 3'!$B$20/1.67</f>
        <v>149.70059880239521</v>
      </c>
    </row>
    <row r="14" spans="1:51" x14ac:dyDescent="0.25">
      <c r="A14" s="249">
        <f>'Baseline Given'!E15</f>
        <v>12</v>
      </c>
      <c r="B14" s="249">
        <f>'Baseline-tilt up (3 pt)'!T14/1000000</f>
        <v>-22.407182255781077</v>
      </c>
      <c r="C14" s="249">
        <f>'Baseline-tilt up (3 pt)'!Z14/1000000</f>
        <v>-41.993153155346995</v>
      </c>
      <c r="D14" s="249">
        <f>'Baseline-tilt up (3 pt)'!AF14/1000000</f>
        <v>-30.636800699009822</v>
      </c>
      <c r="E14" s="249">
        <f>'Baseline-tilt up (3 pt)'!AL14/1000000</f>
        <v>-25.842363146827239</v>
      </c>
      <c r="F14" s="249">
        <f>'Baseline-tilt up (3 pt)'!AR14/1000000</f>
        <v>-22.125254555140494</v>
      </c>
      <c r="G14" s="249">
        <f>'Baseline-tilt up (3 pt)'!AX14/1000000</f>
        <v>-18.539345907320161</v>
      </c>
      <c r="H14" s="249">
        <f>'Baseline-tilt up (3 pt)'!BD14/1000000</f>
        <v>-14.844564255949271</v>
      </c>
      <c r="I14" s="249">
        <f>'Baseline-tilt up (3 pt)'!BJ14/1000000</f>
        <v>-11.005070091105912</v>
      </c>
      <c r="J14" s="249">
        <f>'Baseline-tilt up (3 pt)'!BP14/1000000</f>
        <v>-7.0667113258656551</v>
      </c>
      <c r="K14" s="249">
        <f>'Baseline-tilt up (3 pt)'!BV14/1000000</f>
        <v>-3.115543952101361</v>
      </c>
      <c r="L14" s="249">
        <f>'Baseline Given'!$B$21/1.67</f>
        <v>149.70059880239521</v>
      </c>
      <c r="N14" s="249">
        <f>'Alternative 1'!$F15</f>
        <v>12</v>
      </c>
      <c r="O14" s="249">
        <f>'Alternative 1-Tilt Up (3pt)'!$T14/1000000</f>
        <v>3.9257287056494881</v>
      </c>
      <c r="P14" s="249">
        <f>'Alternative 1-Tilt Up (3pt)'!$Z14/1000000</f>
        <v>1.9475378840584487</v>
      </c>
      <c r="Q14" s="249">
        <f>'Alternative 1-Tilt Up (3pt)'!$AF14/1000000</f>
        <v>2.7682015443831096</v>
      </c>
      <c r="R14" s="249">
        <f>'Alternative 1-Tilt Up (3pt)'!$AL14/1000000</f>
        <v>2.7819419800416645</v>
      </c>
      <c r="S14" s="249">
        <f>'Alternative 1-Tilt Up (3pt)'!$AR14/1000000</f>
        <v>2.5314639242946257</v>
      </c>
      <c r="T14" s="249">
        <f>'Alternative 1-Tilt Up (3pt)'!$AX14/1000000</f>
        <v>2.1265412093579159</v>
      </c>
      <c r="U14" s="249">
        <f>'Alternative 1-Tilt Up (3pt)'!$BD14/1000000</f>
        <v>1.6131462854629535</v>
      </c>
      <c r="V14" s="249">
        <f>'Alternative 1-Tilt Up (3pt)'!$BJ14/1000000</f>
        <v>1.0211652595008758</v>
      </c>
      <c r="W14" s="249">
        <f>'Alternative 1-Tilt Up (3pt)'!$BP14/1000000</f>
        <v>0.37541625077982005</v>
      </c>
      <c r="X14" s="249">
        <f>'Alternative 1-Tilt Up (3pt)'!$BV14/1000000</f>
        <v>-1.2773158937044412E-4</v>
      </c>
      <c r="Y14" s="249">
        <f>'Alternative 1'!$B$20/1.67</f>
        <v>149.70059880239521</v>
      </c>
      <c r="AA14" s="249">
        <f>'Alternative 2'!$F15</f>
        <v>12</v>
      </c>
      <c r="AB14" s="249">
        <f>'Alternative 2-Tilt Up (3pt)'!$T14/1000000</f>
        <v>1.3109273324332122</v>
      </c>
      <c r="AC14" s="249">
        <f>'Alternative 2-Tilt Up (3pt)'!$Z14/1000000</f>
        <v>1.0903049998929184</v>
      </c>
      <c r="AD14" s="249">
        <f>'Alternative 2-Tilt Up (3pt)'!$AF14/1000000</f>
        <v>1.135790629294255</v>
      </c>
      <c r="AE14" s="249">
        <f>'Alternative 2-Tilt Up (3pt)'!$AL14/1000000</f>
        <v>1.0709422633466488</v>
      </c>
      <c r="AF14" s="249">
        <f>'Alternative 2-Tilt Up (3pt)'!$AR14/1000000</f>
        <v>0.95470044303345636</v>
      </c>
      <c r="AG14" s="249">
        <f>'Alternative 2-Tilt Up (3pt)'!$AX14/1000000</f>
        <v>0.80131341350674345</v>
      </c>
      <c r="AH14" s="249">
        <f>'Alternative 2-Tilt Up (3pt)'!$BD14/1000000</f>
        <v>0.61897345458919772</v>
      </c>
      <c r="AI14" s="249">
        <f>'Alternative 2-Tilt Up (3pt)'!$BJ14/1000000</f>
        <v>0.41471949499245148</v>
      </c>
      <c r="AJ14" s="249">
        <f>'Alternative 2-Tilt Up (3pt)'!$BP14/1000000</f>
        <v>0.19547424769199909</v>
      </c>
      <c r="AK14" s="249">
        <f>'Alternative 2-Tilt Up (3pt)'!$BV14/1000000</f>
        <v>-6.5925981611029388E-5</v>
      </c>
      <c r="AL14" s="249">
        <f>'Alternative 2'!$B$20/1.67</f>
        <v>149.70059880239521</v>
      </c>
      <c r="AN14" s="249">
        <f>'Alternative 3'!$F15</f>
        <v>12</v>
      </c>
      <c r="AO14" s="249">
        <f>'Alternative 3-Tilt Up (3pt)'!$T14/1000000</f>
        <v>3.1012830570816092</v>
      </c>
      <c r="AP14" s="249">
        <f>'Alternative 3-Tilt Up (3pt)'!$Z14/1000000</f>
        <v>1.2688488897417924</v>
      </c>
      <c r="AQ14" s="249">
        <f>'Alternative 3-Tilt Up (3pt)'!$AF14/1000000</f>
        <v>2.0572294278462846</v>
      </c>
      <c r="AR14" s="249">
        <f>'Alternative 3-Tilt Up (3pt)'!$AL14/1000000</f>
        <v>2.1105927282439314</v>
      </c>
      <c r="AS14" s="249">
        <f>'Alternative 3-Tilt Up (3pt)'!$AR14/1000000</f>
        <v>1.9326271595869051</v>
      </c>
      <c r="AT14" s="249">
        <f>'Alternative 3-Tilt Up (3pt)'!$AX14/1000000</f>
        <v>1.6237906903353407</v>
      </c>
      <c r="AU14" s="249">
        <f>'Alternative 3-Tilt Up (3pt)'!$BD14/1000000</f>
        <v>1.2247922375634797</v>
      </c>
      <c r="AV14" s="249">
        <f>'Alternative 3-Tilt Up (3pt)'!$BJ14/1000000</f>
        <v>0.76104743999178137</v>
      </c>
      <c r="AW14" s="249">
        <f>'Alternative 3-Tilt Up (3pt)'!$BP14/1000000</f>
        <v>0.25300252665584738</v>
      </c>
      <c r="AX14" s="249">
        <f>'Alternative 3-Tilt Up (3pt)'!$BV14/1000000</f>
        <v>-2.4722243104090502E-4</v>
      </c>
      <c r="AY14" s="249">
        <f>'Alternative 3'!$B$20/1.67</f>
        <v>149.70059880239521</v>
      </c>
    </row>
    <row r="15" spans="1:51" x14ac:dyDescent="0.25">
      <c r="A15" s="249">
        <f>'Baseline Given'!E16</f>
        <v>13</v>
      </c>
      <c r="B15" s="249">
        <f>'Baseline-tilt up (3 pt)'!T15/1000000</f>
        <v>-21.875767848849677</v>
      </c>
      <c r="C15" s="249">
        <f>'Baseline-tilt up (3 pt)'!Z15/1000000</f>
        <v>-40.911696095408992</v>
      </c>
      <c r="D15" s="249">
        <f>'Baseline-tilt up (3 pt)'!AF15/1000000</f>
        <v>-29.869110412500316</v>
      </c>
      <c r="E15" s="249">
        <f>'Baseline-tilt up (3 pt)'!AL15/1000000</f>
        <v>-25.201878791433899</v>
      </c>
      <c r="F15" s="249">
        <f>'Baseline-tilt up (3 pt)'!AR15/1000000</f>
        <v>-21.579263948530649</v>
      </c>
      <c r="G15" s="249">
        <f>'Baseline-tilt up (3 pt)'!AX15/1000000</f>
        <v>-18.081932213510054</v>
      </c>
      <c r="H15" s="249">
        <f>'Baseline-tilt up (3 pt)'!BD15/1000000</f>
        <v>-14.476896201464262</v>
      </c>
      <c r="I15" s="249">
        <f>'Baseline-tilt up (3 pt)'!BJ15/1000000</f>
        <v>-10.729738173482232</v>
      </c>
      <c r="J15" s="249">
        <f>'Baseline-tilt up (3 pt)'!BP15/1000000</f>
        <v>-6.885484059824897</v>
      </c>
      <c r="K15" s="249">
        <f>'Baseline-tilt up (3 pt)'!BV15/1000000</f>
        <v>-3.0282719797943711</v>
      </c>
      <c r="L15" s="249">
        <f>'Baseline Given'!$B$21/1.67</f>
        <v>149.70059880239521</v>
      </c>
      <c r="N15" s="249">
        <f>'Alternative 1'!$F16</f>
        <v>13</v>
      </c>
      <c r="O15" s="249">
        <f>'Alternative 1-Tilt Up (3pt)'!$T15/1000000</f>
        <v>3.9341247075195702</v>
      </c>
      <c r="P15" s="249">
        <f>'Alternative 1-Tilt Up (3pt)'!$Z15/1000000</f>
        <v>2.1417055717886369</v>
      </c>
      <c r="Q15" s="249">
        <f>'Alternative 1-Tilt Up (3pt)'!$AF15/1000000</f>
        <v>2.8654210480835638</v>
      </c>
      <c r="R15" s="249">
        <f>'Alternative 1-Tilt Up (3pt)'!$AL15/1000000</f>
        <v>2.8492089621766854</v>
      </c>
      <c r="S15" s="249">
        <f>'Alternative 1-Tilt Up (3pt)'!$AR15/1000000</f>
        <v>2.5841239237868332</v>
      </c>
      <c r="T15" s="249">
        <f>'Alternative 1-Tilt Up (3pt)'!$AX15/1000000</f>
        <v>2.1704968312376516</v>
      </c>
      <c r="U15" s="249">
        <f>'Alternative 1-Tilt Up (3pt)'!$BD15/1000000</f>
        <v>1.651306314956249</v>
      </c>
      <c r="V15" s="249">
        <f>'Alternative 1-Tilt Up (3pt)'!$BJ15/1000000</f>
        <v>1.0552319784351638</v>
      </c>
      <c r="W15" s="249">
        <f>'Alternative 1-Tilt Up (3pt)'!$BP15/1000000</f>
        <v>0.40655524234051466</v>
      </c>
      <c r="X15" s="249">
        <f>'Alternative 1-Tilt Up (3pt)'!$BV15/1000000</f>
        <v>-1.1537046781844184E-4</v>
      </c>
      <c r="Y15" s="249">
        <f>'Alternative 1'!$B$20/1.67</f>
        <v>149.70059880239521</v>
      </c>
      <c r="AA15" s="249">
        <f>'Alternative 2'!$F16</f>
        <v>13</v>
      </c>
      <c r="AB15" s="249">
        <f>'Alternative 2-Tilt Up (3pt)'!$T15/1000000</f>
        <v>1.2644904532246084</v>
      </c>
      <c r="AC15" s="249">
        <f>'Alternative 2-Tilt Up (3pt)'!$Z15/1000000</f>
        <v>1.0949190582497275</v>
      </c>
      <c r="AD15" s="249">
        <f>'Alternative 2-Tilt Up (3pt)'!$AF15/1000000</f>
        <v>1.1163348857420878</v>
      </c>
      <c r="AE15" s="249">
        <f>'Alternative 2-Tilt Up (3pt)'!$AL15/1000000</f>
        <v>1.0469637637621636</v>
      </c>
      <c r="AF15" s="249">
        <f>'Alternative 2-Tilt Up (3pt)'!$AR15/1000000</f>
        <v>0.93164111589700471</v>
      </c>
      <c r="AG15" s="249">
        <f>'Alternative 2-Tilt Up (3pt)'!$AX15/1000000</f>
        <v>0.78190818464320466</v>
      </c>
      <c r="AH15" s="249">
        <f>'Alternative 2-Tilt Up (3pt)'!$BD15/1000000</f>
        <v>0.60496329875946642</v>
      </c>
      <c r="AI15" s="249">
        <f>'Alternative 2-Tilt Up (3pt)'!$BJ15/1000000</f>
        <v>0.40730680506122996</v>
      </c>
      <c r="AJ15" s="249">
        <f>'Alternative 2-Tilt Up (3pt)'!$BP15/1000000</f>
        <v>0.19548181591848349</v>
      </c>
      <c r="AK15" s="249">
        <f>'Alternative 2-Tilt Up (3pt)'!$BV15/1000000</f>
        <v>-4.9444486208254792E-5</v>
      </c>
      <c r="AL15" s="249">
        <f>'Alternative 2'!$B$20/1.67</f>
        <v>149.70059880239521</v>
      </c>
      <c r="AN15" s="249">
        <f>'Alternative 3'!$F16</f>
        <v>13</v>
      </c>
      <c r="AO15" s="249">
        <f>'Alternative 3-Tilt Up (3pt)'!$T15/1000000</f>
        <v>3.142845570659329</v>
      </c>
      <c r="AP15" s="249">
        <f>'Alternative 3-Tilt Up (3pt)'!$Z15/1000000</f>
        <v>1.4885229606182016</v>
      </c>
      <c r="AQ15" s="249">
        <f>'Alternative 3-Tilt Up (3pt)'!$AF15/1000000</f>
        <v>2.1821891957153325</v>
      </c>
      <c r="AR15" s="249">
        <f>'Alternative 3-Tilt Up (3pt)'!$AL15/1000000</f>
        <v>2.2042922900466198</v>
      </c>
      <c r="AS15" s="249">
        <f>'Alternative 3-Tilt Up (3pt)'!$AR15/1000000</f>
        <v>2.0089394592539724</v>
      </c>
      <c r="AT15" s="249">
        <f>'Alternative 3-Tilt Up (3pt)'!$AX15/1000000</f>
        <v>1.6876119174879876</v>
      </c>
      <c r="AU15" s="249">
        <f>'Alternative 3-Tilt Up (3pt)'!$BD15/1000000</f>
        <v>1.2782656090169962</v>
      </c>
      <c r="AV15" s="249">
        <f>'Alternative 3-Tilt Up (3pt)'!$BJ15/1000000</f>
        <v>0.80530135965700456</v>
      </c>
      <c r="AW15" s="249">
        <f>'Alternative 3-Tilt Up (3pt)'!$BP15/1000000</f>
        <v>0.28880996901818179</v>
      </c>
      <c r="AX15" s="249">
        <f>'Alternative 3-Tilt Up (3pt)'!$BV15/1000000</f>
        <v>-2.2250018793679291E-4</v>
      </c>
      <c r="AY15" s="249">
        <f>'Alternative 3'!$B$20/1.67</f>
        <v>149.70059880239521</v>
      </c>
    </row>
    <row r="16" spans="1:51" x14ac:dyDescent="0.25">
      <c r="A16" s="249">
        <f>'Baseline Given'!E17</f>
        <v>14</v>
      </c>
      <c r="B16" s="249">
        <f>'Baseline-tilt up (3 pt)'!T16/1000000</f>
        <v>-21.235966923894473</v>
      </c>
      <c r="C16" s="249">
        <f>'Baseline-tilt up (3 pt)'!Z16/1000000</f>
        <v>-39.715553126730818</v>
      </c>
      <c r="D16" s="249">
        <f>'Baseline-tilt up (3 pt)'!AF16/1000000</f>
        <v>-28.995721255111103</v>
      </c>
      <c r="E16" s="249">
        <f>'Baseline-tilt up (3 pt)'!AL16/1000000</f>
        <v>-24.464928777217011</v>
      </c>
      <c r="F16" s="249">
        <f>'Baseline-tilt up (3 pt)'!AR16/1000000</f>
        <v>-20.94823481758305</v>
      </c>
      <c r="G16" s="249">
        <f>'Baseline-tilt up (3 pt)'!AX16/1000000</f>
        <v>-17.553172994374581</v>
      </c>
      <c r="H16" s="249">
        <f>'Baseline-tilt up (3 pt)'!BD16/1000000</f>
        <v>-14.053563565895553</v>
      </c>
      <c r="I16" s="249">
        <f>'Baseline-tilt up (3 pt)'!BJ16/1000000</f>
        <v>-10.415992721794693</v>
      </c>
      <c r="J16" s="249">
        <f>'Baseline-tilt up (3 pt)'!BP16/1000000</f>
        <v>-6.6841682709858512</v>
      </c>
      <c r="K16" s="249">
        <f>'Baseline-tilt up (3 pt)'!BV16/1000000</f>
        <v>-2.9397669654924616</v>
      </c>
      <c r="L16" s="249">
        <f>'Baseline Given'!$B$21/1.67</f>
        <v>149.70059880239521</v>
      </c>
      <c r="N16" s="249">
        <f>'Alternative 1'!$F17</f>
        <v>14</v>
      </c>
      <c r="O16" s="249">
        <f>'Alternative 1-Tilt Up (3pt)'!$T16/1000000</f>
        <v>4.0101469013835844</v>
      </c>
      <c r="P16" s="249">
        <f>'Alternative 1-Tilt Up (3pt)'!$Z16/1000000</f>
        <v>2.4025126526188822</v>
      </c>
      <c r="Q16" s="249">
        <f>'Alternative 1-Tilt Up (3pt)'!$AF16/1000000</f>
        <v>3.0262271205922335</v>
      </c>
      <c r="R16" s="249">
        <f>'Alternative 1-Tilt Up (3pt)'!$AL16/1000000</f>
        <v>2.9750776431112023</v>
      </c>
      <c r="S16" s="249">
        <f>'Alternative 1-Tilt Up (3pt)'!$AR16/1000000</f>
        <v>2.6886201691056835</v>
      </c>
      <c r="T16" s="249">
        <f>'Alternative 1-Tilt Up (3pt)'!$AX16/1000000</f>
        <v>2.2579482278721366</v>
      </c>
      <c r="U16" s="249">
        <f>'Alternative 1-Tilt Up (3pt)'!$BD16/1000000</f>
        <v>1.7233000510264003</v>
      </c>
      <c r="V16" s="249">
        <f>'Alternative 1-Tilt Up (3pt)'!$BJ16/1000000</f>
        <v>1.1124423157147647</v>
      </c>
      <c r="W16" s="249">
        <f>'Alternative 1-Tilt Up (3pt)'!$BP16/1000000</f>
        <v>0.44944455688278728</v>
      </c>
      <c r="X16" s="249">
        <f>'Alternative 1-Tilt Up (3pt)'!$BV16/1000000</f>
        <v>-1.0300934626643544E-4</v>
      </c>
      <c r="Y16" s="249">
        <f>'Alternative 1'!$B$20/1.67</f>
        <v>149.70059880239521</v>
      </c>
      <c r="AA16" s="249">
        <f>'Alternative 2'!$F17</f>
        <v>14</v>
      </c>
      <c r="AB16" s="249">
        <f>'Alternative 2-Tilt Up (3pt)'!$T16/1000000</f>
        <v>1.2613297207698033</v>
      </c>
      <c r="AC16" s="249">
        <f>'Alternative 2-Tilt Up (3pt)'!$Z16/1000000</f>
        <v>1.1421777794265409</v>
      </c>
      <c r="AD16" s="249">
        <f>'Alternative 2-Tilt Up (3pt)'!$AF16/1000000</f>
        <v>1.1375702058470576</v>
      </c>
      <c r="AE16" s="249">
        <f>'Alternative 2-Tilt Up (3pt)'!$AL16/1000000</f>
        <v>1.0604863512933973</v>
      </c>
      <c r="AF16" s="249">
        <f>'Alternative 2-Tilt Up (3pt)'!$AR16/1000000</f>
        <v>0.94175344777930814</v>
      </c>
      <c r="AG16" s="249">
        <f>'Alternative 2-Tilt Up (3pt)'!$AX16/1000000</f>
        <v>0.79033728262784164</v>
      </c>
      <c r="AH16" s="249">
        <f>'Alternative 2-Tilt Up (3pt)'!$BD16/1000000</f>
        <v>0.61260440567089869</v>
      </c>
      <c r="AI16" s="249">
        <f>'Alternative 2-Tilt Up (3pt)'!$BJ16/1000000</f>
        <v>0.41470445110183768</v>
      </c>
      <c r="AJ16" s="249">
        <f>'Alternative 2-Tilt Up (3pt)'!$BP16/1000000</f>
        <v>0.20300878878334991</v>
      </c>
      <c r="AK16" s="249">
        <f>'Alternative 2-Tilt Up (3pt)'!$BV16/1000000</f>
        <v>-3.2962990805477554E-5</v>
      </c>
      <c r="AL16" s="249">
        <f>'Alternative 2'!$B$20/1.67</f>
        <v>149.70059880239521</v>
      </c>
      <c r="AN16" s="249">
        <f>'Alternative 3'!$F17</f>
        <v>14</v>
      </c>
      <c r="AO16" s="249">
        <f>'Alternative 3-Tilt Up (3pt)'!$T16/1000000</f>
        <v>3.2507648425928708</v>
      </c>
      <c r="AP16" s="249">
        <f>'Alternative 3-Tilt Up (3pt)'!$Z16/1000000</f>
        <v>1.7735855144852717</v>
      </c>
      <c r="AQ16" s="249">
        <f>'Alternative 3-Tilt Up (3pt)'!$AF16/1000000</f>
        <v>2.3695419278586538</v>
      </c>
      <c r="AR16" s="249">
        <f>'Alternative 3-Tilt Up (3pt)'!$AL16/1000000</f>
        <v>2.3554935187600781</v>
      </c>
      <c r="AS16" s="249">
        <f>'Alternative 3-Tilt Up (3pt)'!$AR16/1000000</f>
        <v>2.136114969416461</v>
      </c>
      <c r="AT16" s="249">
        <f>'Alternative 3-Tilt Up (3pt)'!$AX16/1000000</f>
        <v>1.7941124458078379</v>
      </c>
      <c r="AU16" s="249">
        <f>'Alternative 3-Tilt Up (3pt)'!$BD16/1000000</f>
        <v>1.364937583340293</v>
      </c>
      <c r="AV16" s="249">
        <f>'Alternative 3-Tilt Up (3pt)'!$BJ16/1000000</f>
        <v>0.872264461145699</v>
      </c>
      <c r="AW16" s="249">
        <f>'Alternative 3-Tilt Up (3pt)'!$BP16/1000000</f>
        <v>0.33614716515936877</v>
      </c>
      <c r="AX16" s="249">
        <f>'Alternative 3-Tilt Up (3pt)'!$BV16/1000000</f>
        <v>-1.9777794483267681E-4</v>
      </c>
      <c r="AY16" s="249">
        <f>'Alternative 3'!$B$20/1.67</f>
        <v>149.70059880239521</v>
      </c>
    </row>
    <row r="17" spans="1:51" x14ac:dyDescent="0.25">
      <c r="A17" s="249">
        <f>'Baseline Given'!E18</f>
        <v>15</v>
      </c>
      <c r="B17" s="249">
        <f>'Baseline-tilt up (3 pt)'!T17/1000000</f>
        <v>-20.485466092783746</v>
      </c>
      <c r="C17" s="249">
        <f>'Baseline-tilt up (3 pt)'!Z17/1000000</f>
        <v>-38.40227640778209</v>
      </c>
      <c r="D17" s="249">
        <f>'Baseline-tilt up (3 pt)'!AF17/1000000</f>
        <v>-28.014377203511202</v>
      </c>
      <c r="E17" s="249">
        <f>'Baseline-tilt up (3 pt)'!AL17/1000000</f>
        <v>-23.629454153355777</v>
      </c>
      <c r="F17" s="249">
        <f>'Baseline-tilt up (3 pt)'!AR17/1000000</f>
        <v>-20.230352110790157</v>
      </c>
      <c r="G17" s="249">
        <f>'Baseline-tilt up (3 pt)'!AX17/1000000</f>
        <v>-16.951545460045107</v>
      </c>
      <c r="H17" s="249">
        <f>'Baseline-tilt up (3 pt)'!BD17/1000000</f>
        <v>-13.573378251465117</v>
      </c>
      <c r="I17" s="249">
        <f>'Baseline-tilt up (3 pt)'!BJ17/1000000</f>
        <v>-10.063013842430848</v>
      </c>
      <c r="J17" s="249">
        <f>'Baseline-tilt up (3 pt)'!BP17/1000000</f>
        <v>-6.4623351924587666</v>
      </c>
      <c r="K17" s="249">
        <f>'Baseline-tilt up (3 pt)'!BV17/1000000</f>
        <v>-2.8500025913032525</v>
      </c>
      <c r="L17" s="249">
        <f>'Baseline Given'!$B$21/1.67</f>
        <v>149.70059880239521</v>
      </c>
      <c r="N17" s="249">
        <f>'Alternative 1'!$F18</f>
        <v>15</v>
      </c>
      <c r="O17" s="249">
        <f>'Alternative 1-Tilt Up (3pt)'!$T17/1000000</f>
        <v>4.1537952872415405</v>
      </c>
      <c r="P17" s="249">
        <f>'Alternative 1-Tilt Up (3pt)'!$Z17/1000000</f>
        <v>2.729959126549196</v>
      </c>
      <c r="Q17" s="249">
        <f>'Alternative 1-Tilt Up (3pt)'!$AF17/1000000</f>
        <v>3.2506197619091255</v>
      </c>
      <c r="R17" s="249">
        <f>'Alternative 1-Tilt Up (3pt)'!$AL17/1000000</f>
        <v>3.159548022845216</v>
      </c>
      <c r="S17" s="249">
        <f>'Alternative 1-Tilt Up (3pt)'!$AR17/1000000</f>
        <v>2.8449526602511765</v>
      </c>
      <c r="T17" s="249">
        <f>'Alternative 1-Tilt Up (3pt)'!$AX17/1000000</f>
        <v>2.3888953992613762</v>
      </c>
      <c r="U17" s="249">
        <f>'Alternative 1-Tilt Up (3pt)'!$BD17/1000000</f>
        <v>1.8291274936734121</v>
      </c>
      <c r="V17" s="249">
        <f>'Alternative 1-Tilt Up (3pt)'!$BJ17/1000000</f>
        <v>1.1927962713396774</v>
      </c>
      <c r="W17" s="249">
        <f>'Alternative 1-Tilt Up (3pt)'!$BP17/1000000</f>
        <v>0.50408419440663865</v>
      </c>
      <c r="X17" s="249">
        <f>'Alternative 1-Tilt Up (3pt)'!$BV17/1000000</f>
        <v>-9.0648224714424874E-5</v>
      </c>
      <c r="Y17" s="249">
        <f>'Alternative 1'!$B$20/1.67</f>
        <v>149.70059880239521</v>
      </c>
      <c r="AA17" s="249">
        <f>'Alternative 2'!$F18</f>
        <v>15</v>
      </c>
      <c r="AB17" s="249">
        <f>'Alternative 2-Tilt Up (3pt)'!$T17/1000000</f>
        <v>1.075825730838752</v>
      </c>
      <c r="AC17" s="249">
        <f>'Alternative 2-Tilt Up (3pt)'!$Z17/1000000</f>
        <v>0.98456732302992334</v>
      </c>
      <c r="AD17" s="249">
        <f>'Alternative 2-Tilt Up (3pt)'!$AF17/1000000</f>
        <v>0.97525084535670714</v>
      </c>
      <c r="AE17" s="249">
        <f>'Alternative 2-Tilt Up (3pt)'!$AL17/1000000</f>
        <v>0.90786802481720663</v>
      </c>
      <c r="AF17" s="249">
        <f>'Alternative 2-Tilt Up (3pt)'!$AR17/1000000</f>
        <v>0.8058300628907481</v>
      </c>
      <c r="AG17" s="249">
        <f>'Alternative 2-Tilt Up (3pt)'!$AX17/1000000</f>
        <v>0.67625594251541044</v>
      </c>
      <c r="AH17" s="249">
        <f>'Alternative 2-Tilt Up (3pt)'!$BD17/1000000</f>
        <v>0.52440709247666695</v>
      </c>
      <c r="AI17" s="249">
        <f>'Alternative 2-Tilt Up (3pt)'!$BJ17/1000000</f>
        <v>0.35545934624186654</v>
      </c>
      <c r="AJ17" s="249">
        <f>'Alternative 2-Tilt Up (3pt)'!$BP17/1000000</f>
        <v>0.1748148055026589</v>
      </c>
      <c r="AK17" s="249">
        <f>'Alternative 2-Tilt Up (3pt)'!$BV17/1000000</f>
        <v>-2.472224310410021E-5</v>
      </c>
      <c r="AL17" s="249">
        <f>'Alternative 2'!$B$20/1.67</f>
        <v>149.70059880239521</v>
      </c>
      <c r="AN17" s="249">
        <f>'Alternative 3'!$F18</f>
        <v>15</v>
      </c>
      <c r="AO17" s="249">
        <f>'Alternative 3-Tilt Up (3pt)'!$T17/1000000</f>
        <v>3.4250408728822457</v>
      </c>
      <c r="AP17" s="249">
        <f>'Alternative 3-Tilt Up (3pt)'!$Z17/1000000</f>
        <v>2.1240365513430248</v>
      </c>
      <c r="AQ17" s="249">
        <f>'Alternative 3-Tilt Up (3pt)'!$AF17/1000000</f>
        <v>2.6192876242762559</v>
      </c>
      <c r="AR17" s="249">
        <f>'Alternative 3-Tilt Up (3pt)'!$AL17/1000000</f>
        <v>2.5641964143843041</v>
      </c>
      <c r="AS17" s="249">
        <f>'Alternative 3-Tilt Up (3pt)'!$AR17/1000000</f>
        <v>2.3141536900743769</v>
      </c>
      <c r="AT17" s="249">
        <f>'Alternative 3-Tilt Up (3pt)'!$AX17/1000000</f>
        <v>1.9432922752948916</v>
      </c>
      <c r="AU17" s="249">
        <f>'Alternative 3-Tilt Up (3pt)'!$BD17/1000000</f>
        <v>1.4848081605333778</v>
      </c>
      <c r="AV17" s="249">
        <f>'Alternative 3-Tilt Up (3pt)'!$BJ17/1000000</f>
        <v>0.96193674445786448</v>
      </c>
      <c r="AW17" s="249">
        <f>'Alternative 3-Tilt Up (3pt)'!$BP17/1000000</f>
        <v>0.39501411507940831</v>
      </c>
      <c r="AX17" s="249">
        <f>'Alternative 3-Tilt Up (3pt)'!$BV17/1000000</f>
        <v>-1.7305570172855661E-4</v>
      </c>
      <c r="AY17" s="249">
        <f>'Alternative 3'!$B$20/1.67</f>
        <v>149.70059880239521</v>
      </c>
    </row>
    <row r="18" spans="1:51" x14ac:dyDescent="0.25">
      <c r="A18" s="249">
        <f>'Baseline Given'!E19</f>
        <v>16</v>
      </c>
      <c r="B18" s="249">
        <f>'Baseline-tilt up (3 pt)'!T18/1000000</f>
        <v>-19.621885660082604</v>
      </c>
      <c r="C18" s="249">
        <f>'Baseline-tilt up (3 pt)'!Z18/1000000</f>
        <v>-36.96934793596936</v>
      </c>
      <c r="D18" s="249">
        <f>'Baseline-tilt up (3 pt)'!AF18/1000000</f>
        <v>-26.92275757128046</v>
      </c>
      <c r="E18" s="249">
        <f>'Baseline-tilt up (3 pt)'!AL18/1000000</f>
        <v>-22.693336954515502</v>
      </c>
      <c r="F18" s="249">
        <f>'Baseline-tilt up (3 pt)'!AR18/1000000</f>
        <v>-19.423748752875028</v>
      </c>
      <c r="G18" s="249">
        <f>'Baseline-tilt up (3 pt)'!AX18/1000000</f>
        <v>-16.275483173809715</v>
      </c>
      <c r="H18" s="249">
        <f>'Baseline-tilt up (3 pt)'!BD18/1000000</f>
        <v>-13.035118106636887</v>
      </c>
      <c r="I18" s="249">
        <f>'Baseline-tilt up (3 pt)'!BJ18/1000000</f>
        <v>-9.6699581416428941</v>
      </c>
      <c r="J18" s="249">
        <f>'Baseline-tilt up (3 pt)'!BP18/1000000</f>
        <v>-6.2195437678570267</v>
      </c>
      <c r="K18" s="249">
        <f>'Baseline-tilt up (3 pt)'!BV18/1000000</f>
        <v>-2.7589517849998679</v>
      </c>
      <c r="L18" s="249">
        <f>'Baseline Given'!$B$21/1.67</f>
        <v>149.70059880239521</v>
      </c>
      <c r="N18" s="249">
        <f>'Alternative 1'!$F19</f>
        <v>16</v>
      </c>
      <c r="O18" s="249">
        <f>'Alternative 1-Tilt Up (3pt)'!$T18/1000000</f>
        <v>4.3650698650934352</v>
      </c>
      <c r="P18" s="249">
        <f>'Alternative 1-Tilt Up (3pt)'!$Z18/1000000</f>
        <v>3.1240449935795707</v>
      </c>
      <c r="Q18" s="249">
        <f>'Alternative 1-Tilt Up (3pt)'!$AF18/1000000</f>
        <v>3.5385989720342401</v>
      </c>
      <c r="R18" s="249">
        <f>'Alternative 1-Tilt Up (3pt)'!$AL18/1000000</f>
        <v>3.4026201013787296</v>
      </c>
      <c r="S18" s="249">
        <f>'Alternative 1-Tilt Up (3pt)'!$AR18/1000000</f>
        <v>3.0531213972233116</v>
      </c>
      <c r="T18" s="249">
        <f>'Alternative 1-Tilt Up (3pt)'!$AX18/1000000</f>
        <v>2.5633383454053629</v>
      </c>
      <c r="U18" s="249">
        <f>'Alternative 1-Tilt Up (3pt)'!$BD18/1000000</f>
        <v>1.9687886428972856</v>
      </c>
      <c r="V18" s="249">
        <f>'Alternative 1-Tilt Up (3pt)'!$BJ18/1000000</f>
        <v>1.2962938453099018</v>
      </c>
      <c r="W18" s="249">
        <f>'Alternative 1-Tilt Up (3pt)'!$BP18/1000000</f>
        <v>0.57047415491206821</v>
      </c>
      <c r="X18" s="249">
        <f>'Alternative 1-Tilt Up (3pt)'!$BV18/1000000</f>
        <v>-7.8287103162410178E-5</v>
      </c>
      <c r="Y18" s="249">
        <f>'Alternative 1'!$B$20/1.67</f>
        <v>149.70059880239521</v>
      </c>
      <c r="AA18" s="249">
        <f>'Alternative 2'!$F19</f>
        <v>16</v>
      </c>
      <c r="AB18" s="249">
        <f>'Alternative 2-Tilt Up (3pt)'!$T18/1000000</f>
        <v>0.93359788766149998</v>
      </c>
      <c r="AC18" s="249">
        <f>'Alternative 2-Tilt Up (3pt)'!$Z18/1000000</f>
        <v>0.86960152945331137</v>
      </c>
      <c r="AD18" s="249">
        <f>'Alternative 2-Tilt Up (3pt)'!$AF18/1000000</f>
        <v>0.85362254852349406</v>
      </c>
      <c r="AE18" s="249">
        <f>'Alternative 2-Tilt Up (3pt)'!$AL18/1000000</f>
        <v>0.79275078545673527</v>
      </c>
      <c r="AF18" s="249">
        <f>'Alternative 2-Tilt Up (3pt)'!$AR18/1000000</f>
        <v>0.70307833702094413</v>
      </c>
      <c r="AG18" s="249">
        <f>'Alternative 2-Tilt Up (3pt)'!$AX18/1000000</f>
        <v>0.59000892925115578</v>
      </c>
      <c r="AH18" s="249">
        <f>'Alternative 2-Tilt Up (3pt)'!$BD18/1000000</f>
        <v>0.45786104202359929</v>
      </c>
      <c r="AI18" s="249">
        <f>'Alternative 2-Tilt Up (3pt)'!$BJ18/1000000</f>
        <v>0.31102457735372485</v>
      </c>
      <c r="AJ18" s="249">
        <f>'Alternative 2-Tilt Up (3pt)'!$BP18/1000000</f>
        <v>0.15414022686035014</v>
      </c>
      <c r="AK18" s="249">
        <f>'Alternative 2-Tilt Up (3pt)'!$BV18/1000000</f>
        <v>-1.648149540272021E-5</v>
      </c>
      <c r="AL18" s="249">
        <f>'Alternative 2'!$B$20/1.67</f>
        <v>149.70059880239521</v>
      </c>
      <c r="AN18" s="249">
        <f>'Alternative 3'!$F19</f>
        <v>16</v>
      </c>
      <c r="AO18" s="249">
        <f>'Alternative 3-Tilt Up (3pt)'!$T18/1000000</f>
        <v>3.6656736615274443</v>
      </c>
      <c r="AP18" s="249">
        <f>'Alternative 3-Tilt Up (3pt)'!$Z18/1000000</f>
        <v>2.5398760711914585</v>
      </c>
      <c r="AQ18" s="249">
        <f>'Alternative 3-Tilt Up (3pt)'!$AF18/1000000</f>
        <v>2.9314262849681381</v>
      </c>
      <c r="AR18" s="249">
        <f>'Alternative 3-Tilt Up (3pt)'!$AL18/1000000</f>
        <v>2.8304009769193046</v>
      </c>
      <c r="AS18" s="249">
        <f>'Alternative 3-Tilt Up (3pt)'!$AR18/1000000</f>
        <v>2.5430556212277171</v>
      </c>
      <c r="AT18" s="249">
        <f>'Alternative 3-Tilt Up (3pt)'!$AX18/1000000</f>
        <v>2.1351514059491508</v>
      </c>
      <c r="AU18" s="249">
        <f>'Alternative 3-Tilt Up (3pt)'!$BD18/1000000</f>
        <v>1.6378773405962483</v>
      </c>
      <c r="AV18" s="249">
        <f>'Alternative 3-Tilt Up (3pt)'!$BJ18/1000000</f>
        <v>1.0743182095935024</v>
      </c>
      <c r="AW18" s="249">
        <f>'Alternative 3-Tilt Up (3pt)'!$BP18/1000000</f>
        <v>0.46541081877830093</v>
      </c>
      <c r="AX18" s="249">
        <f>'Alternative 3-Tilt Up (3pt)'!$BV18/1000000</f>
        <v>-1.4833345862443235E-4</v>
      </c>
      <c r="AY18" s="249">
        <f>'Alternative 3'!$B$20/1.67</f>
        <v>149.70059880239521</v>
      </c>
    </row>
    <row r="19" spans="1:51" x14ac:dyDescent="0.25">
      <c r="A19" s="249">
        <f>'Baseline Given'!E20</f>
        <v>17</v>
      </c>
      <c r="B19" s="249">
        <f>'Baseline-tilt up (3 pt)'!T19/1000000</f>
        <v>-18.642777230247404</v>
      </c>
      <c r="C19" s="249">
        <f>'Baseline-tilt up (3 pt)'!Z19/1000000</f>
        <v>-35.414177015761524</v>
      </c>
      <c r="D19" s="249">
        <f>'Baseline-tilt up (3 pt)'!AF19/1000000</f>
        <v>-25.718474675438078</v>
      </c>
      <c r="E19" s="249">
        <f>'Baseline-tilt up (3 pt)'!AL19/1000000</f>
        <v>-21.65439807121388</v>
      </c>
      <c r="F19" s="249">
        <f>'Baseline-tilt up (3 pt)'!AR19/1000000</f>
        <v>-18.526503767430025</v>
      </c>
      <c r="G19" s="249">
        <f>'Baseline-tilt up (3 pt)'!AX19/1000000</f>
        <v>-15.523374477046504</v>
      </c>
      <c r="H19" s="249">
        <f>'Baseline-tilt up (3 pt)'!BD19/1000000</f>
        <v>-12.437525697232251</v>
      </c>
      <c r="I19" s="249">
        <f>'Baseline-tilt up (3 pt)'!BJ19/1000000</f>
        <v>-9.2359578775074418</v>
      </c>
      <c r="J19" s="249">
        <f>'Baseline-tilt up (3 pt)'!BP19/1000000</f>
        <v>-5.9553402078109343</v>
      </c>
      <c r="K19" s="249">
        <f>'Baseline-tilt up (3 pt)'!BV19/1000000</f>
        <v>-2.6665866927995605</v>
      </c>
      <c r="L19" s="249">
        <f>'Baseline Given'!$B$21/1.67</f>
        <v>149.70059880239521</v>
      </c>
      <c r="N19" s="249">
        <f>'Alternative 1'!$F20</f>
        <v>17</v>
      </c>
      <c r="O19" s="249">
        <f>'Alternative 1-Tilt Up (3pt)'!$T19/1000000</f>
        <v>4.0888913996987473</v>
      </c>
      <c r="P19" s="249">
        <f>'Alternative 1-Tilt Up (3pt)'!$Z19/1000000</f>
        <v>2.9758259808161007</v>
      </c>
      <c r="Q19" s="249">
        <f>'Alternative 1-Tilt Up (3pt)'!$AF19/1000000</f>
        <v>3.3384679378002882</v>
      </c>
      <c r="R19" s="249">
        <f>'Alternative 1-Tilt Up (3pt)'!$AL19/1000000</f>
        <v>3.2032910111375013</v>
      </c>
      <c r="S19" s="249">
        <f>'Alternative 1-Tilt Up (3pt)'!$AR19/1000000</f>
        <v>2.8722437059404409</v>
      </c>
      <c r="T19" s="249">
        <f>'Alternative 1-Tilt Up (3pt)'!$AX19/1000000</f>
        <v>2.4114096985137263</v>
      </c>
      <c r="U19" s="249">
        <f>'Alternative 1-Tilt Up (3pt)'!$BD19/1000000</f>
        <v>1.8532548851559014</v>
      </c>
      <c r="V19" s="249">
        <f>'Alternative 1-Tilt Up (3pt)'!$BJ19/1000000</f>
        <v>1.222573248160626</v>
      </c>
      <c r="W19" s="249">
        <f>'Alternative 1-Tilt Up (3pt)'!$BP19/1000000</f>
        <v>0.542273803529287</v>
      </c>
      <c r="X19" s="249">
        <f>'Alternative 1-Tilt Up (3pt)'!$BV19/1000000</f>
        <v>-7.0046355461092621E-5</v>
      </c>
      <c r="Y19" s="249">
        <f>'Alternative 1'!$B$20/1.67</f>
        <v>149.70059880239521</v>
      </c>
      <c r="AA19" s="249">
        <f>'Alternative 2'!$F20</f>
        <v>17</v>
      </c>
      <c r="AB19" s="249">
        <f>'Alternative 2-Tilt Up (3pt)'!$T19/1000000</f>
        <v>0.83464619123804829</v>
      </c>
      <c r="AC19" s="249">
        <f>'Alternative 2-Tilt Up (3pt)'!$Z19/1000000</f>
        <v>0.79728039869670531</v>
      </c>
      <c r="AD19" s="249">
        <f>'Alternative 2-Tilt Up (3pt)'!$AF19/1000000</f>
        <v>0.77268531534741913</v>
      </c>
      <c r="AE19" s="249">
        <f>'Alternative 2-Tilt Up (3pt)'!$AL19/1000000</f>
        <v>0.71513463321198345</v>
      </c>
      <c r="AF19" s="249">
        <f>'Alternative 2-Tilt Up (3pt)'!$AR19/1000000</f>
        <v>0.63349827016989568</v>
      </c>
      <c r="AG19" s="249">
        <f>'Alternative 2-Tilt Up (3pt)'!$AX19/1000000</f>
        <v>0.53159624283507745</v>
      </c>
      <c r="AH19" s="249">
        <f>'Alternative 2-Tilt Up (3pt)'!$BD19/1000000</f>
        <v>0.41296625431169598</v>
      </c>
      <c r="AI19" s="249">
        <f>'Alternative 2-Tilt Up (3pt)'!$BJ19/1000000</f>
        <v>0.28140014443741268</v>
      </c>
      <c r="AJ19" s="249">
        <f>'Alternative 2-Tilt Up (3pt)'!$BP19/1000000</f>
        <v>0.14098505285642349</v>
      </c>
      <c r="AK19" s="249">
        <f>'Alternative 2-Tilt Up (3pt)'!$BV19/1000000</f>
        <v>-8.2407477013375552E-6</v>
      </c>
      <c r="AL19" s="249">
        <f>'Alternative 2'!$B$20/1.67</f>
        <v>149.70059880239521</v>
      </c>
      <c r="AN19" s="249">
        <f>'Alternative 3'!$F20</f>
        <v>17</v>
      </c>
      <c r="AO19" s="249">
        <f>'Alternative 3-Tilt Up (3pt)'!$T19/1000000</f>
        <v>3.4390144302152561</v>
      </c>
      <c r="AP19" s="249">
        <f>'Alternative 3-Tilt Up (3pt)'!$Z19/1000000</f>
        <v>2.4356696003114684</v>
      </c>
      <c r="AQ19" s="249">
        <f>'Alternative 3-Tilt Up (3pt)'!$AF19/1000000</f>
        <v>2.7755597671627661</v>
      </c>
      <c r="AR19" s="249">
        <f>'Alternative 3-Tilt Up (3pt)'!$AL19/1000000</f>
        <v>2.6724442949631433</v>
      </c>
      <c r="AS19" s="249">
        <f>'Alternative 3-Tilt Up (3pt)'!$AR19/1000000</f>
        <v>2.3989548474399625</v>
      </c>
      <c r="AT19" s="249">
        <f>'Alternative 3-Tilt Up (3pt)'!$AX19/1000000</f>
        <v>2.0140949029099673</v>
      </c>
      <c r="AU19" s="249">
        <f>'Alternative 3-Tilt Up (3pt)'!$BD19/1000000</f>
        <v>1.5462649438977467</v>
      </c>
      <c r="AV19" s="249">
        <f>'Alternative 3-Tilt Up (3pt)'!$BJ19/1000000</f>
        <v>1.0167689590470093</v>
      </c>
      <c r="AW19" s="249">
        <f>'Alternative 3-Tilt Up (3pt)'!$BP19/1000000</f>
        <v>0.44508505753425531</v>
      </c>
      <c r="AX19" s="249">
        <f>'Alternative 3-Tilt Up (3pt)'!$BV19/1000000</f>
        <v>-1.3185196322170657E-4</v>
      </c>
      <c r="AY19" s="249">
        <f>'Alternative 3'!$B$20/1.67</f>
        <v>149.70059880239521</v>
      </c>
    </row>
    <row r="20" spans="1:51" x14ac:dyDescent="0.25">
      <c r="A20" s="249">
        <f>'Baseline Given'!E21</f>
        <v>18</v>
      </c>
      <c r="B20" s="249">
        <f>'Baseline-tilt up (3 pt)'!T20/1000000</f>
        <v>-17.545621210448861</v>
      </c>
      <c r="C20" s="249">
        <f>'Baseline-tilt up (3 pt)'!Z20/1000000</f>
        <v>-33.734097616377767</v>
      </c>
      <c r="D20" s="249">
        <f>'Baseline-tilt up (3 pt)'!AF20/1000000</f>
        <v>-24.399071401188035</v>
      </c>
      <c r="E20" s="249">
        <f>'Baseline-tilt up (3 pt)'!AL20/1000000</f>
        <v>-20.510395027295459</v>
      </c>
      <c r="F20" s="249">
        <f>'Baseline-tilt up (3 pt)'!AR20/1000000</f>
        <v>-17.536640317667349</v>
      </c>
      <c r="G20" s="249">
        <f>'Baseline-tilt up (3 pt)'!AX20/1000000</f>
        <v>-14.693560845454808</v>
      </c>
      <c r="H20" s="249">
        <f>'Baseline-tilt up (3 pt)'!BD20/1000000</f>
        <v>-11.779307023942978</v>
      </c>
      <c r="I20" s="249">
        <f>'Baseline-tilt up (3 pt)'!BJ20/1000000</f>
        <v>-8.7601200748949548</v>
      </c>
      <c r="J20" s="249">
        <f>'Baseline-tilt up (3 pt)'!BP20/1000000</f>
        <v>-5.6692575271371366</v>
      </c>
      <c r="K20" s="249">
        <f>'Baseline-tilt up (3 pt)'!BV20/1000000</f>
        <v>-2.5728786509549852</v>
      </c>
      <c r="L20" s="249">
        <f>'Baseline Given'!$B$21/1.67</f>
        <v>149.70059880239521</v>
      </c>
      <c r="N20" s="249">
        <f>'Alternative 1'!$F21</f>
        <v>18</v>
      </c>
      <c r="O20" s="249">
        <f>'Alternative 1-Tilt Up (3pt)'!$T20/1000000</f>
        <v>3.8803391262979963</v>
      </c>
      <c r="P20" s="249">
        <f>'Alternative 1-Tilt Up (3pt)'!$Z20/1000000</f>
        <v>2.8942463611526938</v>
      </c>
      <c r="Q20" s="249">
        <f>'Alternative 1-Tilt Up (3pt)'!$AF20/1000000</f>
        <v>3.2019234723745549</v>
      </c>
      <c r="R20" s="249">
        <f>'Alternative 1-Tilt Up (3pt)'!$AL20/1000000</f>
        <v>3.0625636196957715</v>
      </c>
      <c r="S20" s="249">
        <f>'Alternative 1-Tilt Up (3pt)'!$AR20/1000000</f>
        <v>2.7432022604842139</v>
      </c>
      <c r="T20" s="249">
        <f>'Alternative 1-Tilt Up (3pt)'!$AX20/1000000</f>
        <v>2.3029768263768422</v>
      </c>
      <c r="U20" s="249">
        <f>'Alternative 1-Tilt Up (3pt)'!$BD20/1000000</f>
        <v>1.7715548339913745</v>
      </c>
      <c r="V20" s="249">
        <f>'Alternative 1-Tilt Up (3pt)'!$BJ20/1000000</f>
        <v>1.1719962693566639</v>
      </c>
      <c r="W20" s="249">
        <f>'Alternative 1-Tilt Up (3pt)'!$BP20/1000000</f>
        <v>0.52582377512808431</v>
      </c>
      <c r="X20" s="249">
        <f>'Alternative 1-Tilt Up (3pt)'!$BV20/1000000</f>
        <v>-6.1805607759770904E-5</v>
      </c>
      <c r="Y20" s="249">
        <f>'Alternative 1'!$B$20/1.67</f>
        <v>149.70059880239521</v>
      </c>
      <c r="AA20" s="249">
        <f>'Alternative 2'!$F21</f>
        <v>18</v>
      </c>
      <c r="AB20" s="249">
        <f>'Alternative 2-Tilt Up (3pt)'!$T20/1000000</f>
        <v>0.77897064156839602</v>
      </c>
      <c r="AC20" s="249">
        <f>'Alternative 2-Tilt Up (3pt)'!$Z20/1000000</f>
        <v>0.76760393076010502</v>
      </c>
      <c r="AD20" s="249">
        <f>'Alternative 2-Tilt Up (3pt)'!$AF20/1000000</f>
        <v>0.7324391458284818</v>
      </c>
      <c r="AE20" s="249">
        <f>'Alternative 2-Tilt Up (3pt)'!$AL20/1000000</f>
        <v>0.67501956808295127</v>
      </c>
      <c r="AF20" s="249">
        <f>'Alternative 2-Tilt Up (3pt)'!$AR20/1000000</f>
        <v>0.59708986233760275</v>
      </c>
      <c r="AG20" s="249">
        <f>'Alternative 2-Tilt Up (3pt)'!$AX20/1000000</f>
        <v>0.50101788326717545</v>
      </c>
      <c r="AH20" s="249">
        <f>'Alternative 2-Tilt Up (3pt)'!$BD20/1000000</f>
        <v>0.38972272934095675</v>
      </c>
      <c r="AI20" s="249">
        <f>'Alternative 2-Tilt Up (3pt)'!$BJ20/1000000</f>
        <v>0.26658604749292975</v>
      </c>
      <c r="AJ20" s="249">
        <f>'Alternative 2-Tilt Up (3pt)'!$BP20/1000000</f>
        <v>0.13534928349087896</v>
      </c>
      <c r="AK20" s="249">
        <f>'Alternative 2-Tilt Up (3pt)'!$BV20/1000000</f>
        <v>4.7746819969484344E-17</v>
      </c>
      <c r="AL20" s="249">
        <f>'Alternative 2'!$B$20/1.67</f>
        <v>149.70059880239521</v>
      </c>
      <c r="AN20" s="249">
        <f>'Alternative 3'!$F21</f>
        <v>18</v>
      </c>
      <c r="AO20" s="249">
        <f>'Alternative 3-Tilt Up (3pt)'!$T20/1000000</f>
        <v>3.2787119572588939</v>
      </c>
      <c r="AP20" s="249">
        <f>'Alternative 3-Tilt Up (3pt)'!$Z20/1000000</f>
        <v>2.3968516124221546</v>
      </c>
      <c r="AQ20" s="249">
        <f>'Alternative 3-Tilt Up (3pt)'!$AF20/1000000</f>
        <v>2.6820862136316785</v>
      </c>
      <c r="AR20" s="249">
        <f>'Alternative 3-Tilt Up (3pt)'!$AL20/1000000</f>
        <v>2.5719892799177542</v>
      </c>
      <c r="AS20" s="249">
        <f>'Alternative 3-Tilt Up (3pt)'!$AR20/1000000</f>
        <v>2.3057172841476348</v>
      </c>
      <c r="AT20" s="249">
        <f>'Alternative 3-Tilt Up (3pt)'!$AX20/1000000</f>
        <v>1.9357177010379878</v>
      </c>
      <c r="AU20" s="249">
        <f>'Alternative 3-Tilt Up (3pt)'!$BD20/1000000</f>
        <v>1.4878511500690306</v>
      </c>
      <c r="AV20" s="249">
        <f>'Alternative 3-Tilt Up (3pt)'!$BJ20/1000000</f>
        <v>0.98192889032398722</v>
      </c>
      <c r="AW20" s="249">
        <f>'Alternative 3-Tilt Up (3pt)'!$BP20/1000000</f>
        <v>0.43628905006906243</v>
      </c>
      <c r="AX20" s="249">
        <f>'Alternative 3-Tilt Up (3pt)'!$BV20/1000000</f>
        <v>-1.1537046781897673E-4</v>
      </c>
      <c r="AY20" s="249">
        <f>'Alternative 3'!$B$20/1.67</f>
        <v>149.70059880239521</v>
      </c>
    </row>
    <row r="21" spans="1:51" x14ac:dyDescent="0.25">
      <c r="A21" s="249">
        <f>'Baseline Given'!E22</f>
        <v>19</v>
      </c>
      <c r="B21" s="249">
        <f>'Baseline-tilt up (3 pt)'!T21/1000000</f>
        <v>-16.327824203673973</v>
      </c>
      <c r="C21" s="249">
        <f>'Baseline-tilt up (3 pt)'!Z21/1000000</f>
        <v>-31.926365613377225</v>
      </c>
      <c r="D21" s="249">
        <f>'Baseline-tilt up (3 pt)'!AF21/1000000</f>
        <v>-22.962018659663734</v>
      </c>
      <c r="E21" s="249">
        <f>'Baseline-tilt up (3 pt)'!AL21/1000000</f>
        <v>-19.259019659752383</v>
      </c>
      <c r="F21" s="249">
        <f>'Baseline-tilt up (3 pt)'!AR21/1000000</f>
        <v>-16.452123661083697</v>
      </c>
      <c r="G21" s="249">
        <f>'Baseline-tilt up (3 pt)'!AX21/1000000</f>
        <v>-13.784335173061953</v>
      </c>
      <c r="H21" s="249">
        <f>'Baseline-tilt up (3 pt)'!BD21/1000000</f>
        <v>-11.059130183494187</v>
      </c>
      <c r="I21" s="249">
        <f>'Baseline-tilt up (3 pt)'!BJ21/1000000</f>
        <v>-8.2415256015524747</v>
      </c>
      <c r="J21" s="249">
        <f>'Baseline-tilt up (3 pt)'!BP21/1000000</f>
        <v>-5.3608150616721151</v>
      </c>
      <c r="K21" s="249">
        <f>'Baseline-tilt up (3 pt)'!BV21/1000000</f>
        <v>-2.4777981560972253</v>
      </c>
      <c r="L21" s="249">
        <f>'Baseline Given'!$B$21/1.67</f>
        <v>149.70059880239521</v>
      </c>
      <c r="N21" s="249">
        <f>'Alternative 1'!$F22</f>
        <v>19</v>
      </c>
      <c r="O21" s="249">
        <f>'Alternative 1-Tilt Up (3pt)'!$T21/1000000</f>
        <v>3.7394130448911831</v>
      </c>
      <c r="P21" s="249">
        <f>'Alternative 1-Tilt Up (3pt)'!$Z21/1000000</f>
        <v>2.8793061345893496</v>
      </c>
      <c r="Q21" s="249">
        <f>'Alternative 1-Tilt Up (3pt)'!$AF21/1000000</f>
        <v>3.1289655757570443</v>
      </c>
      <c r="R21" s="249">
        <f>'Alternative 1-Tilt Up (3pt)'!$AL21/1000000</f>
        <v>2.9804379270535395</v>
      </c>
      <c r="S21" s="249">
        <f>'Alternative 1-Tilt Up (3pt)'!$AR21/1000000</f>
        <v>2.6659970608546262</v>
      </c>
      <c r="T21" s="249">
        <f>'Alternative 1-Tilt Up (3pt)'!$AX21/1000000</f>
        <v>2.2380397289947065</v>
      </c>
      <c r="U21" s="249">
        <f>'Alternative 1-Tilt Up (3pt)'!$BD21/1000000</f>
        <v>1.7236884894037083</v>
      </c>
      <c r="V21" s="249">
        <f>'Alternative 1-Tilt Up (3pt)'!$BJ21/1000000</f>
        <v>1.1445629088980129</v>
      </c>
      <c r="W21" s="249">
        <f>'Alternative 1-Tilt Up (3pt)'!$BP21/1000000</f>
        <v>0.52112406970846026</v>
      </c>
      <c r="X21" s="249">
        <f>'Alternative 1-Tilt Up (3pt)'!$BV21/1000000</f>
        <v>-5.3564860058445026E-5</v>
      </c>
      <c r="Y21" s="249">
        <f>'Alternative 1'!$B$20/1.67</f>
        <v>149.70059880239521</v>
      </c>
      <c r="AA21" s="249">
        <f>'Alternative 2'!$F22</f>
        <v>19</v>
      </c>
      <c r="AB21" s="249">
        <f>'Alternative 2-Tilt Up (3pt)'!$T21/1000000</f>
        <v>0.54095183442249717</v>
      </c>
      <c r="AC21" s="249">
        <f>'Alternative 2-Tilt Up (3pt)'!$Z21/1000000</f>
        <v>0.53305828525007293</v>
      </c>
      <c r="AD21" s="249">
        <f>'Alternative 2-Tilt Up (3pt)'!$AF21/1000000</f>
        <v>0.50863829571422348</v>
      </c>
      <c r="AE21" s="249">
        <f>'Alternative 2-Tilt Up (3pt)'!$AL21/1000000</f>
        <v>0.46876358894649389</v>
      </c>
      <c r="AF21" s="249">
        <f>'Alternative 2-Tilt Up (3pt)'!$AR21/1000000</f>
        <v>0.41464573773444635</v>
      </c>
      <c r="AG21" s="249">
        <f>'Alternative 2-Tilt Up (3pt)'!$AX21/1000000</f>
        <v>0.3479290856022052</v>
      </c>
      <c r="AH21" s="249">
        <f>'Alternative 2-Tilt Up (3pt)'!$BD21/1000000</f>
        <v>0.27064078426455335</v>
      </c>
      <c r="AI21" s="249">
        <f>'Alternative 2-Tilt Up (3pt)'!$BJ21/1000000</f>
        <v>0.18512919964786786</v>
      </c>
      <c r="AJ21" s="249">
        <f>'Alternative 2-Tilt Up (3pt)'!$BP21/1000000</f>
        <v>9.3992557979777083E-2</v>
      </c>
      <c r="AK21" s="249">
        <f>'Alternative 2-Tilt Up (3pt)'!$BV21/1000000</f>
        <v>3.3157513867697465E-17</v>
      </c>
      <c r="AL21" s="249">
        <f>'Alternative 2'!$B$20/1.67</f>
        <v>149.70059880239521</v>
      </c>
      <c r="AN21" s="249">
        <f>'Alternative 3'!$F22</f>
        <v>19</v>
      </c>
      <c r="AO21" s="249">
        <f>'Alternative 3-Tilt Up (3pt)'!$T21/1000000</f>
        <v>3.1847662426583594</v>
      </c>
      <c r="AP21" s="249">
        <f>'Alternative 3-Tilt Up (3pt)'!$Z21/1000000</f>
        <v>2.4234221075235176</v>
      </c>
      <c r="AQ21" s="249">
        <f>'Alternative 3-Tilt Up (3pt)'!$AF21/1000000</f>
        <v>2.6510056243748648</v>
      </c>
      <c r="AR21" s="249">
        <f>'Alternative 3-Tilt Up (3pt)'!$AL21/1000000</f>
        <v>2.5290359317831346</v>
      </c>
      <c r="AS21" s="249">
        <f>'Alternative 3-Tilt Up (3pt)'!$AR21/1000000</f>
        <v>2.2633429313507309</v>
      </c>
      <c r="AT21" s="249">
        <f>'Alternative 3-Tilt Up (3pt)'!$AX21/1000000</f>
        <v>1.9000198003332112</v>
      </c>
      <c r="AU21" s="249">
        <f>'Alternative 3-Tilt Up (3pt)'!$BD21/1000000</f>
        <v>1.4626359591101012</v>
      </c>
      <c r="AV21" s="249">
        <f>'Alternative 3-Tilt Up (3pt)'!$BJ21/1000000</f>
        <v>0.969798003424438</v>
      </c>
      <c r="AW21" s="249">
        <f>'Alternative 3-Tilt Up (3pt)'!$BP21/1000000</f>
        <v>0.43902279638272235</v>
      </c>
      <c r="AX21" s="249">
        <f>'Alternative 3-Tilt Up (3pt)'!$BV21/1000000</f>
        <v>-9.888897241624283E-5</v>
      </c>
      <c r="AY21" s="249">
        <f>'Alternative 3'!$B$20/1.67</f>
        <v>149.70059880239521</v>
      </c>
    </row>
    <row r="22" spans="1:51" x14ac:dyDescent="0.25">
      <c r="A22" s="249">
        <f>'Baseline Given'!E23</f>
        <v>20</v>
      </c>
      <c r="B22" s="249">
        <f>'Baseline-tilt up (3 pt)'!T22/1000000</f>
        <v>-14.986716286440473</v>
      </c>
      <c r="C22" s="249">
        <f>'Baseline-tilt up (3 pt)'!Z22/1000000</f>
        <v>-29.98815590815531</v>
      </c>
      <c r="D22" s="249">
        <f>'Baseline-tilt up (3 pt)'!AF22/1000000</f>
        <v>-21.404712733146837</v>
      </c>
      <c r="E22" s="249">
        <f>'Baseline-tilt up (3 pt)'!AL22/1000000</f>
        <v>-17.897895695848685</v>
      </c>
      <c r="F22" s="249">
        <f>'Baseline-tilt up (3 pt)'!AR22/1000000</f>
        <v>-15.270859013593668</v>
      </c>
      <c r="G22" s="249">
        <f>'Baseline-tilt up (3 pt)'!AX22/1000000</f>
        <v>-12.793939980276493</v>
      </c>
      <c r="H22" s="249">
        <f>'Baseline-tilt up (3 pt)'!BD22/1000000</f>
        <v>-10.275623970547063</v>
      </c>
      <c r="I22" s="249">
        <f>'Baseline-tilt up (3 pt)'!BJ22/1000000</f>
        <v>-7.6792282032916965</v>
      </c>
      <c r="J22" s="249">
        <f>'Baseline-tilt up (3 pt)'!BP22/1000000</f>
        <v>-5.0295179637196874</v>
      </c>
      <c r="K22" s="249">
        <f>'Baseline-tilt up (3 pt)'!BV22/1000000</f>
        <v>-2.3813148342661541</v>
      </c>
      <c r="L22" s="249">
        <f>'Baseline Given'!$B$21/1.67</f>
        <v>149.70059880239521</v>
      </c>
      <c r="N22" s="249">
        <f>'Alternative 1'!$F23</f>
        <v>20</v>
      </c>
      <c r="O22" s="249">
        <f>'Alternative 1-Tilt Up (3pt)'!$T22/1000000</f>
        <v>3.66611315547831</v>
      </c>
      <c r="P22" s="249">
        <f>'Alternative 1-Tilt Up (3pt)'!$Z22/1000000</f>
        <v>2.9310053011260666</v>
      </c>
      <c r="Q22" s="249">
        <f>'Alternative 1-Tilt Up (3pt)'!$AF22/1000000</f>
        <v>3.1195942479477528</v>
      </c>
      <c r="R22" s="249">
        <f>'Alternative 1-Tilt Up (3pt)'!$AL22/1000000</f>
        <v>2.956913933210803</v>
      </c>
      <c r="S22" s="249">
        <f>'Alternative 1-Tilt Up (3pt)'!$AR22/1000000</f>
        <v>2.6406281070516822</v>
      </c>
      <c r="T22" s="249">
        <f>'Alternative 1-Tilt Up (3pt)'!$AX22/1000000</f>
        <v>2.216598406367321</v>
      </c>
      <c r="U22" s="249">
        <f>'Alternative 1-Tilt Up (3pt)'!$BD22/1000000</f>
        <v>1.7096558513929021</v>
      </c>
      <c r="V22" s="249">
        <f>'Alternative 1-Tilt Up (3pt)'!$BJ22/1000000</f>
        <v>1.1402731667846733</v>
      </c>
      <c r="W22" s="249">
        <f>'Alternative 1-Tilt Up (3pt)'!$BP22/1000000</f>
        <v>0.52817468727041483</v>
      </c>
      <c r="X22" s="249">
        <f>'Alternative 1-Tilt Up (3pt)'!$BV22/1000000</f>
        <v>-4.5324112357115028E-5</v>
      </c>
      <c r="Y22" s="249">
        <f>'Alternative 1'!$B$20/1.67</f>
        <v>149.70059880239521</v>
      </c>
      <c r="AA22" s="249">
        <f>'Alternative 2'!$F23</f>
        <v>20</v>
      </c>
      <c r="AB22" s="249">
        <f>'Alternative 2-Tilt Up (3pt)'!$T22/1000000</f>
        <v>0.34620917403039814</v>
      </c>
      <c r="AC22" s="249">
        <f>'Alternative 2-Tilt Up (3pt)'!$Z22/1000000</f>
        <v>0.34115730256004667</v>
      </c>
      <c r="AD22" s="249">
        <f>'Alternative 2-Tilt Up (3pt)'!$AF22/1000000</f>
        <v>0.32552850925710303</v>
      </c>
      <c r="AE22" s="249">
        <f>'Alternative 2-Tilt Up (3pt)'!$AL22/1000000</f>
        <v>0.30000869692575605</v>
      </c>
      <c r="AF22" s="249">
        <f>'Alternative 2-Tilt Up (3pt)'!$AR22/1000000</f>
        <v>0.26537327215004569</v>
      </c>
      <c r="AG22" s="249">
        <f>'Alternative 2-Tilt Up (3pt)'!$AX22/1000000</f>
        <v>0.22267461478541131</v>
      </c>
      <c r="AH22" s="249">
        <f>'Alternative 2-Tilt Up (3pt)'!$BD22/1000000</f>
        <v>0.17321010192931413</v>
      </c>
      <c r="AI22" s="249">
        <f>'Alternative 2-Tilt Up (3pt)'!$BJ22/1000000</f>
        <v>0.11848268777463543</v>
      </c>
      <c r="AJ22" s="249">
        <f>'Alternative 2-Tilt Up (3pt)'!$BP22/1000000</f>
        <v>6.0155237107057329E-2</v>
      </c>
      <c r="AK22" s="249">
        <f>'Alternative 2-Tilt Up (3pt)'!$BV22/1000000</f>
        <v>2.1220808875326374E-17</v>
      </c>
      <c r="AL22" s="249">
        <f>'Alternative 2'!$B$20/1.67</f>
        <v>149.70059880239521</v>
      </c>
      <c r="AN22" s="249">
        <f>'Alternative 3'!$F23</f>
        <v>20</v>
      </c>
      <c r="AO22" s="249">
        <f>'Alternative 3-Tilt Up (3pt)'!$T22/1000000</f>
        <v>3.1571772864136487</v>
      </c>
      <c r="AP22" s="249">
        <f>'Alternative 3-Tilt Up (3pt)'!$Z22/1000000</f>
        <v>2.5153810856155552</v>
      </c>
      <c r="AQ22" s="249">
        <f>'Alternative 3-Tilt Up (3pt)'!$AF22/1000000</f>
        <v>2.6823179993923314</v>
      </c>
      <c r="AR22" s="249">
        <f>'Alternative 3-Tilt Up (3pt)'!$AL22/1000000</f>
        <v>2.5435842505592845</v>
      </c>
      <c r="AS22" s="249">
        <f>'Alternative 3-Tilt Up (3pt)'!$AR22/1000000</f>
        <v>2.2718317890492528</v>
      </c>
      <c r="AT22" s="249">
        <f>'Alternative 3-Tilt Up (3pt)'!$AX22/1000000</f>
        <v>1.9070012007956392</v>
      </c>
      <c r="AU22" s="249">
        <f>'Alternative 3-Tilt Up (3pt)'!$BD22/1000000</f>
        <v>1.4706193710209556</v>
      </c>
      <c r="AV22" s="249">
        <f>'Alternative 3-Tilt Up (3pt)'!$BJ22/1000000</f>
        <v>0.98037629834835915</v>
      </c>
      <c r="AW22" s="249">
        <f>'Alternative 3-Tilt Up (3pt)'!$BP22/1000000</f>
        <v>0.45328629647523483</v>
      </c>
      <c r="AX22" s="249">
        <f>'Alternative 3-Tilt Up (3pt)'!$BV22/1000000</f>
        <v>-8.2407477013504826E-5</v>
      </c>
      <c r="AY22" s="249">
        <f>'Alternative 3'!$B$20/1.67</f>
        <v>149.70059880239521</v>
      </c>
    </row>
    <row r="23" spans="1:51" x14ac:dyDescent="0.25">
      <c r="A23" s="249">
        <f>'Baseline Given'!E24</f>
        <v>21</v>
      </c>
      <c r="B23" s="249">
        <f>'Baseline-tilt up (3 pt)'!T23/1000000</f>
        <v>-13.519548165121291</v>
      </c>
      <c r="C23" s="249">
        <f>'Baseline-tilt up (3 pt)'!Z23/1000000</f>
        <v>-27.916559418994439</v>
      </c>
      <c r="D23" s="249">
        <f>'Baseline-tilt up (3 pt)'!AF23/1000000</f>
        <v>-19.724472501905876</v>
      </c>
      <c r="E23" s="249">
        <f>'Baseline-tilt up (3 pt)'!AL23/1000000</f>
        <v>-16.424576222205545</v>
      </c>
      <c r="F23" s="249">
        <f>'Baseline-tilt up (3 pt)'!AR23/1000000</f>
        <v>-13.99068931842231</v>
      </c>
      <c r="G23" s="249">
        <f>'Baseline-tilt up (3 pt)'!AX23/1000000</f>
        <v>-11.72056554203597</v>
      </c>
      <c r="H23" s="249">
        <f>'Baseline-tilt up (3 pt)'!BD23/1000000</f>
        <v>-9.4273764172589676</v>
      </c>
      <c r="I23" s="249">
        <f>'Baseline-tilt up (3 pt)'!BJ23/1000000</f>
        <v>-7.0722534961549357</v>
      </c>
      <c r="J23" s="249">
        <f>'Baseline-tilt up (3 pt)'!BP23/1000000</f>
        <v>-4.6748566749997762</v>
      </c>
      <c r="K23" s="249">
        <f>'Baseline-tilt up (3 pt)'!BV23/1000000</f>
        <v>-2.2833974085598081</v>
      </c>
      <c r="L23" s="249">
        <f>'Baseline Given'!$B$21/1.67</f>
        <v>149.70059880239521</v>
      </c>
      <c r="N23" s="249">
        <f>'Alternative 1'!$F24</f>
        <v>21</v>
      </c>
      <c r="O23" s="249">
        <f>'Alternative 1-Tilt Up (3pt)'!$T23/1000000</f>
        <v>3.6604394580593742</v>
      </c>
      <c r="P23" s="249">
        <f>'Alternative 1-Tilt Up (3pt)'!$Z23/1000000</f>
        <v>3.049343860762848</v>
      </c>
      <c r="Q23" s="249">
        <f>'Alternative 1-Tilt Up (3pt)'!$AF23/1000000</f>
        <v>3.173809488946683</v>
      </c>
      <c r="R23" s="249">
        <f>'Alternative 1-Tilt Up (3pt)'!$AL23/1000000</f>
        <v>2.9919916381675677</v>
      </c>
      <c r="S23" s="249">
        <f>'Alternative 1-Tilt Up (3pt)'!$AR23/1000000</f>
        <v>2.667095399075381</v>
      </c>
      <c r="T23" s="249">
        <f>'Alternative 1-Tilt Up (3pt)'!$AX23/1000000</f>
        <v>2.238652858494687</v>
      </c>
      <c r="U23" s="249">
        <f>'Alternative 1-Tilt Up (3pt)'!$BD23/1000000</f>
        <v>1.7294569199589553</v>
      </c>
      <c r="V23" s="249">
        <f>'Alternative 1-Tilt Up (3pt)'!$BJ23/1000000</f>
        <v>1.1591270430166474</v>
      </c>
      <c r="W23" s="249">
        <f>'Alternative 1-Tilt Up (3pt)'!$BP23/1000000</f>
        <v>0.54697562781394793</v>
      </c>
      <c r="X23" s="249">
        <f>'Alternative 1-Tilt Up (3pt)'!$BV23/1000000</f>
        <v>-3.7083364655780876E-5</v>
      </c>
      <c r="Y23" s="249">
        <f>'Alternative 1'!$B$20/1.67</f>
        <v>149.70059880239521</v>
      </c>
      <c r="AA23" s="249">
        <f>'Alternative 2'!$F24</f>
        <v>21</v>
      </c>
      <c r="AB23" s="249">
        <f>'Alternative 2-Tilt Up (3pt)'!$T23/1000000</f>
        <v>0.194742660392099</v>
      </c>
      <c r="AC23" s="249">
        <f>'Alternative 2-Tilt Up (3pt)'!$Z23/1000000</f>
        <v>0.19190098269002628</v>
      </c>
      <c r="AD23" s="249">
        <f>'Alternative 2-Tilt Up (3pt)'!$AF23/1000000</f>
        <v>0.18310978645712048</v>
      </c>
      <c r="AE23" s="249">
        <f>'Alternative 2-Tilt Up (3pt)'!$AL23/1000000</f>
        <v>0.16875489202073782</v>
      </c>
      <c r="AF23" s="249">
        <f>'Alternative 2-Tilt Up (3pt)'!$AR23/1000000</f>
        <v>0.14927246558440072</v>
      </c>
      <c r="AG23" s="249">
        <f>'Alternative 2-Tilt Up (3pt)'!$AX23/1000000</f>
        <v>0.12525447081679389</v>
      </c>
      <c r="AH23" s="249">
        <f>'Alternative 2-Tilt Up (3pt)'!$BD23/1000000</f>
        <v>9.743068233523923E-2</v>
      </c>
      <c r="AI23" s="249">
        <f>'Alternative 2-Tilt Up (3pt)'!$BJ23/1000000</f>
        <v>6.664651187323245E-2</v>
      </c>
      <c r="AJ23" s="249">
        <f>'Alternative 2-Tilt Up (3pt)'!$BP23/1000000</f>
        <v>3.3837320872719748E-2</v>
      </c>
      <c r="AK23" s="249">
        <f>'Alternative 2-Tilt Up (3pt)'!$BV23/1000000</f>
        <v>1.1936704992371088E-17</v>
      </c>
      <c r="AL23" s="249">
        <f>'Alternative 2'!$B$20/1.67</f>
        <v>149.70059880239521</v>
      </c>
      <c r="AN23" s="249">
        <f>'Alternative 3'!$F24</f>
        <v>21</v>
      </c>
      <c r="AO23" s="249">
        <f>'Alternative 3-Tilt Up (3pt)'!$T23/1000000</f>
        <v>3.1959450885247676</v>
      </c>
      <c r="AP23" s="249">
        <f>'Alternative 3-Tilt Up (3pt)'!$Z23/1000000</f>
        <v>2.67272854669827</v>
      </c>
      <c r="AQ23" s="249">
        <f>'Alternative 3-Tilt Up (3pt)'!$AF23/1000000</f>
        <v>2.776023338684074</v>
      </c>
      <c r="AR23" s="249">
        <f>'Alternative 3-Tilt Up (3pt)'!$AL23/1000000</f>
        <v>2.6156342362462057</v>
      </c>
      <c r="AS23" s="249">
        <f>'Alternative 3-Tilt Up (3pt)'!$AR23/1000000</f>
        <v>2.3311838572432002</v>
      </c>
      <c r="AT23" s="249">
        <f>'Alternative 3-Tilt Up (3pt)'!$AX23/1000000</f>
        <v>1.9566619024252714</v>
      </c>
      <c r="AU23" s="249">
        <f>'Alternative 3-Tilt Up (3pt)'!$BD23/1000000</f>
        <v>1.5118013858015964</v>
      </c>
      <c r="AV23" s="249">
        <f>'Alternative 3-Tilt Up (3pt)'!$BJ23/1000000</f>
        <v>1.0136637750957536</v>
      </c>
      <c r="AW23" s="249">
        <f>'Alternative 3-Tilt Up (3pt)'!$BP23/1000000</f>
        <v>0.47907955034659999</v>
      </c>
      <c r="AX23" s="249">
        <f>'Alternative 3-Tilt Up (3pt)'!$BV23/1000000</f>
        <v>-6.5925981610762783E-5</v>
      </c>
      <c r="AY23" s="249">
        <f>'Alternative 3'!$B$20/1.67</f>
        <v>149.70059880239521</v>
      </c>
    </row>
    <row r="24" spans="1:51" x14ac:dyDescent="0.25">
      <c r="A24" s="249">
        <f>'Baseline Given'!E25</f>
        <v>22</v>
      </c>
      <c r="B24" s="249">
        <f>'Baseline-tilt up (3 pt)'!T24/1000000</f>
        <v>-11.923488204516476</v>
      </c>
      <c r="C24" s="249">
        <f>'Baseline-tilt up (3 pt)'!Z24/1000000</f>
        <v>-25.708579936937582</v>
      </c>
      <c r="D24" s="249">
        <f>'Baseline-tilt up (3 pt)'!AF24/1000000</f>
        <v>-17.918536546450373</v>
      </c>
      <c r="E24" s="249">
        <f>'Baseline-tilt up (3 pt)'!AL24/1000000</f>
        <v>-14.836541040184926</v>
      </c>
      <c r="F24" s="249">
        <f>'Baseline-tilt up (3 pt)'!AR24/1000000</f>
        <v>-12.609392914764788</v>
      </c>
      <c r="G24" s="249">
        <f>'Baseline-tilt up (3 pt)'!AX24/1000000</f>
        <v>-10.562347931861767</v>
      </c>
      <c r="H24" s="249">
        <f>'Baseline-tilt up (3 pt)'!BD24/1000000</f>
        <v>-8.512933267232885</v>
      </c>
      <c r="I24" s="249">
        <f>'Baseline-tilt up (3 pt)'!BJ24/1000000</f>
        <v>-6.4195979133038499</v>
      </c>
      <c r="J24" s="249">
        <f>'Baseline-tilt up (3 pt)'!BP24/1000000</f>
        <v>-4.2963063759194444</v>
      </c>
      <c r="K24" s="249">
        <f>'Baseline-tilt up (3 pt)'!BV24/1000000</f>
        <v>-2.1840136653304043</v>
      </c>
      <c r="L24" s="249">
        <f>'Baseline Given'!$B$21/1.67</f>
        <v>149.70059880239521</v>
      </c>
      <c r="N24" s="249">
        <f>'Alternative 1'!$F25</f>
        <v>22</v>
      </c>
      <c r="O24" s="249">
        <f>'Alternative 1-Tilt Up (3pt)'!$T24/1000000</f>
        <v>3.7223919526343745</v>
      </c>
      <c r="P24" s="249">
        <f>'Alternative 1-Tilt Up (3pt)'!$Z24/1000000</f>
        <v>3.2343218134996898</v>
      </c>
      <c r="Q24" s="249">
        <f>'Alternative 1-Tilt Up (3pt)'!$AF24/1000000</f>
        <v>3.2916112987538346</v>
      </c>
      <c r="R24" s="249">
        <f>'Alternative 1-Tilt Up (3pt)'!$AL24/1000000</f>
        <v>3.0856710419238293</v>
      </c>
      <c r="S24" s="249">
        <f>'Alternative 1-Tilt Up (3pt)'!$AR24/1000000</f>
        <v>2.7453989369257208</v>
      </c>
      <c r="T24" s="249">
        <f>'Alternative 1-Tilt Up (3pt)'!$AX24/1000000</f>
        <v>2.3042030853768027</v>
      </c>
      <c r="U24" s="249">
        <f>'Alternative 1-Tilt Up (3pt)'!$BD24/1000000</f>
        <v>1.7830916951018672</v>
      </c>
      <c r="V24" s="249">
        <f>'Alternative 1-Tilt Up (3pt)'!$BJ24/1000000</f>
        <v>1.2011245375939328</v>
      </c>
      <c r="W24" s="249">
        <f>'Alternative 1-Tilt Up (3pt)'!$BP24/1000000</f>
        <v>0.57752689133905954</v>
      </c>
      <c r="X24" s="249">
        <f>'Alternative 1-Tilt Up (3pt)'!$BV24/1000000</f>
        <v>-2.8842616954442584E-5</v>
      </c>
      <c r="Y24" s="249">
        <f>'Alternative 1'!$B$20/1.67</f>
        <v>149.70059880239521</v>
      </c>
      <c r="AA24" s="249">
        <f>'Alternative 2'!$F25</f>
        <v>22</v>
      </c>
      <c r="AB24" s="249">
        <f>'Alternative 2-Tilt Up (3pt)'!$T24/1000000</f>
        <v>8.6552293507599548E-2</v>
      </c>
      <c r="AC24" s="249">
        <f>'Alternative 2-Tilt Up (3pt)'!$Z24/1000000</f>
        <v>8.5289325640011682E-2</v>
      </c>
      <c r="AD24" s="249">
        <f>'Alternative 2-Tilt Up (3pt)'!$AF24/1000000</f>
        <v>8.1382127314275757E-2</v>
      </c>
      <c r="AE24" s="249">
        <f>'Alternative 2-Tilt Up (3pt)'!$AL24/1000000</f>
        <v>7.5002174231439026E-2</v>
      </c>
      <c r="AF24" s="249">
        <f>'Alternative 2-Tilt Up (3pt)'!$AR24/1000000</f>
        <v>6.6343318037511423E-2</v>
      </c>
      <c r="AG24" s="249">
        <f>'Alternative 2-Tilt Up (3pt)'!$AX24/1000000</f>
        <v>5.5668653696352835E-2</v>
      </c>
      <c r="AH24" s="249">
        <f>'Alternative 2-Tilt Up (3pt)'!$BD24/1000000</f>
        <v>4.3302525482328547E-2</v>
      </c>
      <c r="AI24" s="249">
        <f>'Alternative 2-Tilt Up (3pt)'!$BJ24/1000000</f>
        <v>2.9620671943658857E-2</v>
      </c>
      <c r="AJ24" s="249">
        <f>'Alternative 2-Tilt Up (3pt)'!$BP24/1000000</f>
        <v>1.5038809276764332E-2</v>
      </c>
      <c r="AK24" s="249">
        <f>'Alternative 2-Tilt Up (3pt)'!$BV24/1000000</f>
        <v>5.3052022188315943E-18</v>
      </c>
      <c r="AL24" s="249">
        <f>'Alternative 2'!$B$20/1.67</f>
        <v>149.70059880239521</v>
      </c>
      <c r="AN24" s="249">
        <f>'Alternative 3'!$F25</f>
        <v>22</v>
      </c>
      <c r="AO24" s="249">
        <f>'Alternative 3-Tilt Up (3pt)'!$T24/1000000</f>
        <v>3.3010696489917097</v>
      </c>
      <c r="AP24" s="249">
        <f>'Alternative 3-Tilt Up (3pt)'!$Z24/1000000</f>
        <v>2.8954644907716589</v>
      </c>
      <c r="AQ24" s="249">
        <f>'Alternative 3-Tilt Up (3pt)'!$AF24/1000000</f>
        <v>2.9321216422500953</v>
      </c>
      <c r="AR24" s="249">
        <f>'Alternative 3-Tilt Up (3pt)'!$AL24/1000000</f>
        <v>2.7451858888438951</v>
      </c>
      <c r="AS24" s="249">
        <f>'Alternative 3-Tilt Up (3pt)'!$AR24/1000000</f>
        <v>2.4413991359325715</v>
      </c>
      <c r="AT24" s="249">
        <f>'Alternative 3-Tilt Up (3pt)'!$AX24/1000000</f>
        <v>2.0490019052221067</v>
      </c>
      <c r="AU24" s="249">
        <f>'Alternative 3-Tilt Up (3pt)'!$BD24/1000000</f>
        <v>1.5861820034520215</v>
      </c>
      <c r="AV24" s="249">
        <f>'Alternative 3-Tilt Up (3pt)'!$BJ24/1000000</f>
        <v>1.069660433666618</v>
      </c>
      <c r="AW24" s="249">
        <f>'Alternative 3-Tilt Up (3pt)'!$BP24/1000000</f>
        <v>0.51640255799681756</v>
      </c>
      <c r="AX24" s="249">
        <f>'Alternative 3-Tilt Up (3pt)'!$BV24/1000000</f>
        <v>-4.9444486208016674E-5</v>
      </c>
      <c r="AY24" s="249">
        <f>'Alternative 3'!$B$20/1.67</f>
        <v>149.70059880239521</v>
      </c>
    </row>
    <row r="25" spans="1:51" x14ac:dyDescent="0.25">
      <c r="A25" s="249">
        <f>'Baseline Given'!E26</f>
        <v>23</v>
      </c>
      <c r="B25" s="249">
        <f>'Baseline-tilt up (3 pt)'!T25/1000000</f>
        <v>-10.195619321926399</v>
      </c>
      <c r="C25" s="249">
        <f>'Baseline-tilt up (3 pt)'!Z25/1000000</f>
        <v>-23.361130839345858</v>
      </c>
      <c r="D25" s="249">
        <f>'Baseline-tilt up (3 pt)'!AF25/1000000</f>
        <v>-15.984060118621258</v>
      </c>
      <c r="E25" s="249">
        <f>'Baseline-tilt up (3 pt)'!AL25/1000000</f>
        <v>-13.131193901567025</v>
      </c>
      <c r="F25" s="249">
        <f>'Baseline-tilt up (3 pt)'!AR25/1000000</f>
        <v>-11.124681100920284</v>
      </c>
      <c r="G25" s="249">
        <f>'Baseline-tilt up (3 pt)'!AX25/1000000</f>
        <v>-9.3173669773798853</v>
      </c>
      <c r="H25" s="249">
        <f>'Baseline-tilt up (3 pt)'!BD25/1000000</f>
        <v>-7.5307963803917568</v>
      </c>
      <c r="I25" s="249">
        <f>'Baseline-tilt up (3 pt)'!BJ25/1000000</f>
        <v>-5.720227604240316</v>
      </c>
      <c r="J25" s="249">
        <f>'Baseline-tilt up (3 pt)'!BP25/1000000</f>
        <v>-3.8933264099156202</v>
      </c>
      <c r="K25" s="249">
        <f>'Baseline-tilt up (3 pt)'!BV25/1000000</f>
        <v>-2.083130418850264</v>
      </c>
      <c r="L25" s="249">
        <f>'Baseline Given'!$B$21/1.67</f>
        <v>149.70059880239521</v>
      </c>
      <c r="N25" s="249">
        <f>'Alternative 1'!$F26</f>
        <v>23</v>
      </c>
      <c r="O25" s="249">
        <f>'Alternative 1-Tilt Up (3pt)'!$T25/1000000</f>
        <v>3.2968914039627948</v>
      </c>
      <c r="P25" s="249">
        <f>'Alternative 1-Tilt Up (3pt)'!$Z25/1000000</f>
        <v>2.8769948864426906</v>
      </c>
      <c r="Q25" s="249">
        <f>'Alternative 1-Tilt Up (3pt)'!$AF25/1000000</f>
        <v>2.9213028642019205</v>
      </c>
      <c r="R25" s="249">
        <f>'Alternative 1-Tilt Up (3pt)'!$AL25/1000000</f>
        <v>2.7369492769053498</v>
      </c>
      <c r="S25" s="249">
        <f>'Alternative 1-Tilt Up (3pt)'!$AR25/1000000</f>
        <v>2.4346560465210563</v>
      </c>
      <c r="T25" s="249">
        <f>'Alternative 1-Tilt Up (3pt)'!$AX25/1000000</f>
        <v>2.0433817192232966</v>
      </c>
      <c r="U25" s="249">
        <f>'Alternative 1-Tilt Up (3pt)'!$BD25/1000000</f>
        <v>1.5815315632795226</v>
      </c>
      <c r="V25" s="249">
        <f>'Alternative 1-Tilt Up (3pt)'!$BJ25/1000000</f>
        <v>1.0659038610517184</v>
      </c>
      <c r="W25" s="249">
        <f>'Alternative 1-Tilt Up (3pt)'!$BP25/1000000</f>
        <v>0.51348784297596017</v>
      </c>
      <c r="X25" s="249">
        <f>'Alternative 1-Tilt Up (3pt)'!$BV25/1000000</f>
        <v>-2.472224310380141E-5</v>
      </c>
      <c r="Y25" s="249">
        <f>'Alternative 1'!$B$20/1.67</f>
        <v>149.70059880239521</v>
      </c>
      <c r="AA25" s="249">
        <f>'Alternative 2'!$F26</f>
        <v>23</v>
      </c>
      <c r="AB25" s="249">
        <f>'Alternative 2-Tilt Up (3pt)'!$T25/1000000</f>
        <v>2.1638073376899887E-2</v>
      </c>
      <c r="AC25" s="249">
        <f>'Alternative 2-Tilt Up (3pt)'!$Z25/1000000</f>
        <v>2.132233141000292E-2</v>
      </c>
      <c r="AD25" s="249">
        <f>'Alternative 2-Tilt Up (3pt)'!$AF25/1000000</f>
        <v>2.0345531828568943E-2</v>
      </c>
      <c r="AE25" s="249">
        <f>'Alternative 2-Tilt Up (3pt)'!$AL25/1000000</f>
        <v>1.8750543557859753E-2</v>
      </c>
      <c r="AF25" s="249">
        <f>'Alternative 2-Tilt Up (3pt)'!$AR25/1000000</f>
        <v>1.6585829509377856E-2</v>
      </c>
      <c r="AG25" s="249">
        <f>'Alternative 2-Tilt Up (3pt)'!$AX25/1000000</f>
        <v>1.3917163424088209E-2</v>
      </c>
      <c r="AH25" s="249">
        <f>'Alternative 2-Tilt Up (3pt)'!$BD25/1000000</f>
        <v>1.0825631370582133E-2</v>
      </c>
      <c r="AI25" s="249">
        <f>'Alternative 2-Tilt Up (3pt)'!$BJ25/1000000</f>
        <v>7.4051679859147143E-3</v>
      </c>
      <c r="AJ25" s="249">
        <f>'Alternative 2-Tilt Up (3pt)'!$BP25/1000000</f>
        <v>3.759702319191083E-3</v>
      </c>
      <c r="AK25" s="249">
        <f>'Alternative 2-Tilt Up (3pt)'!$BV25/1000000</f>
        <v>1.3263005547078986E-18</v>
      </c>
      <c r="AL25" s="249">
        <f>'Alternative 2'!$B$20/1.67</f>
        <v>149.70059880239521</v>
      </c>
      <c r="AN25" s="249">
        <f>'Alternative 3'!$F26</f>
        <v>23</v>
      </c>
      <c r="AO25" s="249">
        <f>'Alternative 3-Tilt Up (3pt)'!$T25/1000000</f>
        <v>2.9389021895012672</v>
      </c>
      <c r="AP25" s="249">
        <f>'Alternative 3-Tilt Up (3pt)'!$Z25/1000000</f>
        <v>2.5981544441166302</v>
      </c>
      <c r="AQ25" s="249">
        <f>'Alternative 3-Tilt Up (3pt)'!$AF25/1000000</f>
        <v>2.6202147673188683</v>
      </c>
      <c r="AR25" s="249">
        <f>'Alternative 3-Tilt Up (3pt)'!$AL25/1000000</f>
        <v>2.4505762969504281</v>
      </c>
      <c r="AS25" s="249">
        <f>'Alternative 3-Tilt Up (3pt)'!$AR25/1000000</f>
        <v>2.1786117096808493</v>
      </c>
      <c r="AT25" s="249">
        <f>'Alternative 3-Tilt Up (3pt)'!$AX25/1000000</f>
        <v>1.8284262743254998</v>
      </c>
      <c r="AU25" s="249">
        <f>'Alternative 3-Tilt Up (3pt)'!$BD25/1000000</f>
        <v>1.4158810443410756</v>
      </c>
      <c r="AV25" s="249">
        <f>'Alternative 3-Tilt Up (3pt)'!$BJ25/1000000</f>
        <v>0.9557263765553522</v>
      </c>
      <c r="AW25" s="249">
        <f>'Alternative 3-Tilt Up (3pt)'!$BP25/1000000</f>
        <v>0.46300310070409717</v>
      </c>
      <c r="AX25" s="249">
        <f>'Alternative 3-Tilt Up (3pt)'!$BV25/1000000</f>
        <v>-4.1203738506669031E-5</v>
      </c>
      <c r="AY25" s="249">
        <f>'Alternative 3'!$B$20/1.67</f>
        <v>149.70059880239521</v>
      </c>
    </row>
    <row r="26" spans="1:51" x14ac:dyDescent="0.25">
      <c r="A26" s="249">
        <f>'Baseline Given'!E27</f>
        <v>24</v>
      </c>
      <c r="B26" s="249">
        <f>'Baseline-tilt up (3 pt)'!T26/1000000</f>
        <v>-8.3329357395692938</v>
      </c>
      <c r="C26" s="249">
        <f>'Baseline-tilt up (3 pt)'!Z26/1000000</f>
        <v>-20.871031653567691</v>
      </c>
      <c r="D26" s="249">
        <f>'Baseline-tilt up (3 pt)'!AF26/1000000</f>
        <v>-13.918111974538341</v>
      </c>
      <c r="E26" s="249">
        <f>'Baseline-tilt up (3 pt)'!AL26/1000000</f>
        <v>-11.305859618152418</v>
      </c>
      <c r="F26" s="249">
        <f>'Baseline-tilt up (3 pt)'!AR26/1000000</f>
        <v>-9.5341955862848309</v>
      </c>
      <c r="G26" s="249">
        <f>'Baseline-tilt up (3 pt)'!AX26/1000000</f>
        <v>-7.98364412259681</v>
      </c>
      <c r="H26" s="249">
        <f>'Baseline-tilt up (3 pt)'!BD26/1000000</f>
        <v>-6.4794220651021455</v>
      </c>
      <c r="I26" s="249">
        <f>'Baseline-tilt up (3 pt)'!BJ26/1000000</f>
        <v>-4.9730772838226542</v>
      </c>
      <c r="J26" s="249">
        <f>'Baseline-tilt up (3 pt)'!BP26/1000000</f>
        <v>-3.465359681543263</v>
      </c>
      <c r="K26" s="249">
        <f>'Baseline-tilt up (3 pt)'!BV26/1000000</f>
        <v>-1.9807134743662025</v>
      </c>
      <c r="L26" s="249">
        <f>'Baseline Given'!$B$21/1.67</f>
        <v>149.70059880239521</v>
      </c>
      <c r="N26" s="249">
        <f>'Alternative 1'!$F27</f>
        <v>24</v>
      </c>
      <c r="O26" s="249">
        <f>'Alternative 1-Tilt Up (3pt)'!$T26/1000000</f>
        <v>2.9390170472851525</v>
      </c>
      <c r="P26" s="249">
        <f>'Alternative 1-Tilt Up (3pt)'!$Z26/1000000</f>
        <v>2.5863073524857523</v>
      </c>
      <c r="Q26" s="249">
        <f>'Alternative 1-Tilt Up (3pt)'!$AF26/1000000</f>
        <v>2.6145809984582256</v>
      </c>
      <c r="R26" s="249">
        <f>'Alternative 1-Tilt Up (3pt)'!$AL26/1000000</f>
        <v>2.4468292106863689</v>
      </c>
      <c r="S26" s="249">
        <f>'Alternative 1-Tilt Up (3pt)'!$AR26/1000000</f>
        <v>2.1757494019430337</v>
      </c>
      <c r="T26" s="249">
        <f>'Alternative 1-Tilt Up (3pt)'!$AX26/1000000</f>
        <v>1.8260561278245397</v>
      </c>
      <c r="U26" s="249">
        <f>'Alternative 1-Tilt Up (3pt)'!$BD26/1000000</f>
        <v>1.4138051380340368</v>
      </c>
      <c r="V26" s="249">
        <f>'Alternative 1-Tilt Up (3pt)'!$BJ26/1000000</f>
        <v>0.9538268028548168</v>
      </c>
      <c r="W26" s="249">
        <f>'Alternative 1-Tilt Up (3pt)'!$BP26/1000000</f>
        <v>0.46119911759443938</v>
      </c>
      <c r="X26" s="249">
        <f>'Alternative 1-Tilt Up (3pt)'!$BV26/1000000</f>
        <v>-2.06018692531561E-5</v>
      </c>
      <c r="Y26" s="249">
        <f>'Alternative 1'!$B$20/1.67</f>
        <v>149.70059880239521</v>
      </c>
      <c r="AA26" s="249" t="str">
        <f>'Alternative 2'!$F27</f>
        <v>x</v>
      </c>
      <c r="AB26" s="249" t="e">
        <f>'Alternative 2-Tilt Up (3pt)'!$T26/1000000</f>
        <v>#VALUE!</v>
      </c>
      <c r="AC26" s="249" t="e">
        <f>'Alternative 2-Tilt Up (3pt)'!$Z26/1000000</f>
        <v>#VALUE!</v>
      </c>
      <c r="AD26" s="249" t="e">
        <f>'Alternative 2-Tilt Up (3pt)'!$AF26/1000000</f>
        <v>#VALUE!</v>
      </c>
      <c r="AE26" s="249" t="e">
        <f>'Alternative 2-Tilt Up (3pt)'!$AL26/1000000</f>
        <v>#VALUE!</v>
      </c>
      <c r="AF26" s="249" t="e">
        <f>'Alternative 2-Tilt Up (3pt)'!$AR26/1000000</f>
        <v>#VALUE!</v>
      </c>
      <c r="AG26" s="249" t="e">
        <f>'Alternative 2-Tilt Up (3pt)'!$AX26/1000000</f>
        <v>#VALUE!</v>
      </c>
      <c r="AH26" s="249" t="e">
        <f>'Alternative 2-Tilt Up (3pt)'!$BD26/1000000</f>
        <v>#VALUE!</v>
      </c>
      <c r="AI26" s="249" t="e">
        <f>'Alternative 2-Tilt Up (3pt)'!$BJ26/1000000</f>
        <v>#VALUE!</v>
      </c>
      <c r="AJ26" s="249" t="e">
        <f>'Alternative 2-Tilt Up (3pt)'!$BP26/1000000</f>
        <v>#VALUE!</v>
      </c>
      <c r="AK26" s="249" t="e">
        <f>'Alternative 2-Tilt Up (3pt)'!$BV26/1000000</f>
        <v>#VALUE!</v>
      </c>
      <c r="AL26" s="249">
        <f>'Alternative 2'!$B$20/1.67</f>
        <v>149.70059880239521</v>
      </c>
      <c r="AN26" s="249">
        <f>'Alternative 3'!$F27</f>
        <v>24</v>
      </c>
      <c r="AO26" s="249">
        <f>'Alternative 3-Tilt Up (3pt)'!$T26/1000000</f>
        <v>2.6430914883666503</v>
      </c>
      <c r="AP26" s="249">
        <f>'Alternative 3-Tilt Up (3pt)'!$Z26/1000000</f>
        <v>2.366232880452277</v>
      </c>
      <c r="AQ26" s="249">
        <f>'Alternative 3-Tilt Up (3pt)'!$AF26/1000000</f>
        <v>2.370700856661919</v>
      </c>
      <c r="AR26" s="249">
        <f>'Alternative 3-Tilt Up (3pt)'!$AL26/1000000</f>
        <v>2.2134683719677302</v>
      </c>
      <c r="AS26" s="249">
        <f>'Alternative 3-Tilt Up (3pt)'!$AR26/1000000</f>
        <v>1.9666874939245516</v>
      </c>
      <c r="AT26" s="249">
        <f>'Alternative 3-Tilt Up (3pt)'!$AX26/1000000</f>
        <v>1.650529944596097</v>
      </c>
      <c r="AU26" s="249">
        <f>'Alternative 3-Tilt Up (3pt)'!$BD26/1000000</f>
        <v>1.2787786880999159</v>
      </c>
      <c r="AV26" s="249">
        <f>'Alternative 3-Tilt Up (3pt)'!$BJ26/1000000</f>
        <v>0.86450150126755798</v>
      </c>
      <c r="AW26" s="249">
        <f>'Alternative 3-Tilt Up (3pt)'!$BP26/1000000</f>
        <v>0.42113339719022957</v>
      </c>
      <c r="AX26" s="249">
        <f>'Alternative 3-Tilt Up (3pt)'!$BV26/1000000</f>
        <v>-3.2962990805317342E-5</v>
      </c>
      <c r="AY26" s="249">
        <f>'Alternative 3'!$B$20/1.67</f>
        <v>149.70059880239521</v>
      </c>
    </row>
    <row r="27" spans="1:51" x14ac:dyDescent="0.25">
      <c r="A27" s="249">
        <f>'Baseline Given'!E28</f>
        <v>25</v>
      </c>
      <c r="B27" s="249">
        <f>'Baseline-tilt up (3 pt)'!T27/1000000</f>
        <v>-6.3323395877483311</v>
      </c>
      <c r="C27" s="249">
        <f>'Baseline-tilt up (3 pt)'!Z27/1000000</f>
        <v>-18.235004462683079</v>
      </c>
      <c r="D27" s="249">
        <f>'Baseline-tilt up (3 pt)'!AF27/1000000</f>
        <v>-11.717671061998399</v>
      </c>
      <c r="E27" s="249">
        <f>'Baseline-tilt up (3 pt)'!AL27/1000000</f>
        <v>-9.3577810385287741</v>
      </c>
      <c r="F27" s="249">
        <f>'Baseline-tilt up (3 pt)'!AR27/1000000</f>
        <v>-7.8355058262445203</v>
      </c>
      <c r="G27" s="249">
        <f>'Baseline-tilt up (3 pt)'!AX27/1000000</f>
        <v>-6.5591401919311503</v>
      </c>
      <c r="H27" s="249">
        <f>'Baseline-tilt up (3 pt)'!BD27/1000000</f>
        <v>-5.3572193336465013</v>
      </c>
      <c r="I27" s="249">
        <f>'Baseline-tilt up (3 pt)'!BJ27/1000000</f>
        <v>-4.1770490283857153</v>
      </c>
      <c r="J27" s="249">
        <f>'Baseline-tilt up (3 pt)'!BP27/1000000</f>
        <v>-3.01183202690114</v>
      </c>
      <c r="K27" s="249">
        <f>'Baseline-tilt up (3 pt)'!BV27/1000000</f>
        <v>-1.8767275894560018</v>
      </c>
      <c r="L27" s="249">
        <f>'Baseline Given'!$B$21/1.67</f>
        <v>149.70059880239521</v>
      </c>
      <c r="N27" s="249">
        <f>'Alternative 1'!$F28</f>
        <v>25</v>
      </c>
      <c r="O27" s="249">
        <f>'Alternative 1-Tilt Up (3pt)'!$T27/1000000</f>
        <v>2.6487688826014493</v>
      </c>
      <c r="P27" s="249">
        <f>'Alternative 1-Tilt Up (3pt)'!$Z27/1000000</f>
        <v>2.362259211628877</v>
      </c>
      <c r="Q27" s="249">
        <f>'Alternative 1-Tilt Up (3pt)'!$AF27/1000000</f>
        <v>2.3714457015227528</v>
      </c>
      <c r="R27" s="249">
        <f>'Alternative 1-Tilt Up (3pt)'!$AL27/1000000</f>
        <v>2.2153108432668853</v>
      </c>
      <c r="S27" s="249">
        <f>'Alternative 1-Tilt Up (3pt)'!$AR27/1000000</f>
        <v>1.9686790031916537</v>
      </c>
      <c r="T27" s="249">
        <f>'Alternative 1-Tilt Up (3pt)'!$AX27/1000000</f>
        <v>1.6522263111805335</v>
      </c>
      <c r="U27" s="249">
        <f>'Alternative 1-Tilt Up (3pt)'!$BD27/1000000</f>
        <v>1.2799124193654112</v>
      </c>
      <c r="V27" s="249">
        <f>'Alternative 1-Tilt Up (3pt)'!$BJ27/1000000</f>
        <v>0.86489336300322683</v>
      </c>
      <c r="W27" s="249">
        <f>'Alternative 1-Tilt Up (3pt)'!$BP27/1000000</f>
        <v>0.42066071519449716</v>
      </c>
      <c r="X27" s="249">
        <f>'Alternative 1-Tilt Up (3pt)'!$BV27/1000000</f>
        <v>-1.6481495402506642E-5</v>
      </c>
      <c r="Y27" s="249">
        <f>'Alternative 1'!$B$20/1.67</f>
        <v>149.70059880239521</v>
      </c>
      <c r="AA27" s="249" t="str">
        <f>'Alternative 2'!$F28</f>
        <v>x</v>
      </c>
      <c r="AB27" s="249" t="e">
        <f>'Alternative 2-Tilt Up (3pt)'!$T27/1000000</f>
        <v>#VALUE!</v>
      </c>
      <c r="AC27" s="249" t="e">
        <f>'Alternative 2-Tilt Up (3pt)'!$Z27/1000000</f>
        <v>#VALUE!</v>
      </c>
      <c r="AD27" s="249" t="e">
        <f>'Alternative 2-Tilt Up (3pt)'!$AF27/1000000</f>
        <v>#VALUE!</v>
      </c>
      <c r="AE27" s="249" t="e">
        <f>'Alternative 2-Tilt Up (3pt)'!$AL27/1000000</f>
        <v>#VALUE!</v>
      </c>
      <c r="AF27" s="249" t="e">
        <f>'Alternative 2-Tilt Up (3pt)'!$AR27/1000000</f>
        <v>#VALUE!</v>
      </c>
      <c r="AG27" s="249" t="e">
        <f>'Alternative 2-Tilt Up (3pt)'!$AX27/1000000</f>
        <v>#VALUE!</v>
      </c>
      <c r="AH27" s="249" t="e">
        <f>'Alternative 2-Tilt Up (3pt)'!$BD27/1000000</f>
        <v>#VALUE!</v>
      </c>
      <c r="AI27" s="249" t="e">
        <f>'Alternative 2-Tilt Up (3pt)'!$BJ27/1000000</f>
        <v>#VALUE!</v>
      </c>
      <c r="AJ27" s="249" t="e">
        <f>'Alternative 2-Tilt Up (3pt)'!$BP27/1000000</f>
        <v>#VALUE!</v>
      </c>
      <c r="AK27" s="249" t="e">
        <f>'Alternative 2-Tilt Up (3pt)'!$BV27/1000000</f>
        <v>#VALUE!</v>
      </c>
      <c r="AL27" s="249">
        <f>'Alternative 2'!$B$20/1.67</f>
        <v>149.70059880239521</v>
      </c>
      <c r="AN27" s="249">
        <f>'Alternative 3'!$F28</f>
        <v>25</v>
      </c>
      <c r="AO27" s="249">
        <f>'Alternative 3-Tilt Up (3pt)'!$T27/1000000</f>
        <v>2.4136375455878585</v>
      </c>
      <c r="AP27" s="249">
        <f>'Alternative 3-Tilt Up (3pt)'!$Z27/1000000</f>
        <v>2.1996997997786001</v>
      </c>
      <c r="AQ27" s="249">
        <f>'Alternative 3-Tilt Up (3pt)'!$AF27/1000000</f>
        <v>2.1835799102792475</v>
      </c>
      <c r="AR27" s="249">
        <f>'Alternative 3-Tilt Up (3pt)'!$AL27/1000000</f>
        <v>2.0338621138958031</v>
      </c>
      <c r="AS27" s="249">
        <f>'Alternative 3-Tilt Up (3pt)'!$AR27/1000000</f>
        <v>1.8056264886636795</v>
      </c>
      <c r="AT27" s="249">
        <f>'Alternative 3-Tilt Up (3pt)'!$AX27/1000000</f>
        <v>1.5153129160338983</v>
      </c>
      <c r="AU27" s="249">
        <f>'Alternative 3-Tilt Up (3pt)'!$BD27/1000000</f>
        <v>1.1748749347285412</v>
      </c>
      <c r="AV27" s="249">
        <f>'Alternative 3-Tilt Up (3pt)'!$BJ27/1000000</f>
        <v>0.79598580780323536</v>
      </c>
      <c r="AW27" s="249">
        <f>'Alternative 3-Tilt Up (3pt)'!$BP27/1000000</f>
        <v>0.39079344745521455</v>
      </c>
      <c r="AX27" s="249">
        <f>'Alternative 3-Tilt Up (3pt)'!$BV27/1000000</f>
        <v>-2.4722243103961564E-5</v>
      </c>
      <c r="AY27" s="249">
        <f>'Alternative 3'!$B$20/1.67</f>
        <v>149.70059880239521</v>
      </c>
    </row>
    <row r="28" spans="1:51" x14ac:dyDescent="0.25">
      <c r="A28" s="249">
        <f>'Baseline Given'!E29</f>
        <v>26</v>
      </c>
      <c r="B28" s="249">
        <f>'Baseline-tilt up (3 pt)'!T28/1000000</f>
        <v>-4.1906373507040984</v>
      </c>
      <c r="C28" s="249">
        <f>'Baseline-tilt up (3 pt)'!Z28/1000000</f>
        <v>-15.449670144789888</v>
      </c>
      <c r="D28" s="249">
        <f>'Baseline-tilt up (3 pt)'!AF28/1000000</f>
        <v>-9.3796230544590689</v>
      </c>
      <c r="E28" s="249">
        <f>'Baseline-tilt up (3 pt)'!AL28/1000000</f>
        <v>-7.2841158848250069</v>
      </c>
      <c r="F28" s="249">
        <f>'Baseline-tilt up (3 pt)'!AR28/1000000</f>
        <v>-6.0261062336416167</v>
      </c>
      <c r="G28" s="249">
        <f>'Baseline-tilt up (3 pt)'!AX28/1000000</f>
        <v>-5.041753050692666</v>
      </c>
      <c r="H28" s="249">
        <f>'Baseline-tilt up (3 pt)'!BD28/1000000</f>
        <v>-4.1625480769026293</v>
      </c>
      <c r="I28" s="249">
        <f>'Baseline-tilt up (3 pt)'!BJ28/1000000</f>
        <v>-3.3310110161065642</v>
      </c>
      <c r="J28" s="249">
        <f>'Baseline-tilt up (3 pt)'!BP28/1000000</f>
        <v>-2.5321515549006612</v>
      </c>
      <c r="K28" s="249">
        <f>'Baseline-tilt up (3 pt)'!BV28/1000000</f>
        <v>-1.7711364335952149</v>
      </c>
      <c r="L28" s="249">
        <f>'Baseline Given'!$B$21/1.67</f>
        <v>149.70059880239521</v>
      </c>
      <c r="N28" s="249">
        <f>'Alternative 1'!$F29</f>
        <v>26</v>
      </c>
      <c r="O28" s="249">
        <f>'Alternative 1-Tilt Up (3pt)'!$T28/1000000</f>
        <v>2.4261469099116826</v>
      </c>
      <c r="P28" s="249">
        <f>'Alternative 1-Tilt Up (3pt)'!$Z28/1000000</f>
        <v>2.2048504638720643</v>
      </c>
      <c r="Q28" s="249">
        <f>'Alternative 1-Tilt Up (3pt)'!$AF28/1000000</f>
        <v>2.1918969733955005</v>
      </c>
      <c r="R28" s="249">
        <f>'Alternative 1-Tilt Up (3pt)'!$AL28/1000000</f>
        <v>2.0423941746468994</v>
      </c>
      <c r="S28" s="249">
        <f>'Alternative 1-Tilt Up (3pt)'!$AR28/1000000</f>
        <v>1.8134448502669147</v>
      </c>
      <c r="T28" s="249">
        <f>'Alternative 1-Tilt Up (3pt)'!$AX28/1000000</f>
        <v>1.5218922692912777</v>
      </c>
      <c r="U28" s="249">
        <f>'Alternative 1-Tilt Up (3pt)'!$BD28/1000000</f>
        <v>1.1798534072736442</v>
      </c>
      <c r="V28" s="249">
        <f>'Alternative 1-Tilt Up (3pt)'!$BJ28/1000000</f>
        <v>0.79910354149694895</v>
      </c>
      <c r="W28" s="249">
        <f>'Alternative 1-Tilt Up (3pt)'!$BP28/1000000</f>
        <v>0.39187263577613335</v>
      </c>
      <c r="X28" s="249">
        <f>'Alternative 1-Tilt Up (3pt)'!$BV28/1000000</f>
        <v>-1.2361121551853039E-5</v>
      </c>
      <c r="Y28" s="249">
        <f>'Alternative 1'!$B$20/1.67</f>
        <v>149.70059880239521</v>
      </c>
      <c r="AA28" s="249" t="str">
        <f>'Alternative 2'!$F29</f>
        <v>x</v>
      </c>
      <c r="AB28" s="249" t="e">
        <f>'Alternative 2-Tilt Up (3pt)'!$T28/1000000</f>
        <v>#VALUE!</v>
      </c>
      <c r="AC28" s="249" t="e">
        <f>'Alternative 2-Tilt Up (3pt)'!$Z28/1000000</f>
        <v>#VALUE!</v>
      </c>
      <c r="AD28" s="249" t="e">
        <f>'Alternative 2-Tilt Up (3pt)'!$AF28/1000000</f>
        <v>#VALUE!</v>
      </c>
      <c r="AE28" s="249" t="e">
        <f>'Alternative 2-Tilt Up (3pt)'!$AL28/1000000</f>
        <v>#VALUE!</v>
      </c>
      <c r="AF28" s="249" t="e">
        <f>'Alternative 2-Tilt Up (3pt)'!$AR28/1000000</f>
        <v>#VALUE!</v>
      </c>
      <c r="AG28" s="249" t="e">
        <f>'Alternative 2-Tilt Up (3pt)'!$AX28/1000000</f>
        <v>#VALUE!</v>
      </c>
      <c r="AH28" s="249" t="e">
        <f>'Alternative 2-Tilt Up (3pt)'!$BD28/1000000</f>
        <v>#VALUE!</v>
      </c>
      <c r="AI28" s="249" t="e">
        <f>'Alternative 2-Tilt Up (3pt)'!$BJ28/1000000</f>
        <v>#VALUE!</v>
      </c>
      <c r="AJ28" s="249" t="e">
        <f>'Alternative 2-Tilt Up (3pt)'!$BP28/1000000</f>
        <v>#VALUE!</v>
      </c>
      <c r="AK28" s="249" t="e">
        <f>'Alternative 2-Tilt Up (3pt)'!$BV28/1000000</f>
        <v>#VALUE!</v>
      </c>
      <c r="AL28" s="249">
        <f>'Alternative 2'!$B$20/1.67</f>
        <v>149.70059880239521</v>
      </c>
      <c r="AN28" s="249">
        <f>'Alternative 3'!$F29</f>
        <v>26</v>
      </c>
      <c r="AO28" s="249">
        <f>'Alternative 3-Tilt Up (3pt)'!$T28/1000000</f>
        <v>2.2505403611648949</v>
      </c>
      <c r="AP28" s="249">
        <f>'Alternative 3-Tilt Up (3pt)'!$Z28/1000000</f>
        <v>2.0985552020956</v>
      </c>
      <c r="AQ28" s="249">
        <f>'Alternative 3-Tilt Up (3pt)'!$AF28/1000000</f>
        <v>2.0588519281708546</v>
      </c>
      <c r="AR28" s="249">
        <f>'Alternative 3-Tilt Up (3pt)'!$AL28/1000000</f>
        <v>1.9117575227346457</v>
      </c>
      <c r="AS28" s="249">
        <f>'Alternative 3-Tilt Up (3pt)'!$AR28/1000000</f>
        <v>1.6954286938982333</v>
      </c>
      <c r="AT28" s="249">
        <f>'Alternative 3-Tilt Up (3pt)'!$AX28/1000000</f>
        <v>1.4227751886389033</v>
      </c>
      <c r="AU28" s="249">
        <f>'Alternative 3-Tilt Up (3pt)'!$BD28/1000000</f>
        <v>1.1041697842269518</v>
      </c>
      <c r="AV28" s="249">
        <f>'Alternative 3-Tilt Up (3pt)'!$BJ28/1000000</f>
        <v>0.75017929616238466</v>
      </c>
      <c r="AW28" s="249">
        <f>'Alternative 3-Tilt Up (3pt)'!$BP28/1000000</f>
        <v>0.37198325149905226</v>
      </c>
      <c r="AX28" s="249">
        <f>'Alternative 3-Tilt Up (3pt)'!$BV28/1000000</f>
        <v>-1.6481495402601727E-5</v>
      </c>
      <c r="AY28" s="249">
        <f>'Alternative 3'!$B$20/1.67</f>
        <v>149.70059880239521</v>
      </c>
    </row>
    <row r="29" spans="1:51" x14ac:dyDescent="0.25">
      <c r="A29" s="249">
        <f>'Baseline Given'!E30</f>
        <v>27</v>
      </c>
      <c r="B29" s="249">
        <f>'Baseline-tilt up (3 pt)'!T29/1000000</f>
        <v>-1.9045361465860935</v>
      </c>
      <c r="C29" s="249">
        <f>'Baseline-tilt up (3 pt)'!Z29/1000000</f>
        <v>-12.511544436768643</v>
      </c>
      <c r="D29" s="249">
        <f>'Baseline-tilt up (3 pt)'!AF29/1000000</f>
        <v>-6.9007567232557445</v>
      </c>
      <c r="E29" s="249">
        <f>'Baseline-tilt up (3 pt)'!AL29/1000000</f>
        <v>-5.081933441829265</v>
      </c>
      <c r="F29" s="249">
        <f>'Baseline-tilt up (3 pt)'!AR29/1000000</f>
        <v>-4.1034132600930517</v>
      </c>
      <c r="G29" s="249">
        <f>'Baseline-tilt up (3 pt)'!AX29/1000000</f>
        <v>-3.4293151563701381</v>
      </c>
      <c r="H29" s="249">
        <f>'Baseline-tilt up (3 pt)'!BD29/1000000</f>
        <v>-2.893717153830953</v>
      </c>
      <c r="I29" s="249">
        <f>'Baseline-tilt up (3 pt)'!BJ29/1000000</f>
        <v>-2.4337962085800897</v>
      </c>
      <c r="J29" s="249">
        <f>'Baseline-tilt up (3 pt)'!BP29/1000000</f>
        <v>-2.0257079577901802</v>
      </c>
      <c r="K29" s="249">
        <f>'Baseline-tilt up (3 pt)'!BV29/1000000</f>
        <v>-1.6639025458368535</v>
      </c>
      <c r="L29" s="249">
        <f>'Baseline Given'!$B$21/1.67</f>
        <v>149.70059880239521</v>
      </c>
      <c r="N29" s="249">
        <f>'Alternative 1'!$F30</f>
        <v>27</v>
      </c>
      <c r="O29" s="249">
        <f>'Alternative 1-Tilt Up (3pt)'!$T29/1000000</f>
        <v>2.2711511292158542</v>
      </c>
      <c r="P29" s="249">
        <f>'Alternative 1-Tilt Up (3pt)'!$Z29/1000000</f>
        <v>2.1140811092153138</v>
      </c>
      <c r="Q29" s="249">
        <f>'Alternative 1-Tilt Up (3pt)'!$AF29/1000000</f>
        <v>2.0759348140764682</v>
      </c>
      <c r="R29" s="249">
        <f>'Alternative 1-Tilt Up (3pt)'!$AL29/1000000</f>
        <v>1.9280792048264113</v>
      </c>
      <c r="S29" s="249">
        <f>'Alternative 1-Tilt Up (3pt)'!$AR29/1000000</f>
        <v>1.7100469431688192</v>
      </c>
      <c r="T29" s="249">
        <f>'Alternative 1-Tilt Up (3pt)'!$AX29/1000000</f>
        <v>1.4350540021567724</v>
      </c>
      <c r="U29" s="249">
        <f>'Alternative 1-Tilt Up (3pt)'!$BD29/1000000</f>
        <v>1.1136281017587373</v>
      </c>
      <c r="V29" s="249">
        <f>'Alternative 1-Tilt Up (3pt)'!$BJ29/1000000</f>
        <v>0.7564573383359835</v>
      </c>
      <c r="W29" s="249">
        <f>'Alternative 1-Tilt Up (3pt)'!$BP29/1000000</f>
        <v>0.37483487933934817</v>
      </c>
      <c r="X29" s="249">
        <f>'Alternative 1-Tilt Up (3pt)'!$BV29/1000000</f>
        <v>-8.2407477011952892E-6</v>
      </c>
      <c r="Y29" s="249">
        <f>'Alternative 1'!$B$20/1.67</f>
        <v>149.70059880239521</v>
      </c>
      <c r="AA29" s="249" t="str">
        <f>'Alternative 2'!$F30</f>
        <v>x</v>
      </c>
      <c r="AB29" s="249" t="e">
        <f>'Alternative 2-Tilt Up (3pt)'!$T29/1000000</f>
        <v>#VALUE!</v>
      </c>
      <c r="AC29" s="249" t="e">
        <f>'Alternative 2-Tilt Up (3pt)'!$Z29/1000000</f>
        <v>#VALUE!</v>
      </c>
      <c r="AD29" s="249" t="e">
        <f>'Alternative 2-Tilt Up (3pt)'!$AF29/1000000</f>
        <v>#VALUE!</v>
      </c>
      <c r="AE29" s="249" t="e">
        <f>'Alternative 2-Tilt Up (3pt)'!$AL29/1000000</f>
        <v>#VALUE!</v>
      </c>
      <c r="AF29" s="249" t="e">
        <f>'Alternative 2-Tilt Up (3pt)'!$AR29/1000000</f>
        <v>#VALUE!</v>
      </c>
      <c r="AG29" s="249" t="e">
        <f>'Alternative 2-Tilt Up (3pt)'!$AX29/1000000</f>
        <v>#VALUE!</v>
      </c>
      <c r="AH29" s="249" t="e">
        <f>'Alternative 2-Tilt Up (3pt)'!$BD29/1000000</f>
        <v>#VALUE!</v>
      </c>
      <c r="AI29" s="249" t="e">
        <f>'Alternative 2-Tilt Up (3pt)'!$BJ29/1000000</f>
        <v>#VALUE!</v>
      </c>
      <c r="AJ29" s="249" t="e">
        <f>'Alternative 2-Tilt Up (3pt)'!$BP29/1000000</f>
        <v>#VALUE!</v>
      </c>
      <c r="AK29" s="249" t="e">
        <f>'Alternative 2-Tilt Up (3pt)'!$BV29/1000000</f>
        <v>#VALUE!</v>
      </c>
      <c r="AL29" s="249">
        <f>'Alternative 2'!$B$20/1.67</f>
        <v>149.70059880239521</v>
      </c>
      <c r="AN29" s="249">
        <f>'Alternative 3'!$F30</f>
        <v>27</v>
      </c>
      <c r="AO29" s="249">
        <f>'Alternative 3-Tilt Up (3pt)'!$T29/1000000</f>
        <v>2.1537999350977581</v>
      </c>
      <c r="AP29" s="249">
        <f>'Alternative 3-Tilt Up (3pt)'!$Z29/1000000</f>
        <v>2.062799087403274</v>
      </c>
      <c r="AQ29" s="249">
        <f>'Alternative 3-Tilt Up (3pt)'!$AF29/1000000</f>
        <v>1.9965169103367397</v>
      </c>
      <c r="AR29" s="249">
        <f>'Alternative 3-Tilt Up (3pt)'!$AL29/1000000</f>
        <v>1.8471545984842586</v>
      </c>
      <c r="AS29" s="249">
        <f>'Alternative 3-Tilt Up (3pt)'!$AR29/1000000</f>
        <v>1.6360941096282124</v>
      </c>
      <c r="AT29" s="249">
        <f>'Alternative 3-Tilt Up (3pt)'!$AX29/1000000</f>
        <v>1.3729167624111127</v>
      </c>
      <c r="AU29" s="249">
        <f>'Alternative 3-Tilt Up (3pt)'!$BD29/1000000</f>
        <v>1.0666632365951478</v>
      </c>
      <c r="AV29" s="249">
        <f>'Alternative 3-Tilt Up (3pt)'!$BJ29/1000000</f>
        <v>0.72708196634500588</v>
      </c>
      <c r="AW29" s="249">
        <f>'Alternative 3-Tilt Up (3pt)'!$BP29/1000000</f>
        <v>0.36470280932174259</v>
      </c>
      <c r="AX29" s="249">
        <f>'Alternative 3-Tilt Up (3pt)'!$BV29/1000000</f>
        <v>-8.2407477012378205E-6</v>
      </c>
      <c r="AY29" s="249">
        <f>'Alternative 3'!$B$20/1.67</f>
        <v>149.70059880239521</v>
      </c>
    </row>
    <row r="30" spans="1:51" x14ac:dyDescent="0.25">
      <c r="A30" s="249">
        <f>'Baseline Given'!E31</f>
        <v>28</v>
      </c>
      <c r="B30" s="249">
        <f>'Baseline-tilt up (3 pt)'!T30/1000000</f>
        <v>-5.2541099991303589E-2</v>
      </c>
      <c r="C30" s="249">
        <f>'Baseline-tilt up (3 pt)'!Z30/1000000</f>
        <v>-10.055402623339853</v>
      </c>
      <c r="D30" s="249">
        <f>'Baseline-tilt up (3 pt)'!AF30/1000000</f>
        <v>-4.8561141832317816</v>
      </c>
      <c r="E30" s="249">
        <f>'Baseline-tilt up (3 pt)'!AL30/1000000</f>
        <v>-3.273419871124124</v>
      </c>
      <c r="F30" s="249">
        <f>'Baseline-tilt up (3 pt)'!AR30/1000000</f>
        <v>-2.5269434930112773</v>
      </c>
      <c r="G30" s="249">
        <f>'Baseline-tilt up (3 pt)'!AX30/1000000</f>
        <v>-2.1073223871132214</v>
      </c>
      <c r="H30" s="249">
        <f>'Baseline-tilt up (3 pt)'!BD30/1000000</f>
        <v>-1.8519654297458403</v>
      </c>
      <c r="I30" s="249">
        <f>'Baseline-tilt up (3 pt)'!BJ30/1000000</f>
        <v>-1.6942289646055511</v>
      </c>
      <c r="J30" s="249">
        <f>'Baseline-tilt up (3 pt)'!BP30/1000000</f>
        <v>-1.6033314384188975</v>
      </c>
      <c r="K30" s="249">
        <f>'Baseline-tilt up (3 pt)'!BV30/1000000</f>
        <v>-1.5651506061245848</v>
      </c>
      <c r="L30" s="249">
        <f>'Baseline Given'!$B$21/1.67</f>
        <v>149.70059880239521</v>
      </c>
      <c r="N30" s="249">
        <f>'Alternative 1'!$F31</f>
        <v>28</v>
      </c>
      <c r="O30" s="249">
        <f>'Alternative 1-Tilt Up (3pt)'!$T30/1000000</f>
        <v>2.183781540513964</v>
      </c>
      <c r="P30" s="249">
        <f>'Alternative 1-Tilt Up (3pt)'!$Z30/1000000</f>
        <v>2.0899511476586259</v>
      </c>
      <c r="Q30" s="249">
        <f>'Alternative 1-Tilt Up (3pt)'!$AF30/1000000</f>
        <v>2.0235592235656572</v>
      </c>
      <c r="R30" s="249">
        <f>'Alternative 1-Tilt Up (3pt)'!$AL30/1000000</f>
        <v>1.8723659338054206</v>
      </c>
      <c r="S30" s="249">
        <f>'Alternative 1-Tilt Up (3pt)'!$AR30/1000000</f>
        <v>1.6584852818973657</v>
      </c>
      <c r="T30" s="249">
        <f>'Alternative 1-Tilt Up (3pt)'!$AX30/1000000</f>
        <v>1.3917115097770174</v>
      </c>
      <c r="U30" s="249">
        <f>'Alternative 1-Tilt Up (3pt)'!$BD30/1000000</f>
        <v>1.0812365028206892</v>
      </c>
      <c r="V30" s="249">
        <f>'Alternative 1-Tilt Up (3pt)'!$BJ30/1000000</f>
        <v>0.73695475352032991</v>
      </c>
      <c r="W30" s="249">
        <f>'Alternative 1-Tilt Up (3pt)'!$BP30/1000000</f>
        <v>0.36954744588414151</v>
      </c>
      <c r="X30" s="249">
        <f>'Alternative 1-Tilt Up (3pt)'!$BV30/1000000</f>
        <v>-4.1203738505333955E-6</v>
      </c>
      <c r="Y30" s="249">
        <f>'Alternative 1'!$B$20/1.67</f>
        <v>149.70059880239521</v>
      </c>
      <c r="AA30" s="249" t="str">
        <f>'Alternative 2'!$F31</f>
        <v>x</v>
      </c>
      <c r="AB30" s="249" t="e">
        <f>'Alternative 2-Tilt Up (3pt)'!$T30/1000000</f>
        <v>#VALUE!</v>
      </c>
      <c r="AC30" s="249" t="e">
        <f>'Alternative 2-Tilt Up (3pt)'!$Z30/1000000</f>
        <v>#VALUE!</v>
      </c>
      <c r="AD30" s="249" t="e">
        <f>'Alternative 2-Tilt Up (3pt)'!$AF30/1000000</f>
        <v>#VALUE!</v>
      </c>
      <c r="AE30" s="249" t="e">
        <f>'Alternative 2-Tilt Up (3pt)'!$AL30/1000000</f>
        <v>#VALUE!</v>
      </c>
      <c r="AF30" s="249" t="e">
        <f>'Alternative 2-Tilt Up (3pt)'!$AR30/1000000</f>
        <v>#VALUE!</v>
      </c>
      <c r="AG30" s="249" t="e">
        <f>'Alternative 2-Tilt Up (3pt)'!$AX30/1000000</f>
        <v>#VALUE!</v>
      </c>
      <c r="AH30" s="249" t="e">
        <f>'Alternative 2-Tilt Up (3pt)'!$BD30/1000000</f>
        <v>#VALUE!</v>
      </c>
      <c r="AI30" s="249" t="e">
        <f>'Alternative 2-Tilt Up (3pt)'!$BJ30/1000000</f>
        <v>#VALUE!</v>
      </c>
      <c r="AJ30" s="249" t="e">
        <f>'Alternative 2-Tilt Up (3pt)'!$BP30/1000000</f>
        <v>#VALUE!</v>
      </c>
      <c r="AK30" s="249" t="e">
        <f>'Alternative 2-Tilt Up (3pt)'!$BV30/1000000</f>
        <v>#VALUE!</v>
      </c>
      <c r="AL30" s="249">
        <f>'Alternative 2'!$B$20/1.67</f>
        <v>149.70059880239521</v>
      </c>
      <c r="AN30" s="249">
        <f>'Alternative 3'!$F31</f>
        <v>28</v>
      </c>
      <c r="AO30" s="249">
        <f>'Alternative 3-Tilt Up (3pt)'!$T30/1000000</f>
        <v>2.1234162673864465</v>
      </c>
      <c r="AP30" s="249">
        <f>'Alternative 3-Tilt Up (3pt)'!$Z30/1000000</f>
        <v>2.0924314557016239</v>
      </c>
      <c r="AQ30" s="249">
        <f>'Alternative 3-Tilt Up (3pt)'!$AF30/1000000</f>
        <v>1.9965748567769028</v>
      </c>
      <c r="AR30" s="249">
        <f>'Alternative 3-Tilt Up (3pt)'!$AL30/1000000</f>
        <v>1.8400533411446411</v>
      </c>
      <c r="AS30" s="249">
        <f>'Alternative 3-Tilt Up (3pt)'!$AR30/1000000</f>
        <v>1.6276227358536173</v>
      </c>
      <c r="AT30" s="249">
        <f>'Alternative 3-Tilt Up (3pt)'!$AX30/1000000</f>
        <v>1.3657376373505257</v>
      </c>
      <c r="AU30" s="249">
        <f>'Alternative 3-Tilt Up (3pt)'!$BD30/1000000</f>
        <v>1.0623552918331289</v>
      </c>
      <c r="AV30" s="249">
        <f>'Alternative 3-Tilt Up (3pt)'!$BJ30/1000000</f>
        <v>0.72669381835109892</v>
      </c>
      <c r="AW30" s="249">
        <f>'Alternative 3-Tilt Up (3pt)'!$BP30/1000000</f>
        <v>0.36895212092328578</v>
      </c>
      <c r="AX30" s="249">
        <f>'Alternative 3-Tilt Up (3pt)'!$BV30/1000000</f>
        <v>1.3015429443533538E-16</v>
      </c>
      <c r="AY30" s="249">
        <f>'Alternative 3'!$B$20/1.67</f>
        <v>149.70059880239521</v>
      </c>
    </row>
    <row r="31" spans="1:51" x14ac:dyDescent="0.25">
      <c r="A31" s="249">
        <f>'Baseline Given'!E32</f>
        <v>29</v>
      </c>
      <c r="B31" s="249">
        <f>'Baseline-tilt up (3 pt)'!T31/1000000</f>
        <v>0.18205878420787144</v>
      </c>
      <c r="C31" s="249">
        <f>'Baseline-tilt up (3 pt)'!Z31/1000000</f>
        <v>-9.3794961127029222</v>
      </c>
      <c r="D31" s="249">
        <f>'Baseline-tilt up (3 pt)'!AF31/1000000</f>
        <v>-4.4218367228157076</v>
      </c>
      <c r="E31" s="249">
        <f>'Baseline-tilt up (3 pt)'!AL31/1000000</f>
        <v>-2.9266247075360488</v>
      </c>
      <c r="F31" s="249">
        <f>'Baseline-tilt up (3 pt)'!AR31/1000000</f>
        <v>-2.2365704651834606</v>
      </c>
      <c r="G31" s="249">
        <f>'Baseline-tilt up (3 pt)'!AX31/1000000</f>
        <v>-1.8642499802133357</v>
      </c>
      <c r="H31" s="249">
        <f>'Baseline-tilt up (3 pt)'!BD31/1000000</f>
        <v>-1.6534300381996223</v>
      </c>
      <c r="I31" s="249">
        <f>'Baseline-tilt up (3 pt)'!BJ31/1000000</f>
        <v>-1.5394214518408924</v>
      </c>
      <c r="J31" s="249">
        <f>'Baseline-tilt up (3 pt)'!BP31/1000000</f>
        <v>-1.4916955398918812</v>
      </c>
      <c r="K31" s="249">
        <f>'Baseline-tilt up (3 pt)'!BV31/1000000</f>
        <v>-1.4955689246167718</v>
      </c>
      <c r="L31" s="249">
        <f>'Baseline Given'!$B$21/1.67</f>
        <v>149.70059880239521</v>
      </c>
      <c r="N31" s="249">
        <f>'Alternative 1'!$F32</f>
        <v>29</v>
      </c>
      <c r="O31" s="249">
        <f>'Alternative 1-Tilt Up (3pt)'!$T31/1000000</f>
        <v>2.1640381438060108</v>
      </c>
      <c r="P31" s="249">
        <f>'Alternative 1-Tilt Up (3pt)'!$Z31/1000000</f>
        <v>2.1324605792020006</v>
      </c>
      <c r="Q31" s="249">
        <f>'Alternative 1-Tilt Up (3pt)'!$AF31/1000000</f>
        <v>2.0347702018630667</v>
      </c>
      <c r="R31" s="249">
        <f>'Alternative 1-Tilt Up (3pt)'!$AL31/1000000</f>
        <v>1.8752543615839277</v>
      </c>
      <c r="S31" s="249">
        <f>'Alternative 1-Tilt Up (3pt)'!$AR31/1000000</f>
        <v>1.6587598664525538</v>
      </c>
      <c r="T31" s="249">
        <f>'Alternative 1-Tilt Up (3pt)'!$AX31/1000000</f>
        <v>1.3918647921520122</v>
      </c>
      <c r="U31" s="249">
        <f>'Alternative 1-Tilt Up (3pt)'!$BD31/1000000</f>
        <v>1.0826786104595008</v>
      </c>
      <c r="V31" s="249">
        <f>'Alternative 1-Tilt Up (3pt)'!$BJ31/1000000</f>
        <v>0.74059578704998852</v>
      </c>
      <c r="W31" s="249">
        <f>'Alternative 1-Tilt Up (3pt)'!$BP31/1000000</f>
        <v>0.37601033541051332</v>
      </c>
      <c r="X31" s="249">
        <f>'Alternative 1-Tilt Up (3pt)'!$BV31/1000000</f>
        <v>1.3264420267670684E-16</v>
      </c>
      <c r="Y31" s="249">
        <f>'Alternative 1'!$B$20/1.67</f>
        <v>149.70059880239521</v>
      </c>
      <c r="AA31" s="249" t="str">
        <f>'Alternative 2'!$F32</f>
        <v>x</v>
      </c>
      <c r="AB31" s="249" t="e">
        <f>'Alternative 2-Tilt Up (3pt)'!$T31/1000000</f>
        <v>#VALUE!</v>
      </c>
      <c r="AC31" s="249" t="e">
        <f>'Alternative 2-Tilt Up (3pt)'!$Z31/1000000</f>
        <v>#VALUE!</v>
      </c>
      <c r="AD31" s="249" t="e">
        <f>'Alternative 2-Tilt Up (3pt)'!$AF31/1000000</f>
        <v>#VALUE!</v>
      </c>
      <c r="AE31" s="249" t="e">
        <f>'Alternative 2-Tilt Up (3pt)'!$AL31/1000000</f>
        <v>#VALUE!</v>
      </c>
      <c r="AF31" s="249" t="e">
        <f>'Alternative 2-Tilt Up (3pt)'!$AR31/1000000</f>
        <v>#VALUE!</v>
      </c>
      <c r="AG31" s="249" t="e">
        <f>'Alternative 2-Tilt Up (3pt)'!$AX31/1000000</f>
        <v>#VALUE!</v>
      </c>
      <c r="AH31" s="249" t="e">
        <f>'Alternative 2-Tilt Up (3pt)'!$BD31/1000000</f>
        <v>#VALUE!</v>
      </c>
      <c r="AI31" s="249" t="e">
        <f>'Alternative 2-Tilt Up (3pt)'!$BJ31/1000000</f>
        <v>#VALUE!</v>
      </c>
      <c r="AJ31" s="249" t="e">
        <f>'Alternative 2-Tilt Up (3pt)'!$BP31/1000000</f>
        <v>#VALUE!</v>
      </c>
      <c r="AK31" s="249" t="e">
        <f>'Alternative 2-Tilt Up (3pt)'!$BV31/1000000</f>
        <v>#VALUE!</v>
      </c>
      <c r="AL31" s="249">
        <f>'Alternative 2'!$B$20/1.67</f>
        <v>149.70059880239521</v>
      </c>
      <c r="AN31" s="249">
        <f>'Alternative 3'!$F32</f>
        <v>29</v>
      </c>
      <c r="AO31" s="249">
        <f>'Alternative 3-Tilt Up (3pt)'!$T31/1000000</f>
        <v>1.625740579717748</v>
      </c>
      <c r="AP31" s="249">
        <f>'Alternative 3-Tilt Up (3pt)'!$Z31/1000000</f>
        <v>1.602017833271556</v>
      </c>
      <c r="AQ31" s="249">
        <f>'Alternative 3-Tilt Up (3pt)'!$AF31/1000000</f>
        <v>1.5286276247198161</v>
      </c>
      <c r="AR31" s="249">
        <f>'Alternative 3-Tilt Up (3pt)'!$AL31/1000000</f>
        <v>1.4087908393138657</v>
      </c>
      <c r="AS31" s="249">
        <f>'Alternative 3-Tilt Up (3pt)'!$AR31/1000000</f>
        <v>1.2461486571379252</v>
      </c>
      <c r="AT31" s="249">
        <f>'Alternative 3-Tilt Up (3pt)'!$AX31/1000000</f>
        <v>1.045642878596496</v>
      </c>
      <c r="AU31" s="249">
        <f>'Alternative 3-Tilt Up (3pt)'!$BD31/1000000</f>
        <v>0.81336577030973944</v>
      </c>
      <c r="AV31" s="249">
        <f>'Alternative 3-Tilt Up (3pt)'!$BJ31/1000000</f>
        <v>0.55637495467506004</v>
      </c>
      <c r="AW31" s="249">
        <f>'Alternative 3-Tilt Up (3pt)'!$BP31/1000000</f>
        <v>0.28247896758189062</v>
      </c>
      <c r="AX31" s="249">
        <f>'Alternative 3-Tilt Up (3pt)'!$BV31/1000000</f>
        <v>9.9649381677053638E-17</v>
      </c>
      <c r="AY31" s="249">
        <f>'Alternative 3'!$B$20/1.67</f>
        <v>149.70059880239521</v>
      </c>
    </row>
    <row r="32" spans="1:51" x14ac:dyDescent="0.25">
      <c r="A32" s="249">
        <f>'Baseline Given'!E33</f>
        <v>30</v>
      </c>
      <c r="B32" s="249">
        <f>'Baseline-tilt up (3 pt)'!T32/1000000</f>
        <v>0.5341292547372547</v>
      </c>
      <c r="C32" s="249">
        <f>'Baseline-tilt up (3 pt)'!Z32/1000000</f>
        <v>-8.58074894910356</v>
      </c>
      <c r="D32" s="249">
        <f>'Baseline-tilt up (3 pt)'!AF32/1000000</f>
        <v>-3.8737018016641849</v>
      </c>
      <c r="E32" s="249">
        <f>'Baseline-tilt up (3 pt)'!AL32/1000000</f>
        <v>-2.475749151126065</v>
      </c>
      <c r="F32" s="249">
        <f>'Baseline-tilt up (3 pt)'!AR32/1000000</f>
        <v>-1.8543939297554914</v>
      </c>
      <c r="G32" s="249">
        <f>'Baseline-tilt up (3 pt)'!AX32/1000000</f>
        <v>-1.5441545148177525</v>
      </c>
      <c r="H32" s="249">
        <f>'Baseline-tilt up (3 pt)'!BD32/1000000</f>
        <v>-1.3948306746465764</v>
      </c>
      <c r="I32" s="249">
        <f>'Baseline-tilt up (3 pt)'!BJ32/1000000</f>
        <v>-1.3432250867665785</v>
      </c>
      <c r="J32" s="249">
        <f>'Baseline-tilt up (3 pt)'!BP32/1000000</f>
        <v>-1.3585197002765816</v>
      </c>
      <c r="K32" s="249">
        <f>'Baseline-tilt up (3 pt)'!BV32/1000000</f>
        <v>-1.4248788623415771</v>
      </c>
      <c r="L32" s="249">
        <f>'Baseline Given'!$B$21/1.67</f>
        <v>149.70059880239521</v>
      </c>
      <c r="N32" s="249">
        <f>'Alternative 1'!$F33</f>
        <v>30</v>
      </c>
      <c r="O32" s="249">
        <f>'Alternative 1-Tilt Up (3pt)'!$T32/1000000</f>
        <v>1.6568417038514773</v>
      </c>
      <c r="P32" s="249">
        <f>'Alternative 1-Tilt Up (3pt)'!$Z32/1000000</f>
        <v>1.6326651309515317</v>
      </c>
      <c r="Q32" s="249">
        <f>'Alternative 1-Tilt Up (3pt)'!$AF32/1000000</f>
        <v>1.5578709358014111</v>
      </c>
      <c r="R32" s="249">
        <f>'Alternative 1-Tilt Up (3pt)'!$AL32/1000000</f>
        <v>1.4357416205876947</v>
      </c>
      <c r="S32" s="249">
        <f>'Alternative 1-Tilt Up (3pt)'!$AR32/1000000</f>
        <v>1.2699880227527367</v>
      </c>
      <c r="T32" s="249">
        <f>'Alternative 1-Tilt Up (3pt)'!$AX32/1000000</f>
        <v>1.0656464814913846</v>
      </c>
      <c r="U32" s="249">
        <f>'Alternative 1-Tilt Up (3pt)'!$BD32/1000000</f>
        <v>0.8289258111330553</v>
      </c>
      <c r="V32" s="249">
        <f>'Alternative 1-Tilt Up (3pt)'!$BJ32/1000000</f>
        <v>0.56701864946014757</v>
      </c>
      <c r="W32" s="249">
        <f>'Alternative 1-Tilt Up (3pt)'!$BP32/1000000</f>
        <v>0.2878829130486743</v>
      </c>
      <c r="X32" s="249">
        <f>'Alternative 1-Tilt Up (3pt)'!$BV32/1000000</f>
        <v>1.0155571767435369E-16</v>
      </c>
      <c r="Y32" s="249">
        <f>'Alternative 1'!$B$20/1.67</f>
        <v>149.70059880239521</v>
      </c>
      <c r="AA32" s="249" t="str">
        <f>'Alternative 2'!$F33</f>
        <v>x</v>
      </c>
      <c r="AB32" s="249" t="e">
        <f>'Alternative 2-Tilt Up (3pt)'!$T32/1000000</f>
        <v>#VALUE!</v>
      </c>
      <c r="AC32" s="249" t="e">
        <f>'Alternative 2-Tilt Up (3pt)'!$Z32/1000000</f>
        <v>#VALUE!</v>
      </c>
      <c r="AD32" s="249" t="e">
        <f>'Alternative 2-Tilt Up (3pt)'!$AF32/1000000</f>
        <v>#VALUE!</v>
      </c>
      <c r="AE32" s="249" t="e">
        <f>'Alternative 2-Tilt Up (3pt)'!$AL32/1000000</f>
        <v>#VALUE!</v>
      </c>
      <c r="AF32" s="249" t="e">
        <f>'Alternative 2-Tilt Up (3pt)'!$AR32/1000000</f>
        <v>#VALUE!</v>
      </c>
      <c r="AG32" s="249" t="e">
        <f>'Alternative 2-Tilt Up (3pt)'!$AX32/1000000</f>
        <v>#VALUE!</v>
      </c>
      <c r="AH32" s="249" t="e">
        <f>'Alternative 2-Tilt Up (3pt)'!$BD32/1000000</f>
        <v>#VALUE!</v>
      </c>
      <c r="AI32" s="249" t="e">
        <f>'Alternative 2-Tilt Up (3pt)'!$BJ32/1000000</f>
        <v>#VALUE!</v>
      </c>
      <c r="AJ32" s="249" t="e">
        <f>'Alternative 2-Tilt Up (3pt)'!$BP32/1000000</f>
        <v>#VALUE!</v>
      </c>
      <c r="AK32" s="249" t="e">
        <f>'Alternative 2-Tilt Up (3pt)'!$BV32/1000000</f>
        <v>#VALUE!</v>
      </c>
      <c r="AL32" s="249">
        <f>'Alternative 2'!$B$20/1.67</f>
        <v>149.70059880239521</v>
      </c>
      <c r="AN32" s="249">
        <f>'Alternative 3'!$F33</f>
        <v>30</v>
      </c>
      <c r="AO32" s="249">
        <f>'Alternative 3-Tilt Up (3pt)'!$T32/1000000</f>
        <v>1.1944216504048764</v>
      </c>
      <c r="AP32" s="249">
        <f>'Alternative 3-Tilt Up (3pt)'!$Z32/1000000</f>
        <v>1.1769926938321635</v>
      </c>
      <c r="AQ32" s="249">
        <f>'Alternative 3-Tilt Up (3pt)'!$AF32/1000000</f>
        <v>1.1230733569370075</v>
      </c>
      <c r="AR32" s="249">
        <f>'Alternative 3-Tilt Up (3pt)'!$AL32/1000000</f>
        <v>1.0350300043938605</v>
      </c>
      <c r="AS32" s="249">
        <f>'Alternative 3-Tilt Up (3pt)'!$AR32/1000000</f>
        <v>0.91553778891765947</v>
      </c>
      <c r="AT32" s="249">
        <f>'Alternative 3-Tilt Up (3pt)'!$AX32/1000000</f>
        <v>0.76822742100967056</v>
      </c>
      <c r="AU32" s="249">
        <f>'Alternative 3-Tilt Up (3pt)'!$BD32/1000000</f>
        <v>0.59757485165613489</v>
      </c>
      <c r="AV32" s="249">
        <f>'Alternative 3-Tilt Up (3pt)'!$BJ32/1000000</f>
        <v>0.40876527282249303</v>
      </c>
      <c r="AW32" s="249">
        <f>'Alternative 3-Tilt Up (3pt)'!$BP32/1000000</f>
        <v>0.20753556801934819</v>
      </c>
      <c r="AX32" s="249">
        <f>'Alternative 3-Tilt Up (3pt)'!$BV32/1000000</f>
        <v>7.3211790619876147E-17</v>
      </c>
      <c r="AY32" s="249">
        <f>'Alternative 3'!$B$20/1.67</f>
        <v>149.70059880239521</v>
      </c>
    </row>
    <row r="33" spans="1:51" x14ac:dyDescent="0.25">
      <c r="A33" s="249">
        <f>'Baseline Given'!E34</f>
        <v>31</v>
      </c>
      <c r="B33" s="249">
        <f>'Baseline-tilt up (3 pt)'!T33/1000000</f>
        <v>1.0064996655941012</v>
      </c>
      <c r="C33" s="249">
        <f>'Baseline-tilt up (3 pt)'!Z33/1000000</f>
        <v>-7.6562024370645378</v>
      </c>
      <c r="D33" s="249">
        <f>'Baseline-tilt up (3 pt)'!AF33/1000000</f>
        <v>-3.2089670902144931</v>
      </c>
      <c r="E33" s="249">
        <f>'Baseline-tilt up (3 pt)'!AL33/1000000</f>
        <v>-1.9182863592481447</v>
      </c>
      <c r="F33" s="249">
        <f>'Baseline-tilt up (3 pt)'!AR33/1000000</f>
        <v>-1.3782027406924231</v>
      </c>
      <c r="G33" s="249">
        <f>'Baseline-tilt up (3 pt)'!AX33/1000000</f>
        <v>-1.1451808414355034</v>
      </c>
      <c r="H33" s="249">
        <f>'Baseline-tilt up (3 pt)'!BD33/1000000</f>
        <v>-1.0747206600107189</v>
      </c>
      <c r="I33" s="249">
        <f>'Baseline-tilt up (3 pt)'!BJ33/1000000</f>
        <v>-1.1046429924759544</v>
      </c>
      <c r="J33" s="249">
        <f>'Baseline-tilt up (3 pt)'!BP33/1000000</f>
        <v>-1.2032851163532086</v>
      </c>
      <c r="K33" s="249">
        <f>'Baseline-tilt up (3 pt)'!BV33/1000000</f>
        <v>-1.353053723241268</v>
      </c>
      <c r="L33" s="249">
        <f>'Baseline Given'!$B$21/1.67</f>
        <v>149.70059880239521</v>
      </c>
      <c r="N33" s="249">
        <f>'Alternative 1'!$F34</f>
        <v>31</v>
      </c>
      <c r="O33" s="249">
        <f>'Alternative 1-Tilt Up (3pt)'!$T33/1000000</f>
        <v>1.2172714558908817</v>
      </c>
      <c r="P33" s="249">
        <f>'Alternative 1-Tilt Up (3pt)'!$Z33/1000000</f>
        <v>1.1995090758011255</v>
      </c>
      <c r="Q33" s="249">
        <f>'Alternative 1-Tilt Up (3pt)'!$AF33/1000000</f>
        <v>1.1445582385479753</v>
      </c>
      <c r="R33" s="249">
        <f>'Alternative 1-Tilt Up (3pt)'!$AL33/1000000</f>
        <v>1.0548305783909595</v>
      </c>
      <c r="S33" s="249">
        <f>'Alternative 1-Tilt Up (3pt)'!$AR33/1000000</f>
        <v>0.93305242487956175</v>
      </c>
      <c r="T33" s="249">
        <f>'Alternative 1-Tilt Up (3pt)'!$AX33/1000000</f>
        <v>0.78292394558550693</v>
      </c>
      <c r="U33" s="249">
        <f>'Alternative 1-Tilt Up (3pt)'!$BD33/1000000</f>
        <v>0.6090067183834692</v>
      </c>
      <c r="V33" s="249">
        <f>'Alternative 1-Tilt Up (3pt)'!$BJ33/1000000</f>
        <v>0.41658513021561866</v>
      </c>
      <c r="W33" s="249">
        <f>'Alternative 1-Tilt Up (3pt)'!$BP33/1000000</f>
        <v>0.21150581366841376</v>
      </c>
      <c r="X33" s="249">
        <f>'Alternative 1-Tilt Up (3pt)'!$BV33/1000000</f>
        <v>7.461236400564762E-17</v>
      </c>
      <c r="Y33" s="249">
        <f>'Alternative 1'!$B$20/1.67</f>
        <v>149.70059880239521</v>
      </c>
      <c r="AA33" s="249" t="str">
        <f>'Alternative 2'!$F34</f>
        <v>x</v>
      </c>
      <c r="AB33" s="249" t="e">
        <f>'Alternative 2-Tilt Up (3pt)'!$T33/1000000</f>
        <v>#VALUE!</v>
      </c>
      <c r="AC33" s="249" t="e">
        <f>'Alternative 2-Tilt Up (3pt)'!$Z33/1000000</f>
        <v>#VALUE!</v>
      </c>
      <c r="AD33" s="249" t="e">
        <f>'Alternative 2-Tilt Up (3pt)'!$AF33/1000000</f>
        <v>#VALUE!</v>
      </c>
      <c r="AE33" s="249" t="e">
        <f>'Alternative 2-Tilt Up (3pt)'!$AL33/1000000</f>
        <v>#VALUE!</v>
      </c>
      <c r="AF33" s="249" t="e">
        <f>'Alternative 2-Tilt Up (3pt)'!$AR33/1000000</f>
        <v>#VALUE!</v>
      </c>
      <c r="AG33" s="249" t="e">
        <f>'Alternative 2-Tilt Up (3pt)'!$AX33/1000000</f>
        <v>#VALUE!</v>
      </c>
      <c r="AH33" s="249" t="e">
        <f>'Alternative 2-Tilt Up (3pt)'!$BD33/1000000</f>
        <v>#VALUE!</v>
      </c>
      <c r="AI33" s="249" t="e">
        <f>'Alternative 2-Tilt Up (3pt)'!$BJ33/1000000</f>
        <v>#VALUE!</v>
      </c>
      <c r="AJ33" s="249" t="e">
        <f>'Alternative 2-Tilt Up (3pt)'!$BP33/1000000</f>
        <v>#VALUE!</v>
      </c>
      <c r="AK33" s="249" t="e">
        <f>'Alternative 2-Tilt Up (3pt)'!$BV33/1000000</f>
        <v>#VALUE!</v>
      </c>
      <c r="AL33" s="249">
        <f>'Alternative 2'!$B$20/1.67</f>
        <v>149.70059880239521</v>
      </c>
      <c r="AN33" s="249">
        <f>'Alternative 3'!$F34</f>
        <v>31</v>
      </c>
      <c r="AO33" s="249">
        <f>'Alternative 3-Tilt Up (3pt)'!$T33/1000000</f>
        <v>0.82945947944783083</v>
      </c>
      <c r="AP33" s="249">
        <f>'Alternative 3-Tilt Up (3pt)'!$Z33/1000000</f>
        <v>0.81735603738344709</v>
      </c>
      <c r="AQ33" s="249">
        <f>'Alternative 3-Tilt Up (3pt)'!$AF33/1000000</f>
        <v>0.77991205342847769</v>
      </c>
      <c r="AR33" s="249">
        <f>'Alternative 3-Tilt Up (3pt)'!$AL33/1000000</f>
        <v>0.71877083638462569</v>
      </c>
      <c r="AS33" s="249">
        <f>'Alternative 3-Tilt Up (3pt)'!$AR33/1000000</f>
        <v>0.63579013119281924</v>
      </c>
      <c r="AT33" s="249">
        <f>'Alternative 3-Tilt Up (3pt)'!$AX33/1000000</f>
        <v>0.53349126459004903</v>
      </c>
      <c r="AU33" s="249">
        <f>'Alternative 3-Tilt Up (3pt)'!$BD33/1000000</f>
        <v>0.41498253587231609</v>
      </c>
      <c r="AV33" s="249">
        <f>'Alternative 3-Tilt Up (3pt)'!$BJ33/1000000</f>
        <v>0.283864772793398</v>
      </c>
      <c r="AW33" s="249">
        <f>'Alternative 3-Tilt Up (3pt)'!$BP33/1000000</f>
        <v>0.14412192223565851</v>
      </c>
      <c r="AX33" s="249">
        <f>'Alternative 3-Tilt Up (3pt)'!$BV33/1000000</f>
        <v>5.0841521263802891E-17</v>
      </c>
      <c r="AY33" s="249">
        <f>'Alternative 3'!$B$20/1.67</f>
        <v>149.70059880239521</v>
      </c>
    </row>
    <row r="34" spans="1:51" x14ac:dyDescent="0.25">
      <c r="A34" s="249">
        <f>'Baseline Given'!E35</f>
        <v>32</v>
      </c>
      <c r="B34" s="249">
        <f>'Baseline-tilt up (3 pt)'!T34/1000000</f>
        <v>1.6020909685669378</v>
      </c>
      <c r="C34" s="249">
        <f>'Baseline-tilt up (3 pt)'!Z34/1000000</f>
        <v>-6.6028020960032254</v>
      </c>
      <c r="D34" s="249">
        <f>'Baseline-tilt up (3 pt)'!AF34/1000000</f>
        <v>-2.424801478450366</v>
      </c>
      <c r="E34" s="249">
        <f>'Baseline-tilt up (3 pt)'!AL34/1000000</f>
        <v>-1.2516483324799623</v>
      </c>
      <c r="F34" s="249">
        <f>'Baseline-tilt up (3 pt)'!AR34/1000000</f>
        <v>-0.80571416809480312</v>
      </c>
      <c r="G34" s="249">
        <f>'Baseline-tilt up (3 pt)'!AX34/1000000</f>
        <v>-0.66541375177912909</v>
      </c>
      <c r="H34" s="249">
        <f>'Baseline-tilt up (3 pt)'!BD34/1000000</f>
        <v>-0.69160648028194927</v>
      </c>
      <c r="I34" s="249">
        <f>'Baseline-tilt up (3 pt)'!BJ34/1000000</f>
        <v>-0.82264601906899704</v>
      </c>
      <c r="J34" s="249">
        <f>'Baseline-tilt up (3 pt)'!BP34/1000000</f>
        <v>-1.0254561891142837</v>
      </c>
      <c r="K34" s="249">
        <f>'Baseline-tilt up (3 pt)'!BV34/1000000</f>
        <v>-1.2800659469972486</v>
      </c>
      <c r="L34" s="249">
        <f>'Baseline Given'!$B$21/1.67</f>
        <v>149.70059880239521</v>
      </c>
      <c r="N34" s="249">
        <f>'Alternative 1'!$F35</f>
        <v>32</v>
      </c>
      <c r="O34" s="249">
        <f>'Alternative 1-Tilt Up (3pt)'!$T34/1000000</f>
        <v>0.84532739992422323</v>
      </c>
      <c r="P34" s="249">
        <f>'Alternative 1-Tilt Up (3pt)'!$Z34/1000000</f>
        <v>0.83299241375078148</v>
      </c>
      <c r="Q34" s="249">
        <f>'Alternative 1-Tilt Up (3pt)'!$AF34/1000000</f>
        <v>0.79483211010276067</v>
      </c>
      <c r="R34" s="249">
        <f>'Alternative 1-Tilt Up (3pt)'!$AL34/1000000</f>
        <v>0.73252123499372179</v>
      </c>
      <c r="S34" s="249">
        <f>'Alternative 1-Tilt Up (3pt)'!$AR34/1000000</f>
        <v>0.64795307283302883</v>
      </c>
      <c r="T34" s="249">
        <f>'Alternative 1-Tilt Up (3pt)'!$AX34/1000000</f>
        <v>0.54369718443437975</v>
      </c>
      <c r="U34" s="249">
        <f>'Alternative 1-Tilt Up (3pt)'!$BD34/1000000</f>
        <v>0.42292133221074246</v>
      </c>
      <c r="V34" s="249">
        <f>'Alternative 1-Tilt Up (3pt)'!$BJ34/1000000</f>
        <v>0.28929522931640184</v>
      </c>
      <c r="W34" s="249">
        <f>'Alternative 1-Tilt Up (3pt)'!$BP34/1000000</f>
        <v>0.14687903726973175</v>
      </c>
      <c r="X34" s="249">
        <f>'Alternative 1-Tilt Up (3pt)'!$BV34/1000000</f>
        <v>5.1814141670588622E-17</v>
      </c>
      <c r="Y34" s="249">
        <f>'Alternative 1'!$B$20/1.67</f>
        <v>149.70059880239521</v>
      </c>
      <c r="AA34" s="249" t="str">
        <f>'Alternative 2'!$F35</f>
        <v>x</v>
      </c>
      <c r="AB34" s="249" t="e">
        <f>'Alternative 2-Tilt Up (3pt)'!$T34/1000000</f>
        <v>#VALUE!</v>
      </c>
      <c r="AC34" s="249" t="e">
        <f>'Alternative 2-Tilt Up (3pt)'!$Z34/1000000</f>
        <v>#VALUE!</v>
      </c>
      <c r="AD34" s="249" t="e">
        <f>'Alternative 2-Tilt Up (3pt)'!$AF34/1000000</f>
        <v>#VALUE!</v>
      </c>
      <c r="AE34" s="249" t="e">
        <f>'Alternative 2-Tilt Up (3pt)'!$AL34/1000000</f>
        <v>#VALUE!</v>
      </c>
      <c r="AF34" s="249" t="e">
        <f>'Alternative 2-Tilt Up (3pt)'!$AR34/1000000</f>
        <v>#VALUE!</v>
      </c>
      <c r="AG34" s="249" t="e">
        <f>'Alternative 2-Tilt Up (3pt)'!$AX34/1000000</f>
        <v>#VALUE!</v>
      </c>
      <c r="AH34" s="249" t="e">
        <f>'Alternative 2-Tilt Up (3pt)'!$BD34/1000000</f>
        <v>#VALUE!</v>
      </c>
      <c r="AI34" s="249" t="e">
        <f>'Alternative 2-Tilt Up (3pt)'!$BJ34/1000000</f>
        <v>#VALUE!</v>
      </c>
      <c r="AJ34" s="249" t="e">
        <f>'Alternative 2-Tilt Up (3pt)'!$BP34/1000000</f>
        <v>#VALUE!</v>
      </c>
      <c r="AK34" s="249" t="e">
        <f>'Alternative 2-Tilt Up (3pt)'!$BV34/1000000</f>
        <v>#VALUE!</v>
      </c>
      <c r="AL34" s="249">
        <f>'Alternative 2'!$B$20/1.67</f>
        <v>149.70059880239521</v>
      </c>
      <c r="AN34" s="249">
        <f>'Alternative 3'!$F35</f>
        <v>32</v>
      </c>
      <c r="AO34" s="249">
        <f>'Alternative 3-Tilt Up (3pt)'!$T34/1000000</f>
        <v>0.53085406684661163</v>
      </c>
      <c r="AP34" s="249">
        <f>'Alternative 3-Tilt Up (3pt)'!$Z34/1000000</f>
        <v>0.52310786392540598</v>
      </c>
      <c r="AQ34" s="249">
        <f>'Alternative 3-Tilt Up (3pt)'!$AF34/1000000</f>
        <v>0.49914371419422565</v>
      </c>
      <c r="AR34" s="249">
        <f>'Alternative 3-Tilt Up (3pt)'!$AL34/1000000</f>
        <v>0.46001333528616029</v>
      </c>
      <c r="AS34" s="249">
        <f>'Alternative 3-Tilt Up (3pt)'!$AR34/1000000</f>
        <v>0.40690568396340426</v>
      </c>
      <c r="AT34" s="249">
        <f>'Alternative 3-Tilt Up (3pt)'!$AX34/1000000</f>
        <v>0.34143440933763142</v>
      </c>
      <c r="AU34" s="249">
        <f>'Alternative 3-Tilt Up (3pt)'!$BD34/1000000</f>
        <v>0.26558882295828223</v>
      </c>
      <c r="AV34" s="249">
        <f>'Alternative 3-Tilt Up (3pt)'!$BJ34/1000000</f>
        <v>0.18167345458777473</v>
      </c>
      <c r="AW34" s="249">
        <f>'Alternative 3-Tilt Up (3pt)'!$BP34/1000000</f>
        <v>9.223803023082143E-2</v>
      </c>
      <c r="AX34" s="249">
        <f>'Alternative 3-Tilt Up (3pt)'!$BV34/1000000</f>
        <v>3.2538573608833845E-17</v>
      </c>
      <c r="AY34" s="249">
        <f>'Alternative 3'!$B$20/1.67</f>
        <v>149.70059880239521</v>
      </c>
    </row>
    <row r="35" spans="1:51" x14ac:dyDescent="0.25">
      <c r="A35" s="249">
        <f>'Baseline Given'!E36</f>
        <v>33</v>
      </c>
      <c r="B35" s="249">
        <f>'Baseline-tilt up (3 pt)'!T35/1000000</f>
        <v>2.32391945022616</v>
      </c>
      <c r="C35" s="249">
        <f>'Baseline-tilt up (3 pt)'!Z35/1000000</f>
        <v>-5.41739375240775</v>
      </c>
      <c r="D35" s="249">
        <f>'Baseline-tilt up (3 pt)'!AF35/1000000</f>
        <v>-1.5182814538527933</v>
      </c>
      <c r="E35" s="249">
        <f>'Baseline-tilt up (3 pt)'!AL35/1000000</f>
        <v>-0.47316260360296813</v>
      </c>
      <c r="F35" s="249">
        <f>'Baseline-tilt up (3 pt)'!AR35/1000000</f>
        <v>-0.13457097773288396</v>
      </c>
      <c r="G35" s="249">
        <f>'Baseline-tilt up (3 pt)'!AX35/1000000</f>
        <v>-0.10287552849651108</v>
      </c>
      <c r="H35" s="249">
        <f>'Baseline-tilt up (3 pt)'!BD35/1000000</f>
        <v>-0.24394587575264398</v>
      </c>
      <c r="I35" s="249">
        <f>'Baseline-tilt up (3 pt)'!BJ35/1000000</f>
        <v>-0.49617142698437489</v>
      </c>
      <c r="J35" s="249">
        <f>'Baseline-tilt up (3 pt)'!BP35/1000000</f>
        <v>-0.82447983853304141</v>
      </c>
      <c r="K35" s="249">
        <f>'Baseline-tilt up (3 pt)'!BV35/1000000</f>
        <v>-1.2058870737700995</v>
      </c>
      <c r="L35" s="249">
        <f>'Baseline Given'!$B$21/1.67</f>
        <v>149.70059880239521</v>
      </c>
      <c r="N35" s="249">
        <f>'Alternative 1'!$F36</f>
        <v>33</v>
      </c>
      <c r="O35" s="249">
        <f>'Alternative 1-Tilt Up (3pt)'!$T35/1000000</f>
        <v>0.5410095359515027</v>
      </c>
      <c r="P35" s="249">
        <f>'Alternative 1-Tilt Up (3pt)'!$Z35/1000000</f>
        <v>0.53311514480050015</v>
      </c>
      <c r="Q35" s="249">
        <f>'Alternative 1-Tilt Up (3pt)'!$AF35/1000000</f>
        <v>0.50869255046576678</v>
      </c>
      <c r="R35" s="249">
        <f>'Alternative 1-Tilt Up (3pt)'!$AL35/1000000</f>
        <v>0.46881359039598192</v>
      </c>
      <c r="S35" s="249">
        <f>'Alternative 1-Tilt Up (3pt)'!$AR35/1000000</f>
        <v>0.41468996661313845</v>
      </c>
      <c r="T35" s="249">
        <f>'Alternative 1-Tilt Up (3pt)'!$AX35/1000000</f>
        <v>0.34796619803800305</v>
      </c>
      <c r="U35" s="249">
        <f>'Alternative 1-Tilt Up (3pt)'!$BD35/1000000</f>
        <v>0.27066965261487513</v>
      </c>
      <c r="V35" s="249">
        <f>'Alternative 1-Tilt Up (3pt)'!$BJ35/1000000</f>
        <v>0.18514894676249713</v>
      </c>
      <c r="W35" s="249">
        <f>'Alternative 1-Tilt Up (3pt)'!$BP35/1000000</f>
        <v>9.4002583852628316E-2</v>
      </c>
      <c r="X35" s="249">
        <f>'Alternative 1-Tilt Up (3pt)'!$BV35/1000000</f>
        <v>3.3161050669176717E-17</v>
      </c>
      <c r="Y35" s="249">
        <f>'Alternative 1'!$B$20/1.67</f>
        <v>149.70059880239521</v>
      </c>
      <c r="AA35" s="249" t="str">
        <f>'Alternative 2'!$F36</f>
        <v>x</v>
      </c>
      <c r="AB35" s="249" t="e">
        <f>'Alternative 2-Tilt Up (3pt)'!$T35/1000000</f>
        <v>#VALUE!</v>
      </c>
      <c r="AC35" s="249" t="e">
        <f>'Alternative 2-Tilt Up (3pt)'!$Z35/1000000</f>
        <v>#VALUE!</v>
      </c>
      <c r="AD35" s="249" t="e">
        <f>'Alternative 2-Tilt Up (3pt)'!$AF35/1000000</f>
        <v>#VALUE!</v>
      </c>
      <c r="AE35" s="249" t="e">
        <f>'Alternative 2-Tilt Up (3pt)'!$AL35/1000000</f>
        <v>#VALUE!</v>
      </c>
      <c r="AF35" s="249" t="e">
        <f>'Alternative 2-Tilt Up (3pt)'!$AR35/1000000</f>
        <v>#VALUE!</v>
      </c>
      <c r="AG35" s="249" t="e">
        <f>'Alternative 2-Tilt Up (3pt)'!$AX35/1000000</f>
        <v>#VALUE!</v>
      </c>
      <c r="AH35" s="249" t="e">
        <f>'Alternative 2-Tilt Up (3pt)'!$BD35/1000000</f>
        <v>#VALUE!</v>
      </c>
      <c r="AI35" s="249" t="e">
        <f>'Alternative 2-Tilt Up (3pt)'!$BJ35/1000000</f>
        <v>#VALUE!</v>
      </c>
      <c r="AJ35" s="249" t="e">
        <f>'Alternative 2-Tilt Up (3pt)'!$BP35/1000000</f>
        <v>#VALUE!</v>
      </c>
      <c r="AK35" s="249" t="e">
        <f>'Alternative 2-Tilt Up (3pt)'!$BV35/1000000</f>
        <v>#VALUE!</v>
      </c>
      <c r="AL35" s="249">
        <f>'Alternative 2'!$B$20/1.67</f>
        <v>149.70059880239521</v>
      </c>
      <c r="AN35" s="249">
        <f>'Alternative 3'!$F36</f>
        <v>33</v>
      </c>
      <c r="AO35" s="249">
        <f>'Alternative 3-Tilt Up (3pt)'!$T35/1000000</f>
        <v>0.29860541260121909</v>
      </c>
      <c r="AP35" s="249">
        <f>'Alternative 3-Tilt Up (3pt)'!$Z35/1000000</f>
        <v>0.29424817345804088</v>
      </c>
      <c r="AQ35" s="249">
        <f>'Alternative 3-Tilt Up (3pt)'!$AF35/1000000</f>
        <v>0.28076833923425193</v>
      </c>
      <c r="AR35" s="249">
        <f>'Alternative 3-Tilt Up (3pt)'!$AL35/1000000</f>
        <v>0.25875750109846513</v>
      </c>
      <c r="AS35" s="249">
        <f>'Alternative 3-Tilt Up (3pt)'!$AR35/1000000</f>
        <v>0.22888444722941487</v>
      </c>
      <c r="AT35" s="249">
        <f>'Alternative 3-Tilt Up (3pt)'!$AX35/1000000</f>
        <v>0.19205685525241764</v>
      </c>
      <c r="AU35" s="249">
        <f>'Alternative 3-Tilt Up (3pt)'!$BD35/1000000</f>
        <v>0.14939371291403378</v>
      </c>
      <c r="AV35" s="249">
        <f>'Alternative 3-Tilt Up (3pt)'!$BJ35/1000000</f>
        <v>0.10219131820562326</v>
      </c>
      <c r="AW35" s="249">
        <f>'Alternative 3-Tilt Up (3pt)'!$BP35/1000000</f>
        <v>5.1883892004837048E-2</v>
      </c>
      <c r="AX35" s="249">
        <f>'Alternative 3-Tilt Up (3pt)'!$BV35/1000000</f>
        <v>1.8302947654969037E-17</v>
      </c>
      <c r="AY35" s="249">
        <f>'Alternative 3'!$B$20/1.67</f>
        <v>149.70059880239521</v>
      </c>
    </row>
    <row r="36" spans="1:51" x14ac:dyDescent="0.25">
      <c r="A36" s="249">
        <f>'Baseline Given'!E37</f>
        <v>34</v>
      </c>
      <c r="B36" s="249">
        <f>'Baseline-tilt up (3 pt)'!T36/1000000</f>
        <v>3.1751006533729718</v>
      </c>
      <c r="C36" s="249">
        <f>'Baseline-tilt up (3 pt)'!Z36/1000000</f>
        <v>-4.0967194391223307</v>
      </c>
      <c r="D36" s="249">
        <f>'Baseline-tilt up (3 pt)'!AF36/1000000</f>
        <v>-0.48638730056573287</v>
      </c>
      <c r="E36" s="249">
        <f>'Baseline-tilt up (3 pt)'!AL36/1000000</f>
        <v>0.41993123684985362</v>
      </c>
      <c r="F36" s="249">
        <f>'Baseline-tilt up (3 pt)'!AR36/1000000</f>
        <v>0.63766163357399519</v>
      </c>
      <c r="G36" s="249">
        <f>'Baseline-tilt up (3 pt)'!AX36/1000000</f>
        <v>0.54447662604299352</v>
      </c>
      <c r="H36" s="249">
        <f>'Baseline-tilt up (3 pt)'!BD36/1000000</f>
        <v>0.2698541640613018</v>
      </c>
      <c r="I36" s="249">
        <f>'Baseline-tilt up (3 pt)'!BJ36/1000000</f>
        <v>-0.12412150534064005</v>
      </c>
      <c r="J36" s="249">
        <f>'Baseline-tilt up (3 pt)'!BP36/1000000</f>
        <v>-0.59978478450871198</v>
      </c>
      <c r="K36" s="249">
        <f>'Baseline-tilt up (3 pt)'!BV36/1000000</f>
        <v>-1.1304877071991764</v>
      </c>
      <c r="L36" s="249">
        <f>'Baseline Given'!$B$21/1.67</f>
        <v>149.70059880239521</v>
      </c>
      <c r="N36" s="249">
        <f>'Alternative 1'!$F37</f>
        <v>34</v>
      </c>
      <c r="O36" s="249">
        <f>'Alternative 1-Tilt Up (3pt)'!$T36/1000000</f>
        <v>0.30431786397272031</v>
      </c>
      <c r="P36" s="249">
        <f>'Alternative 1-Tilt Up (3pt)'!$Z36/1000000</f>
        <v>0.29987726895028138</v>
      </c>
      <c r="Q36" s="249">
        <f>'Alternative 1-Tilt Up (3pt)'!$AF36/1000000</f>
        <v>0.28613955963699378</v>
      </c>
      <c r="R36" s="249">
        <f>'Alternative 1-Tilt Up (3pt)'!$AL36/1000000</f>
        <v>0.26370764459773988</v>
      </c>
      <c r="S36" s="249">
        <f>'Alternative 1-Tilt Up (3pt)'!$AR36/1000000</f>
        <v>0.23326310621989041</v>
      </c>
      <c r="T36" s="249">
        <f>'Alternative 1-Tilt Up (3pt)'!$AX36/1000000</f>
        <v>0.19573098639637673</v>
      </c>
      <c r="U36" s="249">
        <f>'Alternative 1-Tilt Up (3pt)'!$BD36/1000000</f>
        <v>0.1522516795958673</v>
      </c>
      <c r="V36" s="249">
        <f>'Alternative 1-Tilt Up (3pt)'!$BJ36/1000000</f>
        <v>0.10414628255390466</v>
      </c>
      <c r="W36" s="249">
        <f>'Alternative 1-Tilt Up (3pt)'!$BP36/1000000</f>
        <v>5.2876453417103439E-2</v>
      </c>
      <c r="X36" s="249">
        <f>'Alternative 1-Tilt Up (3pt)'!$BV36/1000000</f>
        <v>1.8653091001411902E-17</v>
      </c>
      <c r="Y36" s="249">
        <f>'Alternative 1'!$B$20/1.67</f>
        <v>149.70059880239521</v>
      </c>
      <c r="AA36" s="249" t="str">
        <f>'Alternative 2'!$F37</f>
        <v>x</v>
      </c>
      <c r="AB36" s="249" t="e">
        <f>'Alternative 2-Tilt Up (3pt)'!$T36/1000000</f>
        <v>#VALUE!</v>
      </c>
      <c r="AC36" s="249" t="e">
        <f>'Alternative 2-Tilt Up (3pt)'!$Z36/1000000</f>
        <v>#VALUE!</v>
      </c>
      <c r="AD36" s="249" t="e">
        <f>'Alternative 2-Tilt Up (3pt)'!$AF36/1000000</f>
        <v>#VALUE!</v>
      </c>
      <c r="AE36" s="249" t="e">
        <f>'Alternative 2-Tilt Up (3pt)'!$AL36/1000000</f>
        <v>#VALUE!</v>
      </c>
      <c r="AF36" s="249" t="e">
        <f>'Alternative 2-Tilt Up (3pt)'!$AR36/1000000</f>
        <v>#VALUE!</v>
      </c>
      <c r="AG36" s="249" t="e">
        <f>'Alternative 2-Tilt Up (3pt)'!$AX36/1000000</f>
        <v>#VALUE!</v>
      </c>
      <c r="AH36" s="249" t="e">
        <f>'Alternative 2-Tilt Up (3pt)'!$BD36/1000000</f>
        <v>#VALUE!</v>
      </c>
      <c r="AI36" s="249" t="e">
        <f>'Alternative 2-Tilt Up (3pt)'!$BJ36/1000000</f>
        <v>#VALUE!</v>
      </c>
      <c r="AJ36" s="249" t="e">
        <f>'Alternative 2-Tilt Up (3pt)'!$BP36/1000000</f>
        <v>#VALUE!</v>
      </c>
      <c r="AK36" s="249" t="e">
        <f>'Alternative 2-Tilt Up (3pt)'!$BV36/1000000</f>
        <v>#VALUE!</v>
      </c>
      <c r="AL36" s="249">
        <f>'Alternative 2'!$B$20/1.67</f>
        <v>149.70059880239521</v>
      </c>
      <c r="AN36" s="249">
        <f>'Alternative 3'!$F37</f>
        <v>34</v>
      </c>
      <c r="AO36" s="249">
        <f>'Alternative 3-Tilt Up (3pt)'!$T36/1000000</f>
        <v>0.13271351671165291</v>
      </c>
      <c r="AP36" s="249">
        <f>'Alternative 3-Tilt Up (3pt)'!$Z36/1000000</f>
        <v>0.1307769659813515</v>
      </c>
      <c r="AQ36" s="249">
        <f>'Alternative 3-Tilt Up (3pt)'!$AF36/1000000</f>
        <v>0.12478592854855641</v>
      </c>
      <c r="AR36" s="249">
        <f>'Alternative 3-Tilt Up (3pt)'!$AL36/1000000</f>
        <v>0.11500333382154007</v>
      </c>
      <c r="AS36" s="249">
        <f>'Alternative 3-Tilt Up (3pt)'!$AR36/1000000</f>
        <v>0.10172642099085107</v>
      </c>
      <c r="AT36" s="249">
        <f>'Alternative 3-Tilt Up (3pt)'!$AX36/1000000</f>
        <v>8.535860233440784E-2</v>
      </c>
      <c r="AU36" s="249">
        <f>'Alternative 3-Tilt Up (3pt)'!$BD36/1000000</f>
        <v>6.6397205739570558E-2</v>
      </c>
      <c r="AV36" s="249">
        <f>'Alternative 3-Tilt Up (3pt)'!$BJ36/1000000</f>
        <v>4.5418363646943676E-2</v>
      </c>
      <c r="AW36" s="249">
        <f>'Alternative 3-Tilt Up (3pt)'!$BP36/1000000</f>
        <v>2.3059507557705358E-2</v>
      </c>
      <c r="AX36" s="249">
        <f>'Alternative 3-Tilt Up (3pt)'!$BV36/1000000</f>
        <v>8.1346434022084613E-18</v>
      </c>
      <c r="AY36" s="249">
        <f>'Alternative 3'!$B$20/1.67</f>
        <v>149.70059880239521</v>
      </c>
    </row>
    <row r="37" spans="1:51" x14ac:dyDescent="0.25">
      <c r="A37" s="249">
        <f>'Baseline Given'!E38</f>
        <v>35</v>
      </c>
      <c r="B37" s="249">
        <f>'Baseline-tilt up (3 pt)'!T37/1000000</f>
        <v>4.1588534936572961</v>
      </c>
      <c r="C37" s="249">
        <f>'Baseline-tilt up (3 pt)'!Z37/1000000</f>
        <v>-2.6374130905417901</v>
      </c>
      <c r="D37" s="249">
        <f>'Baseline-tilt up (3 pt)'!AF37/1000000</f>
        <v>0.67400089060400314</v>
      </c>
      <c r="E37" s="249">
        <f>'Baseline-tilt up (3 pt)'!AL37/1000000</f>
        <v>1.4304851879684017</v>
      </c>
      <c r="F37" s="249">
        <f>'Baseline-tilt up (3 pt)'!AR37/1000000</f>
        <v>1.5134992551027926</v>
      </c>
      <c r="G37" s="249">
        <f>'Baseline-tilt up (3 pt)'!AX37/1000000</f>
        <v>1.2787532889305699</v>
      </c>
      <c r="H37" s="249">
        <f>'Baseline-tilt up (3 pt)'!BD37/1000000</f>
        <v>0.85143950529140544</v>
      </c>
      <c r="I37" s="249">
        <f>'Baseline-tilt up (3 pt)'!BJ37/1000000</f>
        <v>0.29463787848717404</v>
      </c>
      <c r="J37" s="249">
        <f>'Baseline-tilt up (3 pt)'!BP37/1000000</f>
        <v>-0.35078079202474083</v>
      </c>
      <c r="K37" s="249">
        <f>'Baseline-tilt up (3 pt)'!BV37/1000000</f>
        <v>-1.0538374755607172</v>
      </c>
      <c r="L37" s="249">
        <f>'Baseline Given'!$B$21/1.67</f>
        <v>149.70059880239521</v>
      </c>
      <c r="N37" s="249">
        <f>'Alternative 1'!$F38</f>
        <v>35</v>
      </c>
      <c r="O37" s="249">
        <f>'Alternative 1-Tilt Up (3pt)'!$T37/1000000</f>
        <v>0.1352523839878757</v>
      </c>
      <c r="P37" s="249">
        <f>'Alternative 1-Tilt Up (3pt)'!$Z37/1000000</f>
        <v>0.13327878620012507</v>
      </c>
      <c r="Q37" s="249">
        <f>'Alternative 1-Tilt Up (3pt)'!$AF37/1000000</f>
        <v>0.12717313761644169</v>
      </c>
      <c r="R37" s="249">
        <f>'Alternative 1-Tilt Up (3pt)'!$AL37/1000000</f>
        <v>0.11720339759899549</v>
      </c>
      <c r="S37" s="249">
        <f>'Alternative 1-Tilt Up (3pt)'!$AR37/1000000</f>
        <v>0.10367249165328463</v>
      </c>
      <c r="T37" s="249">
        <f>'Alternative 1-Tilt Up (3pt)'!$AX37/1000000</f>
        <v>8.6991549509500776E-2</v>
      </c>
      <c r="U37" s="249">
        <f>'Alternative 1-Tilt Up (3pt)'!$BD37/1000000</f>
        <v>6.7667413153718797E-2</v>
      </c>
      <c r="V37" s="249">
        <f>'Alternative 1-Tilt Up (3pt)'!$BJ37/1000000</f>
        <v>4.6287236690624289E-2</v>
      </c>
      <c r="W37" s="249">
        <f>'Alternative 1-Tilt Up (3pt)'!$BP37/1000000</f>
        <v>2.3500645963157082E-2</v>
      </c>
      <c r="X37" s="249">
        <f>'Alternative 1-Tilt Up (3pt)'!$BV37/1000000</f>
        <v>8.2902626672941808E-18</v>
      </c>
      <c r="Y37" s="249">
        <f>'Alternative 1'!$B$20/1.67</f>
        <v>149.70059880239521</v>
      </c>
      <c r="AA37" s="249" t="str">
        <f>'Alternative 2'!$F38</f>
        <v>x</v>
      </c>
      <c r="AB37" s="249" t="e">
        <f>'Alternative 2-Tilt Up (3pt)'!$T37/1000000</f>
        <v>#VALUE!</v>
      </c>
      <c r="AC37" s="249" t="e">
        <f>'Alternative 2-Tilt Up (3pt)'!$Z37/1000000</f>
        <v>#VALUE!</v>
      </c>
      <c r="AD37" s="249" t="e">
        <f>'Alternative 2-Tilt Up (3pt)'!$AF37/1000000</f>
        <v>#VALUE!</v>
      </c>
      <c r="AE37" s="249" t="e">
        <f>'Alternative 2-Tilt Up (3pt)'!$AL37/1000000</f>
        <v>#VALUE!</v>
      </c>
      <c r="AF37" s="249" t="e">
        <f>'Alternative 2-Tilt Up (3pt)'!$AR37/1000000</f>
        <v>#VALUE!</v>
      </c>
      <c r="AG37" s="249" t="e">
        <f>'Alternative 2-Tilt Up (3pt)'!$AX37/1000000</f>
        <v>#VALUE!</v>
      </c>
      <c r="AH37" s="249" t="e">
        <f>'Alternative 2-Tilt Up (3pt)'!$BD37/1000000</f>
        <v>#VALUE!</v>
      </c>
      <c r="AI37" s="249" t="e">
        <f>'Alternative 2-Tilt Up (3pt)'!$BJ37/1000000</f>
        <v>#VALUE!</v>
      </c>
      <c r="AJ37" s="249" t="e">
        <f>'Alternative 2-Tilt Up (3pt)'!$BP37/1000000</f>
        <v>#VALUE!</v>
      </c>
      <c r="AK37" s="249" t="e">
        <f>'Alternative 2-Tilt Up (3pt)'!$BV37/1000000</f>
        <v>#VALUE!</v>
      </c>
      <c r="AL37" s="249">
        <f>'Alternative 2'!$B$20/1.67</f>
        <v>149.70059880239521</v>
      </c>
      <c r="AN37" s="249">
        <f>'Alternative 3'!$F38</f>
        <v>35</v>
      </c>
      <c r="AO37" s="249">
        <f>'Alternative 3-Tilt Up (3pt)'!$T37/1000000</f>
        <v>3.3178379177913227E-2</v>
      </c>
      <c r="AP37" s="249">
        <f>'Alternative 3-Tilt Up (3pt)'!$Z37/1000000</f>
        <v>3.2694241495337874E-2</v>
      </c>
      <c r="AQ37" s="249">
        <f>'Alternative 3-Tilt Up (3pt)'!$AF37/1000000</f>
        <v>3.11964821371391E-2</v>
      </c>
      <c r="AR37" s="249">
        <f>'Alternative 3-Tilt Up (3pt)'!$AL37/1000000</f>
        <v>2.8750833455385014E-2</v>
      </c>
      <c r="AS37" s="249">
        <f>'Alternative 3-Tilt Up (3pt)'!$AR37/1000000</f>
        <v>2.5431605247712763E-2</v>
      </c>
      <c r="AT37" s="249">
        <f>'Alternative 3-Tilt Up (3pt)'!$AX37/1000000</f>
        <v>2.133965058360196E-2</v>
      </c>
      <c r="AU37" s="249">
        <f>'Alternative 3-Tilt Up (3pt)'!$BD37/1000000</f>
        <v>1.6599301434892636E-2</v>
      </c>
      <c r="AV37" s="249">
        <f>'Alternative 3-Tilt Up (3pt)'!$BJ37/1000000</f>
        <v>1.1354590911735919E-2</v>
      </c>
      <c r="AW37" s="249">
        <f>'Alternative 3-Tilt Up (3pt)'!$BP37/1000000</f>
        <v>5.7648768894263385E-3</v>
      </c>
      <c r="AX37" s="249">
        <f>'Alternative 3-Tilt Up (3pt)'!$BV37/1000000</f>
        <v>2.0336608505521149E-18</v>
      </c>
      <c r="AY37" s="249">
        <f>'Alternative 3'!$B$20/1.67</f>
        <v>149.70059880239521</v>
      </c>
    </row>
    <row r="38" spans="1:51" x14ac:dyDescent="0.25">
      <c r="A38" s="249">
        <f>'Baseline Given'!E39</f>
        <v>36</v>
      </c>
      <c r="B38" s="249">
        <f>'Baseline-tilt up (3 pt)'!T38/1000000</f>
        <v>5.2785045827916823</v>
      </c>
      <c r="C38" s="249">
        <f>'Baseline-tilt up (3 pt)'!Z38/1000000</f>
        <v>-1.035996021765577</v>
      </c>
      <c r="D38" s="249">
        <f>'Baseline-tilt up (3 pt)'!AF38/1000000</f>
        <v>1.9661074124285634</v>
      </c>
      <c r="E38" s="249">
        <f>'Baseline-tilt up (3 pt)'!AL38/1000000</f>
        <v>2.5614466688865156</v>
      </c>
      <c r="F38" s="249">
        <f>'Baseline-tilt up (3 pt)'!AR38/1000000</f>
        <v>2.4955416408274846</v>
      </c>
      <c r="G38" s="249">
        <f>'Baseline-tilt up (3 pt)'!AX38/1000000</f>
        <v>2.1021356513608018</v>
      </c>
      <c r="H38" s="249">
        <f>'Baseline-tilt up (3 pt)'!BD38/1000000</f>
        <v>1.5025110802222597</v>
      </c>
      <c r="I38" s="249">
        <f>'Baseline-tilt up (3 pt)'!BJ38/1000000</f>
        <v>0.76127880208175702</v>
      </c>
      <c r="J38" s="249">
        <f>'Baseline-tilt up (3 pt)'!BP38/1000000</f>
        <v>-7.6857878424609546E-2</v>
      </c>
      <c r="K38" s="249">
        <f>'Baseline-tilt up (3 pt)'!BV38/1000000</f>
        <v>-0.97590499097663319</v>
      </c>
      <c r="L38" s="249">
        <f>'Baseline Given'!$B$21/1.67</f>
        <v>149.70059880239521</v>
      </c>
      <c r="N38" s="249">
        <f>'Alternative 1'!$F39</f>
        <v>36</v>
      </c>
      <c r="O38" s="249">
        <f>'Alternative 1-Tilt Up (3pt)'!$T38/1000000</f>
        <v>3.3813095996968925E-2</v>
      </c>
      <c r="P38" s="249">
        <f>'Alternative 1-Tilt Up (3pt)'!$Z38/1000000</f>
        <v>3.3319696550031259E-2</v>
      </c>
      <c r="Q38" s="249">
        <f>'Alternative 1-Tilt Up (3pt)'!$AF38/1000000</f>
        <v>3.1793284404110424E-2</v>
      </c>
      <c r="R38" s="249">
        <f>'Alternative 1-Tilt Up (3pt)'!$AL38/1000000</f>
        <v>2.930084939974887E-2</v>
      </c>
      <c r="S38" s="249">
        <f>'Alternative 1-Tilt Up (3pt)'!$AR38/1000000</f>
        <v>2.5918122913321157E-2</v>
      </c>
      <c r="T38" s="249">
        <f>'Alternative 1-Tilt Up (3pt)'!$AX38/1000000</f>
        <v>2.1747887377375191E-2</v>
      </c>
      <c r="U38" s="249">
        <f>'Alternative 1-Tilt Up (3pt)'!$BD38/1000000</f>
        <v>1.6916853288429699E-2</v>
      </c>
      <c r="V38" s="249">
        <f>'Alternative 1-Tilt Up (3pt)'!$BJ38/1000000</f>
        <v>1.1571809172656072E-2</v>
      </c>
      <c r="W38" s="249">
        <f>'Alternative 1-Tilt Up (3pt)'!$BP38/1000000</f>
        <v>5.8751614907892706E-3</v>
      </c>
      <c r="X38" s="249">
        <f>'Alternative 1-Tilt Up (3pt)'!$BV38/1000000</f>
        <v>2.0725656668235448E-18</v>
      </c>
      <c r="Y38" s="249">
        <f>'Alternative 1'!$B$20/1.67</f>
        <v>149.70059880239521</v>
      </c>
      <c r="AA38" s="249" t="str">
        <f>'Alternative 2'!$F39</f>
        <v>x</v>
      </c>
      <c r="AB38" s="249" t="e">
        <f>'Alternative 2-Tilt Up (3pt)'!$T38/1000000</f>
        <v>#VALUE!</v>
      </c>
      <c r="AC38" s="249" t="e">
        <f>'Alternative 2-Tilt Up (3pt)'!$Z38/1000000</f>
        <v>#VALUE!</v>
      </c>
      <c r="AD38" s="249" t="e">
        <f>'Alternative 2-Tilt Up (3pt)'!$AF38/1000000</f>
        <v>#VALUE!</v>
      </c>
      <c r="AE38" s="249" t="e">
        <f>'Alternative 2-Tilt Up (3pt)'!$AL38/1000000</f>
        <v>#VALUE!</v>
      </c>
      <c r="AF38" s="249" t="e">
        <f>'Alternative 2-Tilt Up (3pt)'!$AR38/1000000</f>
        <v>#VALUE!</v>
      </c>
      <c r="AG38" s="249" t="e">
        <f>'Alternative 2-Tilt Up (3pt)'!$AX38/1000000</f>
        <v>#VALUE!</v>
      </c>
      <c r="AH38" s="249" t="e">
        <f>'Alternative 2-Tilt Up (3pt)'!$BD38/1000000</f>
        <v>#VALUE!</v>
      </c>
      <c r="AI38" s="249" t="e">
        <f>'Alternative 2-Tilt Up (3pt)'!$BJ38/1000000</f>
        <v>#VALUE!</v>
      </c>
      <c r="AJ38" s="249" t="e">
        <f>'Alternative 2-Tilt Up (3pt)'!$BP38/1000000</f>
        <v>#VALUE!</v>
      </c>
      <c r="AK38" s="249" t="e">
        <f>'Alternative 2-Tilt Up (3pt)'!$BV38/1000000</f>
        <v>#VALUE!</v>
      </c>
      <c r="AL38" s="249">
        <f>'Alternative 2'!$B$20/1.67</f>
        <v>149.70059880239521</v>
      </c>
      <c r="AN38" s="249" t="str">
        <f>'Alternative 3'!$F39</f>
        <v>x</v>
      </c>
      <c r="AO38" s="249" t="e">
        <f>'Alternative 3-Tilt Up (3pt)'!$T38/1000000</f>
        <v>#VALUE!</v>
      </c>
      <c r="AP38" s="249" t="e">
        <f>'Alternative 3-Tilt Up (3pt)'!$Z38/1000000</f>
        <v>#VALUE!</v>
      </c>
      <c r="AQ38" s="249" t="e">
        <f>'Alternative 3-Tilt Up (3pt)'!$AF38/1000000</f>
        <v>#VALUE!</v>
      </c>
      <c r="AR38" s="249" t="e">
        <f>'Alternative 3-Tilt Up (3pt)'!$AL38/1000000</f>
        <v>#VALUE!</v>
      </c>
      <c r="AS38" s="249" t="e">
        <f>'Alternative 3-Tilt Up (3pt)'!$AR38/1000000</f>
        <v>#VALUE!</v>
      </c>
      <c r="AT38" s="249" t="e">
        <f>'Alternative 3-Tilt Up (3pt)'!$AX38/1000000</f>
        <v>#VALUE!</v>
      </c>
      <c r="AU38" s="249" t="e">
        <f>'Alternative 3-Tilt Up (3pt)'!$BD38/1000000</f>
        <v>#VALUE!</v>
      </c>
      <c r="AV38" s="249" t="e">
        <f>'Alternative 3-Tilt Up (3pt)'!$BJ38/1000000</f>
        <v>#VALUE!</v>
      </c>
      <c r="AW38" s="249" t="e">
        <f>'Alternative 3-Tilt Up (3pt)'!$BP38/1000000</f>
        <v>#VALUE!</v>
      </c>
      <c r="AX38" s="249" t="e">
        <f>'Alternative 3-Tilt Up (3pt)'!$BV38/1000000</f>
        <v>#VALUE!</v>
      </c>
      <c r="AY38" s="249">
        <f>'Alternative 3'!$B$20/1.67</f>
        <v>149.70059880239521</v>
      </c>
    </row>
    <row r="39" spans="1:51" x14ac:dyDescent="0.25">
      <c r="A39" s="249">
        <f>'Baseline Given'!E40</f>
        <v>37</v>
      </c>
      <c r="B39" s="249">
        <f>'Baseline-tilt up (3 pt)'!T39/1000000</f>
        <v>6.5374927705596146</v>
      </c>
      <c r="C39" s="249">
        <f>'Baseline-tilt up (3 pt)'!Z39/1000000</f>
        <v>0.71112782104440797</v>
      </c>
      <c r="D39" s="249">
        <f>'Baseline-tilt up (3 pt)'!AF39/1000000</f>
        <v>3.3932653435655888</v>
      </c>
      <c r="E39" s="249">
        <f>'Baseline-tilt up (3 pt)'!AL39/1000000</f>
        <v>3.8158625430573836</v>
      </c>
      <c r="F39" s="249">
        <f>'Baseline-tilt up (3 pt)'!AR39/1000000</f>
        <v>3.5864762590079629</v>
      </c>
      <c r="G39" s="249">
        <f>'Baseline-tilt up (3 pt)'!AX39/1000000</f>
        <v>3.0168784967335784</v>
      </c>
      <c r="H39" s="249">
        <f>'Baseline-tilt up (3 pt)'!BD39/1000000</f>
        <v>2.2248272096691699</v>
      </c>
      <c r="I39" s="249">
        <f>'Baseline-tilt up (3 pt)'!BJ39/1000000</f>
        <v>1.277012888286313</v>
      </c>
      <c r="J39" s="249">
        <f>'Baseline-tilt up (3 pt)'!BP39/1000000</f>
        <v>0.22261451943144844</v>
      </c>
      <c r="K39" s="249">
        <f>'Baseline-tilt up (3 pt)'!BV39/1000000</f>
        <v>-0.89665780655889082</v>
      </c>
      <c r="L39" s="249">
        <f>'Baseline Given'!$B$21/1.67</f>
        <v>149.70059880239521</v>
      </c>
      <c r="N39" s="249" t="str">
        <f>'Alternative 1'!$F40</f>
        <v>x</v>
      </c>
      <c r="O39" s="249" t="e">
        <f>'Alternative 1-Tilt Up (3pt)'!$T39/1000000</f>
        <v>#VALUE!</v>
      </c>
      <c r="P39" s="249" t="e">
        <f>'Alternative 1-Tilt Up (3pt)'!$Z39/1000000</f>
        <v>#VALUE!</v>
      </c>
      <c r="Q39" s="249" t="e">
        <f>'Alternative 1-Tilt Up (3pt)'!$AF39/1000000</f>
        <v>#VALUE!</v>
      </c>
      <c r="R39" s="249" t="e">
        <f>'Alternative 1-Tilt Up (3pt)'!$AL39/1000000</f>
        <v>#VALUE!</v>
      </c>
      <c r="S39" s="249" t="e">
        <f>'Alternative 1-Tilt Up (3pt)'!$AR39/1000000</f>
        <v>#VALUE!</v>
      </c>
      <c r="T39" s="249" t="e">
        <f>'Alternative 1-Tilt Up (3pt)'!$AX39/1000000</f>
        <v>#VALUE!</v>
      </c>
      <c r="U39" s="249" t="e">
        <f>'Alternative 1-Tilt Up (3pt)'!$BD39/1000000</f>
        <v>#VALUE!</v>
      </c>
      <c r="V39" s="249" t="e">
        <f>'Alternative 1-Tilt Up (3pt)'!$BJ39/1000000</f>
        <v>#VALUE!</v>
      </c>
      <c r="W39" s="249" t="e">
        <f>'Alternative 1-Tilt Up (3pt)'!$BP39/1000000</f>
        <v>#VALUE!</v>
      </c>
      <c r="X39" s="249" t="e">
        <f>'Alternative 1-Tilt Up (3pt)'!$BV39/1000000</f>
        <v>#VALUE!</v>
      </c>
      <c r="Y39" s="249">
        <f>'Alternative 1'!$B$20/1.67</f>
        <v>149.70059880239521</v>
      </c>
      <c r="AA39" s="249" t="str">
        <f>'Alternative 2'!$F40</f>
        <v>x</v>
      </c>
      <c r="AB39" s="249" t="e">
        <f>'Alternative 2-Tilt Up (3pt)'!$T39/1000000</f>
        <v>#VALUE!</v>
      </c>
      <c r="AC39" s="249" t="e">
        <f>'Alternative 2-Tilt Up (3pt)'!$Z39/1000000</f>
        <v>#VALUE!</v>
      </c>
      <c r="AD39" s="249" t="e">
        <f>'Alternative 2-Tilt Up (3pt)'!$AF39/1000000</f>
        <v>#VALUE!</v>
      </c>
      <c r="AE39" s="249" t="e">
        <f>'Alternative 2-Tilt Up (3pt)'!$AL39/1000000</f>
        <v>#VALUE!</v>
      </c>
      <c r="AF39" s="249" t="e">
        <f>'Alternative 2-Tilt Up (3pt)'!$AR39/1000000</f>
        <v>#VALUE!</v>
      </c>
      <c r="AG39" s="249" t="e">
        <f>'Alternative 2-Tilt Up (3pt)'!$AX39/1000000</f>
        <v>#VALUE!</v>
      </c>
      <c r="AH39" s="249" t="e">
        <f>'Alternative 2-Tilt Up (3pt)'!$BD39/1000000</f>
        <v>#VALUE!</v>
      </c>
      <c r="AI39" s="249" t="e">
        <f>'Alternative 2-Tilt Up (3pt)'!$BJ39/1000000</f>
        <v>#VALUE!</v>
      </c>
      <c r="AJ39" s="249" t="e">
        <f>'Alternative 2-Tilt Up (3pt)'!$BP39/1000000</f>
        <v>#VALUE!</v>
      </c>
      <c r="AK39" s="249" t="e">
        <f>'Alternative 2-Tilt Up (3pt)'!$BV39/1000000</f>
        <v>#VALUE!</v>
      </c>
      <c r="AL39" s="249">
        <f>'Alternative 2'!$B$20/1.67</f>
        <v>149.70059880239521</v>
      </c>
      <c r="AN39" s="249" t="str">
        <f>'Alternative 3'!$F40</f>
        <v>x</v>
      </c>
      <c r="AO39" s="249" t="e">
        <f>'Alternative 3-Tilt Up (3pt)'!$T39/1000000</f>
        <v>#VALUE!</v>
      </c>
      <c r="AP39" s="249" t="e">
        <f>'Alternative 3-Tilt Up (3pt)'!$Z39/1000000</f>
        <v>#VALUE!</v>
      </c>
      <c r="AQ39" s="249" t="e">
        <f>'Alternative 3-Tilt Up (3pt)'!$AF39/1000000</f>
        <v>#VALUE!</v>
      </c>
      <c r="AR39" s="249" t="e">
        <f>'Alternative 3-Tilt Up (3pt)'!$AL39/1000000</f>
        <v>#VALUE!</v>
      </c>
      <c r="AS39" s="249" t="e">
        <f>'Alternative 3-Tilt Up (3pt)'!$AR39/1000000</f>
        <v>#VALUE!</v>
      </c>
      <c r="AT39" s="249" t="e">
        <f>'Alternative 3-Tilt Up (3pt)'!$AX39/1000000</f>
        <v>#VALUE!</v>
      </c>
      <c r="AU39" s="249" t="e">
        <f>'Alternative 3-Tilt Up (3pt)'!$BD39/1000000</f>
        <v>#VALUE!</v>
      </c>
      <c r="AV39" s="249" t="e">
        <f>'Alternative 3-Tilt Up (3pt)'!$BJ39/1000000</f>
        <v>#VALUE!</v>
      </c>
      <c r="AW39" s="249" t="e">
        <f>'Alternative 3-Tilt Up (3pt)'!$BP39/1000000</f>
        <v>#VALUE!</v>
      </c>
      <c r="AX39" s="249" t="e">
        <f>'Alternative 3-Tilt Up (3pt)'!$BV39/1000000</f>
        <v>#VALUE!</v>
      </c>
      <c r="AY39" s="249">
        <f>'Alternative 3'!$B$20/1.67</f>
        <v>149.70059880239521</v>
      </c>
    </row>
    <row r="40" spans="1:51" x14ac:dyDescent="0.25">
      <c r="A40" s="249">
        <f>'Baseline Given'!E41</f>
        <v>38</v>
      </c>
      <c r="B40" s="249">
        <f>'Baseline-tilt up (3 pt)'!T40/1000000</f>
        <v>7.9393739186464281</v>
      </c>
      <c r="C40" s="249">
        <f>'Baseline-tilt up (3 pt)'!Z40/1000000</f>
        <v>2.6076768527264846</v>
      </c>
      <c r="D40" s="249">
        <f>'Baseline-tilt up (3 pt)'!AF40/1000000</f>
        <v>4.9589211755570579</v>
      </c>
      <c r="E40" s="249">
        <f>'Baseline-tilt up (3 pt)'!AL40/1000000</f>
        <v>5.1968833479269696</v>
      </c>
      <c r="F40" s="249">
        <f>'Baseline-tilt up (3 pt)'!AR40/1000000</f>
        <v>4.7890820229488487</v>
      </c>
      <c r="G40" s="249">
        <f>'Baseline-tilt up (3 pt)'!AX40/1000000</f>
        <v>4.0253133307572408</v>
      </c>
      <c r="H40" s="249">
        <f>'Baseline-tilt up (3 pt)'!BD40/1000000</f>
        <v>3.0202060438891554</v>
      </c>
      <c r="I40" s="249">
        <f>'Baseline-tilt up (3 pt)'!BJ40/1000000</f>
        <v>1.8430929871863482</v>
      </c>
      <c r="J40" s="249">
        <f>'Baseline-tilt up (3 pt)'!BP40/1000000</f>
        <v>0.54828842051783266</v>
      </c>
      <c r="K40" s="249">
        <f>'Baseline-tilt up (3 pt)'!BV40/1000000</f>
        <v>-0.81606237136655546</v>
      </c>
      <c r="L40" s="249">
        <f>'Baseline Given'!$B$21/1.67</f>
        <v>149.70059880239521</v>
      </c>
      <c r="N40" s="249" t="str">
        <f>'Alternative 1'!$F41</f>
        <v>x</v>
      </c>
      <c r="O40" s="249" t="e">
        <f>'Alternative 1-Tilt Up (3pt)'!$T40/1000000</f>
        <v>#VALUE!</v>
      </c>
      <c r="P40" s="249" t="e">
        <f>'Alternative 1-Tilt Up (3pt)'!$Z40/1000000</f>
        <v>#VALUE!</v>
      </c>
      <c r="Q40" s="249" t="e">
        <f>'Alternative 1-Tilt Up (3pt)'!$AF40/1000000</f>
        <v>#VALUE!</v>
      </c>
      <c r="R40" s="249" t="e">
        <f>'Alternative 1-Tilt Up (3pt)'!$AL40/1000000</f>
        <v>#VALUE!</v>
      </c>
      <c r="S40" s="249" t="e">
        <f>'Alternative 1-Tilt Up (3pt)'!$AR40/1000000</f>
        <v>#VALUE!</v>
      </c>
      <c r="T40" s="249" t="e">
        <f>'Alternative 1-Tilt Up (3pt)'!$AX40/1000000</f>
        <v>#VALUE!</v>
      </c>
      <c r="U40" s="249" t="e">
        <f>'Alternative 1-Tilt Up (3pt)'!$BD40/1000000</f>
        <v>#VALUE!</v>
      </c>
      <c r="V40" s="249" t="e">
        <f>'Alternative 1-Tilt Up (3pt)'!$BJ40/1000000</f>
        <v>#VALUE!</v>
      </c>
      <c r="W40" s="249" t="e">
        <f>'Alternative 1-Tilt Up (3pt)'!$BP40/1000000</f>
        <v>#VALUE!</v>
      </c>
      <c r="X40" s="249" t="e">
        <f>'Alternative 1-Tilt Up (3pt)'!$BV40/1000000</f>
        <v>#VALUE!</v>
      </c>
      <c r="Y40" s="249">
        <f>'Alternative 1'!$B$20/1.67</f>
        <v>149.70059880239521</v>
      </c>
      <c r="AA40" s="249" t="str">
        <f>'Alternative 2'!$F41</f>
        <v>x</v>
      </c>
      <c r="AB40" s="249" t="e">
        <f>'Alternative 2-Tilt Up (3pt)'!$T40/1000000</f>
        <v>#VALUE!</v>
      </c>
      <c r="AC40" s="249" t="e">
        <f>'Alternative 2-Tilt Up (3pt)'!$Z40/1000000</f>
        <v>#VALUE!</v>
      </c>
      <c r="AD40" s="249" t="e">
        <f>'Alternative 2-Tilt Up (3pt)'!$AF40/1000000</f>
        <v>#VALUE!</v>
      </c>
      <c r="AE40" s="249" t="e">
        <f>'Alternative 2-Tilt Up (3pt)'!$AL40/1000000</f>
        <v>#VALUE!</v>
      </c>
      <c r="AF40" s="249" t="e">
        <f>'Alternative 2-Tilt Up (3pt)'!$AR40/1000000</f>
        <v>#VALUE!</v>
      </c>
      <c r="AG40" s="249" t="e">
        <f>'Alternative 2-Tilt Up (3pt)'!$AX40/1000000</f>
        <v>#VALUE!</v>
      </c>
      <c r="AH40" s="249" t="e">
        <f>'Alternative 2-Tilt Up (3pt)'!$BD40/1000000</f>
        <v>#VALUE!</v>
      </c>
      <c r="AI40" s="249" t="e">
        <f>'Alternative 2-Tilt Up (3pt)'!$BJ40/1000000</f>
        <v>#VALUE!</v>
      </c>
      <c r="AJ40" s="249" t="e">
        <f>'Alternative 2-Tilt Up (3pt)'!$BP40/1000000</f>
        <v>#VALUE!</v>
      </c>
      <c r="AK40" s="249" t="e">
        <f>'Alternative 2-Tilt Up (3pt)'!$BV40/1000000</f>
        <v>#VALUE!</v>
      </c>
      <c r="AL40" s="249">
        <f>'Alternative 2'!$B$20/1.67</f>
        <v>149.70059880239521</v>
      </c>
      <c r="AN40" s="249" t="str">
        <f>'Alternative 3'!$F41</f>
        <v>x</v>
      </c>
      <c r="AO40" s="249" t="e">
        <f>'Alternative 3-Tilt Up (3pt)'!$T40/1000000</f>
        <v>#VALUE!</v>
      </c>
      <c r="AP40" s="249" t="e">
        <f>'Alternative 3-Tilt Up (3pt)'!$Z40/1000000</f>
        <v>#VALUE!</v>
      </c>
      <c r="AQ40" s="249" t="e">
        <f>'Alternative 3-Tilt Up (3pt)'!$AF40/1000000</f>
        <v>#VALUE!</v>
      </c>
      <c r="AR40" s="249" t="e">
        <f>'Alternative 3-Tilt Up (3pt)'!$AL40/1000000</f>
        <v>#VALUE!</v>
      </c>
      <c r="AS40" s="249" t="e">
        <f>'Alternative 3-Tilt Up (3pt)'!$AR40/1000000</f>
        <v>#VALUE!</v>
      </c>
      <c r="AT40" s="249" t="e">
        <f>'Alternative 3-Tilt Up (3pt)'!$AX40/1000000</f>
        <v>#VALUE!</v>
      </c>
      <c r="AU40" s="249" t="e">
        <f>'Alternative 3-Tilt Up (3pt)'!$BD40/1000000</f>
        <v>#VALUE!</v>
      </c>
      <c r="AV40" s="249" t="e">
        <f>'Alternative 3-Tilt Up (3pt)'!$BJ40/1000000</f>
        <v>#VALUE!</v>
      </c>
      <c r="AW40" s="249" t="e">
        <f>'Alternative 3-Tilt Up (3pt)'!$BP40/1000000</f>
        <v>#VALUE!</v>
      </c>
      <c r="AX40" s="249" t="e">
        <f>'Alternative 3-Tilt Up (3pt)'!$BV40/1000000</f>
        <v>#VALUE!</v>
      </c>
      <c r="AY40" s="249">
        <f>'Alternative 3'!$B$20/1.67</f>
        <v>149.70059880239521</v>
      </c>
    </row>
    <row r="41" spans="1:51" x14ac:dyDescent="0.25">
      <c r="A41" s="249">
        <f>'Baseline Given'!E42</f>
        <v>39</v>
      </c>
      <c r="B41" s="249">
        <f>'Baseline-tilt up (3 pt)'!T41/1000000</f>
        <v>9.4878259202157285</v>
      </c>
      <c r="C41" s="249">
        <f>'Baseline-tilt up (3 pt)'!Z41/1000000</f>
        <v>4.6574970981610377</v>
      </c>
      <c r="D41" s="249">
        <f>'Baseline-tilt up (3 pt)'!AF41/1000000</f>
        <v>6.6666396780150432</v>
      </c>
      <c r="E41" s="249">
        <f>'Baseline-tilt up (3 pt)'!AL41/1000000</f>
        <v>6.7077677423407289</v>
      </c>
      <c r="F41" s="249">
        <f>'Baseline-tilt up (3 pt)'!AR41/1000000</f>
        <v>6.1062332138088937</v>
      </c>
      <c r="G41" s="249">
        <f>'Baseline-tilt up (3 pt)'!AX41/1000000</f>
        <v>5.1298516726821166</v>
      </c>
      <c r="H41" s="249">
        <f>'Baseline-tilt up (3 pt)'!BD41/1000000</f>
        <v>3.8905281291442559</v>
      </c>
      <c r="I41" s="249">
        <f>'Baseline-tilt up (3 pt)'!BJ41/1000000</f>
        <v>2.4608149446758443</v>
      </c>
      <c r="J41" s="249">
        <f>'Baseline-tilt up (3 pt)'!BP41/1000000</f>
        <v>0.9008382200559143</v>
      </c>
      <c r="K41" s="249">
        <f>'Baseline-tilt up (3 pt)'!BV41/1000000</f>
        <v>-0.73408398304413236</v>
      </c>
      <c r="L41" s="249">
        <f>'Baseline Given'!$B$21/1.67</f>
        <v>149.70059880239521</v>
      </c>
      <c r="N41" s="249" t="str">
        <f>'Alternative 1'!$F42</f>
        <v>x</v>
      </c>
      <c r="O41" s="249" t="e">
        <f>'Alternative 1-Tilt Up (3pt)'!$T41/1000000</f>
        <v>#VALUE!</v>
      </c>
      <c r="P41" s="249" t="e">
        <f>'Alternative 1-Tilt Up (3pt)'!$Z41/1000000</f>
        <v>#VALUE!</v>
      </c>
      <c r="Q41" s="249" t="e">
        <f>'Alternative 1-Tilt Up (3pt)'!$AF41/1000000</f>
        <v>#VALUE!</v>
      </c>
      <c r="R41" s="249" t="e">
        <f>'Alternative 1-Tilt Up (3pt)'!$AL41/1000000</f>
        <v>#VALUE!</v>
      </c>
      <c r="S41" s="249" t="e">
        <f>'Alternative 1-Tilt Up (3pt)'!$AR41/1000000</f>
        <v>#VALUE!</v>
      </c>
      <c r="T41" s="249" t="e">
        <f>'Alternative 1-Tilt Up (3pt)'!$AX41/1000000</f>
        <v>#VALUE!</v>
      </c>
      <c r="U41" s="249" t="e">
        <f>'Alternative 1-Tilt Up (3pt)'!$BD41/1000000</f>
        <v>#VALUE!</v>
      </c>
      <c r="V41" s="249" t="e">
        <f>'Alternative 1-Tilt Up (3pt)'!$BJ41/1000000</f>
        <v>#VALUE!</v>
      </c>
      <c r="W41" s="249" t="e">
        <f>'Alternative 1-Tilt Up (3pt)'!$BP41/1000000</f>
        <v>#VALUE!</v>
      </c>
      <c r="X41" s="249" t="e">
        <f>'Alternative 1-Tilt Up (3pt)'!$BV41/1000000</f>
        <v>#VALUE!</v>
      </c>
      <c r="Y41" s="249">
        <f>'Alternative 1'!$B$20/1.67</f>
        <v>149.70059880239521</v>
      </c>
      <c r="AA41" s="249" t="str">
        <f>'Alternative 2'!$F42</f>
        <v>x</v>
      </c>
      <c r="AB41" s="249" t="e">
        <f>'Alternative 2-Tilt Up (3pt)'!$T41/1000000</f>
        <v>#VALUE!</v>
      </c>
      <c r="AC41" s="249" t="e">
        <f>'Alternative 2-Tilt Up (3pt)'!$Z41/1000000</f>
        <v>#VALUE!</v>
      </c>
      <c r="AD41" s="249" t="e">
        <f>'Alternative 2-Tilt Up (3pt)'!$AF41/1000000</f>
        <v>#VALUE!</v>
      </c>
      <c r="AE41" s="249" t="e">
        <f>'Alternative 2-Tilt Up (3pt)'!$AL41/1000000</f>
        <v>#VALUE!</v>
      </c>
      <c r="AF41" s="249" t="e">
        <f>'Alternative 2-Tilt Up (3pt)'!$AR41/1000000</f>
        <v>#VALUE!</v>
      </c>
      <c r="AG41" s="249" t="e">
        <f>'Alternative 2-Tilt Up (3pt)'!$AX41/1000000</f>
        <v>#VALUE!</v>
      </c>
      <c r="AH41" s="249" t="e">
        <f>'Alternative 2-Tilt Up (3pt)'!$BD41/1000000</f>
        <v>#VALUE!</v>
      </c>
      <c r="AI41" s="249" t="e">
        <f>'Alternative 2-Tilt Up (3pt)'!$BJ41/1000000</f>
        <v>#VALUE!</v>
      </c>
      <c r="AJ41" s="249" t="e">
        <f>'Alternative 2-Tilt Up (3pt)'!$BP41/1000000</f>
        <v>#VALUE!</v>
      </c>
      <c r="AK41" s="249" t="e">
        <f>'Alternative 2-Tilt Up (3pt)'!$BV41/1000000</f>
        <v>#VALUE!</v>
      </c>
      <c r="AL41" s="249">
        <f>'Alternative 2'!$B$20/1.67</f>
        <v>149.70059880239521</v>
      </c>
      <c r="AN41" s="249" t="str">
        <f>'Alternative 3'!$F42</f>
        <v>x</v>
      </c>
      <c r="AO41" s="249" t="e">
        <f>'Alternative 3-Tilt Up (3pt)'!$T41/1000000</f>
        <v>#VALUE!</v>
      </c>
      <c r="AP41" s="249" t="e">
        <f>'Alternative 3-Tilt Up (3pt)'!$Z41/1000000</f>
        <v>#VALUE!</v>
      </c>
      <c r="AQ41" s="249" t="e">
        <f>'Alternative 3-Tilt Up (3pt)'!$AF41/1000000</f>
        <v>#VALUE!</v>
      </c>
      <c r="AR41" s="249" t="e">
        <f>'Alternative 3-Tilt Up (3pt)'!$AL41/1000000</f>
        <v>#VALUE!</v>
      </c>
      <c r="AS41" s="249" t="e">
        <f>'Alternative 3-Tilt Up (3pt)'!$AR41/1000000</f>
        <v>#VALUE!</v>
      </c>
      <c r="AT41" s="249" t="e">
        <f>'Alternative 3-Tilt Up (3pt)'!$AX41/1000000</f>
        <v>#VALUE!</v>
      </c>
      <c r="AU41" s="249" t="e">
        <f>'Alternative 3-Tilt Up (3pt)'!$BD41/1000000</f>
        <v>#VALUE!</v>
      </c>
      <c r="AV41" s="249" t="e">
        <f>'Alternative 3-Tilt Up (3pt)'!$BJ41/1000000</f>
        <v>#VALUE!</v>
      </c>
      <c r="AW41" s="249" t="e">
        <f>'Alternative 3-Tilt Up (3pt)'!$BP41/1000000</f>
        <v>#VALUE!</v>
      </c>
      <c r="AX41" s="249" t="e">
        <f>'Alternative 3-Tilt Up (3pt)'!$BV41/1000000</f>
        <v>#VALUE!</v>
      </c>
      <c r="AY41" s="249">
        <f>'Alternative 3'!$B$20/1.67</f>
        <v>149.70059880239521</v>
      </c>
    </row>
    <row r="42" spans="1:51" x14ac:dyDescent="0.25">
      <c r="A42" s="249">
        <f>'Baseline Given'!E43</f>
        <v>40</v>
      </c>
      <c r="B42" s="249">
        <f>'Baseline-tilt up (3 pt)'!T42/1000000</f>
        <v>11.186653980117542</v>
      </c>
      <c r="C42" s="249">
        <f>'Baseline-tilt up (3 pt)'!Z42/1000000</f>
        <v>6.864567713858964</v>
      </c>
      <c r="D42" s="249">
        <f>'Baseline-tilt up (3 pt)'!AF42/1000000</f>
        <v>8.5201090164228379</v>
      </c>
      <c r="E42" s="249">
        <f>'Baseline-tilt up (3 pt)'!AL42/1000000</f>
        <v>8.35188718487335</v>
      </c>
      <c r="F42" s="249">
        <f>'Baseline-tilt up (3 pt)'!AR42/1000000</f>
        <v>7.5409036070946556</v>
      </c>
      <c r="G42" s="249">
        <f>'Baseline-tilt up (3 pt)'!AX42/1000000</f>
        <v>6.3329885174248615</v>
      </c>
      <c r="H42" s="249">
        <f>'Baseline-tilt up (3 pt)'!BD42/1000000</f>
        <v>4.8377391075286464</v>
      </c>
      <c r="I42" s="249">
        <f>'Baseline-tilt up (3 pt)'!BJ42/1000000</f>
        <v>3.1315194628527943</v>
      </c>
      <c r="J42" s="249">
        <f>'Baseline-tilt up (3 pt)'!BP42/1000000</f>
        <v>1.2809616577170335</v>
      </c>
      <c r="K42" s="249">
        <f>'Baseline-tilt up (3 pt)'!BV42/1000000</f>
        <v>-0.65068673800074428</v>
      </c>
      <c r="L42" s="249">
        <f>'Baseline Given'!$B$21/1.67</f>
        <v>149.70059880239521</v>
      </c>
      <c r="N42" s="249" t="str">
        <f>'Alternative 1'!$F43</f>
        <v>x</v>
      </c>
      <c r="O42" s="249" t="e">
        <f>'Alternative 1-Tilt Up (3pt)'!$T42/1000000</f>
        <v>#VALUE!</v>
      </c>
      <c r="P42" s="249" t="e">
        <f>'Alternative 1-Tilt Up (3pt)'!$Z42/1000000</f>
        <v>#VALUE!</v>
      </c>
      <c r="Q42" s="249" t="e">
        <f>'Alternative 1-Tilt Up (3pt)'!$AF42/1000000</f>
        <v>#VALUE!</v>
      </c>
      <c r="R42" s="249" t="e">
        <f>'Alternative 1-Tilt Up (3pt)'!$AL42/1000000</f>
        <v>#VALUE!</v>
      </c>
      <c r="S42" s="249" t="e">
        <f>'Alternative 1-Tilt Up (3pt)'!$AR42/1000000</f>
        <v>#VALUE!</v>
      </c>
      <c r="T42" s="249" t="e">
        <f>'Alternative 1-Tilt Up (3pt)'!$AX42/1000000</f>
        <v>#VALUE!</v>
      </c>
      <c r="U42" s="249" t="e">
        <f>'Alternative 1-Tilt Up (3pt)'!$BD42/1000000</f>
        <v>#VALUE!</v>
      </c>
      <c r="V42" s="249" t="e">
        <f>'Alternative 1-Tilt Up (3pt)'!$BJ42/1000000</f>
        <v>#VALUE!</v>
      </c>
      <c r="W42" s="249" t="e">
        <f>'Alternative 1-Tilt Up (3pt)'!$BP42/1000000</f>
        <v>#VALUE!</v>
      </c>
      <c r="X42" s="249" t="e">
        <f>'Alternative 1-Tilt Up (3pt)'!$BV42/1000000</f>
        <v>#VALUE!</v>
      </c>
      <c r="Y42" s="249">
        <f>'Alternative 1'!$B$20/1.67</f>
        <v>149.70059880239521</v>
      </c>
      <c r="AA42" s="249" t="str">
        <f>'Alternative 2'!$F43</f>
        <v>x</v>
      </c>
      <c r="AB42" s="249" t="e">
        <f>'Alternative 2-Tilt Up (3pt)'!$T42/1000000</f>
        <v>#VALUE!</v>
      </c>
      <c r="AC42" s="249" t="e">
        <f>'Alternative 2-Tilt Up (3pt)'!$Z42/1000000</f>
        <v>#VALUE!</v>
      </c>
      <c r="AD42" s="249" t="e">
        <f>'Alternative 2-Tilt Up (3pt)'!$AF42/1000000</f>
        <v>#VALUE!</v>
      </c>
      <c r="AE42" s="249" t="e">
        <f>'Alternative 2-Tilt Up (3pt)'!$AL42/1000000</f>
        <v>#VALUE!</v>
      </c>
      <c r="AF42" s="249" t="e">
        <f>'Alternative 2-Tilt Up (3pt)'!$AR42/1000000</f>
        <v>#VALUE!</v>
      </c>
      <c r="AG42" s="249" t="e">
        <f>'Alternative 2-Tilt Up (3pt)'!$AX42/1000000</f>
        <v>#VALUE!</v>
      </c>
      <c r="AH42" s="249" t="e">
        <f>'Alternative 2-Tilt Up (3pt)'!$BD42/1000000</f>
        <v>#VALUE!</v>
      </c>
      <c r="AI42" s="249" t="e">
        <f>'Alternative 2-Tilt Up (3pt)'!$BJ42/1000000</f>
        <v>#VALUE!</v>
      </c>
      <c r="AJ42" s="249" t="e">
        <f>'Alternative 2-Tilt Up (3pt)'!$BP42/1000000</f>
        <v>#VALUE!</v>
      </c>
      <c r="AK42" s="249" t="e">
        <f>'Alternative 2-Tilt Up (3pt)'!$BV42/1000000</f>
        <v>#VALUE!</v>
      </c>
      <c r="AL42" s="249">
        <f>'Alternative 2'!$B$20/1.67</f>
        <v>149.70059880239521</v>
      </c>
      <c r="AN42" s="249" t="str">
        <f>'Alternative 3'!$F43</f>
        <v>x</v>
      </c>
      <c r="AO42" s="249" t="e">
        <f>'Alternative 3-Tilt Up (3pt)'!$T42/1000000</f>
        <v>#VALUE!</v>
      </c>
      <c r="AP42" s="249" t="e">
        <f>'Alternative 3-Tilt Up (3pt)'!$Z42/1000000</f>
        <v>#VALUE!</v>
      </c>
      <c r="AQ42" s="249" t="e">
        <f>'Alternative 3-Tilt Up (3pt)'!$AF42/1000000</f>
        <v>#VALUE!</v>
      </c>
      <c r="AR42" s="249" t="e">
        <f>'Alternative 3-Tilt Up (3pt)'!$AL42/1000000</f>
        <v>#VALUE!</v>
      </c>
      <c r="AS42" s="249" t="e">
        <f>'Alternative 3-Tilt Up (3pt)'!$AR42/1000000</f>
        <v>#VALUE!</v>
      </c>
      <c r="AT42" s="249" t="e">
        <f>'Alternative 3-Tilt Up (3pt)'!$AX42/1000000</f>
        <v>#VALUE!</v>
      </c>
      <c r="AU42" s="249" t="e">
        <f>'Alternative 3-Tilt Up (3pt)'!$BD42/1000000</f>
        <v>#VALUE!</v>
      </c>
      <c r="AV42" s="249" t="e">
        <f>'Alternative 3-Tilt Up (3pt)'!$BJ42/1000000</f>
        <v>#VALUE!</v>
      </c>
      <c r="AW42" s="249" t="e">
        <f>'Alternative 3-Tilt Up (3pt)'!$BP42/1000000</f>
        <v>#VALUE!</v>
      </c>
      <c r="AX42" s="249" t="e">
        <f>'Alternative 3-Tilt Up (3pt)'!$BV42/1000000</f>
        <v>#VALUE!</v>
      </c>
      <c r="AY42" s="249">
        <f>'Alternative 3'!$B$20/1.67</f>
        <v>149.70059880239521</v>
      </c>
    </row>
    <row r="43" spans="1:51" x14ac:dyDescent="0.25">
      <c r="A43" s="249">
        <f>'Baseline Given'!E44</f>
        <v>41</v>
      </c>
      <c r="B43" s="249">
        <f>'Baseline-tilt up (3 pt)'!T43/1000000</f>
        <v>12.391859551723998</v>
      </c>
      <c r="C43" s="249">
        <f>'Baseline-tilt up (3 pt)'!Z43/1000000</f>
        <v>8.5221945830448256</v>
      </c>
      <c r="D43" s="249">
        <f>'Baseline-tilt up (3 pt)'!AF43/1000000</f>
        <v>9.8791592877654111</v>
      </c>
      <c r="E43" s="249">
        <f>'Baseline-tilt up (3 pt)'!AL43/1000000</f>
        <v>9.5479203040325835</v>
      </c>
      <c r="F43" s="249">
        <f>'Baseline-tilt up (3 pt)'!AR43/1000000</f>
        <v>8.5815403946882878</v>
      </c>
      <c r="G43" s="249">
        <f>'Baseline-tilt up (3 pt)'!AX43/1000000</f>
        <v>7.2055740309670577</v>
      </c>
      <c r="H43" s="249">
        <f>'Baseline-tilt up (3 pt)'!BD43/1000000</f>
        <v>5.5264863813146441</v>
      </c>
      <c r="I43" s="249">
        <f>'Baseline-tilt up (3 pt)'!BJ43/1000000</f>
        <v>3.6227316549716275</v>
      </c>
      <c r="J43" s="249">
        <f>'Baseline-tilt up (3 pt)'!BP43/1000000</f>
        <v>1.56527251718738</v>
      </c>
      <c r="K43" s="249">
        <f>'Baseline-tilt up (3 pt)'!BV43/1000000</f>
        <v>-0.57715014855947466</v>
      </c>
      <c r="L43" s="249">
        <f>'Baseline Given'!$B$21/1.67</f>
        <v>149.70059880239521</v>
      </c>
      <c r="N43" s="249" t="str">
        <f>'Alternative 1'!$F44</f>
        <v>x</v>
      </c>
      <c r="O43" s="249" t="e">
        <f>'Alternative 1-Tilt Up (3pt)'!$T43/1000000</f>
        <v>#VALUE!</v>
      </c>
      <c r="P43" s="249" t="e">
        <f>'Alternative 1-Tilt Up (3pt)'!$Z43/1000000</f>
        <v>#VALUE!</v>
      </c>
      <c r="Q43" s="249" t="e">
        <f>'Alternative 1-Tilt Up (3pt)'!$AF43/1000000</f>
        <v>#VALUE!</v>
      </c>
      <c r="R43" s="249" t="e">
        <f>'Alternative 1-Tilt Up (3pt)'!$AL43/1000000</f>
        <v>#VALUE!</v>
      </c>
      <c r="S43" s="249" t="e">
        <f>'Alternative 1-Tilt Up (3pt)'!$AR43/1000000</f>
        <v>#VALUE!</v>
      </c>
      <c r="T43" s="249" t="e">
        <f>'Alternative 1-Tilt Up (3pt)'!$AX43/1000000</f>
        <v>#VALUE!</v>
      </c>
      <c r="U43" s="249" t="e">
        <f>'Alternative 1-Tilt Up (3pt)'!$BD43/1000000</f>
        <v>#VALUE!</v>
      </c>
      <c r="V43" s="249" t="e">
        <f>'Alternative 1-Tilt Up (3pt)'!$BJ43/1000000</f>
        <v>#VALUE!</v>
      </c>
      <c r="W43" s="249" t="e">
        <f>'Alternative 1-Tilt Up (3pt)'!$BP43/1000000</f>
        <v>#VALUE!</v>
      </c>
      <c r="X43" s="249" t="e">
        <f>'Alternative 1-Tilt Up (3pt)'!$BV43/1000000</f>
        <v>#VALUE!</v>
      </c>
      <c r="Y43" s="249">
        <f>'Alternative 1'!$B$20/1.67</f>
        <v>149.70059880239521</v>
      </c>
      <c r="AA43" s="249" t="str">
        <f>'Alternative 2'!$F44</f>
        <v>x</v>
      </c>
      <c r="AB43" s="249" t="e">
        <f>'Alternative 2-Tilt Up (3pt)'!$T43/1000000</f>
        <v>#VALUE!</v>
      </c>
      <c r="AC43" s="249" t="e">
        <f>'Alternative 2-Tilt Up (3pt)'!$Z43/1000000</f>
        <v>#VALUE!</v>
      </c>
      <c r="AD43" s="249" t="e">
        <f>'Alternative 2-Tilt Up (3pt)'!$AF43/1000000</f>
        <v>#VALUE!</v>
      </c>
      <c r="AE43" s="249" t="e">
        <f>'Alternative 2-Tilt Up (3pt)'!$AL43/1000000</f>
        <v>#VALUE!</v>
      </c>
      <c r="AF43" s="249" t="e">
        <f>'Alternative 2-Tilt Up (3pt)'!$AR43/1000000</f>
        <v>#VALUE!</v>
      </c>
      <c r="AG43" s="249" t="e">
        <f>'Alternative 2-Tilt Up (3pt)'!$AX43/1000000</f>
        <v>#VALUE!</v>
      </c>
      <c r="AH43" s="249" t="e">
        <f>'Alternative 2-Tilt Up (3pt)'!$BD43/1000000</f>
        <v>#VALUE!</v>
      </c>
      <c r="AI43" s="249" t="e">
        <f>'Alternative 2-Tilt Up (3pt)'!$BJ43/1000000</f>
        <v>#VALUE!</v>
      </c>
      <c r="AJ43" s="249" t="e">
        <f>'Alternative 2-Tilt Up (3pt)'!$BP43/1000000</f>
        <v>#VALUE!</v>
      </c>
      <c r="AK43" s="249" t="e">
        <f>'Alternative 2-Tilt Up (3pt)'!$BV43/1000000</f>
        <v>#VALUE!</v>
      </c>
      <c r="AL43" s="249">
        <f>'Alternative 2'!$B$20/1.67</f>
        <v>149.70059880239521</v>
      </c>
      <c r="AN43" s="249" t="str">
        <f>'Alternative 3'!$F44</f>
        <v>x</v>
      </c>
      <c r="AO43" s="249" t="e">
        <f>'Alternative 3-Tilt Up (3pt)'!$T43/1000000</f>
        <v>#VALUE!</v>
      </c>
      <c r="AP43" s="249" t="e">
        <f>'Alternative 3-Tilt Up (3pt)'!$Z43/1000000</f>
        <v>#VALUE!</v>
      </c>
      <c r="AQ43" s="249" t="e">
        <f>'Alternative 3-Tilt Up (3pt)'!$AF43/1000000</f>
        <v>#VALUE!</v>
      </c>
      <c r="AR43" s="249" t="e">
        <f>'Alternative 3-Tilt Up (3pt)'!$AL43/1000000</f>
        <v>#VALUE!</v>
      </c>
      <c r="AS43" s="249" t="e">
        <f>'Alternative 3-Tilt Up (3pt)'!$AR43/1000000</f>
        <v>#VALUE!</v>
      </c>
      <c r="AT43" s="249" t="e">
        <f>'Alternative 3-Tilt Up (3pt)'!$AX43/1000000</f>
        <v>#VALUE!</v>
      </c>
      <c r="AU43" s="249" t="e">
        <f>'Alternative 3-Tilt Up (3pt)'!$BD43/1000000</f>
        <v>#VALUE!</v>
      </c>
      <c r="AV43" s="249" t="e">
        <f>'Alternative 3-Tilt Up (3pt)'!$BJ43/1000000</f>
        <v>#VALUE!</v>
      </c>
      <c r="AW43" s="249" t="e">
        <f>'Alternative 3-Tilt Up (3pt)'!$BP43/1000000</f>
        <v>#VALUE!</v>
      </c>
      <c r="AX43" s="249" t="e">
        <f>'Alternative 3-Tilt Up (3pt)'!$BV43/1000000</f>
        <v>#VALUE!</v>
      </c>
      <c r="AY43" s="249">
        <f>'Alternative 3'!$B$20/1.67</f>
        <v>149.70059880239521</v>
      </c>
    </row>
    <row r="44" spans="1:51" x14ac:dyDescent="0.25">
      <c r="A44" s="249">
        <f>'Baseline Given'!E45</f>
        <v>42</v>
      </c>
      <c r="B44" s="249">
        <f>'Baseline-tilt up (3 pt)'!T44/1000000</f>
        <v>11.783116688380908</v>
      </c>
      <c r="C44" s="249">
        <f>'Baseline-tilt up (3 pt)'!Z44/1000000</f>
        <v>8.1817184396315454</v>
      </c>
      <c r="D44" s="249">
        <f>'Baseline-tilt up (3 pt)'!AF44/1000000</f>
        <v>9.4314126055760639</v>
      </c>
      <c r="E44" s="249">
        <f>'Baseline-tilt up (3 pt)'!AL44/1000000</f>
        <v>9.1041081063286438</v>
      </c>
      <c r="F44" s="249">
        <f>'Baseline-tilt up (3 pt)'!AR44/1000000</f>
        <v>8.1794089047466407</v>
      </c>
      <c r="G44" s="249">
        <f>'Baseline-tilt up (3 pt)'!AX44/1000000</f>
        <v>6.8678076625840978</v>
      </c>
      <c r="H44" s="249">
        <f>'Baseline-tilt up (3 pt)'!BD44/1000000</f>
        <v>5.2692674292032224</v>
      </c>
      <c r="I44" s="249">
        <f>'Baseline-tilt up (3 pt)'!BJ44/1000000</f>
        <v>3.4578658384980452</v>
      </c>
      <c r="J44" s="249">
        <f>'Baseline-tilt up (3 pt)'!BP44/1000000</f>
        <v>1.5008370468927161</v>
      </c>
      <c r="K44" s="249">
        <f>'Baseline-tilt up (3 pt)'!BV44/1000000</f>
        <v>-0.53656737555631917</v>
      </c>
      <c r="L44" s="249">
        <f>'Baseline Given'!$B$21/1.67</f>
        <v>149.70059880239521</v>
      </c>
      <c r="N44" s="249" t="str">
        <f>'Alternative 1'!$F45</f>
        <v>x</v>
      </c>
      <c r="O44" s="249" t="e">
        <f>'Alternative 1-Tilt Up (3pt)'!$T44/1000000</f>
        <v>#VALUE!</v>
      </c>
      <c r="P44" s="249" t="e">
        <f>'Alternative 1-Tilt Up (3pt)'!$Z44/1000000</f>
        <v>#VALUE!</v>
      </c>
      <c r="Q44" s="249" t="e">
        <f>'Alternative 1-Tilt Up (3pt)'!$AF44/1000000</f>
        <v>#VALUE!</v>
      </c>
      <c r="R44" s="249" t="e">
        <f>'Alternative 1-Tilt Up (3pt)'!$AL44/1000000</f>
        <v>#VALUE!</v>
      </c>
      <c r="S44" s="249" t="e">
        <f>'Alternative 1-Tilt Up (3pt)'!$AR44/1000000</f>
        <v>#VALUE!</v>
      </c>
      <c r="T44" s="249" t="e">
        <f>'Alternative 1-Tilt Up (3pt)'!$AX44/1000000</f>
        <v>#VALUE!</v>
      </c>
      <c r="U44" s="249" t="e">
        <f>'Alternative 1-Tilt Up (3pt)'!$BD44/1000000</f>
        <v>#VALUE!</v>
      </c>
      <c r="V44" s="249" t="e">
        <f>'Alternative 1-Tilt Up (3pt)'!$BJ44/1000000</f>
        <v>#VALUE!</v>
      </c>
      <c r="W44" s="249" t="e">
        <f>'Alternative 1-Tilt Up (3pt)'!$BP44/1000000</f>
        <v>#VALUE!</v>
      </c>
      <c r="X44" s="249" t="e">
        <f>'Alternative 1-Tilt Up (3pt)'!$BV44/1000000</f>
        <v>#VALUE!</v>
      </c>
      <c r="Y44" s="249">
        <f>'Alternative 1'!$B$20/1.67</f>
        <v>149.70059880239521</v>
      </c>
      <c r="AA44" s="249" t="str">
        <f>'Alternative 2'!$F45</f>
        <v>x</v>
      </c>
      <c r="AB44" s="249" t="e">
        <f>'Alternative 2-Tilt Up (3pt)'!$T44/1000000</f>
        <v>#VALUE!</v>
      </c>
      <c r="AC44" s="249" t="e">
        <f>'Alternative 2-Tilt Up (3pt)'!$Z44/1000000</f>
        <v>#VALUE!</v>
      </c>
      <c r="AD44" s="249" t="e">
        <f>'Alternative 2-Tilt Up (3pt)'!$AF44/1000000</f>
        <v>#VALUE!</v>
      </c>
      <c r="AE44" s="249" t="e">
        <f>'Alternative 2-Tilt Up (3pt)'!$AL44/1000000</f>
        <v>#VALUE!</v>
      </c>
      <c r="AF44" s="249" t="e">
        <f>'Alternative 2-Tilt Up (3pt)'!$AR44/1000000</f>
        <v>#VALUE!</v>
      </c>
      <c r="AG44" s="249" t="e">
        <f>'Alternative 2-Tilt Up (3pt)'!$AX44/1000000</f>
        <v>#VALUE!</v>
      </c>
      <c r="AH44" s="249" t="e">
        <f>'Alternative 2-Tilt Up (3pt)'!$BD44/1000000</f>
        <v>#VALUE!</v>
      </c>
      <c r="AI44" s="249" t="e">
        <f>'Alternative 2-Tilt Up (3pt)'!$BJ44/1000000</f>
        <v>#VALUE!</v>
      </c>
      <c r="AJ44" s="249" t="e">
        <f>'Alternative 2-Tilt Up (3pt)'!$BP44/1000000</f>
        <v>#VALUE!</v>
      </c>
      <c r="AK44" s="249" t="e">
        <f>'Alternative 2-Tilt Up (3pt)'!$BV44/1000000</f>
        <v>#VALUE!</v>
      </c>
      <c r="AL44" s="249">
        <f>'Alternative 2'!$B$20/1.67</f>
        <v>149.70059880239521</v>
      </c>
      <c r="AN44" s="249" t="str">
        <f>'Alternative 3'!$F45</f>
        <v>x</v>
      </c>
      <c r="AO44" s="249" t="e">
        <f>'Alternative 3-Tilt Up (3pt)'!$T44/1000000</f>
        <v>#VALUE!</v>
      </c>
      <c r="AP44" s="249" t="e">
        <f>'Alternative 3-Tilt Up (3pt)'!$Z44/1000000</f>
        <v>#VALUE!</v>
      </c>
      <c r="AQ44" s="249" t="e">
        <f>'Alternative 3-Tilt Up (3pt)'!$AF44/1000000</f>
        <v>#VALUE!</v>
      </c>
      <c r="AR44" s="249" t="e">
        <f>'Alternative 3-Tilt Up (3pt)'!$AL44/1000000</f>
        <v>#VALUE!</v>
      </c>
      <c r="AS44" s="249" t="e">
        <f>'Alternative 3-Tilt Up (3pt)'!$AR44/1000000</f>
        <v>#VALUE!</v>
      </c>
      <c r="AT44" s="249" t="e">
        <f>'Alternative 3-Tilt Up (3pt)'!$AX44/1000000</f>
        <v>#VALUE!</v>
      </c>
      <c r="AU44" s="249" t="e">
        <f>'Alternative 3-Tilt Up (3pt)'!$BD44/1000000</f>
        <v>#VALUE!</v>
      </c>
      <c r="AV44" s="249" t="e">
        <f>'Alternative 3-Tilt Up (3pt)'!$BJ44/1000000</f>
        <v>#VALUE!</v>
      </c>
      <c r="AW44" s="249" t="e">
        <f>'Alternative 3-Tilt Up (3pt)'!$BP44/1000000</f>
        <v>#VALUE!</v>
      </c>
      <c r="AX44" s="249" t="e">
        <f>'Alternative 3-Tilt Up (3pt)'!$BV44/1000000</f>
        <v>#VALUE!</v>
      </c>
      <c r="AY44" s="249">
        <f>'Alternative 3'!$B$20/1.67</f>
        <v>149.70059880239521</v>
      </c>
    </row>
    <row r="45" spans="1:51" x14ac:dyDescent="0.25">
      <c r="A45" s="249">
        <f>'Baseline Given'!E46</f>
        <v>43</v>
      </c>
      <c r="B45" s="249">
        <f>'Baseline-tilt up (3 pt)'!T45/1000000</f>
        <v>11.290426730365942</v>
      </c>
      <c r="C45" s="249">
        <f>'Baseline-tilt up (3 pt)'!Z45/1000000</f>
        <v>7.9602107563116888</v>
      </c>
      <c r="D45" s="249">
        <f>'Baseline-tilt up (3 pt)'!AF45/1000000</f>
        <v>9.0950010626405557</v>
      </c>
      <c r="E45" s="249">
        <f>'Baseline-tilt up (3 pt)'!AL45/1000000</f>
        <v>8.7623491281562984</v>
      </c>
      <c r="F45" s="249">
        <f>'Baseline-tilt up (3 pt)'!AR45/1000000</f>
        <v>7.8673789767677897</v>
      </c>
      <c r="G45" s="249">
        <f>'Baseline-tilt up (3 pt)'!AX45/1000000</f>
        <v>6.6056394759830139</v>
      </c>
      <c r="H45" s="249">
        <f>'Baseline-tilt up (3 pt)'!BD45/1000000</f>
        <v>5.0709514486434903</v>
      </c>
      <c r="I45" s="249">
        <f>'Baseline-tilt up (3 pt)'!BJ45/1000000</f>
        <v>3.3334889491553743</v>
      </c>
      <c r="J45" s="249">
        <f>'Baseline-tilt up (3 pt)'!BP45/1000000</f>
        <v>1.4573007363127302</v>
      </c>
      <c r="K45" s="249">
        <f>'Baseline-tilt up (3 pt)'!BV45/1000000</f>
        <v>-0.49526348713948448</v>
      </c>
      <c r="L45" s="249">
        <f>'Baseline Given'!$B$21/1.67</f>
        <v>149.70059880239521</v>
      </c>
      <c r="N45" s="249" t="str">
        <f>'Alternative 1'!$F46</f>
        <v>x</v>
      </c>
      <c r="O45" s="249" t="e">
        <f>'Alternative 1-Tilt Up (3pt)'!$T45/1000000</f>
        <v>#VALUE!</v>
      </c>
      <c r="P45" s="249" t="e">
        <f>'Alternative 1-Tilt Up (3pt)'!$Z45/1000000</f>
        <v>#VALUE!</v>
      </c>
      <c r="Q45" s="249" t="e">
        <f>'Alternative 1-Tilt Up (3pt)'!$AF45/1000000</f>
        <v>#VALUE!</v>
      </c>
      <c r="R45" s="249" t="e">
        <f>'Alternative 1-Tilt Up (3pt)'!$AL45/1000000</f>
        <v>#VALUE!</v>
      </c>
      <c r="S45" s="249" t="e">
        <f>'Alternative 1-Tilt Up (3pt)'!$AR45/1000000</f>
        <v>#VALUE!</v>
      </c>
      <c r="T45" s="249" t="e">
        <f>'Alternative 1-Tilt Up (3pt)'!$AX45/1000000</f>
        <v>#VALUE!</v>
      </c>
      <c r="U45" s="249" t="e">
        <f>'Alternative 1-Tilt Up (3pt)'!$BD45/1000000</f>
        <v>#VALUE!</v>
      </c>
      <c r="V45" s="249" t="e">
        <f>'Alternative 1-Tilt Up (3pt)'!$BJ45/1000000</f>
        <v>#VALUE!</v>
      </c>
      <c r="W45" s="249" t="e">
        <f>'Alternative 1-Tilt Up (3pt)'!$BP45/1000000</f>
        <v>#VALUE!</v>
      </c>
      <c r="X45" s="249" t="e">
        <f>'Alternative 1-Tilt Up (3pt)'!$BV45/1000000</f>
        <v>#VALUE!</v>
      </c>
      <c r="Y45" s="249">
        <f>'Alternative 1'!$B$20/1.67</f>
        <v>149.70059880239521</v>
      </c>
      <c r="AA45" s="249" t="str">
        <f>'Alternative 2'!$F46</f>
        <v>x</v>
      </c>
      <c r="AB45" s="249" t="e">
        <f>'Alternative 2-Tilt Up (3pt)'!$T45/1000000</f>
        <v>#VALUE!</v>
      </c>
      <c r="AC45" s="249" t="e">
        <f>'Alternative 2-Tilt Up (3pt)'!$Z45/1000000</f>
        <v>#VALUE!</v>
      </c>
      <c r="AD45" s="249" t="e">
        <f>'Alternative 2-Tilt Up (3pt)'!$AF45/1000000</f>
        <v>#VALUE!</v>
      </c>
      <c r="AE45" s="249" t="e">
        <f>'Alternative 2-Tilt Up (3pt)'!$AL45/1000000</f>
        <v>#VALUE!</v>
      </c>
      <c r="AF45" s="249" t="e">
        <f>'Alternative 2-Tilt Up (3pt)'!$AR45/1000000</f>
        <v>#VALUE!</v>
      </c>
      <c r="AG45" s="249" t="e">
        <f>'Alternative 2-Tilt Up (3pt)'!$AX45/1000000</f>
        <v>#VALUE!</v>
      </c>
      <c r="AH45" s="249" t="e">
        <f>'Alternative 2-Tilt Up (3pt)'!$BD45/1000000</f>
        <v>#VALUE!</v>
      </c>
      <c r="AI45" s="249" t="e">
        <f>'Alternative 2-Tilt Up (3pt)'!$BJ45/1000000</f>
        <v>#VALUE!</v>
      </c>
      <c r="AJ45" s="249" t="e">
        <f>'Alternative 2-Tilt Up (3pt)'!$BP45/1000000</f>
        <v>#VALUE!</v>
      </c>
      <c r="AK45" s="249" t="e">
        <f>'Alternative 2-Tilt Up (3pt)'!$BV45/1000000</f>
        <v>#VALUE!</v>
      </c>
      <c r="AL45" s="249">
        <f>'Alternative 2'!$B$20/1.67</f>
        <v>149.70059880239521</v>
      </c>
      <c r="AN45" s="249" t="str">
        <f>'Alternative 3'!$F46</f>
        <v>x</v>
      </c>
      <c r="AO45" s="249" t="e">
        <f>'Alternative 3-Tilt Up (3pt)'!$T45/1000000</f>
        <v>#VALUE!</v>
      </c>
      <c r="AP45" s="249" t="e">
        <f>'Alternative 3-Tilt Up (3pt)'!$Z45/1000000</f>
        <v>#VALUE!</v>
      </c>
      <c r="AQ45" s="249" t="e">
        <f>'Alternative 3-Tilt Up (3pt)'!$AF45/1000000</f>
        <v>#VALUE!</v>
      </c>
      <c r="AR45" s="249" t="e">
        <f>'Alternative 3-Tilt Up (3pt)'!$AL45/1000000</f>
        <v>#VALUE!</v>
      </c>
      <c r="AS45" s="249" t="e">
        <f>'Alternative 3-Tilt Up (3pt)'!$AR45/1000000</f>
        <v>#VALUE!</v>
      </c>
      <c r="AT45" s="249" t="e">
        <f>'Alternative 3-Tilt Up (3pt)'!$AX45/1000000</f>
        <v>#VALUE!</v>
      </c>
      <c r="AU45" s="249" t="e">
        <f>'Alternative 3-Tilt Up (3pt)'!$BD45/1000000</f>
        <v>#VALUE!</v>
      </c>
      <c r="AV45" s="249" t="e">
        <f>'Alternative 3-Tilt Up (3pt)'!$BJ45/1000000</f>
        <v>#VALUE!</v>
      </c>
      <c r="AW45" s="249" t="e">
        <f>'Alternative 3-Tilt Up (3pt)'!$BP45/1000000</f>
        <v>#VALUE!</v>
      </c>
      <c r="AX45" s="249" t="e">
        <f>'Alternative 3-Tilt Up (3pt)'!$BV45/1000000</f>
        <v>#VALUE!</v>
      </c>
      <c r="AY45" s="249">
        <f>'Alternative 3'!$B$20/1.67</f>
        <v>149.70059880239521</v>
      </c>
    </row>
    <row r="46" spans="1:51" x14ac:dyDescent="0.25">
      <c r="A46" s="249">
        <f>'Baseline Given'!E47</f>
        <v>44</v>
      </c>
      <c r="B46" s="249">
        <f>'Baseline-tilt up (3 pt)'!T46/1000000</f>
        <v>10.916910622344297</v>
      </c>
      <c r="C46" s="249">
        <f>'Baseline-tilt up (3 pt)'!Z46/1000000</f>
        <v>7.8608708841037123</v>
      </c>
      <c r="D46" s="249">
        <f>'Baseline-tilt up (3 pt)'!AF46/1000000</f>
        <v>8.8729187314288502</v>
      </c>
      <c r="E46" s="249">
        <f>'Baseline-tilt up (3 pt)'!AL46/1000000</f>
        <v>8.525387828606533</v>
      </c>
      <c r="F46" s="249">
        <f>'Baseline-tilt up (3 pt)'!AR46/1000000</f>
        <v>7.6478736607248399</v>
      </c>
      <c r="G46" s="249">
        <f>'Baseline-tilt up (3 pt)'!AX46/1000000</f>
        <v>6.4211024899965938</v>
      </c>
      <c r="H46" s="249">
        <f>'Baseline-tilt up (3 pt)'!BD46/1000000</f>
        <v>4.9331224836911298</v>
      </c>
      <c r="I46" s="249">
        <f>'Baseline-tilt up (3 pt)'!BJ46/1000000</f>
        <v>3.2506898325935576</v>
      </c>
      <c r="J46" s="249">
        <f>'Baseline-tilt up (3 pt)'!BP46/1000000</f>
        <v>1.435225614642941</v>
      </c>
      <c r="K46" s="249">
        <f>'Baseline-tilt up (3 pt)'!BV46/1000000</f>
        <v>-0.4532190907629855</v>
      </c>
      <c r="L46" s="249">
        <f>'Baseline Given'!$B$21/1.67</f>
        <v>149.70059880239521</v>
      </c>
      <c r="N46" s="249" t="str">
        <f>'Alternative 1'!$F47</f>
        <v>x</v>
      </c>
      <c r="O46" s="249" t="e">
        <f>'Alternative 1-Tilt Up (3pt)'!$T46/1000000</f>
        <v>#VALUE!</v>
      </c>
      <c r="P46" s="249" t="e">
        <f>'Alternative 1-Tilt Up (3pt)'!$Z46/1000000</f>
        <v>#VALUE!</v>
      </c>
      <c r="Q46" s="249" t="e">
        <f>'Alternative 1-Tilt Up (3pt)'!$AF46/1000000</f>
        <v>#VALUE!</v>
      </c>
      <c r="R46" s="249" t="e">
        <f>'Alternative 1-Tilt Up (3pt)'!$AL46/1000000</f>
        <v>#VALUE!</v>
      </c>
      <c r="S46" s="249" t="e">
        <f>'Alternative 1-Tilt Up (3pt)'!$AR46/1000000</f>
        <v>#VALUE!</v>
      </c>
      <c r="T46" s="249" t="e">
        <f>'Alternative 1-Tilt Up (3pt)'!$AX46/1000000</f>
        <v>#VALUE!</v>
      </c>
      <c r="U46" s="249" t="e">
        <f>'Alternative 1-Tilt Up (3pt)'!$BD46/1000000</f>
        <v>#VALUE!</v>
      </c>
      <c r="V46" s="249" t="e">
        <f>'Alternative 1-Tilt Up (3pt)'!$BJ46/1000000</f>
        <v>#VALUE!</v>
      </c>
      <c r="W46" s="249" t="e">
        <f>'Alternative 1-Tilt Up (3pt)'!$BP46/1000000</f>
        <v>#VALUE!</v>
      </c>
      <c r="X46" s="249" t="e">
        <f>'Alternative 1-Tilt Up (3pt)'!$BV46/1000000</f>
        <v>#VALUE!</v>
      </c>
      <c r="Y46" s="249">
        <f>'Alternative 1'!$B$20/1.67</f>
        <v>149.70059880239521</v>
      </c>
      <c r="AA46" s="249" t="str">
        <f>'Alternative 2'!$F47</f>
        <v>x</v>
      </c>
      <c r="AB46" s="249" t="e">
        <f>'Alternative 2-Tilt Up (3pt)'!$T46/1000000</f>
        <v>#VALUE!</v>
      </c>
      <c r="AC46" s="249" t="e">
        <f>'Alternative 2-Tilt Up (3pt)'!$Z46/1000000</f>
        <v>#VALUE!</v>
      </c>
      <c r="AD46" s="249" t="e">
        <f>'Alternative 2-Tilt Up (3pt)'!$AF46/1000000</f>
        <v>#VALUE!</v>
      </c>
      <c r="AE46" s="249" t="e">
        <f>'Alternative 2-Tilt Up (3pt)'!$AL46/1000000</f>
        <v>#VALUE!</v>
      </c>
      <c r="AF46" s="249" t="e">
        <f>'Alternative 2-Tilt Up (3pt)'!$AR46/1000000</f>
        <v>#VALUE!</v>
      </c>
      <c r="AG46" s="249" t="e">
        <f>'Alternative 2-Tilt Up (3pt)'!$AX46/1000000</f>
        <v>#VALUE!</v>
      </c>
      <c r="AH46" s="249" t="e">
        <f>'Alternative 2-Tilt Up (3pt)'!$BD46/1000000</f>
        <v>#VALUE!</v>
      </c>
      <c r="AI46" s="249" t="e">
        <f>'Alternative 2-Tilt Up (3pt)'!$BJ46/1000000</f>
        <v>#VALUE!</v>
      </c>
      <c r="AJ46" s="249" t="e">
        <f>'Alternative 2-Tilt Up (3pt)'!$BP46/1000000</f>
        <v>#VALUE!</v>
      </c>
      <c r="AK46" s="249" t="e">
        <f>'Alternative 2-Tilt Up (3pt)'!$BV46/1000000</f>
        <v>#VALUE!</v>
      </c>
      <c r="AL46" s="249">
        <f>'Alternative 2'!$B$20/1.67</f>
        <v>149.70059880239521</v>
      </c>
      <c r="AN46" s="249" t="str">
        <f>'Alternative 3'!$F47</f>
        <v>x</v>
      </c>
      <c r="AO46" s="249" t="e">
        <f>'Alternative 3-Tilt Up (3pt)'!$T46/1000000</f>
        <v>#VALUE!</v>
      </c>
      <c r="AP46" s="249" t="e">
        <f>'Alternative 3-Tilt Up (3pt)'!$Z46/1000000</f>
        <v>#VALUE!</v>
      </c>
      <c r="AQ46" s="249" t="e">
        <f>'Alternative 3-Tilt Up (3pt)'!$AF46/1000000</f>
        <v>#VALUE!</v>
      </c>
      <c r="AR46" s="249" t="e">
        <f>'Alternative 3-Tilt Up (3pt)'!$AL46/1000000</f>
        <v>#VALUE!</v>
      </c>
      <c r="AS46" s="249" t="e">
        <f>'Alternative 3-Tilt Up (3pt)'!$AR46/1000000</f>
        <v>#VALUE!</v>
      </c>
      <c r="AT46" s="249" t="e">
        <f>'Alternative 3-Tilt Up (3pt)'!$AX46/1000000</f>
        <v>#VALUE!</v>
      </c>
      <c r="AU46" s="249" t="e">
        <f>'Alternative 3-Tilt Up (3pt)'!$BD46/1000000</f>
        <v>#VALUE!</v>
      </c>
      <c r="AV46" s="249" t="e">
        <f>'Alternative 3-Tilt Up (3pt)'!$BJ46/1000000</f>
        <v>#VALUE!</v>
      </c>
      <c r="AW46" s="249" t="e">
        <f>'Alternative 3-Tilt Up (3pt)'!$BP46/1000000</f>
        <v>#VALUE!</v>
      </c>
      <c r="AX46" s="249" t="e">
        <f>'Alternative 3-Tilt Up (3pt)'!$BV46/1000000</f>
        <v>#VALUE!</v>
      </c>
      <c r="AY46" s="249">
        <f>'Alternative 3'!$B$20/1.67</f>
        <v>149.70059880239521</v>
      </c>
    </row>
    <row r="47" spans="1:51" x14ac:dyDescent="0.25">
      <c r="A47" s="249">
        <f>'Baseline Given'!E48</f>
        <v>45</v>
      </c>
      <c r="B47" s="249">
        <f>'Baseline-tilt up (3 pt)'!T47/1000000</f>
        <v>10.665802227582123</v>
      </c>
      <c r="C47" s="249">
        <f>'Baseline-tilt up (3 pt)'!Z47/1000000</f>
        <v>7.8870139294397879</v>
      </c>
      <c r="D47" s="249">
        <f>'Baseline-tilt up (3 pt)'!AF47/1000000</f>
        <v>8.7682680126610979</v>
      </c>
      <c r="E47" s="249">
        <f>'Baseline-tilt up (3 pt)'!AL47/1000000</f>
        <v>8.3960679637826789</v>
      </c>
      <c r="F47" s="249">
        <f>'Baseline-tilt up (3 pt)'!AR47/1000000</f>
        <v>7.5234036747306359</v>
      </c>
      <c r="G47" s="249">
        <f>'Baseline-tilt up (3 pt)'!AX47/1000000</f>
        <v>6.3163032799178902</v>
      </c>
      <c r="H47" s="249">
        <f>'Baseline-tilt up (3 pt)'!BD47/1000000</f>
        <v>4.8574218905485482</v>
      </c>
      <c r="I47" s="249">
        <f>'Baseline-tilt up (3 pt)'!BJ47/1000000</f>
        <v>3.2105967298830205</v>
      </c>
      <c r="J47" s="249">
        <f>'Baseline-tilt up (3 pt)'!BP47/1000000</f>
        <v>1.4351940458035204</v>
      </c>
      <c r="K47" s="249">
        <f>'Baseline-tilt up (3 pt)'!BV47/1000000</f>
        <v>-0.41041409224098208</v>
      </c>
      <c r="L47" s="249">
        <f>'Baseline Given'!$B$21/1.67</f>
        <v>149.70059880239521</v>
      </c>
      <c r="N47" s="249" t="str">
        <f>'Alternative 1'!$F48</f>
        <v>x</v>
      </c>
      <c r="O47" s="249" t="e">
        <f>'Alternative 1-Tilt Up (3pt)'!$T47/1000000</f>
        <v>#VALUE!</v>
      </c>
      <c r="P47" s="249" t="e">
        <f>'Alternative 1-Tilt Up (3pt)'!$Z47/1000000</f>
        <v>#VALUE!</v>
      </c>
      <c r="Q47" s="249" t="e">
        <f>'Alternative 1-Tilt Up (3pt)'!$AF47/1000000</f>
        <v>#VALUE!</v>
      </c>
      <c r="R47" s="249" t="e">
        <f>'Alternative 1-Tilt Up (3pt)'!$AL47/1000000</f>
        <v>#VALUE!</v>
      </c>
      <c r="S47" s="249" t="e">
        <f>'Alternative 1-Tilt Up (3pt)'!$AR47/1000000</f>
        <v>#VALUE!</v>
      </c>
      <c r="T47" s="249" t="e">
        <f>'Alternative 1-Tilt Up (3pt)'!$AX47/1000000</f>
        <v>#VALUE!</v>
      </c>
      <c r="U47" s="249" t="e">
        <f>'Alternative 1-Tilt Up (3pt)'!$BD47/1000000</f>
        <v>#VALUE!</v>
      </c>
      <c r="V47" s="249" t="e">
        <f>'Alternative 1-Tilt Up (3pt)'!$BJ47/1000000</f>
        <v>#VALUE!</v>
      </c>
      <c r="W47" s="249" t="e">
        <f>'Alternative 1-Tilt Up (3pt)'!$BP47/1000000</f>
        <v>#VALUE!</v>
      </c>
      <c r="X47" s="249" t="e">
        <f>'Alternative 1-Tilt Up (3pt)'!$BV47/1000000</f>
        <v>#VALUE!</v>
      </c>
      <c r="Y47" s="249">
        <f>'Alternative 1'!$B$20/1.67</f>
        <v>149.70059880239521</v>
      </c>
      <c r="AA47" s="249" t="str">
        <f>'Alternative 2'!$F48</f>
        <v>x</v>
      </c>
      <c r="AB47" s="249" t="e">
        <f>'Alternative 2-Tilt Up (3pt)'!$T47/1000000</f>
        <v>#VALUE!</v>
      </c>
      <c r="AC47" s="249" t="e">
        <f>'Alternative 2-Tilt Up (3pt)'!$Z47/1000000</f>
        <v>#VALUE!</v>
      </c>
      <c r="AD47" s="249" t="e">
        <f>'Alternative 2-Tilt Up (3pt)'!$AF47/1000000</f>
        <v>#VALUE!</v>
      </c>
      <c r="AE47" s="249" t="e">
        <f>'Alternative 2-Tilt Up (3pt)'!$AL47/1000000</f>
        <v>#VALUE!</v>
      </c>
      <c r="AF47" s="249" t="e">
        <f>'Alternative 2-Tilt Up (3pt)'!$AR47/1000000</f>
        <v>#VALUE!</v>
      </c>
      <c r="AG47" s="249" t="e">
        <f>'Alternative 2-Tilt Up (3pt)'!$AX47/1000000</f>
        <v>#VALUE!</v>
      </c>
      <c r="AH47" s="249" t="e">
        <f>'Alternative 2-Tilt Up (3pt)'!$BD47/1000000</f>
        <v>#VALUE!</v>
      </c>
      <c r="AI47" s="249" t="e">
        <f>'Alternative 2-Tilt Up (3pt)'!$BJ47/1000000</f>
        <v>#VALUE!</v>
      </c>
      <c r="AJ47" s="249" t="e">
        <f>'Alternative 2-Tilt Up (3pt)'!$BP47/1000000</f>
        <v>#VALUE!</v>
      </c>
      <c r="AK47" s="249" t="e">
        <f>'Alternative 2-Tilt Up (3pt)'!$BV47/1000000</f>
        <v>#VALUE!</v>
      </c>
      <c r="AL47" s="249">
        <f>'Alternative 2'!$B$20/1.67</f>
        <v>149.70059880239521</v>
      </c>
      <c r="AN47" s="249" t="str">
        <f>'Alternative 3'!$F48</f>
        <v>x</v>
      </c>
      <c r="AO47" s="249" t="e">
        <f>'Alternative 3-Tilt Up (3pt)'!$T47/1000000</f>
        <v>#VALUE!</v>
      </c>
      <c r="AP47" s="249" t="e">
        <f>'Alternative 3-Tilt Up (3pt)'!$Z47/1000000</f>
        <v>#VALUE!</v>
      </c>
      <c r="AQ47" s="249" t="e">
        <f>'Alternative 3-Tilt Up (3pt)'!$AF47/1000000</f>
        <v>#VALUE!</v>
      </c>
      <c r="AR47" s="249" t="e">
        <f>'Alternative 3-Tilt Up (3pt)'!$AL47/1000000</f>
        <v>#VALUE!</v>
      </c>
      <c r="AS47" s="249" t="e">
        <f>'Alternative 3-Tilt Up (3pt)'!$AR47/1000000</f>
        <v>#VALUE!</v>
      </c>
      <c r="AT47" s="249" t="e">
        <f>'Alternative 3-Tilt Up (3pt)'!$AX47/1000000</f>
        <v>#VALUE!</v>
      </c>
      <c r="AU47" s="249" t="e">
        <f>'Alternative 3-Tilt Up (3pt)'!$BD47/1000000</f>
        <v>#VALUE!</v>
      </c>
      <c r="AV47" s="249" t="e">
        <f>'Alternative 3-Tilt Up (3pt)'!$BJ47/1000000</f>
        <v>#VALUE!</v>
      </c>
      <c r="AW47" s="249" t="e">
        <f>'Alternative 3-Tilt Up (3pt)'!$BP47/1000000</f>
        <v>#VALUE!</v>
      </c>
      <c r="AX47" s="249" t="e">
        <f>'Alternative 3-Tilt Up (3pt)'!$BV47/1000000</f>
        <v>#VALUE!</v>
      </c>
      <c r="AY47" s="249">
        <f>'Alternative 3'!$B$20/1.67</f>
        <v>149.70059880239521</v>
      </c>
    </row>
    <row r="48" spans="1:51" x14ac:dyDescent="0.25">
      <c r="A48" s="249">
        <f>'Baseline Given'!E49</f>
        <v>46</v>
      </c>
      <c r="B48" s="249">
        <f>'Baseline-tilt up (3 pt)'!T48/1000000</f>
        <v>10.540453481432351</v>
      </c>
      <c r="C48" s="249">
        <f>'Baseline-tilt up (3 pt)'!Z48/1000000</f>
        <v>8.0420760371208235</v>
      </c>
      <c r="D48" s="249">
        <f>'Baseline-tilt up (3 pt)'!AF48/1000000</f>
        <v>8.7842645792946783</v>
      </c>
      <c r="E48" s="249">
        <f>'Baseline-tilt up (3 pt)'!AL48/1000000</f>
        <v>8.3773371186113081</v>
      </c>
      <c r="F48" s="249">
        <f>'Baseline-tilt up (3 pt)'!AR48/1000000</f>
        <v>7.4965714061191528</v>
      </c>
      <c r="G48" s="249">
        <f>'Baseline-tilt up (3 pt)'!AX48/1000000</f>
        <v>6.293425334539517</v>
      </c>
      <c r="H48" s="249">
        <f>'Baseline-tilt up (3 pt)'!BD48/1000000</f>
        <v>4.8455509532308207</v>
      </c>
      <c r="I48" s="249">
        <f>'Baseline-tilt up (3 pt)'!BJ48/1000000</f>
        <v>3.2143790754801427</v>
      </c>
      <c r="J48" s="249">
        <f>'Baseline-tilt up (3 pt)'!BP48/1000000</f>
        <v>1.457809656494693</v>
      </c>
      <c r="K48" s="249">
        <f>'Baseline-tilt up (3 pt)'!BV48/1000000</f>
        <v>-0.36682766372567632</v>
      </c>
      <c r="L48" s="249">
        <f>'Baseline Given'!$B$21/1.67</f>
        <v>149.70059880239521</v>
      </c>
      <c r="N48" s="249" t="str">
        <f>'Alternative 1'!$F49</f>
        <v>x</v>
      </c>
      <c r="O48" s="249" t="e">
        <f>'Alternative 1-Tilt Up (3pt)'!$T48/1000000</f>
        <v>#VALUE!</v>
      </c>
      <c r="P48" s="249" t="e">
        <f>'Alternative 1-Tilt Up (3pt)'!$Z48/1000000</f>
        <v>#VALUE!</v>
      </c>
      <c r="Q48" s="249" t="e">
        <f>'Alternative 1-Tilt Up (3pt)'!$AF48/1000000</f>
        <v>#VALUE!</v>
      </c>
      <c r="R48" s="249" t="e">
        <f>'Alternative 1-Tilt Up (3pt)'!$AL48/1000000</f>
        <v>#VALUE!</v>
      </c>
      <c r="S48" s="249" t="e">
        <f>'Alternative 1-Tilt Up (3pt)'!$AR48/1000000</f>
        <v>#VALUE!</v>
      </c>
      <c r="T48" s="249" t="e">
        <f>'Alternative 1-Tilt Up (3pt)'!$AX48/1000000</f>
        <v>#VALUE!</v>
      </c>
      <c r="U48" s="249" t="e">
        <f>'Alternative 1-Tilt Up (3pt)'!$BD48/1000000</f>
        <v>#VALUE!</v>
      </c>
      <c r="V48" s="249" t="e">
        <f>'Alternative 1-Tilt Up (3pt)'!$BJ48/1000000</f>
        <v>#VALUE!</v>
      </c>
      <c r="W48" s="249" t="e">
        <f>'Alternative 1-Tilt Up (3pt)'!$BP48/1000000</f>
        <v>#VALUE!</v>
      </c>
      <c r="X48" s="249" t="e">
        <f>'Alternative 1-Tilt Up (3pt)'!$BV48/1000000</f>
        <v>#VALUE!</v>
      </c>
      <c r="Y48" s="249">
        <f>'Alternative 1'!$B$20/1.67</f>
        <v>149.70059880239521</v>
      </c>
      <c r="AA48" s="249" t="str">
        <f>'Alternative 2'!$F49</f>
        <v>x</v>
      </c>
      <c r="AB48" s="249" t="e">
        <f>'Alternative 2-Tilt Up (3pt)'!$T48/1000000</f>
        <v>#VALUE!</v>
      </c>
      <c r="AC48" s="249" t="e">
        <f>'Alternative 2-Tilt Up (3pt)'!$Z48/1000000</f>
        <v>#VALUE!</v>
      </c>
      <c r="AD48" s="249" t="e">
        <f>'Alternative 2-Tilt Up (3pt)'!$AF48/1000000</f>
        <v>#VALUE!</v>
      </c>
      <c r="AE48" s="249" t="e">
        <f>'Alternative 2-Tilt Up (3pt)'!$AL48/1000000</f>
        <v>#VALUE!</v>
      </c>
      <c r="AF48" s="249" t="e">
        <f>'Alternative 2-Tilt Up (3pt)'!$AR48/1000000</f>
        <v>#VALUE!</v>
      </c>
      <c r="AG48" s="249" t="e">
        <f>'Alternative 2-Tilt Up (3pt)'!$AX48/1000000</f>
        <v>#VALUE!</v>
      </c>
      <c r="AH48" s="249" t="e">
        <f>'Alternative 2-Tilt Up (3pt)'!$BD48/1000000</f>
        <v>#VALUE!</v>
      </c>
      <c r="AI48" s="249" t="e">
        <f>'Alternative 2-Tilt Up (3pt)'!$BJ48/1000000</f>
        <v>#VALUE!</v>
      </c>
      <c r="AJ48" s="249" t="e">
        <f>'Alternative 2-Tilt Up (3pt)'!$BP48/1000000</f>
        <v>#VALUE!</v>
      </c>
      <c r="AK48" s="249" t="e">
        <f>'Alternative 2-Tilt Up (3pt)'!$BV48/1000000</f>
        <v>#VALUE!</v>
      </c>
      <c r="AL48" s="249">
        <f>'Alternative 2'!$B$20/1.67</f>
        <v>149.70059880239521</v>
      </c>
      <c r="AN48" s="249" t="str">
        <f>'Alternative 3'!$F49</f>
        <v>x</v>
      </c>
      <c r="AO48" s="249" t="e">
        <f>'Alternative 3-Tilt Up (3pt)'!$T48/1000000</f>
        <v>#VALUE!</v>
      </c>
      <c r="AP48" s="249" t="e">
        <f>'Alternative 3-Tilt Up (3pt)'!$Z48/1000000</f>
        <v>#VALUE!</v>
      </c>
      <c r="AQ48" s="249" t="e">
        <f>'Alternative 3-Tilt Up (3pt)'!$AF48/1000000</f>
        <v>#VALUE!</v>
      </c>
      <c r="AR48" s="249" t="e">
        <f>'Alternative 3-Tilt Up (3pt)'!$AL48/1000000</f>
        <v>#VALUE!</v>
      </c>
      <c r="AS48" s="249" t="e">
        <f>'Alternative 3-Tilt Up (3pt)'!$AR48/1000000</f>
        <v>#VALUE!</v>
      </c>
      <c r="AT48" s="249" t="e">
        <f>'Alternative 3-Tilt Up (3pt)'!$AX48/1000000</f>
        <v>#VALUE!</v>
      </c>
      <c r="AU48" s="249" t="e">
        <f>'Alternative 3-Tilt Up (3pt)'!$BD48/1000000</f>
        <v>#VALUE!</v>
      </c>
      <c r="AV48" s="249" t="e">
        <f>'Alternative 3-Tilt Up (3pt)'!$BJ48/1000000</f>
        <v>#VALUE!</v>
      </c>
      <c r="AW48" s="249" t="e">
        <f>'Alternative 3-Tilt Up (3pt)'!$BP48/1000000</f>
        <v>#VALUE!</v>
      </c>
      <c r="AX48" s="249" t="e">
        <f>'Alternative 3-Tilt Up (3pt)'!$BV48/1000000</f>
        <v>#VALUE!</v>
      </c>
      <c r="AY48" s="249">
        <f>'Alternative 3'!$B$20/1.67</f>
        <v>149.70059880239521</v>
      </c>
    </row>
    <row r="49" spans="1:51" x14ac:dyDescent="0.25">
      <c r="A49" s="249">
        <f>'Baseline Given'!E50</f>
        <v>47</v>
      </c>
      <c r="B49" s="249">
        <f>'Baseline-tilt up (3 pt)'!T49/1000000</f>
        <v>10.544339829660139</v>
      </c>
      <c r="C49" s="249">
        <f>'Baseline-tilt up (3 pt)'!Z49/1000000</f>
        <v>8.3296199652668932</v>
      </c>
      <c r="D49" s="249">
        <f>'Baseline-tilt up (3 pt)'!AF49/1000000</f>
        <v>8.9242425937716074</v>
      </c>
      <c r="E49" s="249">
        <f>'Baseline-tilt up (3 pt)'!AL49/1000000</f>
        <v>8.472251489131942</v>
      </c>
      <c r="F49" s="249">
        <f>'Baseline-tilt up (3 pt)'!AR49/1000000</f>
        <v>7.5700751336717094</v>
      </c>
      <c r="G49" s="249">
        <f>'Baseline-tilt up (3 pt)'!AX49/1000000</f>
        <v>6.3547325987406005</v>
      </c>
      <c r="H49" s="249">
        <f>'Baseline-tilt up (3 pt)'!BD49/1000000</f>
        <v>4.8992736438027062</v>
      </c>
      <c r="I49" s="249">
        <f>'Baseline-tilt up (3 pt)'!BJ49/1000000</f>
        <v>3.2632493945684504</v>
      </c>
      <c r="J49" s="249">
        <f>'Baseline-tilt up (3 pt)'!BP49/1000000</f>
        <v>1.5036983155468853</v>
      </c>
      <c r="K49" s="249">
        <f>'Baseline-tilt up (3 pt)'!BV49/1000000</f>
        <v>-0.32243820991530858</v>
      </c>
      <c r="L49" s="249">
        <f>'Baseline Given'!$B$21/1.67</f>
        <v>149.70059880239521</v>
      </c>
      <c r="N49" s="249" t="str">
        <f>'Alternative 1'!$F50</f>
        <v>x</v>
      </c>
      <c r="O49" s="249" t="e">
        <f>'Alternative 1-Tilt Up (3pt)'!$T49/1000000</f>
        <v>#VALUE!</v>
      </c>
      <c r="P49" s="249" t="e">
        <f>'Alternative 1-Tilt Up (3pt)'!$Z49/1000000</f>
        <v>#VALUE!</v>
      </c>
      <c r="Q49" s="249" t="e">
        <f>'Alternative 1-Tilt Up (3pt)'!$AF49/1000000</f>
        <v>#VALUE!</v>
      </c>
      <c r="R49" s="249" t="e">
        <f>'Alternative 1-Tilt Up (3pt)'!$AL49/1000000</f>
        <v>#VALUE!</v>
      </c>
      <c r="S49" s="249" t="e">
        <f>'Alternative 1-Tilt Up (3pt)'!$AR49/1000000</f>
        <v>#VALUE!</v>
      </c>
      <c r="T49" s="249" t="e">
        <f>'Alternative 1-Tilt Up (3pt)'!$AX49/1000000</f>
        <v>#VALUE!</v>
      </c>
      <c r="U49" s="249" t="e">
        <f>'Alternative 1-Tilt Up (3pt)'!$BD49/1000000</f>
        <v>#VALUE!</v>
      </c>
      <c r="V49" s="249" t="e">
        <f>'Alternative 1-Tilt Up (3pt)'!$BJ49/1000000</f>
        <v>#VALUE!</v>
      </c>
      <c r="W49" s="249" t="e">
        <f>'Alternative 1-Tilt Up (3pt)'!$BP49/1000000</f>
        <v>#VALUE!</v>
      </c>
      <c r="X49" s="249" t="e">
        <f>'Alternative 1-Tilt Up (3pt)'!$BV49/1000000</f>
        <v>#VALUE!</v>
      </c>
      <c r="Y49" s="249">
        <f>'Alternative 1'!$B$20/1.67</f>
        <v>149.70059880239521</v>
      </c>
      <c r="AA49" s="249" t="str">
        <f>'Alternative 2'!$F50</f>
        <v>x</v>
      </c>
      <c r="AB49" s="249" t="e">
        <f>'Alternative 2-Tilt Up (3pt)'!$T49/1000000</f>
        <v>#VALUE!</v>
      </c>
      <c r="AC49" s="249" t="e">
        <f>'Alternative 2-Tilt Up (3pt)'!$Z49/1000000</f>
        <v>#VALUE!</v>
      </c>
      <c r="AD49" s="249" t="e">
        <f>'Alternative 2-Tilt Up (3pt)'!$AF49/1000000</f>
        <v>#VALUE!</v>
      </c>
      <c r="AE49" s="249" t="e">
        <f>'Alternative 2-Tilt Up (3pt)'!$AL49/1000000</f>
        <v>#VALUE!</v>
      </c>
      <c r="AF49" s="249" t="e">
        <f>'Alternative 2-Tilt Up (3pt)'!$AR49/1000000</f>
        <v>#VALUE!</v>
      </c>
      <c r="AG49" s="249" t="e">
        <f>'Alternative 2-Tilt Up (3pt)'!$AX49/1000000</f>
        <v>#VALUE!</v>
      </c>
      <c r="AH49" s="249" t="e">
        <f>'Alternative 2-Tilt Up (3pt)'!$BD49/1000000</f>
        <v>#VALUE!</v>
      </c>
      <c r="AI49" s="249" t="e">
        <f>'Alternative 2-Tilt Up (3pt)'!$BJ49/1000000</f>
        <v>#VALUE!</v>
      </c>
      <c r="AJ49" s="249" t="e">
        <f>'Alternative 2-Tilt Up (3pt)'!$BP49/1000000</f>
        <v>#VALUE!</v>
      </c>
      <c r="AK49" s="249" t="e">
        <f>'Alternative 2-Tilt Up (3pt)'!$BV49/1000000</f>
        <v>#VALUE!</v>
      </c>
      <c r="AL49" s="249">
        <f>'Alternative 2'!$B$20/1.67</f>
        <v>149.70059880239521</v>
      </c>
      <c r="AN49" s="249" t="str">
        <f>'Alternative 3'!$F50</f>
        <v>x</v>
      </c>
      <c r="AO49" s="249" t="e">
        <f>'Alternative 3-Tilt Up (3pt)'!$T49/1000000</f>
        <v>#VALUE!</v>
      </c>
      <c r="AP49" s="249" t="e">
        <f>'Alternative 3-Tilt Up (3pt)'!$Z49/1000000</f>
        <v>#VALUE!</v>
      </c>
      <c r="AQ49" s="249" t="e">
        <f>'Alternative 3-Tilt Up (3pt)'!$AF49/1000000</f>
        <v>#VALUE!</v>
      </c>
      <c r="AR49" s="249" t="e">
        <f>'Alternative 3-Tilt Up (3pt)'!$AL49/1000000</f>
        <v>#VALUE!</v>
      </c>
      <c r="AS49" s="249" t="e">
        <f>'Alternative 3-Tilt Up (3pt)'!$AR49/1000000</f>
        <v>#VALUE!</v>
      </c>
      <c r="AT49" s="249" t="e">
        <f>'Alternative 3-Tilt Up (3pt)'!$AX49/1000000</f>
        <v>#VALUE!</v>
      </c>
      <c r="AU49" s="249" t="e">
        <f>'Alternative 3-Tilt Up (3pt)'!$BD49/1000000</f>
        <v>#VALUE!</v>
      </c>
      <c r="AV49" s="249" t="e">
        <f>'Alternative 3-Tilt Up (3pt)'!$BJ49/1000000</f>
        <v>#VALUE!</v>
      </c>
      <c r="AW49" s="249" t="e">
        <f>'Alternative 3-Tilt Up (3pt)'!$BP49/1000000</f>
        <v>#VALUE!</v>
      </c>
      <c r="AX49" s="249" t="e">
        <f>'Alternative 3-Tilt Up (3pt)'!$BV49/1000000</f>
        <v>#VALUE!</v>
      </c>
      <c r="AY49" s="249">
        <f>'Alternative 3'!$B$20/1.67</f>
        <v>149.70059880239521</v>
      </c>
    </row>
    <row r="50" spans="1:51" x14ac:dyDescent="0.25">
      <c r="A50" s="249">
        <f>'Baseline Given'!E51</f>
        <v>48</v>
      </c>
      <c r="B50" s="249">
        <f>'Baseline-tilt up (3 pt)'!T50/1000000</f>
        <v>10.681065970145839</v>
      </c>
      <c r="C50" s="249">
        <f>'Baseline-tilt up (3 pt)'!Z50/1000000</f>
        <v>8.7533409712669972</v>
      </c>
      <c r="D50" s="249">
        <f>'Baseline-tilt up (3 pt)'!AF50/1000000</f>
        <v>9.19166021631065</v>
      </c>
      <c r="E50" s="249">
        <f>'Baseline-tilt up (3 pt)'!AL50/1000000</f>
        <v>8.683980931567401</v>
      </c>
      <c r="F50" s="249">
        <f>'Baseline-tilt up (3 pt)'!AR50/1000000</f>
        <v>7.7467134853804778</v>
      </c>
      <c r="G50" s="249">
        <f>'Baseline-tilt up (3 pt)'!AX50/1000000</f>
        <v>6.5025732136974259</v>
      </c>
      <c r="H50" s="249">
        <f>'Baseline-tilt up (3 pt)'!BD50/1000000</f>
        <v>5.0204195365958419</v>
      </c>
      <c r="I50" s="249">
        <f>'Baseline-tilt up (3 pt)'!BJ50/1000000</f>
        <v>3.358465306243255</v>
      </c>
      <c r="J50" s="249">
        <f>'Baseline-tilt up (3 pt)'!BP50/1000000</f>
        <v>1.5735091679040503</v>
      </c>
      <c r="K50" s="249">
        <f>'Baseline-tilt up (3 pt)'!BV50/1000000</f>
        <v>-0.2772233323770622</v>
      </c>
      <c r="L50" s="249">
        <f>'Baseline Given'!$B$21/1.67</f>
        <v>149.70059880239521</v>
      </c>
      <c r="N50" s="249" t="str">
        <f>'Alternative 1'!$F51</f>
        <v>x</v>
      </c>
      <c r="O50" s="249" t="e">
        <f>'Alternative 1-Tilt Up (3pt)'!$T50/1000000</f>
        <v>#VALUE!</v>
      </c>
      <c r="P50" s="249" t="e">
        <f>'Alternative 1-Tilt Up (3pt)'!$Z50/1000000</f>
        <v>#VALUE!</v>
      </c>
      <c r="Q50" s="249" t="e">
        <f>'Alternative 1-Tilt Up (3pt)'!$AF50/1000000</f>
        <v>#VALUE!</v>
      </c>
      <c r="R50" s="249" t="e">
        <f>'Alternative 1-Tilt Up (3pt)'!$AL50/1000000</f>
        <v>#VALUE!</v>
      </c>
      <c r="S50" s="249" t="e">
        <f>'Alternative 1-Tilt Up (3pt)'!$AR50/1000000</f>
        <v>#VALUE!</v>
      </c>
      <c r="T50" s="249" t="e">
        <f>'Alternative 1-Tilt Up (3pt)'!$AX50/1000000</f>
        <v>#VALUE!</v>
      </c>
      <c r="U50" s="249" t="e">
        <f>'Alternative 1-Tilt Up (3pt)'!$BD50/1000000</f>
        <v>#VALUE!</v>
      </c>
      <c r="V50" s="249" t="e">
        <f>'Alternative 1-Tilt Up (3pt)'!$BJ50/1000000</f>
        <v>#VALUE!</v>
      </c>
      <c r="W50" s="249" t="e">
        <f>'Alternative 1-Tilt Up (3pt)'!$BP50/1000000</f>
        <v>#VALUE!</v>
      </c>
      <c r="X50" s="249" t="e">
        <f>'Alternative 1-Tilt Up (3pt)'!$BV50/1000000</f>
        <v>#VALUE!</v>
      </c>
      <c r="Y50" s="249">
        <f>'Alternative 1'!$B$20/1.67</f>
        <v>149.70059880239521</v>
      </c>
      <c r="AA50" s="249" t="str">
        <f>'Alternative 2'!$F51</f>
        <v>x</v>
      </c>
      <c r="AB50" s="249" t="e">
        <f>'Alternative 2-Tilt Up (3pt)'!$T50/1000000</f>
        <v>#VALUE!</v>
      </c>
      <c r="AC50" s="249" t="e">
        <f>'Alternative 2-Tilt Up (3pt)'!$Z50/1000000</f>
        <v>#VALUE!</v>
      </c>
      <c r="AD50" s="249" t="e">
        <f>'Alternative 2-Tilt Up (3pt)'!$AF50/1000000</f>
        <v>#VALUE!</v>
      </c>
      <c r="AE50" s="249" t="e">
        <f>'Alternative 2-Tilt Up (3pt)'!$AL50/1000000</f>
        <v>#VALUE!</v>
      </c>
      <c r="AF50" s="249" t="e">
        <f>'Alternative 2-Tilt Up (3pt)'!$AR50/1000000</f>
        <v>#VALUE!</v>
      </c>
      <c r="AG50" s="249" t="e">
        <f>'Alternative 2-Tilt Up (3pt)'!$AX50/1000000</f>
        <v>#VALUE!</v>
      </c>
      <c r="AH50" s="249" t="e">
        <f>'Alternative 2-Tilt Up (3pt)'!$BD50/1000000</f>
        <v>#VALUE!</v>
      </c>
      <c r="AI50" s="249" t="e">
        <f>'Alternative 2-Tilt Up (3pt)'!$BJ50/1000000</f>
        <v>#VALUE!</v>
      </c>
      <c r="AJ50" s="249" t="e">
        <f>'Alternative 2-Tilt Up (3pt)'!$BP50/1000000</f>
        <v>#VALUE!</v>
      </c>
      <c r="AK50" s="249" t="e">
        <f>'Alternative 2-Tilt Up (3pt)'!$BV50/1000000</f>
        <v>#VALUE!</v>
      </c>
      <c r="AL50" s="249">
        <f>'Alternative 2'!$B$20/1.67</f>
        <v>149.70059880239521</v>
      </c>
      <c r="AN50" s="249" t="str">
        <f>'Alternative 3'!$F51</f>
        <v>x</v>
      </c>
      <c r="AO50" s="249" t="e">
        <f>'Alternative 3-Tilt Up (3pt)'!$T50/1000000</f>
        <v>#VALUE!</v>
      </c>
      <c r="AP50" s="249" t="e">
        <f>'Alternative 3-Tilt Up (3pt)'!$Z50/1000000</f>
        <v>#VALUE!</v>
      </c>
      <c r="AQ50" s="249" t="e">
        <f>'Alternative 3-Tilt Up (3pt)'!$AF50/1000000</f>
        <v>#VALUE!</v>
      </c>
      <c r="AR50" s="249" t="e">
        <f>'Alternative 3-Tilt Up (3pt)'!$AL50/1000000</f>
        <v>#VALUE!</v>
      </c>
      <c r="AS50" s="249" t="e">
        <f>'Alternative 3-Tilt Up (3pt)'!$AR50/1000000</f>
        <v>#VALUE!</v>
      </c>
      <c r="AT50" s="249" t="e">
        <f>'Alternative 3-Tilt Up (3pt)'!$AX50/1000000</f>
        <v>#VALUE!</v>
      </c>
      <c r="AU50" s="249" t="e">
        <f>'Alternative 3-Tilt Up (3pt)'!$BD50/1000000</f>
        <v>#VALUE!</v>
      </c>
      <c r="AV50" s="249" t="e">
        <f>'Alternative 3-Tilt Up (3pt)'!$BJ50/1000000</f>
        <v>#VALUE!</v>
      </c>
      <c r="AW50" s="249" t="e">
        <f>'Alternative 3-Tilt Up (3pt)'!$BP50/1000000</f>
        <v>#VALUE!</v>
      </c>
      <c r="AX50" s="249" t="e">
        <f>'Alternative 3-Tilt Up (3pt)'!$BV50/1000000</f>
        <v>#VALUE!</v>
      </c>
      <c r="AY50" s="249">
        <f>'Alternative 3'!$B$20/1.67</f>
        <v>149.70059880239521</v>
      </c>
    </row>
    <row r="51" spans="1:51" x14ac:dyDescent="0.25">
      <c r="A51" s="249">
        <f>'Baseline Given'!E52</f>
        <v>49</v>
      </c>
      <c r="B51" s="249">
        <f>'Baseline-tilt up (3 pt)'!T51/1000000</f>
        <v>10.954371917895671</v>
      </c>
      <c r="C51" s="249">
        <f>'Baseline-tilt up (3 pt)'!Z51/1000000</f>
        <v>9.3170730291587436</v>
      </c>
      <c r="D51" s="249">
        <f>'Baseline-tilt up (3 pt)'!AF51/1000000</f>
        <v>9.5901054233640224</v>
      </c>
      <c r="E51" s="249">
        <f>'Baseline-tilt up (3 pt)'!AL51/1000000</f>
        <v>9.015814295700471</v>
      </c>
      <c r="F51" s="249">
        <f>'Baseline-tilt up (3 pt)'!AR51/1000000</f>
        <v>8.0293901472227418</v>
      </c>
      <c r="G51" s="249">
        <f>'Baseline-tilt up (3 pt)'!AX51/1000000</f>
        <v>6.7393834677002999</v>
      </c>
      <c r="H51" s="249">
        <f>'Baseline-tilt up (3 pt)'!BD51/1000000</f>
        <v>5.2108868865215578</v>
      </c>
      <c r="I51" s="249">
        <f>'Baseline-tilt up (3 pt)'!BJ51/1000000</f>
        <v>3.5013316394929164</v>
      </c>
      <c r="J51" s="249">
        <f>'Baseline-tilt up (3 pt)'!BP51/1000000</f>
        <v>1.6679157268292071</v>
      </c>
      <c r="K51" s="249">
        <f>'Baseline-tilt up (3 pt)'!BV51/1000000</f>
        <v>-0.23115979186103849</v>
      </c>
      <c r="L51" s="249">
        <f>'Baseline Given'!$B$21/1.67</f>
        <v>149.70059880239521</v>
      </c>
      <c r="N51" s="249" t="str">
        <f>'Alternative 1'!$F52</f>
        <v>x</v>
      </c>
      <c r="O51" s="249" t="e">
        <f>'Alternative 1-Tilt Up (3pt)'!$T51/1000000</f>
        <v>#VALUE!</v>
      </c>
      <c r="P51" s="249" t="e">
        <f>'Alternative 1-Tilt Up (3pt)'!$Z51/1000000</f>
        <v>#VALUE!</v>
      </c>
      <c r="Q51" s="249" t="e">
        <f>'Alternative 1-Tilt Up (3pt)'!$AF51/1000000</f>
        <v>#VALUE!</v>
      </c>
      <c r="R51" s="249" t="e">
        <f>'Alternative 1-Tilt Up (3pt)'!$AL51/1000000</f>
        <v>#VALUE!</v>
      </c>
      <c r="S51" s="249" t="e">
        <f>'Alternative 1-Tilt Up (3pt)'!$AR51/1000000</f>
        <v>#VALUE!</v>
      </c>
      <c r="T51" s="249" t="e">
        <f>'Alternative 1-Tilt Up (3pt)'!$AX51/1000000</f>
        <v>#VALUE!</v>
      </c>
      <c r="U51" s="249" t="e">
        <f>'Alternative 1-Tilt Up (3pt)'!$BD51/1000000</f>
        <v>#VALUE!</v>
      </c>
      <c r="V51" s="249" t="e">
        <f>'Alternative 1-Tilt Up (3pt)'!$BJ51/1000000</f>
        <v>#VALUE!</v>
      </c>
      <c r="W51" s="249" t="e">
        <f>'Alternative 1-Tilt Up (3pt)'!$BP51/1000000</f>
        <v>#VALUE!</v>
      </c>
      <c r="X51" s="249" t="e">
        <f>'Alternative 1-Tilt Up (3pt)'!$BV51/1000000</f>
        <v>#VALUE!</v>
      </c>
      <c r="Y51" s="249">
        <f>'Alternative 1'!$B$20/1.67</f>
        <v>149.70059880239521</v>
      </c>
      <c r="AA51" s="249" t="str">
        <f>'Alternative 2'!$F52</f>
        <v>x</v>
      </c>
      <c r="AB51" s="249" t="e">
        <f>'Alternative 2-Tilt Up (3pt)'!$T51/1000000</f>
        <v>#VALUE!</v>
      </c>
      <c r="AC51" s="249" t="e">
        <f>'Alternative 2-Tilt Up (3pt)'!$Z51/1000000</f>
        <v>#VALUE!</v>
      </c>
      <c r="AD51" s="249" t="e">
        <f>'Alternative 2-Tilt Up (3pt)'!$AF51/1000000</f>
        <v>#VALUE!</v>
      </c>
      <c r="AE51" s="249" t="e">
        <f>'Alternative 2-Tilt Up (3pt)'!$AL51/1000000</f>
        <v>#VALUE!</v>
      </c>
      <c r="AF51" s="249" t="e">
        <f>'Alternative 2-Tilt Up (3pt)'!$AR51/1000000</f>
        <v>#VALUE!</v>
      </c>
      <c r="AG51" s="249" t="e">
        <f>'Alternative 2-Tilt Up (3pt)'!$AX51/1000000</f>
        <v>#VALUE!</v>
      </c>
      <c r="AH51" s="249" t="e">
        <f>'Alternative 2-Tilt Up (3pt)'!$BD51/1000000</f>
        <v>#VALUE!</v>
      </c>
      <c r="AI51" s="249" t="e">
        <f>'Alternative 2-Tilt Up (3pt)'!$BJ51/1000000</f>
        <v>#VALUE!</v>
      </c>
      <c r="AJ51" s="249" t="e">
        <f>'Alternative 2-Tilt Up (3pt)'!$BP51/1000000</f>
        <v>#VALUE!</v>
      </c>
      <c r="AK51" s="249" t="e">
        <f>'Alternative 2-Tilt Up (3pt)'!$BV51/1000000</f>
        <v>#VALUE!</v>
      </c>
      <c r="AL51" s="249">
        <f>'Alternative 2'!$B$20/1.67</f>
        <v>149.70059880239521</v>
      </c>
      <c r="AN51" s="249" t="str">
        <f>'Alternative 3'!$F52</f>
        <v>x</v>
      </c>
      <c r="AO51" s="249" t="e">
        <f>'Alternative 3-Tilt Up (3pt)'!$T51/1000000</f>
        <v>#VALUE!</v>
      </c>
      <c r="AP51" s="249" t="e">
        <f>'Alternative 3-Tilt Up (3pt)'!$Z51/1000000</f>
        <v>#VALUE!</v>
      </c>
      <c r="AQ51" s="249" t="e">
        <f>'Alternative 3-Tilt Up (3pt)'!$AF51/1000000</f>
        <v>#VALUE!</v>
      </c>
      <c r="AR51" s="249" t="e">
        <f>'Alternative 3-Tilt Up (3pt)'!$AL51/1000000</f>
        <v>#VALUE!</v>
      </c>
      <c r="AS51" s="249" t="e">
        <f>'Alternative 3-Tilt Up (3pt)'!$AR51/1000000</f>
        <v>#VALUE!</v>
      </c>
      <c r="AT51" s="249" t="e">
        <f>'Alternative 3-Tilt Up (3pt)'!$AX51/1000000</f>
        <v>#VALUE!</v>
      </c>
      <c r="AU51" s="249" t="e">
        <f>'Alternative 3-Tilt Up (3pt)'!$BD51/1000000</f>
        <v>#VALUE!</v>
      </c>
      <c r="AV51" s="249" t="e">
        <f>'Alternative 3-Tilt Up (3pt)'!$BJ51/1000000</f>
        <v>#VALUE!</v>
      </c>
      <c r="AW51" s="249" t="e">
        <f>'Alternative 3-Tilt Up (3pt)'!$BP51/1000000</f>
        <v>#VALUE!</v>
      </c>
      <c r="AX51" s="249" t="e">
        <f>'Alternative 3-Tilt Up (3pt)'!$BV51/1000000</f>
        <v>#VALUE!</v>
      </c>
      <c r="AY51" s="249">
        <f>'Alternative 3'!$B$20/1.67</f>
        <v>149.70059880239521</v>
      </c>
    </row>
    <row r="52" spans="1:51" x14ac:dyDescent="0.25">
      <c r="A52" s="249">
        <f>'Baseline Given'!E53</f>
        <v>50</v>
      </c>
      <c r="B52" s="249">
        <f>'Baseline-tilt up (3 pt)'!T52/1000000</f>
        <v>11.368139414800298</v>
      </c>
      <c r="C52" s="249">
        <f>'Baseline-tilt up (3 pt)'!Z52/1000000</f>
        <v>10.02479540041694</v>
      </c>
      <c r="D52" s="249">
        <f>'Baseline-tilt up (3 pt)'!AF52/1000000</f>
        <v>10.1233021568074</v>
      </c>
      <c r="E52" s="249">
        <f>'Baseline-tilt up (3 pt)'!AL52/1000000</f>
        <v>9.4711650614109875</v>
      </c>
      <c r="F52" s="249">
        <f>'Baseline-tilt up (3 pt)'!AR52/1000000</f>
        <v>8.421118839591772</v>
      </c>
      <c r="G52" s="249">
        <f>'Baseline-tilt up (3 pt)'!AX52/1000000</f>
        <v>7.0676919715431641</v>
      </c>
      <c r="H52" s="249">
        <f>'Baseline-tilt up (3 pt)'!BD52/1000000</f>
        <v>5.4726458823615252</v>
      </c>
      <c r="I52" s="249">
        <f>'Baseline-tilt up (3 pt)'!BJ52/1000000</f>
        <v>3.6932026694569284</v>
      </c>
      <c r="J52" s="249">
        <f>'Baseline-tilt up (3 pt)'!BP52/1000000</f>
        <v>1.7876170281932342</v>
      </c>
      <c r="K52" s="249">
        <f>'Baseline-tilt up (3 pt)'!BV52/1000000</f>
        <v>-0.18422346847207949</v>
      </c>
      <c r="L52" s="249">
        <f>'Baseline Given'!$B$21/1.67</f>
        <v>149.70059880239521</v>
      </c>
      <c r="N52" s="249" t="str">
        <f>'Alternative 1'!$F53</f>
        <v>x</v>
      </c>
      <c r="O52" s="249" t="e">
        <f>'Alternative 1-Tilt Up (3pt)'!$T52/1000000</f>
        <v>#VALUE!</v>
      </c>
      <c r="P52" s="249" t="e">
        <f>'Alternative 1-Tilt Up (3pt)'!$Z52/1000000</f>
        <v>#VALUE!</v>
      </c>
      <c r="Q52" s="249" t="e">
        <f>'Alternative 1-Tilt Up (3pt)'!$AF52/1000000</f>
        <v>#VALUE!</v>
      </c>
      <c r="R52" s="249" t="e">
        <f>'Alternative 1-Tilt Up (3pt)'!$AL52/1000000</f>
        <v>#VALUE!</v>
      </c>
      <c r="S52" s="249" t="e">
        <f>'Alternative 1-Tilt Up (3pt)'!$AR52/1000000</f>
        <v>#VALUE!</v>
      </c>
      <c r="T52" s="249" t="e">
        <f>'Alternative 1-Tilt Up (3pt)'!$AX52/1000000</f>
        <v>#VALUE!</v>
      </c>
      <c r="U52" s="249" t="e">
        <f>'Alternative 1-Tilt Up (3pt)'!$BD52/1000000</f>
        <v>#VALUE!</v>
      </c>
      <c r="V52" s="249" t="e">
        <f>'Alternative 1-Tilt Up (3pt)'!$BJ52/1000000</f>
        <v>#VALUE!</v>
      </c>
      <c r="W52" s="249" t="e">
        <f>'Alternative 1-Tilt Up (3pt)'!$BP52/1000000</f>
        <v>#VALUE!</v>
      </c>
      <c r="X52" s="249" t="e">
        <f>'Alternative 1-Tilt Up (3pt)'!$BV52/1000000</f>
        <v>#VALUE!</v>
      </c>
      <c r="Y52" s="249">
        <f>'Alternative 1'!$B$20/1.67</f>
        <v>149.70059880239521</v>
      </c>
      <c r="AA52" s="249" t="str">
        <f>'Alternative 2'!$F53</f>
        <v>x</v>
      </c>
      <c r="AB52" s="249" t="e">
        <f>'Alternative 2-Tilt Up (3pt)'!$T52/1000000</f>
        <v>#VALUE!</v>
      </c>
      <c r="AC52" s="249" t="e">
        <f>'Alternative 2-Tilt Up (3pt)'!$Z52/1000000</f>
        <v>#VALUE!</v>
      </c>
      <c r="AD52" s="249" t="e">
        <f>'Alternative 2-Tilt Up (3pt)'!$AF52/1000000</f>
        <v>#VALUE!</v>
      </c>
      <c r="AE52" s="249" t="e">
        <f>'Alternative 2-Tilt Up (3pt)'!$AL52/1000000</f>
        <v>#VALUE!</v>
      </c>
      <c r="AF52" s="249" t="e">
        <f>'Alternative 2-Tilt Up (3pt)'!$AR52/1000000</f>
        <v>#VALUE!</v>
      </c>
      <c r="AG52" s="249" t="e">
        <f>'Alternative 2-Tilt Up (3pt)'!$AX52/1000000</f>
        <v>#VALUE!</v>
      </c>
      <c r="AH52" s="249" t="e">
        <f>'Alternative 2-Tilt Up (3pt)'!$BD52/1000000</f>
        <v>#VALUE!</v>
      </c>
      <c r="AI52" s="249" t="e">
        <f>'Alternative 2-Tilt Up (3pt)'!$BJ52/1000000</f>
        <v>#VALUE!</v>
      </c>
      <c r="AJ52" s="249" t="e">
        <f>'Alternative 2-Tilt Up (3pt)'!$BP52/1000000</f>
        <v>#VALUE!</v>
      </c>
      <c r="AK52" s="249" t="e">
        <f>'Alternative 2-Tilt Up (3pt)'!$BV52/1000000</f>
        <v>#VALUE!</v>
      </c>
      <c r="AL52" s="249">
        <f>'Alternative 2'!$B$20/1.67</f>
        <v>149.70059880239521</v>
      </c>
      <c r="AN52" s="249" t="str">
        <f>'Alternative 3'!$F53</f>
        <v>x</v>
      </c>
      <c r="AO52" s="249" t="e">
        <f>'Alternative 3-Tilt Up (3pt)'!$T52/1000000</f>
        <v>#VALUE!</v>
      </c>
      <c r="AP52" s="249" t="e">
        <f>'Alternative 3-Tilt Up (3pt)'!$Z52/1000000</f>
        <v>#VALUE!</v>
      </c>
      <c r="AQ52" s="249" t="e">
        <f>'Alternative 3-Tilt Up (3pt)'!$AF52/1000000</f>
        <v>#VALUE!</v>
      </c>
      <c r="AR52" s="249" t="e">
        <f>'Alternative 3-Tilt Up (3pt)'!$AL52/1000000</f>
        <v>#VALUE!</v>
      </c>
      <c r="AS52" s="249" t="e">
        <f>'Alternative 3-Tilt Up (3pt)'!$AR52/1000000</f>
        <v>#VALUE!</v>
      </c>
      <c r="AT52" s="249" t="e">
        <f>'Alternative 3-Tilt Up (3pt)'!$AX52/1000000</f>
        <v>#VALUE!</v>
      </c>
      <c r="AU52" s="249" t="e">
        <f>'Alternative 3-Tilt Up (3pt)'!$BD52/1000000</f>
        <v>#VALUE!</v>
      </c>
      <c r="AV52" s="249" t="e">
        <f>'Alternative 3-Tilt Up (3pt)'!$BJ52/1000000</f>
        <v>#VALUE!</v>
      </c>
      <c r="AW52" s="249" t="e">
        <f>'Alternative 3-Tilt Up (3pt)'!$BP52/1000000</f>
        <v>#VALUE!</v>
      </c>
      <c r="AX52" s="249" t="e">
        <f>'Alternative 3-Tilt Up (3pt)'!$BV52/1000000</f>
        <v>#VALUE!</v>
      </c>
      <c r="AY52" s="249">
        <f>'Alternative 3'!$B$20/1.67</f>
        <v>149.70059880239521</v>
      </c>
    </row>
    <row r="53" spans="1:51" x14ac:dyDescent="0.25">
      <c r="A53" s="249">
        <f>'Baseline Given'!E54</f>
        <v>51</v>
      </c>
      <c r="B53" s="249">
        <f>'Baseline-tilt up (3 pt)'!T53/1000000</f>
        <v>11.926398707222294</v>
      </c>
      <c r="C53" s="249">
        <f>'Baseline-tilt up (3 pt)'!Z53/1000000</f>
        <v>10.880639581811936</v>
      </c>
      <c r="D53" s="249">
        <f>'Baseline-tilt up (3 pt)'!AF53/1000000</f>
        <v>10.795116826005849</v>
      </c>
      <c r="E53" s="249">
        <f>'Baseline-tilt up (3 pt)'!AL53/1000000</f>
        <v>10.053577298669817</v>
      </c>
      <c r="F53" s="249">
        <f>'Baseline-tilt up (3 pt)'!AR53/1000000</f>
        <v>8.9250285793039552</v>
      </c>
      <c r="G53" s="249">
        <f>'Baseline-tilt up (3 pt)'!AX53/1000000</f>
        <v>7.4901240735211063</v>
      </c>
      <c r="H53" s="249">
        <f>'Baseline-tilt up (3 pt)'!BD53/1000000</f>
        <v>5.8077420867509</v>
      </c>
      <c r="I53" s="249">
        <f>'Baseline-tilt up (3 pt)'!BJ53/1000000</f>
        <v>3.9354844820133885</v>
      </c>
      <c r="J53" s="249">
        <f>'Baseline-tilt up (3 pt)'!BP53/1000000</f>
        <v>1.9333388510034117</v>
      </c>
      <c r="K53" s="249">
        <f>'Baseline-tilt up (3 pt)'!BV53/1000000</f>
        <v>-0.13638931955602038</v>
      </c>
      <c r="L53" s="249">
        <f>'Baseline Given'!$B$21/1.67</f>
        <v>149.70059880239521</v>
      </c>
      <c r="N53" s="249" t="str">
        <f>'Alternative 1'!$F54</f>
        <v>x</v>
      </c>
      <c r="O53" s="249" t="e">
        <f>'Alternative 1-Tilt Up (3pt)'!$T53/1000000</f>
        <v>#VALUE!</v>
      </c>
      <c r="P53" s="249" t="e">
        <f>'Alternative 1-Tilt Up (3pt)'!$Z53/1000000</f>
        <v>#VALUE!</v>
      </c>
      <c r="Q53" s="249" t="e">
        <f>'Alternative 1-Tilt Up (3pt)'!$AF53/1000000</f>
        <v>#VALUE!</v>
      </c>
      <c r="R53" s="249" t="e">
        <f>'Alternative 1-Tilt Up (3pt)'!$AL53/1000000</f>
        <v>#VALUE!</v>
      </c>
      <c r="S53" s="249" t="e">
        <f>'Alternative 1-Tilt Up (3pt)'!$AR53/1000000</f>
        <v>#VALUE!</v>
      </c>
      <c r="T53" s="249" t="e">
        <f>'Alternative 1-Tilt Up (3pt)'!$AX53/1000000</f>
        <v>#VALUE!</v>
      </c>
      <c r="U53" s="249" t="e">
        <f>'Alternative 1-Tilt Up (3pt)'!$BD53/1000000</f>
        <v>#VALUE!</v>
      </c>
      <c r="V53" s="249" t="e">
        <f>'Alternative 1-Tilt Up (3pt)'!$BJ53/1000000</f>
        <v>#VALUE!</v>
      </c>
      <c r="W53" s="249" t="e">
        <f>'Alternative 1-Tilt Up (3pt)'!$BP53/1000000</f>
        <v>#VALUE!</v>
      </c>
      <c r="X53" s="249" t="e">
        <f>'Alternative 1-Tilt Up (3pt)'!$BV53/1000000</f>
        <v>#VALUE!</v>
      </c>
      <c r="Y53" s="249">
        <f>'Alternative 1'!$B$20/1.67</f>
        <v>149.70059880239521</v>
      </c>
      <c r="AA53" s="249" t="str">
        <f>'Alternative 2'!$F54</f>
        <v>x</v>
      </c>
      <c r="AB53" s="249" t="e">
        <f>'Alternative 2-Tilt Up (3pt)'!$T53/1000000</f>
        <v>#VALUE!</v>
      </c>
      <c r="AC53" s="249" t="e">
        <f>'Alternative 2-Tilt Up (3pt)'!$Z53/1000000</f>
        <v>#VALUE!</v>
      </c>
      <c r="AD53" s="249" t="e">
        <f>'Alternative 2-Tilt Up (3pt)'!$AF53/1000000</f>
        <v>#VALUE!</v>
      </c>
      <c r="AE53" s="249" t="e">
        <f>'Alternative 2-Tilt Up (3pt)'!$AL53/1000000</f>
        <v>#VALUE!</v>
      </c>
      <c r="AF53" s="249" t="e">
        <f>'Alternative 2-Tilt Up (3pt)'!$AR53/1000000</f>
        <v>#VALUE!</v>
      </c>
      <c r="AG53" s="249" t="e">
        <f>'Alternative 2-Tilt Up (3pt)'!$AX53/1000000</f>
        <v>#VALUE!</v>
      </c>
      <c r="AH53" s="249" t="e">
        <f>'Alternative 2-Tilt Up (3pt)'!$BD53/1000000</f>
        <v>#VALUE!</v>
      </c>
      <c r="AI53" s="249" t="e">
        <f>'Alternative 2-Tilt Up (3pt)'!$BJ53/1000000</f>
        <v>#VALUE!</v>
      </c>
      <c r="AJ53" s="249" t="e">
        <f>'Alternative 2-Tilt Up (3pt)'!$BP53/1000000</f>
        <v>#VALUE!</v>
      </c>
      <c r="AK53" s="249" t="e">
        <f>'Alternative 2-Tilt Up (3pt)'!$BV53/1000000</f>
        <v>#VALUE!</v>
      </c>
      <c r="AL53" s="249">
        <f>'Alternative 2'!$B$20/1.67</f>
        <v>149.70059880239521</v>
      </c>
      <c r="AN53" s="249" t="str">
        <f>'Alternative 3'!$F54</f>
        <v>x</v>
      </c>
      <c r="AO53" s="249" t="e">
        <f>'Alternative 3-Tilt Up (3pt)'!$T53/1000000</f>
        <v>#VALUE!</v>
      </c>
      <c r="AP53" s="249" t="e">
        <f>'Alternative 3-Tilt Up (3pt)'!$Z53/1000000</f>
        <v>#VALUE!</v>
      </c>
      <c r="AQ53" s="249" t="e">
        <f>'Alternative 3-Tilt Up (3pt)'!$AF53/1000000</f>
        <v>#VALUE!</v>
      </c>
      <c r="AR53" s="249" t="e">
        <f>'Alternative 3-Tilt Up (3pt)'!$AL53/1000000</f>
        <v>#VALUE!</v>
      </c>
      <c r="AS53" s="249" t="e">
        <f>'Alternative 3-Tilt Up (3pt)'!$AR53/1000000</f>
        <v>#VALUE!</v>
      </c>
      <c r="AT53" s="249" t="e">
        <f>'Alternative 3-Tilt Up (3pt)'!$AX53/1000000</f>
        <v>#VALUE!</v>
      </c>
      <c r="AU53" s="249" t="e">
        <f>'Alternative 3-Tilt Up (3pt)'!$BD53/1000000</f>
        <v>#VALUE!</v>
      </c>
      <c r="AV53" s="249" t="e">
        <f>'Alternative 3-Tilt Up (3pt)'!$BJ53/1000000</f>
        <v>#VALUE!</v>
      </c>
      <c r="AW53" s="249" t="e">
        <f>'Alternative 3-Tilt Up (3pt)'!$BP53/1000000</f>
        <v>#VALUE!</v>
      </c>
      <c r="AX53" s="249" t="e">
        <f>'Alternative 3-Tilt Up (3pt)'!$BV53/1000000</f>
        <v>#VALUE!</v>
      </c>
      <c r="AY53" s="249">
        <f>'Alternative 3'!$B$20/1.67</f>
        <v>149.70059880239521</v>
      </c>
    </row>
    <row r="54" spans="1:51" x14ac:dyDescent="0.25">
      <c r="A54" s="249">
        <f>'Baseline Given'!E55</f>
        <v>52</v>
      </c>
      <c r="B54" s="249">
        <f>'Baseline-tilt up (3 pt)'!T54/1000000</f>
        <v>12.633335716276431</v>
      </c>
      <c r="C54" s="249">
        <f>'Baseline-tilt up (3 pt)'!Z54/1000000</f>
        <v>11.88889665582623</v>
      </c>
      <c r="D54" s="249">
        <f>'Baseline-tilt up (3 pt)'!AF54/1000000</f>
        <v>11.60956518660892</v>
      </c>
      <c r="E54" s="249">
        <f>'Baseline-tilt up (3 pt)'!AL54/1000000</f>
        <v>10.766731972854439</v>
      </c>
      <c r="F54" s="249">
        <f>'Baseline-tilt up (3 pt)'!AR54/1000000</f>
        <v>9.5443692464861911</v>
      </c>
      <c r="G54" s="249">
        <f>'Baseline-tilt up (3 pt)'!AX54/1000000</f>
        <v>8.0094065302324644</v>
      </c>
      <c r="H54" s="249">
        <f>'Baseline-tilt up (3 pt)'!BD54/1000000</f>
        <v>6.2183000754738362</v>
      </c>
      <c r="I54" s="249">
        <f>'Baseline-tilt up (3 pt)'!BJ54/1000000</f>
        <v>4.2296374753704455</v>
      </c>
      <c r="J54" s="249">
        <f>'Baseline-tilt up (3 pt)'!BP54/1000000</f>
        <v>2.1058350086492732</v>
      </c>
      <c r="K54" s="249">
        <f>'Baseline-tilt up (3 pt)'!BV54/1000000</f>
        <v>-8.7631335145874248E-2</v>
      </c>
      <c r="L54" s="249">
        <f>'Baseline Given'!$B$21/1.67</f>
        <v>149.70059880239521</v>
      </c>
      <c r="N54" s="249" t="str">
        <f>'Alternative 1'!$F55</f>
        <v>x</v>
      </c>
      <c r="O54" s="249" t="e">
        <f>'Alternative 1-Tilt Up (3pt)'!$T54/1000000</f>
        <v>#VALUE!</v>
      </c>
      <c r="P54" s="249" t="e">
        <f>'Alternative 1-Tilt Up (3pt)'!$Z54/1000000</f>
        <v>#VALUE!</v>
      </c>
      <c r="Q54" s="249" t="e">
        <f>'Alternative 1-Tilt Up (3pt)'!$AF54/1000000</f>
        <v>#VALUE!</v>
      </c>
      <c r="R54" s="249" t="e">
        <f>'Alternative 1-Tilt Up (3pt)'!$AL54/1000000</f>
        <v>#VALUE!</v>
      </c>
      <c r="S54" s="249" t="e">
        <f>'Alternative 1-Tilt Up (3pt)'!$AR54/1000000</f>
        <v>#VALUE!</v>
      </c>
      <c r="T54" s="249" t="e">
        <f>'Alternative 1-Tilt Up (3pt)'!$AX54/1000000</f>
        <v>#VALUE!</v>
      </c>
      <c r="U54" s="249" t="e">
        <f>'Alternative 1-Tilt Up (3pt)'!$BD54/1000000</f>
        <v>#VALUE!</v>
      </c>
      <c r="V54" s="249" t="e">
        <f>'Alternative 1-Tilt Up (3pt)'!$BJ54/1000000</f>
        <v>#VALUE!</v>
      </c>
      <c r="W54" s="249" t="e">
        <f>'Alternative 1-Tilt Up (3pt)'!$BP54/1000000</f>
        <v>#VALUE!</v>
      </c>
      <c r="X54" s="249" t="e">
        <f>'Alternative 1-Tilt Up (3pt)'!$BV54/1000000</f>
        <v>#VALUE!</v>
      </c>
      <c r="Y54" s="249">
        <f>'Alternative 1'!$B$20/1.67</f>
        <v>149.70059880239521</v>
      </c>
      <c r="AA54" s="249" t="str">
        <f>'Alternative 2'!$F55</f>
        <v>x</v>
      </c>
      <c r="AB54" s="249" t="e">
        <f>'Alternative 2-Tilt Up (3pt)'!$T54/1000000</f>
        <v>#VALUE!</v>
      </c>
      <c r="AC54" s="249" t="e">
        <f>'Alternative 2-Tilt Up (3pt)'!$Z54/1000000</f>
        <v>#VALUE!</v>
      </c>
      <c r="AD54" s="249" t="e">
        <f>'Alternative 2-Tilt Up (3pt)'!$AF54/1000000</f>
        <v>#VALUE!</v>
      </c>
      <c r="AE54" s="249" t="e">
        <f>'Alternative 2-Tilt Up (3pt)'!$AL54/1000000</f>
        <v>#VALUE!</v>
      </c>
      <c r="AF54" s="249" t="e">
        <f>'Alternative 2-Tilt Up (3pt)'!$AR54/1000000</f>
        <v>#VALUE!</v>
      </c>
      <c r="AG54" s="249" t="e">
        <f>'Alternative 2-Tilt Up (3pt)'!$AX54/1000000</f>
        <v>#VALUE!</v>
      </c>
      <c r="AH54" s="249" t="e">
        <f>'Alternative 2-Tilt Up (3pt)'!$BD54/1000000</f>
        <v>#VALUE!</v>
      </c>
      <c r="AI54" s="249" t="e">
        <f>'Alternative 2-Tilt Up (3pt)'!$BJ54/1000000</f>
        <v>#VALUE!</v>
      </c>
      <c r="AJ54" s="249" t="e">
        <f>'Alternative 2-Tilt Up (3pt)'!$BP54/1000000</f>
        <v>#VALUE!</v>
      </c>
      <c r="AK54" s="249" t="e">
        <f>'Alternative 2-Tilt Up (3pt)'!$BV54/1000000</f>
        <v>#VALUE!</v>
      </c>
      <c r="AL54" s="249">
        <f>'Alternative 2'!$B$20/1.67</f>
        <v>149.70059880239521</v>
      </c>
      <c r="AN54" s="249" t="str">
        <f>'Alternative 3'!$F55</f>
        <v>x</v>
      </c>
      <c r="AO54" s="249" t="e">
        <f>'Alternative 3-Tilt Up (3pt)'!$T54/1000000</f>
        <v>#VALUE!</v>
      </c>
      <c r="AP54" s="249" t="e">
        <f>'Alternative 3-Tilt Up (3pt)'!$Z54/1000000</f>
        <v>#VALUE!</v>
      </c>
      <c r="AQ54" s="249" t="e">
        <f>'Alternative 3-Tilt Up (3pt)'!$AF54/1000000</f>
        <v>#VALUE!</v>
      </c>
      <c r="AR54" s="249" t="e">
        <f>'Alternative 3-Tilt Up (3pt)'!$AL54/1000000</f>
        <v>#VALUE!</v>
      </c>
      <c r="AS54" s="249" t="e">
        <f>'Alternative 3-Tilt Up (3pt)'!$AR54/1000000</f>
        <v>#VALUE!</v>
      </c>
      <c r="AT54" s="249" t="e">
        <f>'Alternative 3-Tilt Up (3pt)'!$AX54/1000000</f>
        <v>#VALUE!</v>
      </c>
      <c r="AU54" s="249" t="e">
        <f>'Alternative 3-Tilt Up (3pt)'!$BD54/1000000</f>
        <v>#VALUE!</v>
      </c>
      <c r="AV54" s="249" t="e">
        <f>'Alternative 3-Tilt Up (3pt)'!$BJ54/1000000</f>
        <v>#VALUE!</v>
      </c>
      <c r="AW54" s="249" t="e">
        <f>'Alternative 3-Tilt Up (3pt)'!$BP54/1000000</f>
        <v>#VALUE!</v>
      </c>
      <c r="AX54" s="249" t="e">
        <f>'Alternative 3-Tilt Up (3pt)'!$BV54/1000000</f>
        <v>#VALUE!</v>
      </c>
      <c r="AY54" s="249">
        <f>'Alternative 3'!$B$20/1.67</f>
        <v>149.70059880239521</v>
      </c>
    </row>
    <row r="55" spans="1:51" x14ac:dyDescent="0.25">
      <c r="A55" s="249">
        <f>'Baseline Given'!E56</f>
        <v>53</v>
      </c>
      <c r="B55" s="249">
        <f>'Baseline-tilt up (3 pt)'!T55/1000000</f>
        <v>13.493299627606337</v>
      </c>
      <c r="C55" s="249">
        <f>'Baseline-tilt up (3 pt)'!Z55/1000000</f>
        <v>13.054025071106327</v>
      </c>
      <c r="D55" s="249">
        <f>'Baseline-tilt up (3 pt)'!AF55/1000000</f>
        <v>12.570819621788804</v>
      </c>
      <c r="E55" s="249">
        <f>'Baseline-tilt up (3 pt)'!AL55/1000000</f>
        <v>11.614453618956171</v>
      </c>
      <c r="F55" s="249">
        <f>'Baseline-tilt up (3 pt)'!AR55/1000000</f>
        <v>10.282517477153309</v>
      </c>
      <c r="G55" s="249">
        <f>'Baseline-tilt up (3 pt)'!AX55/1000000</f>
        <v>8.6283724506456014</v>
      </c>
      <c r="H55" s="249">
        <f>'Baseline-tilt up (3 pt)'!BD55/1000000</f>
        <v>6.7065272896755275</v>
      </c>
      <c r="I55" s="249">
        <f>'Baseline-tilt up (3 pt)'!BJ55/1000000</f>
        <v>4.5771790080130579</v>
      </c>
      <c r="J55" s="249">
        <f>'Baseline-tilt up (3 pt)'!BP55/1000000</f>
        <v>2.3058887156926438</v>
      </c>
      <c r="K55" s="249">
        <f>'Baseline-tilt up (3 pt)'!BV55/1000000</f>
        <v>-3.7922490801402461E-2</v>
      </c>
      <c r="L55" s="249">
        <f>'Baseline Given'!$B$21/1.67</f>
        <v>149.70059880239521</v>
      </c>
      <c r="N55" s="249" t="str">
        <f>'Alternative 1'!$F56</f>
        <v>x</v>
      </c>
      <c r="O55" s="249" t="e">
        <f>'Alternative 1-Tilt Up (3pt)'!$T55/1000000</f>
        <v>#VALUE!</v>
      </c>
      <c r="P55" s="249" t="e">
        <f>'Alternative 1-Tilt Up (3pt)'!$Z55/1000000</f>
        <v>#VALUE!</v>
      </c>
      <c r="Q55" s="249" t="e">
        <f>'Alternative 1-Tilt Up (3pt)'!$AF55/1000000</f>
        <v>#VALUE!</v>
      </c>
      <c r="R55" s="249" t="e">
        <f>'Alternative 1-Tilt Up (3pt)'!$AL55/1000000</f>
        <v>#VALUE!</v>
      </c>
      <c r="S55" s="249" t="e">
        <f>'Alternative 1-Tilt Up (3pt)'!$AR55/1000000</f>
        <v>#VALUE!</v>
      </c>
      <c r="T55" s="249" t="e">
        <f>'Alternative 1-Tilt Up (3pt)'!$AX55/1000000</f>
        <v>#VALUE!</v>
      </c>
      <c r="U55" s="249" t="e">
        <f>'Alternative 1-Tilt Up (3pt)'!$BD55/1000000</f>
        <v>#VALUE!</v>
      </c>
      <c r="V55" s="249" t="e">
        <f>'Alternative 1-Tilt Up (3pt)'!$BJ55/1000000</f>
        <v>#VALUE!</v>
      </c>
      <c r="W55" s="249" t="e">
        <f>'Alternative 1-Tilt Up (3pt)'!$BP55/1000000</f>
        <v>#VALUE!</v>
      </c>
      <c r="X55" s="249" t="e">
        <f>'Alternative 1-Tilt Up (3pt)'!$BV55/1000000</f>
        <v>#VALUE!</v>
      </c>
      <c r="Y55" s="249">
        <f>'Alternative 1'!$B$20/1.67</f>
        <v>149.70059880239521</v>
      </c>
      <c r="AA55" s="249" t="str">
        <f>'Alternative 2'!$F56</f>
        <v>x</v>
      </c>
      <c r="AB55" s="249" t="e">
        <f>'Alternative 2-Tilt Up (3pt)'!$T55/1000000</f>
        <v>#VALUE!</v>
      </c>
      <c r="AC55" s="249" t="e">
        <f>'Alternative 2-Tilt Up (3pt)'!$Z55/1000000</f>
        <v>#VALUE!</v>
      </c>
      <c r="AD55" s="249" t="e">
        <f>'Alternative 2-Tilt Up (3pt)'!$AF55/1000000</f>
        <v>#VALUE!</v>
      </c>
      <c r="AE55" s="249" t="e">
        <f>'Alternative 2-Tilt Up (3pt)'!$AL55/1000000</f>
        <v>#VALUE!</v>
      </c>
      <c r="AF55" s="249" t="e">
        <f>'Alternative 2-Tilt Up (3pt)'!$AR55/1000000</f>
        <v>#VALUE!</v>
      </c>
      <c r="AG55" s="249" t="e">
        <f>'Alternative 2-Tilt Up (3pt)'!$AX55/1000000</f>
        <v>#VALUE!</v>
      </c>
      <c r="AH55" s="249" t="e">
        <f>'Alternative 2-Tilt Up (3pt)'!$BD55/1000000</f>
        <v>#VALUE!</v>
      </c>
      <c r="AI55" s="249" t="e">
        <f>'Alternative 2-Tilt Up (3pt)'!$BJ55/1000000</f>
        <v>#VALUE!</v>
      </c>
      <c r="AJ55" s="249" t="e">
        <f>'Alternative 2-Tilt Up (3pt)'!$BP55/1000000</f>
        <v>#VALUE!</v>
      </c>
      <c r="AK55" s="249" t="e">
        <f>'Alternative 2-Tilt Up (3pt)'!$BV55/1000000</f>
        <v>#VALUE!</v>
      </c>
      <c r="AL55" s="249">
        <f>'Alternative 2'!$B$20/1.67</f>
        <v>149.70059880239521</v>
      </c>
      <c r="AN55" s="249" t="str">
        <f>'Alternative 3'!$F56</f>
        <v>x</v>
      </c>
      <c r="AO55" s="249" t="e">
        <f>'Alternative 3-Tilt Up (3pt)'!$T55/1000000</f>
        <v>#VALUE!</v>
      </c>
      <c r="AP55" s="249" t="e">
        <f>'Alternative 3-Tilt Up (3pt)'!$Z55/1000000</f>
        <v>#VALUE!</v>
      </c>
      <c r="AQ55" s="249" t="e">
        <f>'Alternative 3-Tilt Up (3pt)'!$AF55/1000000</f>
        <v>#VALUE!</v>
      </c>
      <c r="AR55" s="249" t="e">
        <f>'Alternative 3-Tilt Up (3pt)'!$AL55/1000000</f>
        <v>#VALUE!</v>
      </c>
      <c r="AS55" s="249" t="e">
        <f>'Alternative 3-Tilt Up (3pt)'!$AR55/1000000</f>
        <v>#VALUE!</v>
      </c>
      <c r="AT55" s="249" t="e">
        <f>'Alternative 3-Tilt Up (3pt)'!$AX55/1000000</f>
        <v>#VALUE!</v>
      </c>
      <c r="AU55" s="249" t="e">
        <f>'Alternative 3-Tilt Up (3pt)'!$BD55/1000000</f>
        <v>#VALUE!</v>
      </c>
      <c r="AV55" s="249" t="e">
        <f>'Alternative 3-Tilt Up (3pt)'!$BJ55/1000000</f>
        <v>#VALUE!</v>
      </c>
      <c r="AW55" s="249" t="e">
        <f>'Alternative 3-Tilt Up (3pt)'!$BP55/1000000</f>
        <v>#VALUE!</v>
      </c>
      <c r="AX55" s="249" t="e">
        <f>'Alternative 3-Tilt Up (3pt)'!$BV55/1000000</f>
        <v>#VALUE!</v>
      </c>
      <c r="AY55" s="249">
        <f>'Alternative 3'!$B$20/1.67</f>
        <v>149.70059880239521</v>
      </c>
    </row>
    <row r="56" spans="1:51" x14ac:dyDescent="0.25">
      <c r="A56" s="249">
        <f>'Baseline Given'!E57</f>
        <v>54</v>
      </c>
      <c r="B56" s="249">
        <f>'Baseline-tilt up (3 pt)'!T56/1000000</f>
        <v>13.779932751073224</v>
      </c>
      <c r="C56" s="249">
        <f>'Baseline-tilt up (3 pt)'!Z56/1000000</f>
        <v>13.578856481723998</v>
      </c>
      <c r="D56" s="249">
        <f>'Baseline-tilt up (3 pt)'!AF56/1000000</f>
        <v>12.95679404996395</v>
      </c>
      <c r="E56" s="249">
        <f>'Baseline-tilt up (3 pt)'!AL56/1000000</f>
        <v>11.941045987449888</v>
      </c>
      <c r="F56" s="249">
        <f>'Baseline-tilt up (3 pt)'!AR56/1000000</f>
        <v>10.562475285067988</v>
      </c>
      <c r="G56" s="249">
        <f>'Baseline-tilt up (3 pt)'!AX56/1000000</f>
        <v>8.8629691160196842</v>
      </c>
      <c r="H56" s="249">
        <f>'Baseline-tilt up (3 pt)'!BD56/1000000</f>
        <v>6.894166115259897</v>
      </c>
      <c r="I56" s="249">
        <f>'Baseline-tilt up (3 pt)'!BJ56/1000000</f>
        <v>4.715887365704317</v>
      </c>
      <c r="J56" s="249">
        <f>'Baseline-tilt up (3 pt)'!BP56/1000000</f>
        <v>2.3943187648959636</v>
      </c>
      <c r="K56" s="249">
        <f>'Baseline-tilt up (3 pt)'!BV56/1000000</f>
        <v>8.4463769639940224E-16</v>
      </c>
      <c r="L56" s="249">
        <f>'Baseline Given'!$B$21/1.67</f>
        <v>149.70059880239521</v>
      </c>
      <c r="N56" s="249" t="str">
        <f>'Alternative 1'!$F57</f>
        <v>x</v>
      </c>
      <c r="O56" s="249" t="e">
        <f>'Alternative 1-Tilt Up (3pt)'!$T56/1000000</f>
        <v>#VALUE!</v>
      </c>
      <c r="P56" s="249" t="e">
        <f>'Alternative 1-Tilt Up (3pt)'!$Z56/1000000</f>
        <v>#VALUE!</v>
      </c>
      <c r="Q56" s="249" t="e">
        <f>'Alternative 1-Tilt Up (3pt)'!$AF56/1000000</f>
        <v>#VALUE!</v>
      </c>
      <c r="R56" s="249" t="e">
        <f>'Alternative 1-Tilt Up (3pt)'!$AL56/1000000</f>
        <v>#VALUE!</v>
      </c>
      <c r="S56" s="249" t="e">
        <f>'Alternative 1-Tilt Up (3pt)'!$AR56/1000000</f>
        <v>#VALUE!</v>
      </c>
      <c r="T56" s="249" t="e">
        <f>'Alternative 1-Tilt Up (3pt)'!$AX56/1000000</f>
        <v>#VALUE!</v>
      </c>
      <c r="U56" s="249" t="e">
        <f>'Alternative 1-Tilt Up (3pt)'!$BD56/1000000</f>
        <v>#VALUE!</v>
      </c>
      <c r="V56" s="249" t="e">
        <f>'Alternative 1-Tilt Up (3pt)'!$BJ56/1000000</f>
        <v>#VALUE!</v>
      </c>
      <c r="W56" s="249" t="e">
        <f>'Alternative 1-Tilt Up (3pt)'!$BP56/1000000</f>
        <v>#VALUE!</v>
      </c>
      <c r="X56" s="249" t="e">
        <f>'Alternative 1-Tilt Up (3pt)'!$BV56/1000000</f>
        <v>#VALUE!</v>
      </c>
      <c r="Y56" s="249">
        <f>'Alternative 1'!$B$20/1.67</f>
        <v>149.70059880239521</v>
      </c>
      <c r="AA56" s="249" t="str">
        <f>'Alternative 2'!$F57</f>
        <v>x</v>
      </c>
      <c r="AB56" s="249" t="e">
        <f>'Alternative 2-Tilt Up (3pt)'!$T56/1000000</f>
        <v>#VALUE!</v>
      </c>
      <c r="AC56" s="249" t="e">
        <f>'Alternative 2-Tilt Up (3pt)'!$Z56/1000000</f>
        <v>#VALUE!</v>
      </c>
      <c r="AD56" s="249" t="e">
        <f>'Alternative 2-Tilt Up (3pt)'!$AF56/1000000</f>
        <v>#VALUE!</v>
      </c>
      <c r="AE56" s="249" t="e">
        <f>'Alternative 2-Tilt Up (3pt)'!$AL56/1000000</f>
        <v>#VALUE!</v>
      </c>
      <c r="AF56" s="249" t="e">
        <f>'Alternative 2-Tilt Up (3pt)'!$AR56/1000000</f>
        <v>#VALUE!</v>
      </c>
      <c r="AG56" s="249" t="e">
        <f>'Alternative 2-Tilt Up (3pt)'!$AX56/1000000</f>
        <v>#VALUE!</v>
      </c>
      <c r="AH56" s="249" t="e">
        <f>'Alternative 2-Tilt Up (3pt)'!$BD56/1000000</f>
        <v>#VALUE!</v>
      </c>
      <c r="AI56" s="249" t="e">
        <f>'Alternative 2-Tilt Up (3pt)'!$BJ56/1000000</f>
        <v>#VALUE!</v>
      </c>
      <c r="AJ56" s="249" t="e">
        <f>'Alternative 2-Tilt Up (3pt)'!$BP56/1000000</f>
        <v>#VALUE!</v>
      </c>
      <c r="AK56" s="249" t="e">
        <f>'Alternative 2-Tilt Up (3pt)'!$BV56/1000000</f>
        <v>#VALUE!</v>
      </c>
      <c r="AL56" s="249">
        <f>'Alternative 2'!$B$20/1.67</f>
        <v>149.70059880239521</v>
      </c>
      <c r="AN56" s="249" t="str">
        <f>'Alternative 3'!$F57</f>
        <v>x</v>
      </c>
      <c r="AO56" s="249" t="e">
        <f>'Alternative 3-Tilt Up (3pt)'!$T56/1000000</f>
        <v>#VALUE!</v>
      </c>
      <c r="AP56" s="249" t="e">
        <f>'Alternative 3-Tilt Up (3pt)'!$Z56/1000000</f>
        <v>#VALUE!</v>
      </c>
      <c r="AQ56" s="249" t="e">
        <f>'Alternative 3-Tilt Up (3pt)'!$AF56/1000000</f>
        <v>#VALUE!</v>
      </c>
      <c r="AR56" s="249" t="e">
        <f>'Alternative 3-Tilt Up (3pt)'!$AL56/1000000</f>
        <v>#VALUE!</v>
      </c>
      <c r="AS56" s="249" t="e">
        <f>'Alternative 3-Tilt Up (3pt)'!$AR56/1000000</f>
        <v>#VALUE!</v>
      </c>
      <c r="AT56" s="249" t="e">
        <f>'Alternative 3-Tilt Up (3pt)'!$AX56/1000000</f>
        <v>#VALUE!</v>
      </c>
      <c r="AU56" s="249" t="e">
        <f>'Alternative 3-Tilt Up (3pt)'!$BD56/1000000</f>
        <v>#VALUE!</v>
      </c>
      <c r="AV56" s="249" t="e">
        <f>'Alternative 3-Tilt Up (3pt)'!$BJ56/1000000</f>
        <v>#VALUE!</v>
      </c>
      <c r="AW56" s="249" t="e">
        <f>'Alternative 3-Tilt Up (3pt)'!$BP56/1000000</f>
        <v>#VALUE!</v>
      </c>
      <c r="AX56" s="249" t="e">
        <f>'Alternative 3-Tilt Up (3pt)'!$BV56/1000000</f>
        <v>#VALUE!</v>
      </c>
      <c r="AY56" s="249">
        <f>'Alternative 3'!$B$20/1.67</f>
        <v>149.70059880239521</v>
      </c>
    </row>
    <row r="57" spans="1:51" x14ac:dyDescent="0.25">
      <c r="A57" s="249">
        <f>'Baseline Given'!E58</f>
        <v>55</v>
      </c>
      <c r="B57" s="249">
        <f>'Baseline-tilt up (3 pt)'!T57/1000000</f>
        <v>11.999837029694875</v>
      </c>
      <c r="C57" s="249">
        <f>'Baseline-tilt up (3 pt)'!Z57/1000000</f>
        <v>11.824735851313449</v>
      </c>
      <c r="D57" s="249">
        <f>'Baseline-tilt up (3 pt)'!AF57/1000000</f>
        <v>11.283031625446679</v>
      </c>
      <c r="E57" s="249">
        <f>'Baseline-tilt up (3 pt)'!AL57/1000000</f>
        <v>10.398498193130203</v>
      </c>
      <c r="F57" s="249">
        <f>'Baseline-tilt up (3 pt)'!AR57/1000000</f>
        <v>9.198011655109438</v>
      </c>
      <c r="G57" s="249">
        <f>'Baseline-tilt up (3 pt)'!AX57/1000000</f>
        <v>7.7180481873666524</v>
      </c>
      <c r="H57" s="249">
        <f>'Baseline-tilt up (3 pt)'!BD57/1000000</f>
        <v>6.0035757309715594</v>
      </c>
      <c r="I57" s="249">
        <f>'Baseline-tilt up (3 pt)'!BJ57/1000000</f>
        <v>4.1066876639467988</v>
      </c>
      <c r="J57" s="249">
        <f>'Baseline-tilt up (3 pt)'!BP57/1000000</f>
        <v>2.0850199703372416</v>
      </c>
      <c r="K57" s="249">
        <f>'Baseline-tilt up (3 pt)'!BV57/1000000</f>
        <v>7.355271530726694E-16</v>
      </c>
      <c r="L57" s="249">
        <f>'Baseline Given'!$B$21/1.67</f>
        <v>149.70059880239521</v>
      </c>
      <c r="N57" s="249" t="str">
        <f>'Alternative 1'!$F58</f>
        <v>x</v>
      </c>
      <c r="O57" s="249" t="e">
        <f>'Alternative 1-Tilt Up (3pt)'!$T57/1000000</f>
        <v>#VALUE!</v>
      </c>
      <c r="P57" s="249" t="e">
        <f>'Alternative 1-Tilt Up (3pt)'!$Z57/1000000</f>
        <v>#VALUE!</v>
      </c>
      <c r="Q57" s="249" t="e">
        <f>'Alternative 1-Tilt Up (3pt)'!$AF57/1000000</f>
        <v>#VALUE!</v>
      </c>
      <c r="R57" s="249" t="e">
        <f>'Alternative 1-Tilt Up (3pt)'!$AL57/1000000</f>
        <v>#VALUE!</v>
      </c>
      <c r="S57" s="249" t="e">
        <f>'Alternative 1-Tilt Up (3pt)'!$AR57/1000000</f>
        <v>#VALUE!</v>
      </c>
      <c r="T57" s="249" t="e">
        <f>'Alternative 1-Tilt Up (3pt)'!$AX57/1000000</f>
        <v>#VALUE!</v>
      </c>
      <c r="U57" s="249" t="e">
        <f>'Alternative 1-Tilt Up (3pt)'!$BD57/1000000</f>
        <v>#VALUE!</v>
      </c>
      <c r="V57" s="249" t="e">
        <f>'Alternative 1-Tilt Up (3pt)'!$BJ57/1000000</f>
        <v>#VALUE!</v>
      </c>
      <c r="W57" s="249" t="e">
        <f>'Alternative 1-Tilt Up (3pt)'!$BP57/1000000</f>
        <v>#VALUE!</v>
      </c>
      <c r="X57" s="249" t="e">
        <f>'Alternative 1-Tilt Up (3pt)'!$BV57/1000000</f>
        <v>#VALUE!</v>
      </c>
      <c r="Y57" s="249">
        <f>'Alternative 1'!$B$20/1.67</f>
        <v>149.70059880239521</v>
      </c>
      <c r="AA57" s="249" t="str">
        <f>'Alternative 2'!$F58</f>
        <v>x</v>
      </c>
      <c r="AB57" s="249" t="e">
        <f>'Alternative 2-Tilt Up (3pt)'!$T57/1000000</f>
        <v>#VALUE!</v>
      </c>
      <c r="AC57" s="249" t="e">
        <f>'Alternative 2-Tilt Up (3pt)'!$Z57/1000000</f>
        <v>#VALUE!</v>
      </c>
      <c r="AD57" s="249" t="e">
        <f>'Alternative 2-Tilt Up (3pt)'!$AF57/1000000</f>
        <v>#VALUE!</v>
      </c>
      <c r="AE57" s="249" t="e">
        <f>'Alternative 2-Tilt Up (3pt)'!$AL57/1000000</f>
        <v>#VALUE!</v>
      </c>
      <c r="AF57" s="249" t="e">
        <f>'Alternative 2-Tilt Up (3pt)'!$AR57/1000000</f>
        <v>#VALUE!</v>
      </c>
      <c r="AG57" s="249" t="e">
        <f>'Alternative 2-Tilt Up (3pt)'!$AX57/1000000</f>
        <v>#VALUE!</v>
      </c>
      <c r="AH57" s="249" t="e">
        <f>'Alternative 2-Tilt Up (3pt)'!$BD57/1000000</f>
        <v>#VALUE!</v>
      </c>
      <c r="AI57" s="249" t="e">
        <f>'Alternative 2-Tilt Up (3pt)'!$BJ57/1000000</f>
        <v>#VALUE!</v>
      </c>
      <c r="AJ57" s="249" t="e">
        <f>'Alternative 2-Tilt Up (3pt)'!$BP57/1000000</f>
        <v>#VALUE!</v>
      </c>
      <c r="AK57" s="249" t="e">
        <f>'Alternative 2-Tilt Up (3pt)'!$BV57/1000000</f>
        <v>#VALUE!</v>
      </c>
      <c r="AL57" s="249">
        <f>'Alternative 2'!$B$20/1.67</f>
        <v>149.70059880239521</v>
      </c>
      <c r="AN57" s="249" t="str">
        <f>'Alternative 3'!$F58</f>
        <v>x</v>
      </c>
      <c r="AO57" s="249" t="e">
        <f>'Alternative 3-Tilt Up (3pt)'!$T57/1000000</f>
        <v>#VALUE!</v>
      </c>
      <c r="AP57" s="249" t="e">
        <f>'Alternative 3-Tilt Up (3pt)'!$Z57/1000000</f>
        <v>#VALUE!</v>
      </c>
      <c r="AQ57" s="249" t="e">
        <f>'Alternative 3-Tilt Up (3pt)'!$AF57/1000000</f>
        <v>#VALUE!</v>
      </c>
      <c r="AR57" s="249" t="e">
        <f>'Alternative 3-Tilt Up (3pt)'!$AL57/1000000</f>
        <v>#VALUE!</v>
      </c>
      <c r="AS57" s="249" t="e">
        <f>'Alternative 3-Tilt Up (3pt)'!$AR57/1000000</f>
        <v>#VALUE!</v>
      </c>
      <c r="AT57" s="249" t="e">
        <f>'Alternative 3-Tilt Up (3pt)'!$AX57/1000000</f>
        <v>#VALUE!</v>
      </c>
      <c r="AU57" s="249" t="e">
        <f>'Alternative 3-Tilt Up (3pt)'!$BD57/1000000</f>
        <v>#VALUE!</v>
      </c>
      <c r="AV57" s="249" t="e">
        <f>'Alternative 3-Tilt Up (3pt)'!$BJ57/1000000</f>
        <v>#VALUE!</v>
      </c>
      <c r="AW57" s="249" t="e">
        <f>'Alternative 3-Tilt Up (3pt)'!$BP57/1000000</f>
        <v>#VALUE!</v>
      </c>
      <c r="AX57" s="249" t="e">
        <f>'Alternative 3-Tilt Up (3pt)'!$BV57/1000000</f>
        <v>#VALUE!</v>
      </c>
      <c r="AY57" s="249">
        <f>'Alternative 3'!$B$20/1.67</f>
        <v>149.70059880239521</v>
      </c>
    </row>
    <row r="58" spans="1:51" x14ac:dyDescent="0.25">
      <c r="A58" s="249">
        <f>'Baseline Given'!E59</f>
        <v>56</v>
      </c>
      <c r="B58" s="249">
        <f>'Baseline-tilt up (3 pt)'!T58/1000000</f>
        <v>10.327416801232539</v>
      </c>
      <c r="C58" s="249">
        <f>'Baseline-tilt up (3 pt)'!Z58/1000000</f>
        <v>10.176719517006344</v>
      </c>
      <c r="D58" s="249">
        <f>'Baseline-tilt up (3 pt)'!AF58/1000000</f>
        <v>9.7105127418917156</v>
      </c>
      <c r="E58" s="249">
        <f>'Baseline-tilt up (3 pt)'!AL58/1000000</f>
        <v>8.9492569508712467</v>
      </c>
      <c r="F58" s="249">
        <f>'Baseline-tilt up (3 pt)'!AR58/1000000</f>
        <v>7.9160825159410777</v>
      </c>
      <c r="G58" s="249">
        <f>'Baseline-tilt up (3 pt)'!AX58/1000000</f>
        <v>6.6423819194950742</v>
      </c>
      <c r="H58" s="249">
        <f>'Baseline-tilt up (3 pt)'!BD58/1000000</f>
        <v>5.1668559096326447</v>
      </c>
      <c r="I58" s="249">
        <f>'Baseline-tilt up (3 pt)'!BJ58/1000000</f>
        <v>3.534337597511271</v>
      </c>
      <c r="J58" s="249">
        <f>'Baseline-tilt up (3 pt)'!BP58/1000000</f>
        <v>1.7944302259506373</v>
      </c>
      <c r="K58" s="249">
        <f>'Baseline-tilt up (3 pt)'!BV58/1000000</f>
        <v>6.3301655344219062E-16</v>
      </c>
      <c r="L58" s="249">
        <f>'Baseline Given'!$B$21/1.67</f>
        <v>149.70059880239521</v>
      </c>
      <c r="N58" s="249" t="str">
        <f>'Alternative 1'!$F59</f>
        <v>x</v>
      </c>
      <c r="O58" s="249" t="e">
        <f>'Alternative 1-Tilt Up (3pt)'!$T58/1000000</f>
        <v>#VALUE!</v>
      </c>
      <c r="P58" s="249" t="e">
        <f>'Alternative 1-Tilt Up (3pt)'!$Z58/1000000</f>
        <v>#VALUE!</v>
      </c>
      <c r="Q58" s="249" t="e">
        <f>'Alternative 1-Tilt Up (3pt)'!$AF58/1000000</f>
        <v>#VALUE!</v>
      </c>
      <c r="R58" s="249" t="e">
        <f>'Alternative 1-Tilt Up (3pt)'!$AL58/1000000</f>
        <v>#VALUE!</v>
      </c>
      <c r="S58" s="249" t="e">
        <f>'Alternative 1-Tilt Up (3pt)'!$AR58/1000000</f>
        <v>#VALUE!</v>
      </c>
      <c r="T58" s="249" t="e">
        <f>'Alternative 1-Tilt Up (3pt)'!$AX58/1000000</f>
        <v>#VALUE!</v>
      </c>
      <c r="U58" s="249" t="e">
        <f>'Alternative 1-Tilt Up (3pt)'!$BD58/1000000</f>
        <v>#VALUE!</v>
      </c>
      <c r="V58" s="249" t="e">
        <f>'Alternative 1-Tilt Up (3pt)'!$BJ58/1000000</f>
        <v>#VALUE!</v>
      </c>
      <c r="W58" s="249" t="e">
        <f>'Alternative 1-Tilt Up (3pt)'!$BP58/1000000</f>
        <v>#VALUE!</v>
      </c>
      <c r="X58" s="249" t="e">
        <f>'Alternative 1-Tilt Up (3pt)'!$BV58/1000000</f>
        <v>#VALUE!</v>
      </c>
      <c r="Y58" s="249">
        <f>'Alternative 1'!$B$20/1.67</f>
        <v>149.70059880239521</v>
      </c>
      <c r="AA58" s="249" t="str">
        <f>'Alternative 2'!$F59</f>
        <v>x</v>
      </c>
      <c r="AB58" s="249" t="e">
        <f>'Alternative 2-Tilt Up (3pt)'!$T58/1000000</f>
        <v>#VALUE!</v>
      </c>
      <c r="AC58" s="249" t="e">
        <f>'Alternative 2-Tilt Up (3pt)'!$Z58/1000000</f>
        <v>#VALUE!</v>
      </c>
      <c r="AD58" s="249" t="e">
        <f>'Alternative 2-Tilt Up (3pt)'!$AF58/1000000</f>
        <v>#VALUE!</v>
      </c>
      <c r="AE58" s="249" t="e">
        <f>'Alternative 2-Tilt Up (3pt)'!$AL58/1000000</f>
        <v>#VALUE!</v>
      </c>
      <c r="AF58" s="249" t="e">
        <f>'Alternative 2-Tilt Up (3pt)'!$AR58/1000000</f>
        <v>#VALUE!</v>
      </c>
      <c r="AG58" s="249" t="e">
        <f>'Alternative 2-Tilt Up (3pt)'!$AX58/1000000</f>
        <v>#VALUE!</v>
      </c>
      <c r="AH58" s="249" t="e">
        <f>'Alternative 2-Tilt Up (3pt)'!$BD58/1000000</f>
        <v>#VALUE!</v>
      </c>
      <c r="AI58" s="249" t="e">
        <f>'Alternative 2-Tilt Up (3pt)'!$BJ58/1000000</f>
        <v>#VALUE!</v>
      </c>
      <c r="AJ58" s="249" t="e">
        <f>'Alternative 2-Tilt Up (3pt)'!$BP58/1000000</f>
        <v>#VALUE!</v>
      </c>
      <c r="AK58" s="249" t="e">
        <f>'Alternative 2-Tilt Up (3pt)'!$BV58/1000000</f>
        <v>#VALUE!</v>
      </c>
      <c r="AL58" s="249">
        <f>'Alternative 2'!$B$20/1.67</f>
        <v>149.70059880239521</v>
      </c>
      <c r="AN58" s="249" t="str">
        <f>'Alternative 3'!$F59</f>
        <v>x</v>
      </c>
      <c r="AO58" s="249" t="e">
        <f>'Alternative 3-Tilt Up (3pt)'!$T58/1000000</f>
        <v>#VALUE!</v>
      </c>
      <c r="AP58" s="249" t="e">
        <f>'Alternative 3-Tilt Up (3pt)'!$Z58/1000000</f>
        <v>#VALUE!</v>
      </c>
      <c r="AQ58" s="249" t="e">
        <f>'Alternative 3-Tilt Up (3pt)'!$AF58/1000000</f>
        <v>#VALUE!</v>
      </c>
      <c r="AR58" s="249" t="e">
        <f>'Alternative 3-Tilt Up (3pt)'!$AL58/1000000</f>
        <v>#VALUE!</v>
      </c>
      <c r="AS58" s="249" t="e">
        <f>'Alternative 3-Tilt Up (3pt)'!$AR58/1000000</f>
        <v>#VALUE!</v>
      </c>
      <c r="AT58" s="249" t="e">
        <f>'Alternative 3-Tilt Up (3pt)'!$AX58/1000000</f>
        <v>#VALUE!</v>
      </c>
      <c r="AU58" s="249" t="e">
        <f>'Alternative 3-Tilt Up (3pt)'!$BD58/1000000</f>
        <v>#VALUE!</v>
      </c>
      <c r="AV58" s="249" t="e">
        <f>'Alternative 3-Tilt Up (3pt)'!$BJ58/1000000</f>
        <v>#VALUE!</v>
      </c>
      <c r="AW58" s="249" t="e">
        <f>'Alternative 3-Tilt Up (3pt)'!$BP58/1000000</f>
        <v>#VALUE!</v>
      </c>
      <c r="AX58" s="249" t="e">
        <f>'Alternative 3-Tilt Up (3pt)'!$BV58/1000000</f>
        <v>#VALUE!</v>
      </c>
      <c r="AY58" s="249">
        <f>'Alternative 3'!$B$20/1.67</f>
        <v>149.70059880239521</v>
      </c>
    </row>
    <row r="59" spans="1:51" x14ac:dyDescent="0.25">
      <c r="A59" s="249">
        <f>'Baseline Given'!E60</f>
        <v>57</v>
      </c>
      <c r="B59" s="249">
        <f>'Baseline-tilt up (3 pt)'!T59/1000000</f>
        <v>8.7659496737005735</v>
      </c>
      <c r="C59" s="249">
        <f>'Baseline-tilt up (3 pt)'!Z59/1000000</f>
        <v>8.6380372600820454</v>
      </c>
      <c r="D59" s="249">
        <f>'Baseline-tilt up (3 pt)'!AF59/1000000</f>
        <v>8.2423192207263245</v>
      </c>
      <c r="E59" s="249">
        <f>'Baseline-tilt up (3 pt)'!AL59/1000000</f>
        <v>7.5961624826636056</v>
      </c>
      <c r="F59" s="249">
        <f>'Baseline-tilt up (3 pt)'!AR59/1000000</f>
        <v>6.7192001914088353</v>
      </c>
      <c r="G59" s="249">
        <f>'Baseline-tilt up (3 pt)'!AX59/1000000</f>
        <v>5.6380784024174631</v>
      </c>
      <c r="H59" s="249">
        <f>'Baseline-tilt up (3 pt)'!BD59/1000000</f>
        <v>4.385646454173969</v>
      </c>
      <c r="I59" s="249">
        <f>'Baseline-tilt up (3 pt)'!BJ59/1000000</f>
        <v>2.9999588576645837</v>
      </c>
      <c r="J59" s="249">
        <f>'Baseline-tilt up (3 pt)'!BP59/1000000</f>
        <v>1.5231190293174892</v>
      </c>
      <c r="K59" s="249">
        <f>'Baseline-tilt up (3 pt)'!BV59/1000000</f>
        <v>5.3730679771067056E-16</v>
      </c>
      <c r="L59" s="249">
        <f>'Baseline Given'!$B$21/1.67</f>
        <v>149.70059880239521</v>
      </c>
      <c r="N59" s="249" t="str">
        <f>'Alternative 1'!$F60</f>
        <v>x</v>
      </c>
      <c r="O59" s="249" t="e">
        <f>'Alternative 1-Tilt Up (3pt)'!$T59/1000000</f>
        <v>#VALUE!</v>
      </c>
      <c r="P59" s="249" t="e">
        <f>'Alternative 1-Tilt Up (3pt)'!$Z59/1000000</f>
        <v>#VALUE!</v>
      </c>
      <c r="Q59" s="249" t="e">
        <f>'Alternative 1-Tilt Up (3pt)'!$AF59/1000000</f>
        <v>#VALUE!</v>
      </c>
      <c r="R59" s="249" t="e">
        <f>'Alternative 1-Tilt Up (3pt)'!$AL59/1000000</f>
        <v>#VALUE!</v>
      </c>
      <c r="S59" s="249" t="e">
        <f>'Alternative 1-Tilt Up (3pt)'!$AR59/1000000</f>
        <v>#VALUE!</v>
      </c>
      <c r="T59" s="249" t="e">
        <f>'Alternative 1-Tilt Up (3pt)'!$AX59/1000000</f>
        <v>#VALUE!</v>
      </c>
      <c r="U59" s="249" t="e">
        <f>'Alternative 1-Tilt Up (3pt)'!$BD59/1000000</f>
        <v>#VALUE!</v>
      </c>
      <c r="V59" s="249" t="e">
        <f>'Alternative 1-Tilt Up (3pt)'!$BJ59/1000000</f>
        <v>#VALUE!</v>
      </c>
      <c r="W59" s="249" t="e">
        <f>'Alternative 1-Tilt Up (3pt)'!$BP59/1000000</f>
        <v>#VALUE!</v>
      </c>
      <c r="X59" s="249" t="e">
        <f>'Alternative 1-Tilt Up (3pt)'!$BV59/1000000</f>
        <v>#VALUE!</v>
      </c>
      <c r="Y59" s="249">
        <f>'Alternative 1'!$B$20/1.67</f>
        <v>149.70059880239521</v>
      </c>
      <c r="AA59" s="249" t="str">
        <f>'Alternative 2'!$F60</f>
        <v>x</v>
      </c>
      <c r="AB59" s="249" t="e">
        <f>'Alternative 2-Tilt Up (3pt)'!$T59/1000000</f>
        <v>#VALUE!</v>
      </c>
      <c r="AC59" s="249" t="e">
        <f>'Alternative 2-Tilt Up (3pt)'!$Z59/1000000</f>
        <v>#VALUE!</v>
      </c>
      <c r="AD59" s="249" t="e">
        <f>'Alternative 2-Tilt Up (3pt)'!$AF59/1000000</f>
        <v>#VALUE!</v>
      </c>
      <c r="AE59" s="249" t="e">
        <f>'Alternative 2-Tilt Up (3pt)'!$AL59/1000000</f>
        <v>#VALUE!</v>
      </c>
      <c r="AF59" s="249" t="e">
        <f>'Alternative 2-Tilt Up (3pt)'!$AR59/1000000</f>
        <v>#VALUE!</v>
      </c>
      <c r="AG59" s="249" t="e">
        <f>'Alternative 2-Tilt Up (3pt)'!$AX59/1000000</f>
        <v>#VALUE!</v>
      </c>
      <c r="AH59" s="249" t="e">
        <f>'Alternative 2-Tilt Up (3pt)'!$BD59/1000000</f>
        <v>#VALUE!</v>
      </c>
      <c r="AI59" s="249" t="e">
        <f>'Alternative 2-Tilt Up (3pt)'!$BJ59/1000000</f>
        <v>#VALUE!</v>
      </c>
      <c r="AJ59" s="249" t="e">
        <f>'Alternative 2-Tilt Up (3pt)'!$BP59/1000000</f>
        <v>#VALUE!</v>
      </c>
      <c r="AK59" s="249" t="e">
        <f>'Alternative 2-Tilt Up (3pt)'!$BV59/1000000</f>
        <v>#VALUE!</v>
      </c>
      <c r="AL59" s="249">
        <f>'Alternative 2'!$B$20/1.67</f>
        <v>149.70059880239521</v>
      </c>
      <c r="AN59" s="249" t="str">
        <f>'Alternative 3'!$F60</f>
        <v>x</v>
      </c>
      <c r="AO59" s="249" t="e">
        <f>'Alternative 3-Tilt Up (3pt)'!$T59/1000000</f>
        <v>#VALUE!</v>
      </c>
      <c r="AP59" s="249" t="e">
        <f>'Alternative 3-Tilt Up (3pt)'!$Z59/1000000</f>
        <v>#VALUE!</v>
      </c>
      <c r="AQ59" s="249" t="e">
        <f>'Alternative 3-Tilt Up (3pt)'!$AF59/1000000</f>
        <v>#VALUE!</v>
      </c>
      <c r="AR59" s="249" t="e">
        <f>'Alternative 3-Tilt Up (3pt)'!$AL59/1000000</f>
        <v>#VALUE!</v>
      </c>
      <c r="AS59" s="249" t="e">
        <f>'Alternative 3-Tilt Up (3pt)'!$AR59/1000000</f>
        <v>#VALUE!</v>
      </c>
      <c r="AT59" s="249" t="e">
        <f>'Alternative 3-Tilt Up (3pt)'!$AX59/1000000</f>
        <v>#VALUE!</v>
      </c>
      <c r="AU59" s="249" t="e">
        <f>'Alternative 3-Tilt Up (3pt)'!$BD59/1000000</f>
        <v>#VALUE!</v>
      </c>
      <c r="AV59" s="249" t="e">
        <f>'Alternative 3-Tilt Up (3pt)'!$BJ59/1000000</f>
        <v>#VALUE!</v>
      </c>
      <c r="AW59" s="249" t="e">
        <f>'Alternative 3-Tilt Up (3pt)'!$BP59/1000000</f>
        <v>#VALUE!</v>
      </c>
      <c r="AX59" s="249" t="e">
        <f>'Alternative 3-Tilt Up (3pt)'!$BV59/1000000</f>
        <v>#VALUE!</v>
      </c>
      <c r="AY59" s="249">
        <f>'Alternative 3'!$B$20/1.67</f>
        <v>149.70059880239521</v>
      </c>
    </row>
    <row r="60" spans="1:51" x14ac:dyDescent="0.25">
      <c r="A60" s="249">
        <f>'Baseline Given'!E61</f>
        <v>58</v>
      </c>
      <c r="B60" s="249">
        <f>'Baseline-tilt up (3 pt)'!T60/1000000</f>
        <v>7.3188476445080006</v>
      </c>
      <c r="C60" s="249">
        <f>'Baseline-tilt up (3 pt)'!Z60/1000000</f>
        <v>7.2120512902095069</v>
      </c>
      <c r="D60" s="249">
        <f>'Baseline-tilt up (3 pt)'!AF60/1000000</f>
        <v>6.8816592450763849</v>
      </c>
      <c r="E60" s="249">
        <f>'Baseline-tilt up (3 pt)'!AL60/1000000</f>
        <v>6.3421714660692192</v>
      </c>
      <c r="F60" s="249">
        <f>'Baseline-tilt up (3 pt)'!AR60/1000000</f>
        <v>5.6099800163591533</v>
      </c>
      <c r="G60" s="249">
        <f>'Baseline-tilt up (3 pt)'!AX60/1000000</f>
        <v>4.7073321626388767</v>
      </c>
      <c r="H60" s="249">
        <f>'Baseline-tilt up (3 pt)'!BD60/1000000</f>
        <v>3.6616544031818288</v>
      </c>
      <c r="I60" s="249">
        <f>'Baseline-tilt up (3 pt)'!BJ60/1000000</f>
        <v>2.5047191275706298</v>
      </c>
      <c r="J60" s="249">
        <f>'Baseline-tilt up (3 pt)'!BP60/1000000</f>
        <v>1.2716792287172318</v>
      </c>
      <c r="K60" s="249">
        <f>'Baseline-tilt up (3 pt)'!BV60/1000000</f>
        <v>4.486070234467561E-16</v>
      </c>
      <c r="L60" s="249">
        <f>'Baseline Given'!$B$21/1.67</f>
        <v>149.70059880239521</v>
      </c>
      <c r="N60" s="249" t="str">
        <f>'Alternative 1'!$F61</f>
        <v>x</v>
      </c>
      <c r="O60" s="249" t="e">
        <f>'Alternative 1-Tilt Up (3pt)'!$T60/1000000</f>
        <v>#VALUE!</v>
      </c>
      <c r="P60" s="249" t="e">
        <f>'Alternative 1-Tilt Up (3pt)'!$Z60/1000000</f>
        <v>#VALUE!</v>
      </c>
      <c r="Q60" s="249" t="e">
        <f>'Alternative 1-Tilt Up (3pt)'!$AF60/1000000</f>
        <v>#VALUE!</v>
      </c>
      <c r="R60" s="249" t="e">
        <f>'Alternative 1-Tilt Up (3pt)'!$AL60/1000000</f>
        <v>#VALUE!</v>
      </c>
      <c r="S60" s="249" t="e">
        <f>'Alternative 1-Tilt Up (3pt)'!$AR60/1000000</f>
        <v>#VALUE!</v>
      </c>
      <c r="T60" s="249" t="e">
        <f>'Alternative 1-Tilt Up (3pt)'!$AX60/1000000</f>
        <v>#VALUE!</v>
      </c>
      <c r="U60" s="249" t="e">
        <f>'Alternative 1-Tilt Up (3pt)'!$BD60/1000000</f>
        <v>#VALUE!</v>
      </c>
      <c r="V60" s="249" t="e">
        <f>'Alternative 1-Tilt Up (3pt)'!$BJ60/1000000</f>
        <v>#VALUE!</v>
      </c>
      <c r="W60" s="249" t="e">
        <f>'Alternative 1-Tilt Up (3pt)'!$BP60/1000000</f>
        <v>#VALUE!</v>
      </c>
      <c r="X60" s="249" t="e">
        <f>'Alternative 1-Tilt Up (3pt)'!$BV60/1000000</f>
        <v>#VALUE!</v>
      </c>
      <c r="Y60" s="249">
        <f>'Alternative 1'!$B$20/1.67</f>
        <v>149.70059880239521</v>
      </c>
      <c r="AA60" s="249" t="str">
        <f>'Alternative 2'!$F61</f>
        <v>x</v>
      </c>
      <c r="AB60" s="249" t="e">
        <f>'Alternative 2-Tilt Up (3pt)'!$T60/1000000</f>
        <v>#VALUE!</v>
      </c>
      <c r="AC60" s="249" t="e">
        <f>'Alternative 2-Tilt Up (3pt)'!$Z60/1000000</f>
        <v>#VALUE!</v>
      </c>
      <c r="AD60" s="249" t="e">
        <f>'Alternative 2-Tilt Up (3pt)'!$AF60/1000000</f>
        <v>#VALUE!</v>
      </c>
      <c r="AE60" s="249" t="e">
        <f>'Alternative 2-Tilt Up (3pt)'!$AL60/1000000</f>
        <v>#VALUE!</v>
      </c>
      <c r="AF60" s="249" t="e">
        <f>'Alternative 2-Tilt Up (3pt)'!$AR60/1000000</f>
        <v>#VALUE!</v>
      </c>
      <c r="AG60" s="249" t="e">
        <f>'Alternative 2-Tilt Up (3pt)'!$AX60/1000000</f>
        <v>#VALUE!</v>
      </c>
      <c r="AH60" s="249" t="e">
        <f>'Alternative 2-Tilt Up (3pt)'!$BD60/1000000</f>
        <v>#VALUE!</v>
      </c>
      <c r="AI60" s="249" t="e">
        <f>'Alternative 2-Tilt Up (3pt)'!$BJ60/1000000</f>
        <v>#VALUE!</v>
      </c>
      <c r="AJ60" s="249" t="e">
        <f>'Alternative 2-Tilt Up (3pt)'!$BP60/1000000</f>
        <v>#VALUE!</v>
      </c>
      <c r="AK60" s="249" t="e">
        <f>'Alternative 2-Tilt Up (3pt)'!$BV60/1000000</f>
        <v>#VALUE!</v>
      </c>
      <c r="AL60" s="249">
        <f>'Alternative 2'!$B$20/1.67</f>
        <v>149.70059880239521</v>
      </c>
      <c r="AN60" s="249" t="str">
        <f>'Alternative 3'!$F61</f>
        <v>x</v>
      </c>
      <c r="AO60" s="249" t="e">
        <f>'Alternative 3-Tilt Up (3pt)'!$T60/1000000</f>
        <v>#VALUE!</v>
      </c>
      <c r="AP60" s="249" t="e">
        <f>'Alternative 3-Tilt Up (3pt)'!$Z60/1000000</f>
        <v>#VALUE!</v>
      </c>
      <c r="AQ60" s="249" t="e">
        <f>'Alternative 3-Tilt Up (3pt)'!$AF60/1000000</f>
        <v>#VALUE!</v>
      </c>
      <c r="AR60" s="249" t="e">
        <f>'Alternative 3-Tilt Up (3pt)'!$AL60/1000000</f>
        <v>#VALUE!</v>
      </c>
      <c r="AS60" s="249" t="e">
        <f>'Alternative 3-Tilt Up (3pt)'!$AR60/1000000</f>
        <v>#VALUE!</v>
      </c>
      <c r="AT60" s="249" t="e">
        <f>'Alternative 3-Tilt Up (3pt)'!$AX60/1000000</f>
        <v>#VALUE!</v>
      </c>
      <c r="AU60" s="249" t="e">
        <f>'Alternative 3-Tilt Up (3pt)'!$BD60/1000000</f>
        <v>#VALUE!</v>
      </c>
      <c r="AV60" s="249" t="e">
        <f>'Alternative 3-Tilt Up (3pt)'!$BJ60/1000000</f>
        <v>#VALUE!</v>
      </c>
      <c r="AW60" s="249" t="e">
        <f>'Alternative 3-Tilt Up (3pt)'!$BP60/1000000</f>
        <v>#VALUE!</v>
      </c>
      <c r="AX60" s="249" t="e">
        <f>'Alternative 3-Tilt Up (3pt)'!$BV60/1000000</f>
        <v>#VALUE!</v>
      </c>
      <c r="AY60" s="249">
        <f>'Alternative 3'!$B$20/1.67</f>
        <v>149.70059880239521</v>
      </c>
    </row>
    <row r="61" spans="1:51" x14ac:dyDescent="0.25">
      <c r="A61" s="249">
        <f>'Baseline Given'!E62</f>
        <v>59</v>
      </c>
      <c r="B61" s="249">
        <f>'Baseline-tilt up (3 pt)'!T61/1000000</f>
        <v>5.9896640596331396</v>
      </c>
      <c r="C61" s="249">
        <f>'Baseline-tilt up (3 pt)'!Z61/1000000</f>
        <v>5.9022631030738726</v>
      </c>
      <c r="D61" s="249">
        <f>'Baseline-tilt up (3 pt)'!AF61/1000000</f>
        <v>5.6318739032375404</v>
      </c>
      <c r="E61" s="249">
        <f>'Baseline-tilt up (3 pt)'!AL61/1000000</f>
        <v>5.1903630647170385</v>
      </c>
      <c r="F61" s="249">
        <f>'Baseline-tilt up (3 pt)'!AR61/1000000</f>
        <v>4.5911456709255489</v>
      </c>
      <c r="G61" s="249">
        <f>'Baseline-tilt up (3 pt)'!AX61/1000000</f>
        <v>3.8524286391547946</v>
      </c>
      <c r="H61" s="249">
        <f>'Baseline-tilt up (3 pt)'!BD61/1000000</f>
        <v>2.9966575126062738</v>
      </c>
      <c r="I61" s="249">
        <f>'Baseline-tilt up (3 pt)'!BJ61/1000000</f>
        <v>2.0498344639190798</v>
      </c>
      <c r="J61" s="249">
        <f>'Baseline-tilt up (3 pt)'!BP61/1000000</f>
        <v>1.0407282323119915</v>
      </c>
      <c r="K61" s="249">
        <f>'Baseline-tilt up (3 pt)'!BV61/1000000</f>
        <v>3.6713503214598846E-16</v>
      </c>
      <c r="L61" s="249">
        <f>'Baseline Given'!$B$21/1.67</f>
        <v>149.70059880239521</v>
      </c>
      <c r="N61" s="249" t="str">
        <f>'Alternative 1'!$F62</f>
        <v>x</v>
      </c>
      <c r="O61" s="249" t="e">
        <f>'Alternative 1-Tilt Up (3pt)'!$T61/1000000</f>
        <v>#VALUE!</v>
      </c>
      <c r="P61" s="249" t="e">
        <f>'Alternative 1-Tilt Up (3pt)'!$Z61/1000000</f>
        <v>#VALUE!</v>
      </c>
      <c r="Q61" s="249" t="e">
        <f>'Alternative 1-Tilt Up (3pt)'!$AF61/1000000</f>
        <v>#VALUE!</v>
      </c>
      <c r="R61" s="249" t="e">
        <f>'Alternative 1-Tilt Up (3pt)'!$AL61/1000000</f>
        <v>#VALUE!</v>
      </c>
      <c r="S61" s="249" t="e">
        <f>'Alternative 1-Tilt Up (3pt)'!$AR61/1000000</f>
        <v>#VALUE!</v>
      </c>
      <c r="T61" s="249" t="e">
        <f>'Alternative 1-Tilt Up (3pt)'!$AX61/1000000</f>
        <v>#VALUE!</v>
      </c>
      <c r="U61" s="249" t="e">
        <f>'Alternative 1-Tilt Up (3pt)'!$BD61/1000000</f>
        <v>#VALUE!</v>
      </c>
      <c r="V61" s="249" t="e">
        <f>'Alternative 1-Tilt Up (3pt)'!$BJ61/1000000</f>
        <v>#VALUE!</v>
      </c>
      <c r="W61" s="249" t="e">
        <f>'Alternative 1-Tilt Up (3pt)'!$BP61/1000000</f>
        <v>#VALUE!</v>
      </c>
      <c r="X61" s="249" t="e">
        <f>'Alternative 1-Tilt Up (3pt)'!$BV61/1000000</f>
        <v>#VALUE!</v>
      </c>
      <c r="Y61" s="249">
        <f>'Alternative 1'!$B$20/1.67</f>
        <v>149.70059880239521</v>
      </c>
      <c r="AA61" s="249" t="str">
        <f>'Alternative 2'!$F62</f>
        <v>x</v>
      </c>
      <c r="AB61" s="249" t="e">
        <f>'Alternative 2-Tilt Up (3pt)'!$T61/1000000</f>
        <v>#VALUE!</v>
      </c>
      <c r="AC61" s="249" t="e">
        <f>'Alternative 2-Tilt Up (3pt)'!$Z61/1000000</f>
        <v>#VALUE!</v>
      </c>
      <c r="AD61" s="249" t="e">
        <f>'Alternative 2-Tilt Up (3pt)'!$AF61/1000000</f>
        <v>#VALUE!</v>
      </c>
      <c r="AE61" s="249" t="e">
        <f>'Alternative 2-Tilt Up (3pt)'!$AL61/1000000</f>
        <v>#VALUE!</v>
      </c>
      <c r="AF61" s="249" t="e">
        <f>'Alternative 2-Tilt Up (3pt)'!$AR61/1000000</f>
        <v>#VALUE!</v>
      </c>
      <c r="AG61" s="249" t="e">
        <f>'Alternative 2-Tilt Up (3pt)'!$AX61/1000000</f>
        <v>#VALUE!</v>
      </c>
      <c r="AH61" s="249" t="e">
        <f>'Alternative 2-Tilt Up (3pt)'!$BD61/1000000</f>
        <v>#VALUE!</v>
      </c>
      <c r="AI61" s="249" t="e">
        <f>'Alternative 2-Tilt Up (3pt)'!$BJ61/1000000</f>
        <v>#VALUE!</v>
      </c>
      <c r="AJ61" s="249" t="e">
        <f>'Alternative 2-Tilt Up (3pt)'!$BP61/1000000</f>
        <v>#VALUE!</v>
      </c>
      <c r="AK61" s="249" t="e">
        <f>'Alternative 2-Tilt Up (3pt)'!$BV61/1000000</f>
        <v>#VALUE!</v>
      </c>
      <c r="AL61" s="249">
        <f>'Alternative 2'!$B$20/1.67</f>
        <v>149.70059880239521</v>
      </c>
      <c r="AN61" s="249" t="str">
        <f>'Alternative 3'!$F62</f>
        <v>x</v>
      </c>
      <c r="AO61" s="249" t="e">
        <f>'Alternative 3-Tilt Up (3pt)'!$T61/1000000</f>
        <v>#VALUE!</v>
      </c>
      <c r="AP61" s="249" t="e">
        <f>'Alternative 3-Tilt Up (3pt)'!$Z61/1000000</f>
        <v>#VALUE!</v>
      </c>
      <c r="AQ61" s="249" t="e">
        <f>'Alternative 3-Tilt Up (3pt)'!$AF61/1000000</f>
        <v>#VALUE!</v>
      </c>
      <c r="AR61" s="249" t="e">
        <f>'Alternative 3-Tilt Up (3pt)'!$AL61/1000000</f>
        <v>#VALUE!</v>
      </c>
      <c r="AS61" s="249" t="e">
        <f>'Alternative 3-Tilt Up (3pt)'!$AR61/1000000</f>
        <v>#VALUE!</v>
      </c>
      <c r="AT61" s="249" t="e">
        <f>'Alternative 3-Tilt Up (3pt)'!$AX61/1000000</f>
        <v>#VALUE!</v>
      </c>
      <c r="AU61" s="249" t="e">
        <f>'Alternative 3-Tilt Up (3pt)'!$BD61/1000000</f>
        <v>#VALUE!</v>
      </c>
      <c r="AV61" s="249" t="e">
        <f>'Alternative 3-Tilt Up (3pt)'!$BJ61/1000000</f>
        <v>#VALUE!</v>
      </c>
      <c r="AW61" s="249" t="e">
        <f>'Alternative 3-Tilt Up (3pt)'!$BP61/1000000</f>
        <v>#VALUE!</v>
      </c>
      <c r="AX61" s="249" t="e">
        <f>'Alternative 3-Tilt Up (3pt)'!$BV61/1000000</f>
        <v>#VALUE!</v>
      </c>
      <c r="AY61" s="249">
        <f>'Alternative 3'!$B$20/1.67</f>
        <v>149.70059880239521</v>
      </c>
    </row>
    <row r="62" spans="1:51" x14ac:dyDescent="0.25">
      <c r="A62" s="249">
        <f>'Baseline Given'!E63</f>
        <v>60</v>
      </c>
      <c r="B62" s="249">
        <f>'Baseline-tilt up (3 pt)'!T62/1000000</f>
        <v>4.7821010097696908</v>
      </c>
      <c r="C62" s="249">
        <f>'Baseline-tilt up (3 pt)'!Z62/1000000</f>
        <v>4.7123207685982846</v>
      </c>
      <c r="D62" s="249">
        <f>'Baseline-tilt up (3 pt)'!AF62/1000000</f>
        <v>4.4964441430154896</v>
      </c>
      <c r="E62" s="249">
        <f>'Baseline-tilt up (3 pt)'!AL62/1000000</f>
        <v>4.1439453374576924</v>
      </c>
      <c r="F62" s="249">
        <f>'Baseline-tilt up (3 pt)'!AR62/1000000</f>
        <v>3.6655348497587616</v>
      </c>
      <c r="G62" s="249">
        <f>'Baseline-tilt up (3 pt)'!AX62/1000000</f>
        <v>3.075748940500044</v>
      </c>
      <c r="H62" s="249">
        <f>'Baseline-tilt up (3 pt)'!BD62/1000000</f>
        <v>2.3925079560882931</v>
      </c>
      <c r="I62" s="249">
        <f>'Baseline-tilt up (3 pt)'!BJ62/1000000</f>
        <v>1.6365718280982418</v>
      </c>
      <c r="J62" s="249">
        <f>'Baseline-tilt up (3 pt)'!BP62/1000000</f>
        <v>0.83090929325672891</v>
      </c>
      <c r="K62" s="249">
        <f>'Baseline-tilt up (3 pt)'!BV62/1000000</f>
        <v>2.9311774257581528E-16</v>
      </c>
      <c r="L62" s="249">
        <f>'Baseline Given'!$B$21/1.67</f>
        <v>149.70059880239521</v>
      </c>
      <c r="N62" s="249" t="str">
        <f>'Alternative 1'!$F63</f>
        <v>x</v>
      </c>
      <c r="O62" s="249" t="e">
        <f>'Alternative 1-Tilt Up (3pt)'!$T62/1000000</f>
        <v>#VALUE!</v>
      </c>
      <c r="P62" s="249" t="e">
        <f>'Alternative 1-Tilt Up (3pt)'!$Z62/1000000</f>
        <v>#VALUE!</v>
      </c>
      <c r="Q62" s="249" t="e">
        <f>'Alternative 1-Tilt Up (3pt)'!$AF62/1000000</f>
        <v>#VALUE!</v>
      </c>
      <c r="R62" s="249" t="e">
        <f>'Alternative 1-Tilt Up (3pt)'!$AL62/1000000</f>
        <v>#VALUE!</v>
      </c>
      <c r="S62" s="249" t="e">
        <f>'Alternative 1-Tilt Up (3pt)'!$AR62/1000000</f>
        <v>#VALUE!</v>
      </c>
      <c r="T62" s="249" t="e">
        <f>'Alternative 1-Tilt Up (3pt)'!$AX62/1000000</f>
        <v>#VALUE!</v>
      </c>
      <c r="U62" s="249" t="e">
        <f>'Alternative 1-Tilt Up (3pt)'!$BD62/1000000</f>
        <v>#VALUE!</v>
      </c>
      <c r="V62" s="249" t="e">
        <f>'Alternative 1-Tilt Up (3pt)'!$BJ62/1000000</f>
        <v>#VALUE!</v>
      </c>
      <c r="W62" s="249" t="e">
        <f>'Alternative 1-Tilt Up (3pt)'!$BP62/1000000</f>
        <v>#VALUE!</v>
      </c>
      <c r="X62" s="249" t="e">
        <f>'Alternative 1-Tilt Up (3pt)'!$BV62/1000000</f>
        <v>#VALUE!</v>
      </c>
      <c r="Y62" s="249">
        <f>'Alternative 1'!$B$20/1.67</f>
        <v>149.70059880239521</v>
      </c>
      <c r="AA62" s="249" t="str">
        <f>'Alternative 2'!$F63</f>
        <v>x</v>
      </c>
      <c r="AB62" s="249" t="e">
        <f>'Alternative 2-Tilt Up (3pt)'!$T62/1000000</f>
        <v>#VALUE!</v>
      </c>
      <c r="AC62" s="249" t="e">
        <f>'Alternative 2-Tilt Up (3pt)'!$Z62/1000000</f>
        <v>#VALUE!</v>
      </c>
      <c r="AD62" s="249" t="e">
        <f>'Alternative 2-Tilt Up (3pt)'!$AF62/1000000</f>
        <v>#VALUE!</v>
      </c>
      <c r="AE62" s="249" t="e">
        <f>'Alternative 2-Tilt Up (3pt)'!$AL62/1000000</f>
        <v>#VALUE!</v>
      </c>
      <c r="AF62" s="249" t="e">
        <f>'Alternative 2-Tilt Up (3pt)'!$AR62/1000000</f>
        <v>#VALUE!</v>
      </c>
      <c r="AG62" s="249" t="e">
        <f>'Alternative 2-Tilt Up (3pt)'!$AX62/1000000</f>
        <v>#VALUE!</v>
      </c>
      <c r="AH62" s="249" t="e">
        <f>'Alternative 2-Tilt Up (3pt)'!$BD62/1000000</f>
        <v>#VALUE!</v>
      </c>
      <c r="AI62" s="249" t="e">
        <f>'Alternative 2-Tilt Up (3pt)'!$BJ62/1000000</f>
        <v>#VALUE!</v>
      </c>
      <c r="AJ62" s="249" t="e">
        <f>'Alternative 2-Tilt Up (3pt)'!$BP62/1000000</f>
        <v>#VALUE!</v>
      </c>
      <c r="AK62" s="249" t="e">
        <f>'Alternative 2-Tilt Up (3pt)'!$BV62/1000000</f>
        <v>#VALUE!</v>
      </c>
      <c r="AL62" s="249">
        <f>'Alternative 2'!$B$20/1.67</f>
        <v>149.70059880239521</v>
      </c>
      <c r="AN62" s="249" t="str">
        <f>'Alternative 3'!$F63</f>
        <v>x</v>
      </c>
      <c r="AO62" s="249" t="e">
        <f>'Alternative 3-Tilt Up (3pt)'!$T62/1000000</f>
        <v>#VALUE!</v>
      </c>
      <c r="AP62" s="249" t="e">
        <f>'Alternative 3-Tilt Up (3pt)'!$Z62/1000000</f>
        <v>#VALUE!</v>
      </c>
      <c r="AQ62" s="249" t="e">
        <f>'Alternative 3-Tilt Up (3pt)'!$AF62/1000000</f>
        <v>#VALUE!</v>
      </c>
      <c r="AR62" s="249" t="e">
        <f>'Alternative 3-Tilt Up (3pt)'!$AL62/1000000</f>
        <v>#VALUE!</v>
      </c>
      <c r="AS62" s="249" t="e">
        <f>'Alternative 3-Tilt Up (3pt)'!$AR62/1000000</f>
        <v>#VALUE!</v>
      </c>
      <c r="AT62" s="249" t="e">
        <f>'Alternative 3-Tilt Up (3pt)'!$AX62/1000000</f>
        <v>#VALUE!</v>
      </c>
      <c r="AU62" s="249" t="e">
        <f>'Alternative 3-Tilt Up (3pt)'!$BD62/1000000</f>
        <v>#VALUE!</v>
      </c>
      <c r="AV62" s="249" t="e">
        <f>'Alternative 3-Tilt Up (3pt)'!$BJ62/1000000</f>
        <v>#VALUE!</v>
      </c>
      <c r="AW62" s="249" t="e">
        <f>'Alternative 3-Tilt Up (3pt)'!$BP62/1000000</f>
        <v>#VALUE!</v>
      </c>
      <c r="AX62" s="249" t="e">
        <f>'Alternative 3-Tilt Up (3pt)'!$BV62/1000000</f>
        <v>#VALUE!</v>
      </c>
      <c r="AY62" s="249">
        <f>'Alternative 3'!$B$20/1.67</f>
        <v>149.70059880239521</v>
      </c>
    </row>
    <row r="63" spans="1:51" x14ac:dyDescent="0.25">
      <c r="A63" s="249">
        <f>'Baseline Given'!E64</f>
        <v>61</v>
      </c>
      <c r="B63" s="249">
        <f>'Baseline-tilt up (3 pt)'!T63/1000000</f>
        <v>3.7000171957934556</v>
      </c>
      <c r="C63" s="249">
        <f>'Baseline-tilt up (3 pt)'!Z63/1000000</f>
        <v>3.6460266816379936</v>
      </c>
      <c r="D63" s="249">
        <f>'Baseline-tilt up (3 pt)'!AF63/1000000</f>
        <v>3.4789981673522461</v>
      </c>
      <c r="E63" s="249">
        <f>'Baseline-tilt up (3 pt)'!AL63/1000000</f>
        <v>3.206262054209517</v>
      </c>
      <c r="F63" s="249">
        <f>'Baseline-tilt up (3 pt)'!AR63/1000000</f>
        <v>2.8361052909965148</v>
      </c>
      <c r="G63" s="249">
        <f>'Baseline-tilt up (3 pt)'!AX63/1000000</f>
        <v>2.3797749036551079</v>
      </c>
      <c r="H63" s="249">
        <f>'Baseline-tilt up (3 pt)'!BD63/1000000</f>
        <v>1.8511362600903472</v>
      </c>
      <c r="I63" s="249">
        <f>'Baseline-tilt up (3 pt)'!BJ63/1000000</f>
        <v>1.2662517779828859</v>
      </c>
      <c r="J63" s="249">
        <f>'Baseline-tilt up (3 pt)'!BP63/1000000</f>
        <v>0.64289287635573145</v>
      </c>
      <c r="K63" s="249">
        <f>'Baseline-tilt up (3 pt)'!BV63/1000000</f>
        <v>2.2679167288750098E-16</v>
      </c>
      <c r="L63" s="249">
        <f>'Baseline Given'!$B$21/1.67</f>
        <v>149.70059880239521</v>
      </c>
      <c r="N63" s="249" t="str">
        <f>'Alternative 1'!$F64</f>
        <v>x</v>
      </c>
      <c r="O63" s="249" t="e">
        <f>'Alternative 1-Tilt Up (3pt)'!$T63/1000000</f>
        <v>#VALUE!</v>
      </c>
      <c r="P63" s="249" t="e">
        <f>'Alternative 1-Tilt Up (3pt)'!$Z63/1000000</f>
        <v>#VALUE!</v>
      </c>
      <c r="Q63" s="249" t="e">
        <f>'Alternative 1-Tilt Up (3pt)'!$AF63/1000000</f>
        <v>#VALUE!</v>
      </c>
      <c r="R63" s="249" t="e">
        <f>'Alternative 1-Tilt Up (3pt)'!$AL63/1000000</f>
        <v>#VALUE!</v>
      </c>
      <c r="S63" s="249" t="e">
        <f>'Alternative 1-Tilt Up (3pt)'!$AR63/1000000</f>
        <v>#VALUE!</v>
      </c>
      <c r="T63" s="249" t="e">
        <f>'Alternative 1-Tilt Up (3pt)'!$AX63/1000000</f>
        <v>#VALUE!</v>
      </c>
      <c r="U63" s="249" t="e">
        <f>'Alternative 1-Tilt Up (3pt)'!$BD63/1000000</f>
        <v>#VALUE!</v>
      </c>
      <c r="V63" s="249" t="e">
        <f>'Alternative 1-Tilt Up (3pt)'!$BJ63/1000000</f>
        <v>#VALUE!</v>
      </c>
      <c r="W63" s="249" t="e">
        <f>'Alternative 1-Tilt Up (3pt)'!$BP63/1000000</f>
        <v>#VALUE!</v>
      </c>
      <c r="X63" s="249" t="e">
        <f>'Alternative 1-Tilt Up (3pt)'!$BV63/1000000</f>
        <v>#VALUE!</v>
      </c>
      <c r="Y63" s="249">
        <f>'Alternative 1'!$B$20/1.67</f>
        <v>149.70059880239521</v>
      </c>
      <c r="AA63" s="249" t="str">
        <f>'Alternative 2'!$F64</f>
        <v>x</v>
      </c>
      <c r="AB63" s="249" t="e">
        <f>'Alternative 2-Tilt Up (3pt)'!$T63/1000000</f>
        <v>#VALUE!</v>
      </c>
      <c r="AC63" s="249" t="e">
        <f>'Alternative 2-Tilt Up (3pt)'!$Z63/1000000</f>
        <v>#VALUE!</v>
      </c>
      <c r="AD63" s="249" t="e">
        <f>'Alternative 2-Tilt Up (3pt)'!$AF63/1000000</f>
        <v>#VALUE!</v>
      </c>
      <c r="AE63" s="249" t="e">
        <f>'Alternative 2-Tilt Up (3pt)'!$AL63/1000000</f>
        <v>#VALUE!</v>
      </c>
      <c r="AF63" s="249" t="e">
        <f>'Alternative 2-Tilt Up (3pt)'!$AR63/1000000</f>
        <v>#VALUE!</v>
      </c>
      <c r="AG63" s="249" t="e">
        <f>'Alternative 2-Tilt Up (3pt)'!$AX63/1000000</f>
        <v>#VALUE!</v>
      </c>
      <c r="AH63" s="249" t="e">
        <f>'Alternative 2-Tilt Up (3pt)'!$BD63/1000000</f>
        <v>#VALUE!</v>
      </c>
      <c r="AI63" s="249" t="e">
        <f>'Alternative 2-Tilt Up (3pt)'!$BJ63/1000000</f>
        <v>#VALUE!</v>
      </c>
      <c r="AJ63" s="249" t="e">
        <f>'Alternative 2-Tilt Up (3pt)'!$BP63/1000000</f>
        <v>#VALUE!</v>
      </c>
      <c r="AK63" s="249" t="e">
        <f>'Alternative 2-Tilt Up (3pt)'!$BV63/1000000</f>
        <v>#VALUE!</v>
      </c>
      <c r="AL63" s="249">
        <f>'Alternative 2'!$B$20/1.67</f>
        <v>149.70059880239521</v>
      </c>
      <c r="AN63" s="249" t="str">
        <f>'Alternative 3'!$F64</f>
        <v>x</v>
      </c>
      <c r="AO63" s="249" t="e">
        <f>'Alternative 3-Tilt Up (3pt)'!$T63/1000000</f>
        <v>#VALUE!</v>
      </c>
      <c r="AP63" s="249" t="e">
        <f>'Alternative 3-Tilt Up (3pt)'!$Z63/1000000</f>
        <v>#VALUE!</v>
      </c>
      <c r="AQ63" s="249" t="e">
        <f>'Alternative 3-Tilt Up (3pt)'!$AF63/1000000</f>
        <v>#VALUE!</v>
      </c>
      <c r="AR63" s="249" t="e">
        <f>'Alternative 3-Tilt Up (3pt)'!$AL63/1000000</f>
        <v>#VALUE!</v>
      </c>
      <c r="AS63" s="249" t="e">
        <f>'Alternative 3-Tilt Up (3pt)'!$AR63/1000000</f>
        <v>#VALUE!</v>
      </c>
      <c r="AT63" s="249" t="e">
        <f>'Alternative 3-Tilt Up (3pt)'!$AX63/1000000</f>
        <v>#VALUE!</v>
      </c>
      <c r="AU63" s="249" t="e">
        <f>'Alternative 3-Tilt Up (3pt)'!$BD63/1000000</f>
        <v>#VALUE!</v>
      </c>
      <c r="AV63" s="249" t="e">
        <f>'Alternative 3-Tilt Up (3pt)'!$BJ63/1000000</f>
        <v>#VALUE!</v>
      </c>
      <c r="AW63" s="249" t="e">
        <f>'Alternative 3-Tilt Up (3pt)'!$BP63/1000000</f>
        <v>#VALUE!</v>
      </c>
      <c r="AX63" s="249" t="e">
        <f>'Alternative 3-Tilt Up (3pt)'!$BV63/1000000</f>
        <v>#VALUE!</v>
      </c>
      <c r="AY63" s="249">
        <f>'Alternative 3'!$B$20/1.67</f>
        <v>149.70059880239521</v>
      </c>
    </row>
    <row r="64" spans="1:51" x14ac:dyDescent="0.25">
      <c r="A64" s="249">
        <f>'Baseline Given'!E65</f>
        <v>62</v>
      </c>
      <c r="B64" s="249">
        <f>'Baseline-tilt up (3 pt)'!T64/1000000</f>
        <v>2.7474362986651877</v>
      </c>
      <c r="C64" s="249">
        <f>'Baseline-tilt up (3 pt)'!Z64/1000000</f>
        <v>2.7073458097499055</v>
      </c>
      <c r="D64" s="249">
        <f>'Baseline-tilt up (3 pt)'!AF64/1000000</f>
        <v>2.5833193042562277</v>
      </c>
      <c r="E64" s="249">
        <f>'Baseline-tilt up (3 pt)'!AL64/1000000</f>
        <v>2.3807999489253668</v>
      </c>
      <c r="F64" s="249">
        <f>'Baseline-tilt up (3 pt)'!AR64/1000000</f>
        <v>2.1059411918893121</v>
      </c>
      <c r="G64" s="249">
        <f>'Baseline-tilt up (3 pt)'!AX64/1000000</f>
        <v>1.7670944773953636</v>
      </c>
      <c r="H64" s="249">
        <f>'Baseline-tilt up (3 pt)'!BD64/1000000</f>
        <v>1.3745554913987079</v>
      </c>
      <c r="I64" s="249">
        <f>'Baseline-tilt up (3 pt)'!BJ64/1000000</f>
        <v>0.94025133235454217</v>
      </c>
      <c r="J64" s="249">
        <f>'Baseline-tilt up (3 pt)'!BP64/1000000</f>
        <v>0.4773781123669153</v>
      </c>
      <c r="K64" s="249">
        <f>'Baseline-tilt up (3 pt)'!BV64/1000000</f>
        <v>1.6840345364732855E-16</v>
      </c>
      <c r="L64" s="249">
        <f>'Baseline Given'!$B$21/1.67</f>
        <v>149.70059880239521</v>
      </c>
      <c r="N64" s="249" t="str">
        <f>'Alternative 1'!$F65</f>
        <v>x</v>
      </c>
      <c r="O64" s="249" t="e">
        <f>'Alternative 1-Tilt Up (3pt)'!$T64/1000000</f>
        <v>#VALUE!</v>
      </c>
      <c r="P64" s="249" t="e">
        <f>'Alternative 1-Tilt Up (3pt)'!$Z64/1000000</f>
        <v>#VALUE!</v>
      </c>
      <c r="Q64" s="249" t="e">
        <f>'Alternative 1-Tilt Up (3pt)'!$AF64/1000000</f>
        <v>#VALUE!</v>
      </c>
      <c r="R64" s="249" t="e">
        <f>'Alternative 1-Tilt Up (3pt)'!$AL64/1000000</f>
        <v>#VALUE!</v>
      </c>
      <c r="S64" s="249" t="e">
        <f>'Alternative 1-Tilt Up (3pt)'!$AR64/1000000</f>
        <v>#VALUE!</v>
      </c>
      <c r="T64" s="249" t="e">
        <f>'Alternative 1-Tilt Up (3pt)'!$AX64/1000000</f>
        <v>#VALUE!</v>
      </c>
      <c r="U64" s="249" t="e">
        <f>'Alternative 1-Tilt Up (3pt)'!$BD64/1000000</f>
        <v>#VALUE!</v>
      </c>
      <c r="V64" s="249" t="e">
        <f>'Alternative 1-Tilt Up (3pt)'!$BJ64/1000000</f>
        <v>#VALUE!</v>
      </c>
      <c r="W64" s="249" t="e">
        <f>'Alternative 1-Tilt Up (3pt)'!$BP64/1000000</f>
        <v>#VALUE!</v>
      </c>
      <c r="X64" s="249" t="e">
        <f>'Alternative 1-Tilt Up (3pt)'!$BV64/1000000</f>
        <v>#VALUE!</v>
      </c>
      <c r="Y64" s="249">
        <f>'Alternative 1'!$B$20/1.67</f>
        <v>149.70059880239521</v>
      </c>
      <c r="AA64" s="249" t="str">
        <f>'Alternative 2'!$F65</f>
        <v>x</v>
      </c>
      <c r="AB64" s="249" t="e">
        <f>'Alternative 2-Tilt Up (3pt)'!$T64/1000000</f>
        <v>#VALUE!</v>
      </c>
      <c r="AC64" s="249" t="e">
        <f>'Alternative 2-Tilt Up (3pt)'!$Z64/1000000</f>
        <v>#VALUE!</v>
      </c>
      <c r="AD64" s="249" t="e">
        <f>'Alternative 2-Tilt Up (3pt)'!$AF64/1000000</f>
        <v>#VALUE!</v>
      </c>
      <c r="AE64" s="249" t="e">
        <f>'Alternative 2-Tilt Up (3pt)'!$AL64/1000000</f>
        <v>#VALUE!</v>
      </c>
      <c r="AF64" s="249" t="e">
        <f>'Alternative 2-Tilt Up (3pt)'!$AR64/1000000</f>
        <v>#VALUE!</v>
      </c>
      <c r="AG64" s="249" t="e">
        <f>'Alternative 2-Tilt Up (3pt)'!$AX64/1000000</f>
        <v>#VALUE!</v>
      </c>
      <c r="AH64" s="249" t="e">
        <f>'Alternative 2-Tilt Up (3pt)'!$BD64/1000000</f>
        <v>#VALUE!</v>
      </c>
      <c r="AI64" s="249" t="e">
        <f>'Alternative 2-Tilt Up (3pt)'!$BJ64/1000000</f>
        <v>#VALUE!</v>
      </c>
      <c r="AJ64" s="249" t="e">
        <f>'Alternative 2-Tilt Up (3pt)'!$BP64/1000000</f>
        <v>#VALUE!</v>
      </c>
      <c r="AK64" s="249" t="e">
        <f>'Alternative 2-Tilt Up (3pt)'!$BV64/1000000</f>
        <v>#VALUE!</v>
      </c>
      <c r="AL64" s="249">
        <f>'Alternative 2'!$B$20/1.67</f>
        <v>149.70059880239521</v>
      </c>
      <c r="AN64" s="249" t="str">
        <f>'Alternative 3'!$F65</f>
        <v>x</v>
      </c>
      <c r="AO64" s="249" t="e">
        <f>'Alternative 3-Tilt Up (3pt)'!$T64/1000000</f>
        <v>#VALUE!</v>
      </c>
      <c r="AP64" s="249" t="e">
        <f>'Alternative 3-Tilt Up (3pt)'!$Z64/1000000</f>
        <v>#VALUE!</v>
      </c>
      <c r="AQ64" s="249" t="e">
        <f>'Alternative 3-Tilt Up (3pt)'!$AF64/1000000</f>
        <v>#VALUE!</v>
      </c>
      <c r="AR64" s="249" t="e">
        <f>'Alternative 3-Tilt Up (3pt)'!$AL64/1000000</f>
        <v>#VALUE!</v>
      </c>
      <c r="AS64" s="249" t="e">
        <f>'Alternative 3-Tilt Up (3pt)'!$AR64/1000000</f>
        <v>#VALUE!</v>
      </c>
      <c r="AT64" s="249" t="e">
        <f>'Alternative 3-Tilt Up (3pt)'!$AX64/1000000</f>
        <v>#VALUE!</v>
      </c>
      <c r="AU64" s="249" t="e">
        <f>'Alternative 3-Tilt Up (3pt)'!$BD64/1000000</f>
        <v>#VALUE!</v>
      </c>
      <c r="AV64" s="249" t="e">
        <f>'Alternative 3-Tilt Up (3pt)'!$BJ64/1000000</f>
        <v>#VALUE!</v>
      </c>
      <c r="AW64" s="249" t="e">
        <f>'Alternative 3-Tilt Up (3pt)'!$BP64/1000000</f>
        <v>#VALUE!</v>
      </c>
      <c r="AX64" s="249" t="e">
        <f>'Alternative 3-Tilt Up (3pt)'!$BV64/1000000</f>
        <v>#VALUE!</v>
      </c>
      <c r="AY64" s="249">
        <f>'Alternative 3'!$B$20/1.67</f>
        <v>149.70059880239521</v>
      </c>
    </row>
    <row r="65" spans="1:51" x14ac:dyDescent="0.25">
      <c r="A65" s="249">
        <f>'Baseline Given'!E66</f>
        <v>63</v>
      </c>
      <c r="B65" s="249">
        <f>'Baseline-tilt up (3 pt)'!T65/1000000</f>
        <v>1.9285558919201751</v>
      </c>
      <c r="C65" s="249">
        <f>'Baseline-tilt up (3 pt)'!Z65/1000000</f>
        <v>1.9004144756314361</v>
      </c>
      <c r="D65" s="249">
        <f>'Baseline-tilt up (3 pt)'!AF65/1000000</f>
        <v>1.813354386907883</v>
      </c>
      <c r="E65" s="249">
        <f>'Baseline-tilt up (3 pt)'!AL65/1000000</f>
        <v>1.6711964427397281</v>
      </c>
      <c r="F65" s="249">
        <f>'Baseline-tilt up (3 pt)'!AR65/1000000</f>
        <v>1.4782600403251307</v>
      </c>
      <c r="G65" s="249">
        <f>'Baseline-tilt up (3 pt)'!AX65/1000000</f>
        <v>1.2404074546209285</v>
      </c>
      <c r="H65" s="249">
        <f>'Baseline-tilt up (3 pt)'!BD65/1000000</f>
        <v>0.9648657160845272</v>
      </c>
      <c r="I65" s="249">
        <f>'Baseline-tilt up (3 pt)'!BJ65/1000000</f>
        <v>0.6600070210105079</v>
      </c>
      <c r="J65" s="249">
        <f>'Baseline-tilt up (3 pt)'!BP65/1000000</f>
        <v>0.33509434658275195</v>
      </c>
      <c r="K65" s="249">
        <f>'Baseline-tilt up (3 pt)'!BV65/1000000</f>
        <v>1.1821037412552575E-16</v>
      </c>
      <c r="L65" s="249">
        <f>'Baseline Given'!$B$21/1.67</f>
        <v>149.70059880239521</v>
      </c>
      <c r="N65" s="249" t="str">
        <f>'Alternative 1'!$F66</f>
        <v>x</v>
      </c>
      <c r="O65" s="249" t="e">
        <f>'Alternative 1-Tilt Up (3pt)'!$T65/1000000</f>
        <v>#VALUE!</v>
      </c>
      <c r="P65" s="249" t="e">
        <f>'Alternative 1-Tilt Up (3pt)'!$Z65/1000000</f>
        <v>#VALUE!</v>
      </c>
      <c r="Q65" s="249" t="e">
        <f>'Alternative 1-Tilt Up (3pt)'!$AF65/1000000</f>
        <v>#VALUE!</v>
      </c>
      <c r="R65" s="249" t="e">
        <f>'Alternative 1-Tilt Up (3pt)'!$AL65/1000000</f>
        <v>#VALUE!</v>
      </c>
      <c r="S65" s="249" t="e">
        <f>'Alternative 1-Tilt Up (3pt)'!$AR65/1000000</f>
        <v>#VALUE!</v>
      </c>
      <c r="T65" s="249" t="e">
        <f>'Alternative 1-Tilt Up (3pt)'!$AX65/1000000</f>
        <v>#VALUE!</v>
      </c>
      <c r="U65" s="249" t="e">
        <f>'Alternative 1-Tilt Up (3pt)'!$BD65/1000000</f>
        <v>#VALUE!</v>
      </c>
      <c r="V65" s="249" t="e">
        <f>'Alternative 1-Tilt Up (3pt)'!$BJ65/1000000</f>
        <v>#VALUE!</v>
      </c>
      <c r="W65" s="249" t="e">
        <f>'Alternative 1-Tilt Up (3pt)'!$BP65/1000000</f>
        <v>#VALUE!</v>
      </c>
      <c r="X65" s="249" t="e">
        <f>'Alternative 1-Tilt Up (3pt)'!$BV65/1000000</f>
        <v>#VALUE!</v>
      </c>
      <c r="Y65" s="249">
        <f>'Alternative 1'!$B$20/1.67</f>
        <v>149.70059880239521</v>
      </c>
      <c r="AA65" s="249" t="str">
        <f>'Alternative 2'!$F66</f>
        <v>x</v>
      </c>
      <c r="AB65" s="249" t="e">
        <f>'Alternative 2-Tilt Up (3pt)'!$T65/1000000</f>
        <v>#VALUE!</v>
      </c>
      <c r="AC65" s="249" t="e">
        <f>'Alternative 2-Tilt Up (3pt)'!$Z65/1000000</f>
        <v>#VALUE!</v>
      </c>
      <c r="AD65" s="249" t="e">
        <f>'Alternative 2-Tilt Up (3pt)'!$AF65/1000000</f>
        <v>#VALUE!</v>
      </c>
      <c r="AE65" s="249" t="e">
        <f>'Alternative 2-Tilt Up (3pt)'!$AL65/1000000</f>
        <v>#VALUE!</v>
      </c>
      <c r="AF65" s="249" t="e">
        <f>'Alternative 2-Tilt Up (3pt)'!$AR65/1000000</f>
        <v>#VALUE!</v>
      </c>
      <c r="AG65" s="249" t="e">
        <f>'Alternative 2-Tilt Up (3pt)'!$AX65/1000000</f>
        <v>#VALUE!</v>
      </c>
      <c r="AH65" s="249" t="e">
        <f>'Alternative 2-Tilt Up (3pt)'!$BD65/1000000</f>
        <v>#VALUE!</v>
      </c>
      <c r="AI65" s="249" t="e">
        <f>'Alternative 2-Tilt Up (3pt)'!$BJ65/1000000</f>
        <v>#VALUE!</v>
      </c>
      <c r="AJ65" s="249" t="e">
        <f>'Alternative 2-Tilt Up (3pt)'!$BP65/1000000</f>
        <v>#VALUE!</v>
      </c>
      <c r="AK65" s="249" t="e">
        <f>'Alternative 2-Tilt Up (3pt)'!$BV65/1000000</f>
        <v>#VALUE!</v>
      </c>
      <c r="AL65" s="249">
        <f>'Alternative 2'!$B$20/1.67</f>
        <v>149.70059880239521</v>
      </c>
      <c r="AN65" s="249" t="str">
        <f>'Alternative 3'!$F66</f>
        <v>x</v>
      </c>
      <c r="AO65" s="249" t="e">
        <f>'Alternative 3-Tilt Up (3pt)'!$T65/1000000</f>
        <v>#VALUE!</v>
      </c>
      <c r="AP65" s="249" t="e">
        <f>'Alternative 3-Tilt Up (3pt)'!$Z65/1000000</f>
        <v>#VALUE!</v>
      </c>
      <c r="AQ65" s="249" t="e">
        <f>'Alternative 3-Tilt Up (3pt)'!$AF65/1000000</f>
        <v>#VALUE!</v>
      </c>
      <c r="AR65" s="249" t="e">
        <f>'Alternative 3-Tilt Up (3pt)'!$AL65/1000000</f>
        <v>#VALUE!</v>
      </c>
      <c r="AS65" s="249" t="e">
        <f>'Alternative 3-Tilt Up (3pt)'!$AR65/1000000</f>
        <v>#VALUE!</v>
      </c>
      <c r="AT65" s="249" t="e">
        <f>'Alternative 3-Tilt Up (3pt)'!$AX65/1000000</f>
        <v>#VALUE!</v>
      </c>
      <c r="AU65" s="249" t="e">
        <f>'Alternative 3-Tilt Up (3pt)'!$BD65/1000000</f>
        <v>#VALUE!</v>
      </c>
      <c r="AV65" s="249" t="e">
        <f>'Alternative 3-Tilt Up (3pt)'!$BJ65/1000000</f>
        <v>#VALUE!</v>
      </c>
      <c r="AW65" s="249" t="e">
        <f>'Alternative 3-Tilt Up (3pt)'!$BP65/1000000</f>
        <v>#VALUE!</v>
      </c>
      <c r="AX65" s="249" t="e">
        <f>'Alternative 3-Tilt Up (3pt)'!$BV65/1000000</f>
        <v>#VALUE!</v>
      </c>
      <c r="AY65" s="249">
        <f>'Alternative 3'!$B$20/1.67</f>
        <v>149.70059880239521</v>
      </c>
    </row>
    <row r="66" spans="1:51" x14ac:dyDescent="0.25">
      <c r="A66" s="249">
        <f>'Baseline Given'!E67</f>
        <v>64</v>
      </c>
      <c r="B66" s="249">
        <f>'Baseline-tilt up (3 pt)'!T66/1000000</f>
        <v>1.2477569382287419</v>
      </c>
      <c r="C66" s="249">
        <f>'Baseline-tilt up (3 pt)'!Z66/1000000</f>
        <v>1.2295497151075618</v>
      </c>
      <c r="D66" s="249">
        <f>'Baseline-tilt up (3 pt)'!AF66/1000000</f>
        <v>1.1732226829470025</v>
      </c>
      <c r="E66" s="249">
        <f>'Baseline-tilt up (3 pt)'!AL66/1000000</f>
        <v>1.081247873244422</v>
      </c>
      <c r="F66" s="249">
        <f>'Baseline-tilt up (3 pt)'!AR66/1000000</f>
        <v>0.95641989405113292</v>
      </c>
      <c r="G66" s="249">
        <f>'Baseline-tilt up (3 pt)'!AX66/1000000</f>
        <v>0.80253158034891903</v>
      </c>
      <c r="H66" s="249">
        <f>'Baseline-tilt up (3 pt)'!BD66/1000000</f>
        <v>0.62425875067837744</v>
      </c>
      <c r="I66" s="249">
        <f>'Baseline-tilt up (3 pt)'!BJ66/1000000</f>
        <v>0.42701813475864314</v>
      </c>
      <c r="J66" s="249">
        <f>'Baseline-tilt up (3 pt)'!BP66/1000000</f>
        <v>0.21680278889586976</v>
      </c>
      <c r="K66" s="249">
        <f>'Baseline-tilt up (3 pt)'!BV66/1000000</f>
        <v>7.648096438567993E-17</v>
      </c>
      <c r="L66" s="249">
        <f>'Baseline Given'!$B$21/1.67</f>
        <v>149.70059880239521</v>
      </c>
      <c r="N66" s="249" t="str">
        <f>'Alternative 1'!$F67</f>
        <v>x</v>
      </c>
      <c r="O66" s="249" t="e">
        <f>'Alternative 1-Tilt Up (3pt)'!$T66/1000000</f>
        <v>#VALUE!</v>
      </c>
      <c r="P66" s="249" t="e">
        <f>'Alternative 1-Tilt Up (3pt)'!$Z66/1000000</f>
        <v>#VALUE!</v>
      </c>
      <c r="Q66" s="249" t="e">
        <f>'Alternative 1-Tilt Up (3pt)'!$AF66/1000000</f>
        <v>#VALUE!</v>
      </c>
      <c r="R66" s="249" t="e">
        <f>'Alternative 1-Tilt Up (3pt)'!$AL66/1000000</f>
        <v>#VALUE!</v>
      </c>
      <c r="S66" s="249" t="e">
        <f>'Alternative 1-Tilt Up (3pt)'!$AR66/1000000</f>
        <v>#VALUE!</v>
      </c>
      <c r="T66" s="249" t="e">
        <f>'Alternative 1-Tilt Up (3pt)'!$AX66/1000000</f>
        <v>#VALUE!</v>
      </c>
      <c r="U66" s="249" t="e">
        <f>'Alternative 1-Tilt Up (3pt)'!$BD66/1000000</f>
        <v>#VALUE!</v>
      </c>
      <c r="V66" s="249" t="e">
        <f>'Alternative 1-Tilt Up (3pt)'!$BJ66/1000000</f>
        <v>#VALUE!</v>
      </c>
      <c r="W66" s="249" t="e">
        <f>'Alternative 1-Tilt Up (3pt)'!$BP66/1000000</f>
        <v>#VALUE!</v>
      </c>
      <c r="X66" s="249" t="e">
        <f>'Alternative 1-Tilt Up (3pt)'!$BV66/1000000</f>
        <v>#VALUE!</v>
      </c>
      <c r="Y66" s="249">
        <f>'Alternative 1'!$B$20/1.67</f>
        <v>149.70059880239521</v>
      </c>
      <c r="AA66" s="249" t="str">
        <f>'Alternative 2'!$F67</f>
        <v>x</v>
      </c>
      <c r="AB66" s="249" t="e">
        <f>'Alternative 2-Tilt Up (3pt)'!$T66/1000000</f>
        <v>#VALUE!</v>
      </c>
      <c r="AC66" s="249" t="e">
        <f>'Alternative 2-Tilt Up (3pt)'!$Z66/1000000</f>
        <v>#VALUE!</v>
      </c>
      <c r="AD66" s="249" t="e">
        <f>'Alternative 2-Tilt Up (3pt)'!$AF66/1000000</f>
        <v>#VALUE!</v>
      </c>
      <c r="AE66" s="249" t="e">
        <f>'Alternative 2-Tilt Up (3pt)'!$AL66/1000000</f>
        <v>#VALUE!</v>
      </c>
      <c r="AF66" s="249" t="e">
        <f>'Alternative 2-Tilt Up (3pt)'!$AR66/1000000</f>
        <v>#VALUE!</v>
      </c>
      <c r="AG66" s="249" t="e">
        <f>'Alternative 2-Tilt Up (3pt)'!$AX66/1000000</f>
        <v>#VALUE!</v>
      </c>
      <c r="AH66" s="249" t="e">
        <f>'Alternative 2-Tilt Up (3pt)'!$BD66/1000000</f>
        <v>#VALUE!</v>
      </c>
      <c r="AI66" s="249" t="e">
        <f>'Alternative 2-Tilt Up (3pt)'!$BJ66/1000000</f>
        <v>#VALUE!</v>
      </c>
      <c r="AJ66" s="249" t="e">
        <f>'Alternative 2-Tilt Up (3pt)'!$BP66/1000000</f>
        <v>#VALUE!</v>
      </c>
      <c r="AK66" s="249" t="e">
        <f>'Alternative 2-Tilt Up (3pt)'!$BV66/1000000</f>
        <v>#VALUE!</v>
      </c>
      <c r="AL66" s="249">
        <f>'Alternative 2'!$B$20/1.67</f>
        <v>149.70059880239521</v>
      </c>
      <c r="AN66" s="249" t="str">
        <f>'Alternative 3'!$F67</f>
        <v>x</v>
      </c>
      <c r="AO66" s="249" t="e">
        <f>'Alternative 3-Tilt Up (3pt)'!$T66/1000000</f>
        <v>#VALUE!</v>
      </c>
      <c r="AP66" s="249" t="e">
        <f>'Alternative 3-Tilt Up (3pt)'!$Z66/1000000</f>
        <v>#VALUE!</v>
      </c>
      <c r="AQ66" s="249" t="e">
        <f>'Alternative 3-Tilt Up (3pt)'!$AF66/1000000</f>
        <v>#VALUE!</v>
      </c>
      <c r="AR66" s="249" t="e">
        <f>'Alternative 3-Tilt Up (3pt)'!$AL66/1000000</f>
        <v>#VALUE!</v>
      </c>
      <c r="AS66" s="249" t="e">
        <f>'Alternative 3-Tilt Up (3pt)'!$AR66/1000000</f>
        <v>#VALUE!</v>
      </c>
      <c r="AT66" s="249" t="e">
        <f>'Alternative 3-Tilt Up (3pt)'!$AX66/1000000</f>
        <v>#VALUE!</v>
      </c>
      <c r="AU66" s="249" t="e">
        <f>'Alternative 3-Tilt Up (3pt)'!$BD66/1000000</f>
        <v>#VALUE!</v>
      </c>
      <c r="AV66" s="249" t="e">
        <f>'Alternative 3-Tilt Up (3pt)'!$BJ66/1000000</f>
        <v>#VALUE!</v>
      </c>
      <c r="AW66" s="249" t="e">
        <f>'Alternative 3-Tilt Up (3pt)'!$BP66/1000000</f>
        <v>#VALUE!</v>
      </c>
      <c r="AX66" s="249" t="e">
        <f>'Alternative 3-Tilt Up (3pt)'!$BV66/1000000</f>
        <v>#VALUE!</v>
      </c>
      <c r="AY66" s="249">
        <f>'Alternative 3'!$B$20/1.67</f>
        <v>149.70059880239521</v>
      </c>
    </row>
    <row r="67" spans="1:51" x14ac:dyDescent="0.25">
      <c r="A67" s="249">
        <f>'Baseline Given'!E68</f>
        <v>65</v>
      </c>
      <c r="B67" s="249">
        <f>'Baseline-tilt up (3 pt)'!T67/1000000</f>
        <v>0.70961391517671391</v>
      </c>
      <c r="C67" s="249">
        <f>'Baseline-tilt up (3 pt)'!Z67/1000000</f>
        <v>0.69925925515626375</v>
      </c>
      <c r="D67" s="249">
        <f>'Baseline-tilt up (3 pt)'!AF67/1000000</f>
        <v>0.66722541539378599</v>
      </c>
      <c r="E67" s="249">
        <f>'Baseline-tilt up (3 pt)'!AL67/1000000</f>
        <v>0.61491826901691971</v>
      </c>
      <c r="F67" s="249">
        <f>'Baseline-tilt up (3 pt)'!AR67/1000000</f>
        <v>0.54392714219963201</v>
      </c>
      <c r="G67" s="249">
        <f>'Baseline-tilt up (3 pt)'!AX67/1000000</f>
        <v>0.45640906440702317</v>
      </c>
      <c r="H67" s="249">
        <f>'Baseline-tilt up (3 pt)'!BD67/1000000</f>
        <v>0.35502322814653725</v>
      </c>
      <c r="I67" s="249">
        <f>'Baseline-tilt up (3 pt)'!BJ67/1000000</f>
        <v>0.24285019074924058</v>
      </c>
      <c r="J67" s="249">
        <f>'Baseline-tilt up (3 pt)'!BP67/1000000</f>
        <v>0.12329827319415414</v>
      </c>
      <c r="K67" s="249">
        <f>'Baseline-tilt up (3 pt)'!BV67/1000000</f>
        <v>4.3495615942040066E-17</v>
      </c>
      <c r="L67" s="249">
        <f>'Baseline Given'!$B$21/1.67</f>
        <v>149.70059880239521</v>
      </c>
      <c r="N67" s="249" t="str">
        <f>'Alternative 1'!$F68</f>
        <v>x</v>
      </c>
      <c r="O67" s="249" t="e">
        <f>'Alternative 1-Tilt Up (3pt)'!$T67/1000000</f>
        <v>#VALUE!</v>
      </c>
      <c r="P67" s="249" t="e">
        <f>'Alternative 1-Tilt Up (3pt)'!$Z67/1000000</f>
        <v>#VALUE!</v>
      </c>
      <c r="Q67" s="249" t="e">
        <f>'Alternative 1-Tilt Up (3pt)'!$AF67/1000000</f>
        <v>#VALUE!</v>
      </c>
      <c r="R67" s="249" t="e">
        <f>'Alternative 1-Tilt Up (3pt)'!$AL67/1000000</f>
        <v>#VALUE!</v>
      </c>
      <c r="S67" s="249" t="e">
        <f>'Alternative 1-Tilt Up (3pt)'!$AR67/1000000</f>
        <v>#VALUE!</v>
      </c>
      <c r="T67" s="249" t="e">
        <f>'Alternative 1-Tilt Up (3pt)'!$AX67/1000000</f>
        <v>#VALUE!</v>
      </c>
      <c r="U67" s="249" t="e">
        <f>'Alternative 1-Tilt Up (3pt)'!$BD67/1000000</f>
        <v>#VALUE!</v>
      </c>
      <c r="V67" s="249" t="e">
        <f>'Alternative 1-Tilt Up (3pt)'!$BJ67/1000000</f>
        <v>#VALUE!</v>
      </c>
      <c r="W67" s="249" t="e">
        <f>'Alternative 1-Tilt Up (3pt)'!$BP67/1000000</f>
        <v>#VALUE!</v>
      </c>
      <c r="X67" s="249" t="e">
        <f>'Alternative 1-Tilt Up (3pt)'!$BV67/1000000</f>
        <v>#VALUE!</v>
      </c>
      <c r="Y67" s="249">
        <f>'Alternative 1'!$B$20/1.67</f>
        <v>149.70059880239521</v>
      </c>
      <c r="AA67" s="249" t="str">
        <f>'Alternative 2'!$F68</f>
        <v>x</v>
      </c>
      <c r="AB67" s="249" t="e">
        <f>'Alternative 2-Tilt Up (3pt)'!$T67/1000000</f>
        <v>#VALUE!</v>
      </c>
      <c r="AC67" s="249" t="e">
        <f>'Alternative 2-Tilt Up (3pt)'!$Z67/1000000</f>
        <v>#VALUE!</v>
      </c>
      <c r="AD67" s="249" t="e">
        <f>'Alternative 2-Tilt Up (3pt)'!$AF67/1000000</f>
        <v>#VALUE!</v>
      </c>
      <c r="AE67" s="249" t="e">
        <f>'Alternative 2-Tilt Up (3pt)'!$AL67/1000000</f>
        <v>#VALUE!</v>
      </c>
      <c r="AF67" s="249" t="e">
        <f>'Alternative 2-Tilt Up (3pt)'!$AR67/1000000</f>
        <v>#VALUE!</v>
      </c>
      <c r="AG67" s="249" t="e">
        <f>'Alternative 2-Tilt Up (3pt)'!$AX67/1000000</f>
        <v>#VALUE!</v>
      </c>
      <c r="AH67" s="249" t="e">
        <f>'Alternative 2-Tilt Up (3pt)'!$BD67/1000000</f>
        <v>#VALUE!</v>
      </c>
      <c r="AI67" s="249" t="e">
        <f>'Alternative 2-Tilt Up (3pt)'!$BJ67/1000000</f>
        <v>#VALUE!</v>
      </c>
      <c r="AJ67" s="249" t="e">
        <f>'Alternative 2-Tilt Up (3pt)'!$BP67/1000000</f>
        <v>#VALUE!</v>
      </c>
      <c r="AK67" s="249" t="e">
        <f>'Alternative 2-Tilt Up (3pt)'!$BV67/1000000</f>
        <v>#VALUE!</v>
      </c>
      <c r="AL67" s="249">
        <f>'Alternative 2'!$B$20/1.67</f>
        <v>149.70059880239521</v>
      </c>
      <c r="AN67" s="249" t="str">
        <f>'Alternative 3'!$F68</f>
        <v>x</v>
      </c>
      <c r="AO67" s="249" t="e">
        <f>'Alternative 3-Tilt Up (3pt)'!$T67/1000000</f>
        <v>#VALUE!</v>
      </c>
      <c r="AP67" s="249" t="e">
        <f>'Alternative 3-Tilt Up (3pt)'!$Z67/1000000</f>
        <v>#VALUE!</v>
      </c>
      <c r="AQ67" s="249" t="e">
        <f>'Alternative 3-Tilt Up (3pt)'!$AF67/1000000</f>
        <v>#VALUE!</v>
      </c>
      <c r="AR67" s="249" t="e">
        <f>'Alternative 3-Tilt Up (3pt)'!$AL67/1000000</f>
        <v>#VALUE!</v>
      </c>
      <c r="AS67" s="249" t="e">
        <f>'Alternative 3-Tilt Up (3pt)'!$AR67/1000000</f>
        <v>#VALUE!</v>
      </c>
      <c r="AT67" s="249" t="e">
        <f>'Alternative 3-Tilt Up (3pt)'!$AX67/1000000</f>
        <v>#VALUE!</v>
      </c>
      <c r="AU67" s="249" t="e">
        <f>'Alternative 3-Tilt Up (3pt)'!$BD67/1000000</f>
        <v>#VALUE!</v>
      </c>
      <c r="AV67" s="249" t="e">
        <f>'Alternative 3-Tilt Up (3pt)'!$BJ67/1000000</f>
        <v>#VALUE!</v>
      </c>
      <c r="AW67" s="249" t="e">
        <f>'Alternative 3-Tilt Up (3pt)'!$BP67/1000000</f>
        <v>#VALUE!</v>
      </c>
      <c r="AX67" s="249" t="e">
        <f>'Alternative 3-Tilt Up (3pt)'!$BV67/1000000</f>
        <v>#VALUE!</v>
      </c>
      <c r="AY67" s="249">
        <f>'Alternative 3'!$B$20/1.67</f>
        <v>149.70059880239521</v>
      </c>
    </row>
    <row r="68" spans="1:51" x14ac:dyDescent="0.25">
      <c r="A68" s="249">
        <f>'Baseline Given'!E69</f>
        <v>66</v>
      </c>
      <c r="B68" s="249">
        <f>'Baseline-tilt up (3 pt)'!T68/1000000</f>
        <v>0.31890561944804074</v>
      </c>
      <c r="C68" s="249">
        <f>'Baseline-tilt up (3 pt)'!Z68/1000000</f>
        <v>0.31425216043692022</v>
      </c>
      <c r="D68" s="249">
        <f>'Baseline-tilt up (3 pt)'!AF68/1000000</f>
        <v>0.29985592144799328</v>
      </c>
      <c r="E68" s="249">
        <f>'Baseline-tilt up (3 pt)'!AL68/1000000</f>
        <v>0.27634871202028649</v>
      </c>
      <c r="F68" s="249">
        <f>'Baseline-tilt up (3 pt)'!AR68/1000000</f>
        <v>0.24444478681703891</v>
      </c>
      <c r="G68" s="249">
        <f>'Baseline-tilt up (3 pt)'!AX68/1000000</f>
        <v>0.20511353046138625</v>
      </c>
      <c r="H68" s="249">
        <f>'Baseline-tilt up (3 pt)'!BD68/1000000</f>
        <v>0.15955000327511878</v>
      </c>
      <c r="I68" s="249">
        <f>'Baseline-tilt up (3 pt)'!BJ68/1000000</f>
        <v>0.10913862997553408</v>
      </c>
      <c r="J68" s="249">
        <f>'Baseline-tilt up (3 pt)'!BP68/1000000</f>
        <v>5.541113463095431E-2</v>
      </c>
      <c r="K68" s="249">
        <f>'Baseline-tilt up (3 pt)'!BV68/1000000</f>
        <v>1.95472439993177E-17</v>
      </c>
      <c r="L68" s="249">
        <f>'Baseline Given'!$B$21/1.67</f>
        <v>149.70059880239521</v>
      </c>
      <c r="N68" s="249" t="str">
        <f>'Alternative 1'!$F69</f>
        <v>x</v>
      </c>
      <c r="O68" s="249" t="e">
        <f>'Alternative 1-Tilt Up (3pt)'!$T68/1000000</f>
        <v>#VALUE!</v>
      </c>
      <c r="P68" s="249" t="e">
        <f>'Alternative 1-Tilt Up (3pt)'!$Z68/1000000</f>
        <v>#VALUE!</v>
      </c>
      <c r="Q68" s="249" t="e">
        <f>'Alternative 1-Tilt Up (3pt)'!$AF68/1000000</f>
        <v>#VALUE!</v>
      </c>
      <c r="R68" s="249" t="e">
        <f>'Alternative 1-Tilt Up (3pt)'!$AL68/1000000</f>
        <v>#VALUE!</v>
      </c>
      <c r="S68" s="249" t="e">
        <f>'Alternative 1-Tilt Up (3pt)'!$AR68/1000000</f>
        <v>#VALUE!</v>
      </c>
      <c r="T68" s="249" t="e">
        <f>'Alternative 1-Tilt Up (3pt)'!$AX68/1000000</f>
        <v>#VALUE!</v>
      </c>
      <c r="U68" s="249" t="e">
        <f>'Alternative 1-Tilt Up (3pt)'!$BD68/1000000</f>
        <v>#VALUE!</v>
      </c>
      <c r="V68" s="249" t="e">
        <f>'Alternative 1-Tilt Up (3pt)'!$BJ68/1000000</f>
        <v>#VALUE!</v>
      </c>
      <c r="W68" s="249" t="e">
        <f>'Alternative 1-Tilt Up (3pt)'!$BP68/1000000</f>
        <v>#VALUE!</v>
      </c>
      <c r="X68" s="249" t="e">
        <f>'Alternative 1-Tilt Up (3pt)'!$BV68/1000000</f>
        <v>#VALUE!</v>
      </c>
      <c r="Y68" s="249">
        <f>'Alternative 1'!$B$20/1.67</f>
        <v>149.70059880239521</v>
      </c>
      <c r="AA68" s="249" t="str">
        <f>'Alternative 2'!$F69</f>
        <v>x</v>
      </c>
      <c r="AB68" s="249" t="e">
        <f>'Alternative 2-Tilt Up (3pt)'!$T68/1000000</f>
        <v>#VALUE!</v>
      </c>
      <c r="AC68" s="249" t="e">
        <f>'Alternative 2-Tilt Up (3pt)'!$Z68/1000000</f>
        <v>#VALUE!</v>
      </c>
      <c r="AD68" s="249" t="e">
        <f>'Alternative 2-Tilt Up (3pt)'!$AF68/1000000</f>
        <v>#VALUE!</v>
      </c>
      <c r="AE68" s="249" t="e">
        <f>'Alternative 2-Tilt Up (3pt)'!$AL68/1000000</f>
        <v>#VALUE!</v>
      </c>
      <c r="AF68" s="249" t="e">
        <f>'Alternative 2-Tilt Up (3pt)'!$AR68/1000000</f>
        <v>#VALUE!</v>
      </c>
      <c r="AG68" s="249" t="e">
        <f>'Alternative 2-Tilt Up (3pt)'!$AX68/1000000</f>
        <v>#VALUE!</v>
      </c>
      <c r="AH68" s="249" t="e">
        <f>'Alternative 2-Tilt Up (3pt)'!$BD68/1000000</f>
        <v>#VALUE!</v>
      </c>
      <c r="AI68" s="249" t="e">
        <f>'Alternative 2-Tilt Up (3pt)'!$BJ68/1000000</f>
        <v>#VALUE!</v>
      </c>
      <c r="AJ68" s="249" t="e">
        <f>'Alternative 2-Tilt Up (3pt)'!$BP68/1000000</f>
        <v>#VALUE!</v>
      </c>
      <c r="AK68" s="249" t="e">
        <f>'Alternative 2-Tilt Up (3pt)'!$BV68/1000000</f>
        <v>#VALUE!</v>
      </c>
      <c r="AL68" s="249">
        <f>'Alternative 2'!$B$20/1.67</f>
        <v>149.70059880239521</v>
      </c>
      <c r="AN68" s="249" t="str">
        <f>'Alternative 3'!$F69</f>
        <v>x</v>
      </c>
      <c r="AO68" s="249" t="e">
        <f>'Alternative 3-Tilt Up (3pt)'!$T68/1000000</f>
        <v>#VALUE!</v>
      </c>
      <c r="AP68" s="249" t="e">
        <f>'Alternative 3-Tilt Up (3pt)'!$Z68/1000000</f>
        <v>#VALUE!</v>
      </c>
      <c r="AQ68" s="249" t="e">
        <f>'Alternative 3-Tilt Up (3pt)'!$AF68/1000000</f>
        <v>#VALUE!</v>
      </c>
      <c r="AR68" s="249" t="e">
        <f>'Alternative 3-Tilt Up (3pt)'!$AL68/1000000</f>
        <v>#VALUE!</v>
      </c>
      <c r="AS68" s="249" t="e">
        <f>'Alternative 3-Tilt Up (3pt)'!$AR68/1000000</f>
        <v>#VALUE!</v>
      </c>
      <c r="AT68" s="249" t="e">
        <f>'Alternative 3-Tilt Up (3pt)'!$AX68/1000000</f>
        <v>#VALUE!</v>
      </c>
      <c r="AU68" s="249" t="e">
        <f>'Alternative 3-Tilt Up (3pt)'!$BD68/1000000</f>
        <v>#VALUE!</v>
      </c>
      <c r="AV68" s="249" t="e">
        <f>'Alternative 3-Tilt Up (3pt)'!$BJ68/1000000</f>
        <v>#VALUE!</v>
      </c>
      <c r="AW68" s="249" t="e">
        <f>'Alternative 3-Tilt Up (3pt)'!$BP68/1000000</f>
        <v>#VALUE!</v>
      </c>
      <c r="AX68" s="249" t="e">
        <f>'Alternative 3-Tilt Up (3pt)'!$BV68/1000000</f>
        <v>#VALUE!</v>
      </c>
      <c r="AY68" s="249">
        <f>'Alternative 3'!$B$20/1.67</f>
        <v>149.70059880239521</v>
      </c>
    </row>
    <row r="69" spans="1:51" x14ac:dyDescent="0.25">
      <c r="A69" s="249">
        <f>'Baseline Given'!E70</f>
        <v>67</v>
      </c>
      <c r="B69" s="249">
        <f>'Baseline-tilt up (3 pt)'!T69/1000000</f>
        <v>8.0626703034855945E-2</v>
      </c>
      <c r="C69" s="249">
        <f>'Baseline-tilt up (3 pt)'!Z69/1000000</f>
        <v>7.9450201164415854E-2</v>
      </c>
      <c r="D69" s="249">
        <f>'Baseline-tilt up (3 pt)'!AF69/1000000</f>
        <v>7.5810499588168906E-2</v>
      </c>
      <c r="E69" s="249">
        <f>'Baseline-tilt up (3 pt)'!AL69/1000000</f>
        <v>6.9867334343899273E-2</v>
      </c>
      <c r="F69" s="249">
        <f>'Baseline-tilt up (3 pt)'!AR69/1000000</f>
        <v>6.1801285500167294E-2</v>
      </c>
      <c r="G69" s="249">
        <f>'Baseline-tilt up (3 pt)'!AX69/1000000</f>
        <v>5.1857435869472168E-2</v>
      </c>
      <c r="H69" s="249">
        <f>'Baseline-tilt up (3 pt)'!BD69/1000000</f>
        <v>4.0337924291011823E-2</v>
      </c>
      <c r="I69" s="249">
        <f>'Baseline-tilt up (3 pt)'!BJ69/1000000</f>
        <v>2.7592765294943682E-2</v>
      </c>
      <c r="J69" s="249">
        <f>'Baseline-tilt up (3 pt)'!BP69/1000000</f>
        <v>1.4009214088001619E-2</v>
      </c>
      <c r="K69" s="249">
        <f>'Baseline-tilt up (3 pt)'!BV69/1000000</f>
        <v>4.9419945619354025E-18</v>
      </c>
      <c r="L69" s="249">
        <f>'Baseline Given'!$B$21/1.67</f>
        <v>149.70059880239521</v>
      </c>
      <c r="N69" s="249" t="str">
        <f>'Alternative 1'!$F70</f>
        <v>x</v>
      </c>
      <c r="O69" s="249" t="e">
        <f>'Alternative 1-Tilt Up (3pt)'!$T69/1000000</f>
        <v>#VALUE!</v>
      </c>
      <c r="P69" s="249" t="e">
        <f>'Alternative 1-Tilt Up (3pt)'!$Z69/1000000</f>
        <v>#VALUE!</v>
      </c>
      <c r="Q69" s="249" t="e">
        <f>'Alternative 1-Tilt Up (3pt)'!$AF69/1000000</f>
        <v>#VALUE!</v>
      </c>
      <c r="R69" s="249" t="e">
        <f>'Alternative 1-Tilt Up (3pt)'!$AL69/1000000</f>
        <v>#VALUE!</v>
      </c>
      <c r="S69" s="249" t="e">
        <f>'Alternative 1-Tilt Up (3pt)'!$AR69/1000000</f>
        <v>#VALUE!</v>
      </c>
      <c r="T69" s="249" t="e">
        <f>'Alternative 1-Tilt Up (3pt)'!$AX69/1000000</f>
        <v>#VALUE!</v>
      </c>
      <c r="U69" s="249" t="e">
        <f>'Alternative 1-Tilt Up (3pt)'!$BD69/1000000</f>
        <v>#VALUE!</v>
      </c>
      <c r="V69" s="249" t="e">
        <f>'Alternative 1-Tilt Up (3pt)'!$BJ69/1000000</f>
        <v>#VALUE!</v>
      </c>
      <c r="W69" s="249" t="e">
        <f>'Alternative 1-Tilt Up (3pt)'!$BP69/1000000</f>
        <v>#VALUE!</v>
      </c>
      <c r="X69" s="249" t="e">
        <f>'Alternative 1-Tilt Up (3pt)'!$BV69/1000000</f>
        <v>#VALUE!</v>
      </c>
      <c r="Y69" s="249">
        <f>'Alternative 1'!$B$20/1.67</f>
        <v>149.70059880239521</v>
      </c>
      <c r="AA69" s="249" t="str">
        <f>'Alternative 2'!$F70</f>
        <v>x</v>
      </c>
      <c r="AB69" s="249" t="e">
        <f>'Alternative 2-Tilt Up (3pt)'!$T69/1000000</f>
        <v>#VALUE!</v>
      </c>
      <c r="AC69" s="249" t="e">
        <f>'Alternative 2-Tilt Up (3pt)'!$Z69/1000000</f>
        <v>#VALUE!</v>
      </c>
      <c r="AD69" s="249" t="e">
        <f>'Alternative 2-Tilt Up (3pt)'!$AF69/1000000</f>
        <v>#VALUE!</v>
      </c>
      <c r="AE69" s="249" t="e">
        <f>'Alternative 2-Tilt Up (3pt)'!$AL69/1000000</f>
        <v>#VALUE!</v>
      </c>
      <c r="AF69" s="249" t="e">
        <f>'Alternative 2-Tilt Up (3pt)'!$AR69/1000000</f>
        <v>#VALUE!</v>
      </c>
      <c r="AG69" s="249" t="e">
        <f>'Alternative 2-Tilt Up (3pt)'!$AX69/1000000</f>
        <v>#VALUE!</v>
      </c>
      <c r="AH69" s="249" t="e">
        <f>'Alternative 2-Tilt Up (3pt)'!$BD69/1000000</f>
        <v>#VALUE!</v>
      </c>
      <c r="AI69" s="249" t="e">
        <f>'Alternative 2-Tilt Up (3pt)'!$BJ69/1000000</f>
        <v>#VALUE!</v>
      </c>
      <c r="AJ69" s="249" t="e">
        <f>'Alternative 2-Tilt Up (3pt)'!$BP69/1000000</f>
        <v>#VALUE!</v>
      </c>
      <c r="AK69" s="249" t="e">
        <f>'Alternative 2-Tilt Up (3pt)'!$BV69/1000000</f>
        <v>#VALUE!</v>
      </c>
      <c r="AL69" s="249">
        <f>'Alternative 2'!$B$20/1.67</f>
        <v>149.70059880239521</v>
      </c>
      <c r="AN69" s="249" t="str">
        <f>'Alternative 3'!$F70</f>
        <v>x</v>
      </c>
      <c r="AO69" s="249" t="e">
        <f>'Alternative 3-Tilt Up (3pt)'!$T69/1000000</f>
        <v>#VALUE!</v>
      </c>
      <c r="AP69" s="249" t="e">
        <f>'Alternative 3-Tilt Up (3pt)'!$Z69/1000000</f>
        <v>#VALUE!</v>
      </c>
      <c r="AQ69" s="249" t="e">
        <f>'Alternative 3-Tilt Up (3pt)'!$AF69/1000000</f>
        <v>#VALUE!</v>
      </c>
      <c r="AR69" s="249" t="e">
        <f>'Alternative 3-Tilt Up (3pt)'!$AL69/1000000</f>
        <v>#VALUE!</v>
      </c>
      <c r="AS69" s="249" t="e">
        <f>'Alternative 3-Tilt Up (3pt)'!$AR69/1000000</f>
        <v>#VALUE!</v>
      </c>
      <c r="AT69" s="249" t="e">
        <f>'Alternative 3-Tilt Up (3pt)'!$AX69/1000000</f>
        <v>#VALUE!</v>
      </c>
      <c r="AU69" s="249" t="e">
        <f>'Alternative 3-Tilt Up (3pt)'!$BD69/1000000</f>
        <v>#VALUE!</v>
      </c>
      <c r="AV69" s="249" t="e">
        <f>'Alternative 3-Tilt Up (3pt)'!$BJ69/1000000</f>
        <v>#VALUE!</v>
      </c>
      <c r="AW69" s="249" t="e">
        <f>'Alternative 3-Tilt Up (3pt)'!$BP69/1000000</f>
        <v>#VALUE!</v>
      </c>
      <c r="AX69" s="249" t="e">
        <f>'Alternative 3-Tilt Up (3pt)'!$BV69/1000000</f>
        <v>#VALUE!</v>
      </c>
      <c r="AY69" s="249">
        <f>'Alternative 3'!$B$20/1.67</f>
        <v>149.70059880239521</v>
      </c>
    </row>
    <row r="70" spans="1:51" x14ac:dyDescent="0.25">
      <c r="N70" s="249" t="str">
        <f>'Alternative 1'!$F71</f>
        <v>x</v>
      </c>
      <c r="O70" s="249" t="e">
        <f>'Alternative 1-Tilt Up (3pt)'!$T70/1000000</f>
        <v>#VALUE!</v>
      </c>
      <c r="P70" s="249" t="e">
        <f>'Alternative 1-Tilt Up (3pt)'!$Z70/1000000</f>
        <v>#VALUE!</v>
      </c>
      <c r="Q70" s="249" t="e">
        <f>'Alternative 1-Tilt Up (3pt)'!$AF70/1000000</f>
        <v>#VALUE!</v>
      </c>
      <c r="R70" s="249" t="e">
        <f>'Alternative 1-Tilt Up (3pt)'!$AL70/1000000</f>
        <v>#VALUE!</v>
      </c>
      <c r="S70" s="249" t="e">
        <f>'Alternative 1-Tilt Up (3pt)'!$AR70/1000000</f>
        <v>#VALUE!</v>
      </c>
      <c r="T70" s="249" t="e">
        <f>'Alternative 1-Tilt Up (3pt)'!$AX70/1000000</f>
        <v>#VALUE!</v>
      </c>
      <c r="U70" s="249" t="e">
        <f>'Alternative 1-Tilt Up (3pt)'!$BD70/1000000</f>
        <v>#VALUE!</v>
      </c>
      <c r="V70" s="249" t="e">
        <f>'Alternative 1-Tilt Up (3pt)'!$BJ70/1000000</f>
        <v>#VALUE!</v>
      </c>
      <c r="W70" s="249" t="e">
        <f>'Alternative 1-Tilt Up (3pt)'!$BP70/1000000</f>
        <v>#VALUE!</v>
      </c>
      <c r="X70" s="249" t="e">
        <f>'Alternative 1-Tilt Up (3pt)'!$BV70/1000000</f>
        <v>#VALUE!</v>
      </c>
      <c r="Y70" s="249">
        <f>'Alternative 1'!$B$20/1.67</f>
        <v>149.70059880239521</v>
      </c>
      <c r="AA70" s="249" t="str">
        <f>'Alternative 2'!$F71</f>
        <v>x</v>
      </c>
      <c r="AB70" s="249" t="e">
        <f>'Alternative 2-Tilt Up (3pt)'!$T70/1000000</f>
        <v>#VALUE!</v>
      </c>
      <c r="AC70" s="249" t="e">
        <f>'Alternative 2-Tilt Up (3pt)'!$Z70/1000000</f>
        <v>#VALUE!</v>
      </c>
      <c r="AD70" s="249" t="e">
        <f>'Alternative 2-Tilt Up (3pt)'!$AF70/1000000</f>
        <v>#VALUE!</v>
      </c>
      <c r="AE70" s="249" t="e">
        <f>'Alternative 2-Tilt Up (3pt)'!$AL70/1000000</f>
        <v>#VALUE!</v>
      </c>
      <c r="AF70" s="249" t="e">
        <f>'Alternative 2-Tilt Up (3pt)'!$AR70/1000000</f>
        <v>#VALUE!</v>
      </c>
      <c r="AG70" s="249" t="e">
        <f>'Alternative 2-Tilt Up (3pt)'!$AX70/1000000</f>
        <v>#VALUE!</v>
      </c>
      <c r="AH70" s="249" t="e">
        <f>'Alternative 2-Tilt Up (3pt)'!$BD70/1000000</f>
        <v>#VALUE!</v>
      </c>
      <c r="AI70" s="249" t="e">
        <f>'Alternative 2-Tilt Up (3pt)'!$BJ70/1000000</f>
        <v>#VALUE!</v>
      </c>
      <c r="AJ70" s="249" t="e">
        <f>'Alternative 2-Tilt Up (3pt)'!$BP70/1000000</f>
        <v>#VALUE!</v>
      </c>
      <c r="AK70" s="249" t="e">
        <f>'Alternative 2-Tilt Up (3pt)'!$BV70/1000000</f>
        <v>#VALUE!</v>
      </c>
      <c r="AL70" s="249">
        <f>'Alternative 2'!$B$20/1.67</f>
        <v>149.70059880239521</v>
      </c>
      <c r="AN70" s="249" t="str">
        <f>'Alternative 3'!$F71</f>
        <v>x</v>
      </c>
      <c r="AO70" s="249" t="e">
        <f>'Alternative 3-Tilt Up (3pt)'!$T70/1000000</f>
        <v>#VALUE!</v>
      </c>
      <c r="AP70" s="249" t="e">
        <f>'Alternative 3-Tilt Up (3pt)'!$Z70/1000000</f>
        <v>#VALUE!</v>
      </c>
      <c r="AQ70" s="249" t="e">
        <f>'Alternative 3-Tilt Up (3pt)'!$AF70/1000000</f>
        <v>#VALUE!</v>
      </c>
      <c r="AR70" s="249" t="e">
        <f>'Alternative 3-Tilt Up (3pt)'!$AL70/1000000</f>
        <v>#VALUE!</v>
      </c>
      <c r="AS70" s="249" t="e">
        <f>'Alternative 3-Tilt Up (3pt)'!$AR70/1000000</f>
        <v>#VALUE!</v>
      </c>
      <c r="AT70" s="249" t="e">
        <f>'Alternative 3-Tilt Up (3pt)'!$AX70/1000000</f>
        <v>#VALUE!</v>
      </c>
      <c r="AU70" s="249" t="e">
        <f>'Alternative 3-Tilt Up (3pt)'!$BD70/1000000</f>
        <v>#VALUE!</v>
      </c>
      <c r="AV70" s="249" t="e">
        <f>'Alternative 3-Tilt Up (3pt)'!$BJ70/1000000</f>
        <v>#VALUE!</v>
      </c>
      <c r="AW70" s="249" t="e">
        <f>'Alternative 3-Tilt Up (3pt)'!$BP70/1000000</f>
        <v>#VALUE!</v>
      </c>
      <c r="AX70" s="249" t="e">
        <f>'Alternative 3-Tilt Up (3pt)'!$BV70/1000000</f>
        <v>#VALUE!</v>
      </c>
      <c r="AY70" s="249">
        <f>'Alternative 3'!$B$20/1.67</f>
        <v>149.70059880239521</v>
      </c>
    </row>
    <row r="71" spans="1:51" x14ac:dyDescent="0.25">
      <c r="N71" s="249" t="str">
        <f>'Alternative 1'!$F72</f>
        <v>x</v>
      </c>
      <c r="O71" s="249" t="e">
        <f>'Alternative 1-Tilt Up (3pt)'!$T71/1000000</f>
        <v>#VALUE!</v>
      </c>
      <c r="P71" s="249" t="e">
        <f>'Alternative 1-Tilt Up (3pt)'!$Z71/1000000</f>
        <v>#VALUE!</v>
      </c>
      <c r="Q71" s="249" t="e">
        <f>'Alternative 1-Tilt Up (3pt)'!$AF71/1000000</f>
        <v>#VALUE!</v>
      </c>
      <c r="R71" s="249" t="e">
        <f>'Alternative 1-Tilt Up (3pt)'!$AL71/1000000</f>
        <v>#VALUE!</v>
      </c>
      <c r="S71" s="249" t="e">
        <f>'Alternative 1-Tilt Up (3pt)'!$AR71/1000000</f>
        <v>#VALUE!</v>
      </c>
      <c r="T71" s="249" t="e">
        <f>'Alternative 1-Tilt Up (3pt)'!$AX71/1000000</f>
        <v>#VALUE!</v>
      </c>
      <c r="U71" s="249" t="e">
        <f>'Alternative 1-Tilt Up (3pt)'!$BD71/1000000</f>
        <v>#VALUE!</v>
      </c>
      <c r="V71" s="249" t="e">
        <f>'Alternative 1-Tilt Up (3pt)'!$BJ71/1000000</f>
        <v>#VALUE!</v>
      </c>
      <c r="W71" s="249" t="e">
        <f>'Alternative 1-Tilt Up (3pt)'!$BP71/1000000</f>
        <v>#VALUE!</v>
      </c>
      <c r="X71" s="249" t="e">
        <f>'Alternative 1-Tilt Up (3pt)'!$BV71/1000000</f>
        <v>#VALUE!</v>
      </c>
      <c r="Y71" s="249">
        <f>'Alternative 1'!$B$20/1.67</f>
        <v>149.70059880239521</v>
      </c>
      <c r="AA71" s="249" t="str">
        <f>'Alternative 2'!$F72</f>
        <v>x</v>
      </c>
      <c r="AB71" s="249" t="e">
        <f>'Alternative 2-Tilt Up (3pt)'!$T71/1000000</f>
        <v>#VALUE!</v>
      </c>
      <c r="AC71" s="249" t="e">
        <f>'Alternative 2-Tilt Up (3pt)'!$Z71/1000000</f>
        <v>#VALUE!</v>
      </c>
      <c r="AD71" s="249" t="e">
        <f>'Alternative 2-Tilt Up (3pt)'!$AF71/1000000</f>
        <v>#VALUE!</v>
      </c>
      <c r="AE71" s="249" t="e">
        <f>'Alternative 2-Tilt Up (3pt)'!$AL71/1000000</f>
        <v>#VALUE!</v>
      </c>
      <c r="AF71" s="249" t="e">
        <f>'Alternative 2-Tilt Up (3pt)'!$AR71/1000000</f>
        <v>#VALUE!</v>
      </c>
      <c r="AG71" s="249" t="e">
        <f>'Alternative 2-Tilt Up (3pt)'!$AX71/1000000</f>
        <v>#VALUE!</v>
      </c>
      <c r="AH71" s="249" t="e">
        <f>'Alternative 2-Tilt Up (3pt)'!$BD71/1000000</f>
        <v>#VALUE!</v>
      </c>
      <c r="AI71" s="249" t="e">
        <f>'Alternative 2-Tilt Up (3pt)'!$BJ71/1000000</f>
        <v>#VALUE!</v>
      </c>
      <c r="AJ71" s="249" t="e">
        <f>'Alternative 2-Tilt Up (3pt)'!$BP71/1000000</f>
        <v>#VALUE!</v>
      </c>
      <c r="AK71" s="249" t="e">
        <f>'Alternative 2-Tilt Up (3pt)'!$BV71/1000000</f>
        <v>#VALUE!</v>
      </c>
      <c r="AL71" s="249">
        <f>'Alternative 2'!$B$20/1.67</f>
        <v>149.70059880239521</v>
      </c>
      <c r="AN71" s="249" t="str">
        <f>'Alternative 3'!$F72</f>
        <v>x</v>
      </c>
      <c r="AO71" s="249" t="e">
        <f>'Alternative 3-Tilt Up (3pt)'!$T71/1000000</f>
        <v>#VALUE!</v>
      </c>
      <c r="AP71" s="249" t="e">
        <f>'Alternative 3-Tilt Up (3pt)'!$Z71/1000000</f>
        <v>#VALUE!</v>
      </c>
      <c r="AQ71" s="249" t="e">
        <f>'Alternative 3-Tilt Up (3pt)'!$AF71/1000000</f>
        <v>#VALUE!</v>
      </c>
      <c r="AR71" s="249" t="e">
        <f>'Alternative 3-Tilt Up (3pt)'!$AL71/1000000</f>
        <v>#VALUE!</v>
      </c>
      <c r="AS71" s="249" t="e">
        <f>'Alternative 3-Tilt Up (3pt)'!$AR71/1000000</f>
        <v>#VALUE!</v>
      </c>
      <c r="AT71" s="249" t="e">
        <f>'Alternative 3-Tilt Up (3pt)'!$AX71/1000000</f>
        <v>#VALUE!</v>
      </c>
      <c r="AU71" s="249" t="e">
        <f>'Alternative 3-Tilt Up (3pt)'!$BD71/1000000</f>
        <v>#VALUE!</v>
      </c>
      <c r="AV71" s="249" t="e">
        <f>'Alternative 3-Tilt Up (3pt)'!$BJ71/1000000</f>
        <v>#VALUE!</v>
      </c>
      <c r="AW71" s="249" t="e">
        <f>'Alternative 3-Tilt Up (3pt)'!$BP71/1000000</f>
        <v>#VALUE!</v>
      </c>
      <c r="AX71" s="249" t="e">
        <f>'Alternative 3-Tilt Up (3pt)'!$BV71/1000000</f>
        <v>#VALUE!</v>
      </c>
      <c r="AY71" s="249">
        <f>'Alternative 3'!$B$20/1.67</f>
        <v>149.70059880239521</v>
      </c>
    </row>
    <row r="72" spans="1:51" x14ac:dyDescent="0.25">
      <c r="N72" s="249" t="str">
        <f>'Alternative 1'!$F73</f>
        <v>x</v>
      </c>
      <c r="O72" s="249" t="e">
        <f>'Alternative 1-Tilt Up (3pt)'!$T72/1000000</f>
        <v>#VALUE!</v>
      </c>
      <c r="P72" s="249" t="e">
        <f>'Alternative 1-Tilt Up (3pt)'!$Z72/1000000</f>
        <v>#VALUE!</v>
      </c>
      <c r="Q72" s="249" t="e">
        <f>'Alternative 1-Tilt Up (3pt)'!$AF72/1000000</f>
        <v>#VALUE!</v>
      </c>
      <c r="R72" s="249" t="e">
        <f>'Alternative 1-Tilt Up (3pt)'!$AL72/1000000</f>
        <v>#VALUE!</v>
      </c>
      <c r="S72" s="249" t="e">
        <f>'Alternative 1-Tilt Up (3pt)'!$AR72/1000000</f>
        <v>#VALUE!</v>
      </c>
      <c r="T72" s="249" t="e">
        <f>'Alternative 1-Tilt Up (3pt)'!$AX72/1000000</f>
        <v>#VALUE!</v>
      </c>
      <c r="U72" s="249" t="e">
        <f>'Alternative 1-Tilt Up (3pt)'!$BD72/1000000</f>
        <v>#VALUE!</v>
      </c>
      <c r="V72" s="249" t="e">
        <f>'Alternative 1-Tilt Up (3pt)'!$BJ72/1000000</f>
        <v>#VALUE!</v>
      </c>
      <c r="W72" s="249" t="e">
        <f>'Alternative 1-Tilt Up (3pt)'!$BP72/1000000</f>
        <v>#VALUE!</v>
      </c>
      <c r="X72" s="249" t="e">
        <f>'Alternative 1-Tilt Up (3pt)'!$BV72/1000000</f>
        <v>#VALUE!</v>
      </c>
      <c r="Y72" s="249">
        <f>'Alternative 1'!$B$20/1.67</f>
        <v>149.70059880239521</v>
      </c>
      <c r="AA72" s="249" t="str">
        <f>'Alternative 2'!$F73</f>
        <v>x</v>
      </c>
      <c r="AB72" s="249" t="e">
        <f>'Alternative 2-Tilt Up (3pt)'!$T72/1000000</f>
        <v>#VALUE!</v>
      </c>
      <c r="AC72" s="249" t="e">
        <f>'Alternative 2-Tilt Up (3pt)'!$Z72/1000000</f>
        <v>#VALUE!</v>
      </c>
      <c r="AD72" s="249" t="e">
        <f>'Alternative 2-Tilt Up (3pt)'!$AF72/1000000</f>
        <v>#VALUE!</v>
      </c>
      <c r="AE72" s="249" t="e">
        <f>'Alternative 2-Tilt Up (3pt)'!$AL72/1000000</f>
        <v>#VALUE!</v>
      </c>
      <c r="AF72" s="249" t="e">
        <f>'Alternative 2-Tilt Up (3pt)'!$AR72/1000000</f>
        <v>#VALUE!</v>
      </c>
      <c r="AG72" s="249" t="e">
        <f>'Alternative 2-Tilt Up (3pt)'!$AX72/1000000</f>
        <v>#VALUE!</v>
      </c>
      <c r="AH72" s="249" t="e">
        <f>'Alternative 2-Tilt Up (3pt)'!$BD72/1000000</f>
        <v>#VALUE!</v>
      </c>
      <c r="AI72" s="249" t="e">
        <f>'Alternative 2-Tilt Up (3pt)'!$BJ72/1000000</f>
        <v>#VALUE!</v>
      </c>
      <c r="AJ72" s="249" t="e">
        <f>'Alternative 2-Tilt Up (3pt)'!$BP72/1000000</f>
        <v>#VALUE!</v>
      </c>
      <c r="AK72" s="249" t="e">
        <f>'Alternative 2-Tilt Up (3pt)'!$BV72/1000000</f>
        <v>#VALUE!</v>
      </c>
      <c r="AL72" s="249">
        <f>'Alternative 2'!$B$20/1.67</f>
        <v>149.70059880239521</v>
      </c>
      <c r="AN72" s="249" t="str">
        <f>'Alternative 3'!$F73</f>
        <v>x</v>
      </c>
      <c r="AO72" s="249" t="e">
        <f>'Alternative 3-Tilt Up (3pt)'!$T72/1000000</f>
        <v>#VALUE!</v>
      </c>
      <c r="AP72" s="249" t="e">
        <f>'Alternative 3-Tilt Up (3pt)'!$Z72/1000000</f>
        <v>#VALUE!</v>
      </c>
      <c r="AQ72" s="249" t="e">
        <f>'Alternative 3-Tilt Up (3pt)'!$AF72/1000000</f>
        <v>#VALUE!</v>
      </c>
      <c r="AR72" s="249" t="e">
        <f>'Alternative 3-Tilt Up (3pt)'!$AL72/1000000</f>
        <v>#VALUE!</v>
      </c>
      <c r="AS72" s="249" t="e">
        <f>'Alternative 3-Tilt Up (3pt)'!$AR72/1000000</f>
        <v>#VALUE!</v>
      </c>
      <c r="AT72" s="249" t="e">
        <f>'Alternative 3-Tilt Up (3pt)'!$AX72/1000000</f>
        <v>#VALUE!</v>
      </c>
      <c r="AU72" s="249" t="e">
        <f>'Alternative 3-Tilt Up (3pt)'!$BD72/1000000</f>
        <v>#VALUE!</v>
      </c>
      <c r="AV72" s="249" t="e">
        <f>'Alternative 3-Tilt Up (3pt)'!$BJ72/1000000</f>
        <v>#VALUE!</v>
      </c>
      <c r="AW72" s="249" t="e">
        <f>'Alternative 3-Tilt Up (3pt)'!$BP72/1000000</f>
        <v>#VALUE!</v>
      </c>
      <c r="AX72" s="249" t="e">
        <f>'Alternative 3-Tilt Up (3pt)'!$BV72/1000000</f>
        <v>#VALUE!</v>
      </c>
      <c r="AY72" s="249">
        <f>'Alternative 3'!$B$20/1.67</f>
        <v>149.70059880239521</v>
      </c>
    </row>
    <row r="73" spans="1:51" x14ac:dyDescent="0.25">
      <c r="N73" s="249" t="str">
        <f>'Alternative 1'!$F74</f>
        <v>x</v>
      </c>
      <c r="O73" s="249" t="e">
        <f>'Alternative 1-Tilt Up (3pt)'!$T73/1000000</f>
        <v>#VALUE!</v>
      </c>
      <c r="P73" s="249" t="e">
        <f>'Alternative 1-Tilt Up (3pt)'!$Z73/1000000</f>
        <v>#VALUE!</v>
      </c>
      <c r="Q73" s="249" t="e">
        <f>'Alternative 1-Tilt Up (3pt)'!$AF73/1000000</f>
        <v>#VALUE!</v>
      </c>
      <c r="R73" s="249" t="e">
        <f>'Alternative 1-Tilt Up (3pt)'!$AL73/1000000</f>
        <v>#VALUE!</v>
      </c>
      <c r="S73" s="249" t="e">
        <f>'Alternative 1-Tilt Up (3pt)'!$AR73/1000000</f>
        <v>#VALUE!</v>
      </c>
      <c r="T73" s="249" t="e">
        <f>'Alternative 1-Tilt Up (3pt)'!$AX73/1000000</f>
        <v>#VALUE!</v>
      </c>
      <c r="U73" s="249" t="e">
        <f>'Alternative 1-Tilt Up (3pt)'!$BD73/1000000</f>
        <v>#VALUE!</v>
      </c>
      <c r="V73" s="249" t="e">
        <f>'Alternative 1-Tilt Up (3pt)'!$BJ73/1000000</f>
        <v>#VALUE!</v>
      </c>
      <c r="W73" s="249" t="e">
        <f>'Alternative 1-Tilt Up (3pt)'!$BP73/1000000</f>
        <v>#VALUE!</v>
      </c>
      <c r="X73" s="249" t="e">
        <f>'Alternative 1-Tilt Up (3pt)'!$BV73/1000000</f>
        <v>#VALUE!</v>
      </c>
      <c r="Y73" s="249">
        <f>'Alternative 1'!$B$20/1.67</f>
        <v>149.70059880239521</v>
      </c>
      <c r="AA73" s="249" t="str">
        <f>'Alternative 2'!$F74</f>
        <v>x</v>
      </c>
      <c r="AB73" s="249" t="e">
        <f>'Alternative 2-Tilt Up (3pt)'!$T73/1000000</f>
        <v>#VALUE!</v>
      </c>
      <c r="AC73" s="249" t="e">
        <f>'Alternative 2-Tilt Up (3pt)'!$Z73/1000000</f>
        <v>#VALUE!</v>
      </c>
      <c r="AD73" s="249" t="e">
        <f>'Alternative 2-Tilt Up (3pt)'!$AF73/1000000</f>
        <v>#VALUE!</v>
      </c>
      <c r="AE73" s="249" t="e">
        <f>'Alternative 2-Tilt Up (3pt)'!$AL73/1000000</f>
        <v>#VALUE!</v>
      </c>
      <c r="AF73" s="249" t="e">
        <f>'Alternative 2-Tilt Up (3pt)'!$AR73/1000000</f>
        <v>#VALUE!</v>
      </c>
      <c r="AG73" s="249" t="e">
        <f>'Alternative 2-Tilt Up (3pt)'!$AX73/1000000</f>
        <v>#VALUE!</v>
      </c>
      <c r="AH73" s="249" t="e">
        <f>'Alternative 2-Tilt Up (3pt)'!$BD73/1000000</f>
        <v>#VALUE!</v>
      </c>
      <c r="AI73" s="249" t="e">
        <f>'Alternative 2-Tilt Up (3pt)'!$BJ73/1000000</f>
        <v>#VALUE!</v>
      </c>
      <c r="AJ73" s="249" t="e">
        <f>'Alternative 2-Tilt Up (3pt)'!$BP73/1000000</f>
        <v>#VALUE!</v>
      </c>
      <c r="AK73" s="249" t="e">
        <f>'Alternative 2-Tilt Up (3pt)'!$BV73/1000000</f>
        <v>#VALUE!</v>
      </c>
      <c r="AL73" s="249">
        <f>'Alternative 2'!$B$20/1.67</f>
        <v>149.70059880239521</v>
      </c>
      <c r="AN73" s="249" t="str">
        <f>'Alternative 3'!$F74</f>
        <v>x</v>
      </c>
      <c r="AO73" s="249" t="e">
        <f>'Alternative 3-Tilt Up (3pt)'!$T73/1000000</f>
        <v>#VALUE!</v>
      </c>
      <c r="AP73" s="249" t="e">
        <f>'Alternative 3-Tilt Up (3pt)'!$Z73/1000000</f>
        <v>#VALUE!</v>
      </c>
      <c r="AQ73" s="249" t="e">
        <f>'Alternative 3-Tilt Up (3pt)'!$AF73/1000000</f>
        <v>#VALUE!</v>
      </c>
      <c r="AR73" s="249" t="e">
        <f>'Alternative 3-Tilt Up (3pt)'!$AL73/1000000</f>
        <v>#VALUE!</v>
      </c>
      <c r="AS73" s="249" t="e">
        <f>'Alternative 3-Tilt Up (3pt)'!$AR73/1000000</f>
        <v>#VALUE!</v>
      </c>
      <c r="AT73" s="249" t="e">
        <f>'Alternative 3-Tilt Up (3pt)'!$AX73/1000000</f>
        <v>#VALUE!</v>
      </c>
      <c r="AU73" s="249" t="e">
        <f>'Alternative 3-Tilt Up (3pt)'!$BD73/1000000</f>
        <v>#VALUE!</v>
      </c>
      <c r="AV73" s="249" t="e">
        <f>'Alternative 3-Tilt Up (3pt)'!$BJ73/1000000</f>
        <v>#VALUE!</v>
      </c>
      <c r="AW73" s="249" t="e">
        <f>'Alternative 3-Tilt Up (3pt)'!$BP73/1000000</f>
        <v>#VALUE!</v>
      </c>
      <c r="AX73" s="249" t="e">
        <f>'Alternative 3-Tilt Up (3pt)'!$BV73/1000000</f>
        <v>#VALUE!</v>
      </c>
      <c r="AY73" s="249">
        <f>'Alternative 3'!$B$20/1.67</f>
        <v>149.70059880239521</v>
      </c>
    </row>
    <row r="74" spans="1:51" x14ac:dyDescent="0.25">
      <c r="N74" s="249" t="str">
        <f>'Alternative 1'!$F75</f>
        <v>x</v>
      </c>
      <c r="O74" s="249" t="e">
        <f>'Alternative 1-Tilt Up (3pt)'!$T74/1000000</f>
        <v>#VALUE!</v>
      </c>
      <c r="P74" s="249" t="e">
        <f>'Alternative 1-Tilt Up (3pt)'!$Z74/1000000</f>
        <v>#VALUE!</v>
      </c>
      <c r="Q74" s="249" t="e">
        <f>'Alternative 1-Tilt Up (3pt)'!$AF74/1000000</f>
        <v>#VALUE!</v>
      </c>
      <c r="R74" s="249" t="e">
        <f>'Alternative 1-Tilt Up (3pt)'!$AL74/1000000</f>
        <v>#VALUE!</v>
      </c>
      <c r="S74" s="249" t="e">
        <f>'Alternative 1-Tilt Up (3pt)'!$AR74/1000000</f>
        <v>#VALUE!</v>
      </c>
      <c r="T74" s="249" t="e">
        <f>'Alternative 1-Tilt Up (3pt)'!$AX74/1000000</f>
        <v>#VALUE!</v>
      </c>
      <c r="U74" s="249" t="e">
        <f>'Alternative 1-Tilt Up (3pt)'!$BD74/1000000</f>
        <v>#VALUE!</v>
      </c>
      <c r="V74" s="249" t="e">
        <f>'Alternative 1-Tilt Up (3pt)'!$BJ74/1000000</f>
        <v>#VALUE!</v>
      </c>
      <c r="W74" s="249" t="e">
        <f>'Alternative 1-Tilt Up (3pt)'!$BP74/1000000</f>
        <v>#VALUE!</v>
      </c>
      <c r="X74" s="249" t="e">
        <f>'Alternative 1-Tilt Up (3pt)'!$BV74/1000000</f>
        <v>#VALUE!</v>
      </c>
      <c r="Y74" s="249">
        <f>'Alternative 1'!$B$20/1.67</f>
        <v>149.70059880239521</v>
      </c>
      <c r="AA74" s="249" t="str">
        <f>'Alternative 2'!$F75</f>
        <v>x</v>
      </c>
      <c r="AB74" s="249" t="e">
        <f>'Alternative 2-Tilt Up (3pt)'!$T74/1000000</f>
        <v>#VALUE!</v>
      </c>
      <c r="AC74" s="249" t="e">
        <f>'Alternative 2-Tilt Up (3pt)'!$Z74/1000000</f>
        <v>#VALUE!</v>
      </c>
      <c r="AD74" s="249" t="e">
        <f>'Alternative 2-Tilt Up (3pt)'!$AF74/1000000</f>
        <v>#VALUE!</v>
      </c>
      <c r="AE74" s="249" t="e">
        <f>'Alternative 2-Tilt Up (3pt)'!$AL74/1000000</f>
        <v>#VALUE!</v>
      </c>
      <c r="AF74" s="249" t="e">
        <f>'Alternative 2-Tilt Up (3pt)'!$AR74/1000000</f>
        <v>#VALUE!</v>
      </c>
      <c r="AG74" s="249" t="e">
        <f>'Alternative 2-Tilt Up (3pt)'!$AX74/1000000</f>
        <v>#VALUE!</v>
      </c>
      <c r="AH74" s="249" t="e">
        <f>'Alternative 2-Tilt Up (3pt)'!$BD74/1000000</f>
        <v>#VALUE!</v>
      </c>
      <c r="AI74" s="249" t="e">
        <f>'Alternative 2-Tilt Up (3pt)'!$BJ74/1000000</f>
        <v>#VALUE!</v>
      </c>
      <c r="AJ74" s="249" t="e">
        <f>'Alternative 2-Tilt Up (3pt)'!$BP74/1000000</f>
        <v>#VALUE!</v>
      </c>
      <c r="AK74" s="249" t="e">
        <f>'Alternative 2-Tilt Up (3pt)'!$BV74/1000000</f>
        <v>#VALUE!</v>
      </c>
      <c r="AL74" s="249">
        <f>'Alternative 2'!$B$20/1.67</f>
        <v>149.70059880239521</v>
      </c>
      <c r="AN74" s="249" t="str">
        <f>'Alternative 3'!$F75</f>
        <v>x</v>
      </c>
      <c r="AO74" s="249" t="e">
        <f>'Alternative 3-Tilt Up (3pt)'!$T74/1000000</f>
        <v>#VALUE!</v>
      </c>
      <c r="AP74" s="249" t="e">
        <f>'Alternative 3-Tilt Up (3pt)'!$Z74/1000000</f>
        <v>#VALUE!</v>
      </c>
      <c r="AQ74" s="249" t="e">
        <f>'Alternative 3-Tilt Up (3pt)'!$AF74/1000000</f>
        <v>#VALUE!</v>
      </c>
      <c r="AR74" s="249" t="e">
        <f>'Alternative 3-Tilt Up (3pt)'!$AL74/1000000</f>
        <v>#VALUE!</v>
      </c>
      <c r="AS74" s="249" t="e">
        <f>'Alternative 3-Tilt Up (3pt)'!$AR74/1000000</f>
        <v>#VALUE!</v>
      </c>
      <c r="AT74" s="249" t="e">
        <f>'Alternative 3-Tilt Up (3pt)'!$AX74/1000000</f>
        <v>#VALUE!</v>
      </c>
      <c r="AU74" s="249" t="e">
        <f>'Alternative 3-Tilt Up (3pt)'!$BD74/1000000</f>
        <v>#VALUE!</v>
      </c>
      <c r="AV74" s="249" t="e">
        <f>'Alternative 3-Tilt Up (3pt)'!$BJ74/1000000</f>
        <v>#VALUE!</v>
      </c>
      <c r="AW74" s="249" t="e">
        <f>'Alternative 3-Tilt Up (3pt)'!$BP74/1000000</f>
        <v>#VALUE!</v>
      </c>
      <c r="AX74" s="249" t="e">
        <f>'Alternative 3-Tilt Up (3pt)'!$BV74/1000000</f>
        <v>#VALUE!</v>
      </c>
      <c r="AY74" s="249">
        <f>'Alternative 3'!$B$20/1.67</f>
        <v>149.70059880239521</v>
      </c>
    </row>
    <row r="75" spans="1:51" x14ac:dyDescent="0.25">
      <c r="N75" s="249" t="str">
        <f>'Alternative 1'!$F76</f>
        <v>x</v>
      </c>
      <c r="O75" s="249" t="e">
        <f>'Alternative 1-Tilt Up (3pt)'!$T75/1000000</f>
        <v>#VALUE!</v>
      </c>
      <c r="P75" s="249" t="e">
        <f>'Alternative 1-Tilt Up (3pt)'!$Z75/1000000</f>
        <v>#VALUE!</v>
      </c>
      <c r="Q75" s="249" t="e">
        <f>'Alternative 1-Tilt Up (3pt)'!$AF75/1000000</f>
        <v>#VALUE!</v>
      </c>
      <c r="R75" s="249" t="e">
        <f>'Alternative 1-Tilt Up (3pt)'!$AL75/1000000</f>
        <v>#VALUE!</v>
      </c>
      <c r="S75" s="249" t="e">
        <f>'Alternative 1-Tilt Up (3pt)'!$AR75/1000000</f>
        <v>#VALUE!</v>
      </c>
      <c r="T75" s="249" t="e">
        <f>'Alternative 1-Tilt Up (3pt)'!$AX75/1000000</f>
        <v>#VALUE!</v>
      </c>
      <c r="U75" s="249" t="e">
        <f>'Alternative 1-Tilt Up (3pt)'!$BD75/1000000</f>
        <v>#VALUE!</v>
      </c>
      <c r="V75" s="249" t="e">
        <f>'Alternative 1-Tilt Up (3pt)'!$BJ75/1000000</f>
        <v>#VALUE!</v>
      </c>
      <c r="W75" s="249" t="e">
        <f>'Alternative 1-Tilt Up (3pt)'!$BP75/1000000</f>
        <v>#VALUE!</v>
      </c>
      <c r="X75" s="249" t="e">
        <f>'Alternative 1-Tilt Up (3pt)'!$BV75/1000000</f>
        <v>#VALUE!</v>
      </c>
      <c r="Y75" s="249">
        <f>'Alternative 1'!$B$20/1.67</f>
        <v>149.70059880239521</v>
      </c>
      <c r="AA75" s="249" t="str">
        <f>'Alternative 2'!$F76</f>
        <v>x</v>
      </c>
      <c r="AB75" s="249" t="e">
        <f>'Alternative 2-Tilt Up (3pt)'!$T75/1000000</f>
        <v>#VALUE!</v>
      </c>
      <c r="AC75" s="249" t="e">
        <f>'Alternative 2-Tilt Up (3pt)'!$Z75/1000000</f>
        <v>#VALUE!</v>
      </c>
      <c r="AD75" s="249" t="e">
        <f>'Alternative 2-Tilt Up (3pt)'!$AF75/1000000</f>
        <v>#VALUE!</v>
      </c>
      <c r="AE75" s="249" t="e">
        <f>'Alternative 2-Tilt Up (3pt)'!$AL75/1000000</f>
        <v>#VALUE!</v>
      </c>
      <c r="AF75" s="249" t="e">
        <f>'Alternative 2-Tilt Up (3pt)'!$AR75/1000000</f>
        <v>#VALUE!</v>
      </c>
      <c r="AG75" s="249" t="e">
        <f>'Alternative 2-Tilt Up (3pt)'!$AX75/1000000</f>
        <v>#VALUE!</v>
      </c>
      <c r="AH75" s="249" t="e">
        <f>'Alternative 2-Tilt Up (3pt)'!$BD75/1000000</f>
        <v>#VALUE!</v>
      </c>
      <c r="AI75" s="249" t="e">
        <f>'Alternative 2-Tilt Up (3pt)'!$BJ75/1000000</f>
        <v>#VALUE!</v>
      </c>
      <c r="AJ75" s="249" t="e">
        <f>'Alternative 2-Tilt Up (3pt)'!$BP75/1000000</f>
        <v>#VALUE!</v>
      </c>
      <c r="AK75" s="249" t="e">
        <f>'Alternative 2-Tilt Up (3pt)'!$BV75/1000000</f>
        <v>#VALUE!</v>
      </c>
      <c r="AL75" s="249">
        <f>'Alternative 2'!$B$20/1.67</f>
        <v>149.70059880239521</v>
      </c>
      <c r="AN75" s="249" t="str">
        <f>'Alternative 3'!$F76</f>
        <v>x</v>
      </c>
      <c r="AO75" s="249" t="e">
        <f>'Alternative 3-Tilt Up (3pt)'!$T75/1000000</f>
        <v>#VALUE!</v>
      </c>
      <c r="AP75" s="249" t="e">
        <f>'Alternative 3-Tilt Up (3pt)'!$Z75/1000000</f>
        <v>#VALUE!</v>
      </c>
      <c r="AQ75" s="249" t="e">
        <f>'Alternative 3-Tilt Up (3pt)'!$AF75/1000000</f>
        <v>#VALUE!</v>
      </c>
      <c r="AR75" s="249" t="e">
        <f>'Alternative 3-Tilt Up (3pt)'!$AL75/1000000</f>
        <v>#VALUE!</v>
      </c>
      <c r="AS75" s="249" t="e">
        <f>'Alternative 3-Tilt Up (3pt)'!$AR75/1000000</f>
        <v>#VALUE!</v>
      </c>
      <c r="AT75" s="249" t="e">
        <f>'Alternative 3-Tilt Up (3pt)'!$AX75/1000000</f>
        <v>#VALUE!</v>
      </c>
      <c r="AU75" s="249" t="e">
        <f>'Alternative 3-Tilt Up (3pt)'!$BD75/1000000</f>
        <v>#VALUE!</v>
      </c>
      <c r="AV75" s="249" t="e">
        <f>'Alternative 3-Tilt Up (3pt)'!$BJ75/1000000</f>
        <v>#VALUE!</v>
      </c>
      <c r="AW75" s="249" t="e">
        <f>'Alternative 3-Tilt Up (3pt)'!$BP75/1000000</f>
        <v>#VALUE!</v>
      </c>
      <c r="AX75" s="249" t="e">
        <f>'Alternative 3-Tilt Up (3pt)'!$BV75/1000000</f>
        <v>#VALUE!</v>
      </c>
      <c r="AY75" s="249">
        <f>'Alternative 3'!$B$20/1.67</f>
        <v>149.70059880239521</v>
      </c>
    </row>
    <row r="76" spans="1:51" x14ac:dyDescent="0.25">
      <c r="N76" s="249" t="str">
        <f>'Alternative 1'!$F77</f>
        <v>x</v>
      </c>
      <c r="O76" s="249" t="e">
        <f>'Alternative 1-Tilt Up (3pt)'!$T76/1000000</f>
        <v>#VALUE!</v>
      </c>
      <c r="P76" s="249" t="e">
        <f>'Alternative 1-Tilt Up (3pt)'!$Z76/1000000</f>
        <v>#VALUE!</v>
      </c>
      <c r="Q76" s="249" t="e">
        <f>'Alternative 1-Tilt Up (3pt)'!$AF76/1000000</f>
        <v>#VALUE!</v>
      </c>
      <c r="R76" s="249" t="e">
        <f>'Alternative 1-Tilt Up (3pt)'!$AL76/1000000</f>
        <v>#VALUE!</v>
      </c>
      <c r="S76" s="249" t="e">
        <f>'Alternative 1-Tilt Up (3pt)'!$AR76/1000000</f>
        <v>#VALUE!</v>
      </c>
      <c r="T76" s="249" t="e">
        <f>'Alternative 1-Tilt Up (3pt)'!$AX76/1000000</f>
        <v>#VALUE!</v>
      </c>
      <c r="U76" s="249" t="e">
        <f>'Alternative 1-Tilt Up (3pt)'!$BD76/1000000</f>
        <v>#VALUE!</v>
      </c>
      <c r="V76" s="249" t="e">
        <f>'Alternative 1-Tilt Up (3pt)'!$BJ76/1000000</f>
        <v>#VALUE!</v>
      </c>
      <c r="W76" s="249" t="e">
        <f>'Alternative 1-Tilt Up (3pt)'!$BP76/1000000</f>
        <v>#VALUE!</v>
      </c>
      <c r="X76" s="249" t="e">
        <f>'Alternative 1-Tilt Up (3pt)'!$BV76/1000000</f>
        <v>#VALUE!</v>
      </c>
      <c r="Y76" s="249">
        <f>'Alternative 1'!$B$20/1.67</f>
        <v>149.70059880239521</v>
      </c>
      <c r="AA76" s="249" t="str">
        <f>'Alternative 2'!$F77</f>
        <v>x</v>
      </c>
      <c r="AB76" s="249" t="e">
        <f>'Alternative 2-Tilt Up (3pt)'!$T76/1000000</f>
        <v>#VALUE!</v>
      </c>
      <c r="AC76" s="249" t="e">
        <f>'Alternative 2-Tilt Up (3pt)'!$Z76/1000000</f>
        <v>#VALUE!</v>
      </c>
      <c r="AD76" s="249" t="e">
        <f>'Alternative 2-Tilt Up (3pt)'!$AF76/1000000</f>
        <v>#VALUE!</v>
      </c>
      <c r="AE76" s="249" t="e">
        <f>'Alternative 2-Tilt Up (3pt)'!$AL76/1000000</f>
        <v>#VALUE!</v>
      </c>
      <c r="AF76" s="249" t="e">
        <f>'Alternative 2-Tilt Up (3pt)'!$AR76/1000000</f>
        <v>#VALUE!</v>
      </c>
      <c r="AG76" s="249" t="e">
        <f>'Alternative 2-Tilt Up (3pt)'!$AX76/1000000</f>
        <v>#VALUE!</v>
      </c>
      <c r="AH76" s="249" t="e">
        <f>'Alternative 2-Tilt Up (3pt)'!$BD76/1000000</f>
        <v>#VALUE!</v>
      </c>
      <c r="AI76" s="249" t="e">
        <f>'Alternative 2-Tilt Up (3pt)'!$BJ76/1000000</f>
        <v>#VALUE!</v>
      </c>
      <c r="AJ76" s="249" t="e">
        <f>'Alternative 2-Tilt Up (3pt)'!$BP76/1000000</f>
        <v>#VALUE!</v>
      </c>
      <c r="AK76" s="249" t="e">
        <f>'Alternative 2-Tilt Up (3pt)'!$BV76/1000000</f>
        <v>#VALUE!</v>
      </c>
      <c r="AL76" s="249">
        <f>'Alternative 2'!$B$20/1.67</f>
        <v>149.70059880239521</v>
      </c>
      <c r="AN76" s="249" t="str">
        <f>'Alternative 3'!$F77</f>
        <v>x</v>
      </c>
      <c r="AO76" s="249" t="e">
        <f>'Alternative 3-Tilt Up (3pt)'!$T76/1000000</f>
        <v>#VALUE!</v>
      </c>
      <c r="AP76" s="249" t="e">
        <f>'Alternative 3-Tilt Up (3pt)'!$Z76/1000000</f>
        <v>#VALUE!</v>
      </c>
      <c r="AQ76" s="249" t="e">
        <f>'Alternative 3-Tilt Up (3pt)'!$AF76/1000000</f>
        <v>#VALUE!</v>
      </c>
      <c r="AR76" s="249" t="e">
        <f>'Alternative 3-Tilt Up (3pt)'!$AL76/1000000</f>
        <v>#VALUE!</v>
      </c>
      <c r="AS76" s="249" t="e">
        <f>'Alternative 3-Tilt Up (3pt)'!$AR76/1000000</f>
        <v>#VALUE!</v>
      </c>
      <c r="AT76" s="249" t="e">
        <f>'Alternative 3-Tilt Up (3pt)'!$AX76/1000000</f>
        <v>#VALUE!</v>
      </c>
      <c r="AU76" s="249" t="e">
        <f>'Alternative 3-Tilt Up (3pt)'!$BD76/1000000</f>
        <v>#VALUE!</v>
      </c>
      <c r="AV76" s="249" t="e">
        <f>'Alternative 3-Tilt Up (3pt)'!$BJ76/1000000</f>
        <v>#VALUE!</v>
      </c>
      <c r="AW76" s="249" t="e">
        <f>'Alternative 3-Tilt Up (3pt)'!$BP76/1000000</f>
        <v>#VALUE!</v>
      </c>
      <c r="AX76" s="249" t="e">
        <f>'Alternative 3-Tilt Up (3pt)'!$BV76/1000000</f>
        <v>#VALUE!</v>
      </c>
      <c r="AY76" s="249">
        <f>'Alternative 3'!$B$20/1.67</f>
        <v>149.70059880239521</v>
      </c>
    </row>
    <row r="77" spans="1:51" x14ac:dyDescent="0.25">
      <c r="N77" s="249" t="str">
        <f>'Alternative 1'!$F78</f>
        <v>x</v>
      </c>
      <c r="O77" s="249" t="e">
        <f>'Alternative 1-Tilt Up (3pt)'!$T77/1000000</f>
        <v>#VALUE!</v>
      </c>
      <c r="P77" s="249" t="e">
        <f>'Alternative 1-Tilt Up (3pt)'!$Z77/1000000</f>
        <v>#VALUE!</v>
      </c>
      <c r="Q77" s="249" t="e">
        <f>'Alternative 1-Tilt Up (3pt)'!$AF77/1000000</f>
        <v>#VALUE!</v>
      </c>
      <c r="R77" s="249" t="e">
        <f>'Alternative 1-Tilt Up (3pt)'!$AL77/1000000</f>
        <v>#VALUE!</v>
      </c>
      <c r="S77" s="249" t="e">
        <f>'Alternative 1-Tilt Up (3pt)'!$AR77/1000000</f>
        <v>#VALUE!</v>
      </c>
      <c r="T77" s="249" t="e">
        <f>'Alternative 1-Tilt Up (3pt)'!$AX77/1000000</f>
        <v>#VALUE!</v>
      </c>
      <c r="U77" s="249" t="e">
        <f>'Alternative 1-Tilt Up (3pt)'!$BD77/1000000</f>
        <v>#VALUE!</v>
      </c>
      <c r="V77" s="249" t="e">
        <f>'Alternative 1-Tilt Up (3pt)'!$BJ77/1000000</f>
        <v>#VALUE!</v>
      </c>
      <c r="W77" s="249" t="e">
        <f>'Alternative 1-Tilt Up (3pt)'!$BP77/1000000</f>
        <v>#VALUE!</v>
      </c>
      <c r="X77" s="249" t="e">
        <f>'Alternative 1-Tilt Up (3pt)'!$BV77/1000000</f>
        <v>#VALUE!</v>
      </c>
      <c r="Y77" s="249">
        <f>'Alternative 1'!$B$20/1.67</f>
        <v>149.70059880239521</v>
      </c>
      <c r="AA77" s="249" t="str">
        <f>'Alternative 2'!$F78</f>
        <v>x</v>
      </c>
      <c r="AB77" s="249" t="e">
        <f>'Alternative 2-Tilt Up (3pt)'!$T77/1000000</f>
        <v>#VALUE!</v>
      </c>
      <c r="AC77" s="249" t="e">
        <f>'Alternative 2-Tilt Up (3pt)'!$Z77/1000000</f>
        <v>#VALUE!</v>
      </c>
      <c r="AD77" s="249" t="e">
        <f>'Alternative 2-Tilt Up (3pt)'!$AF77/1000000</f>
        <v>#VALUE!</v>
      </c>
      <c r="AE77" s="249" t="e">
        <f>'Alternative 2-Tilt Up (3pt)'!$AL77/1000000</f>
        <v>#VALUE!</v>
      </c>
      <c r="AF77" s="249" t="e">
        <f>'Alternative 2-Tilt Up (3pt)'!$AR77/1000000</f>
        <v>#VALUE!</v>
      </c>
      <c r="AG77" s="249" t="e">
        <f>'Alternative 2-Tilt Up (3pt)'!$AX77/1000000</f>
        <v>#VALUE!</v>
      </c>
      <c r="AH77" s="249" t="e">
        <f>'Alternative 2-Tilt Up (3pt)'!$BD77/1000000</f>
        <v>#VALUE!</v>
      </c>
      <c r="AI77" s="249" t="e">
        <f>'Alternative 2-Tilt Up (3pt)'!$BJ77/1000000</f>
        <v>#VALUE!</v>
      </c>
      <c r="AJ77" s="249" t="e">
        <f>'Alternative 2-Tilt Up (3pt)'!$BP77/1000000</f>
        <v>#VALUE!</v>
      </c>
      <c r="AK77" s="249" t="e">
        <f>'Alternative 2-Tilt Up (3pt)'!$BV77/1000000</f>
        <v>#VALUE!</v>
      </c>
      <c r="AL77" s="249">
        <f>'Alternative 2'!$B$20/1.67</f>
        <v>149.70059880239521</v>
      </c>
      <c r="AN77" s="249" t="str">
        <f>'Alternative 3'!$F78</f>
        <v>x</v>
      </c>
      <c r="AO77" s="249" t="e">
        <f>'Alternative 3-Tilt Up (3pt)'!$T77/1000000</f>
        <v>#VALUE!</v>
      </c>
      <c r="AP77" s="249" t="e">
        <f>'Alternative 3-Tilt Up (3pt)'!$Z77/1000000</f>
        <v>#VALUE!</v>
      </c>
      <c r="AQ77" s="249" t="e">
        <f>'Alternative 3-Tilt Up (3pt)'!$AF77/1000000</f>
        <v>#VALUE!</v>
      </c>
      <c r="AR77" s="249" t="e">
        <f>'Alternative 3-Tilt Up (3pt)'!$AL77/1000000</f>
        <v>#VALUE!</v>
      </c>
      <c r="AS77" s="249" t="e">
        <f>'Alternative 3-Tilt Up (3pt)'!$AR77/1000000</f>
        <v>#VALUE!</v>
      </c>
      <c r="AT77" s="249" t="e">
        <f>'Alternative 3-Tilt Up (3pt)'!$AX77/1000000</f>
        <v>#VALUE!</v>
      </c>
      <c r="AU77" s="249" t="e">
        <f>'Alternative 3-Tilt Up (3pt)'!$BD77/1000000</f>
        <v>#VALUE!</v>
      </c>
      <c r="AV77" s="249" t="e">
        <f>'Alternative 3-Tilt Up (3pt)'!$BJ77/1000000</f>
        <v>#VALUE!</v>
      </c>
      <c r="AW77" s="249" t="e">
        <f>'Alternative 3-Tilt Up (3pt)'!$BP77/1000000</f>
        <v>#VALUE!</v>
      </c>
      <c r="AX77" s="249" t="e">
        <f>'Alternative 3-Tilt Up (3pt)'!$BV77/1000000</f>
        <v>#VALUE!</v>
      </c>
      <c r="AY77" s="249">
        <f>'Alternative 3'!$B$20/1.67</f>
        <v>149.70059880239521</v>
      </c>
    </row>
    <row r="78" spans="1:51" x14ac:dyDescent="0.25">
      <c r="N78" s="249" t="str">
        <f>'Alternative 1'!$F79</f>
        <v>x</v>
      </c>
      <c r="O78" s="249" t="e">
        <f>'Alternative 1-Tilt Up (3pt)'!$T78/1000000</f>
        <v>#VALUE!</v>
      </c>
      <c r="P78" s="249" t="e">
        <f>'Alternative 1-Tilt Up (3pt)'!$Z78/1000000</f>
        <v>#VALUE!</v>
      </c>
      <c r="Q78" s="249" t="e">
        <f>'Alternative 1-Tilt Up (3pt)'!$AF78/1000000</f>
        <v>#VALUE!</v>
      </c>
      <c r="R78" s="249" t="e">
        <f>'Alternative 1-Tilt Up (3pt)'!$AL78/1000000</f>
        <v>#VALUE!</v>
      </c>
      <c r="S78" s="249" t="e">
        <f>'Alternative 1-Tilt Up (3pt)'!$AR78/1000000</f>
        <v>#VALUE!</v>
      </c>
      <c r="T78" s="249" t="e">
        <f>'Alternative 1-Tilt Up (3pt)'!$AX78/1000000</f>
        <v>#VALUE!</v>
      </c>
      <c r="U78" s="249" t="e">
        <f>'Alternative 1-Tilt Up (3pt)'!$BD78/1000000</f>
        <v>#VALUE!</v>
      </c>
      <c r="V78" s="249" t="e">
        <f>'Alternative 1-Tilt Up (3pt)'!$BJ78/1000000</f>
        <v>#VALUE!</v>
      </c>
      <c r="W78" s="249" t="e">
        <f>'Alternative 1-Tilt Up (3pt)'!$BP78/1000000</f>
        <v>#VALUE!</v>
      </c>
      <c r="X78" s="249" t="e">
        <f>'Alternative 1-Tilt Up (3pt)'!$BV78/1000000</f>
        <v>#VALUE!</v>
      </c>
      <c r="Y78" s="249">
        <f>'Alternative 1'!$B$20/1.67</f>
        <v>149.70059880239521</v>
      </c>
      <c r="AA78" s="249" t="str">
        <f>'Alternative 2'!$F79</f>
        <v>x</v>
      </c>
      <c r="AB78" s="249" t="e">
        <f>'Alternative 2-Tilt Up (3pt)'!$T78/1000000</f>
        <v>#VALUE!</v>
      </c>
      <c r="AC78" s="249" t="e">
        <f>'Alternative 2-Tilt Up (3pt)'!$Z78/1000000</f>
        <v>#VALUE!</v>
      </c>
      <c r="AD78" s="249" t="e">
        <f>'Alternative 2-Tilt Up (3pt)'!$AF78/1000000</f>
        <v>#VALUE!</v>
      </c>
      <c r="AE78" s="249" t="e">
        <f>'Alternative 2-Tilt Up (3pt)'!$AL78/1000000</f>
        <v>#VALUE!</v>
      </c>
      <c r="AF78" s="249" t="e">
        <f>'Alternative 2-Tilt Up (3pt)'!$AR78/1000000</f>
        <v>#VALUE!</v>
      </c>
      <c r="AG78" s="249" t="e">
        <f>'Alternative 2-Tilt Up (3pt)'!$AX78/1000000</f>
        <v>#VALUE!</v>
      </c>
      <c r="AH78" s="249" t="e">
        <f>'Alternative 2-Tilt Up (3pt)'!$BD78/1000000</f>
        <v>#VALUE!</v>
      </c>
      <c r="AI78" s="249" t="e">
        <f>'Alternative 2-Tilt Up (3pt)'!$BJ78/1000000</f>
        <v>#VALUE!</v>
      </c>
      <c r="AJ78" s="249" t="e">
        <f>'Alternative 2-Tilt Up (3pt)'!$BP78/1000000</f>
        <v>#VALUE!</v>
      </c>
      <c r="AK78" s="249" t="e">
        <f>'Alternative 2-Tilt Up (3pt)'!$BV78/1000000</f>
        <v>#VALUE!</v>
      </c>
      <c r="AL78" s="249">
        <f>'Alternative 2'!$B$20/1.67</f>
        <v>149.70059880239521</v>
      </c>
      <c r="AN78" s="249" t="str">
        <f>'Alternative 3'!$F79</f>
        <v>x</v>
      </c>
      <c r="AO78" s="249" t="e">
        <f>'Alternative 3-Tilt Up (3pt)'!$T78/1000000</f>
        <v>#VALUE!</v>
      </c>
      <c r="AP78" s="249" t="e">
        <f>'Alternative 3-Tilt Up (3pt)'!$Z78/1000000</f>
        <v>#VALUE!</v>
      </c>
      <c r="AQ78" s="249" t="e">
        <f>'Alternative 3-Tilt Up (3pt)'!$AF78/1000000</f>
        <v>#VALUE!</v>
      </c>
      <c r="AR78" s="249" t="e">
        <f>'Alternative 3-Tilt Up (3pt)'!$AL78/1000000</f>
        <v>#VALUE!</v>
      </c>
      <c r="AS78" s="249" t="e">
        <f>'Alternative 3-Tilt Up (3pt)'!$AR78/1000000</f>
        <v>#VALUE!</v>
      </c>
      <c r="AT78" s="249" t="e">
        <f>'Alternative 3-Tilt Up (3pt)'!$AX78/1000000</f>
        <v>#VALUE!</v>
      </c>
      <c r="AU78" s="249" t="e">
        <f>'Alternative 3-Tilt Up (3pt)'!$BD78/1000000</f>
        <v>#VALUE!</v>
      </c>
      <c r="AV78" s="249" t="e">
        <f>'Alternative 3-Tilt Up (3pt)'!$BJ78/1000000</f>
        <v>#VALUE!</v>
      </c>
      <c r="AW78" s="249" t="e">
        <f>'Alternative 3-Tilt Up (3pt)'!$BP78/1000000</f>
        <v>#VALUE!</v>
      </c>
      <c r="AX78" s="249" t="e">
        <f>'Alternative 3-Tilt Up (3pt)'!$BV78/1000000</f>
        <v>#VALUE!</v>
      </c>
      <c r="AY78" s="249">
        <f>'Alternative 3'!$B$20/1.67</f>
        <v>149.70059880239521</v>
      </c>
    </row>
    <row r="79" spans="1:51" x14ac:dyDescent="0.25">
      <c r="N79" s="249" t="str">
        <f>'Alternative 1'!$F80</f>
        <v>x</v>
      </c>
      <c r="O79" s="249" t="e">
        <f>'Alternative 1-Tilt Up (3pt)'!$T79/1000000</f>
        <v>#VALUE!</v>
      </c>
      <c r="P79" s="249" t="e">
        <f>'Alternative 1-Tilt Up (3pt)'!$Z79/1000000</f>
        <v>#VALUE!</v>
      </c>
      <c r="Q79" s="249" t="e">
        <f>'Alternative 1-Tilt Up (3pt)'!$AF79/1000000</f>
        <v>#VALUE!</v>
      </c>
      <c r="R79" s="249" t="e">
        <f>'Alternative 1-Tilt Up (3pt)'!$AL79/1000000</f>
        <v>#VALUE!</v>
      </c>
      <c r="S79" s="249" t="e">
        <f>'Alternative 1-Tilt Up (3pt)'!$AR79/1000000</f>
        <v>#VALUE!</v>
      </c>
      <c r="T79" s="249" t="e">
        <f>'Alternative 1-Tilt Up (3pt)'!$AX79/1000000</f>
        <v>#VALUE!</v>
      </c>
      <c r="U79" s="249" t="e">
        <f>'Alternative 1-Tilt Up (3pt)'!$BD79/1000000</f>
        <v>#VALUE!</v>
      </c>
      <c r="V79" s="249" t="e">
        <f>'Alternative 1-Tilt Up (3pt)'!$BJ79/1000000</f>
        <v>#VALUE!</v>
      </c>
      <c r="W79" s="249" t="e">
        <f>'Alternative 1-Tilt Up (3pt)'!$BP79/1000000</f>
        <v>#VALUE!</v>
      </c>
      <c r="X79" s="249" t="e">
        <f>'Alternative 1-Tilt Up (3pt)'!$BV79/1000000</f>
        <v>#VALUE!</v>
      </c>
      <c r="Y79" s="249">
        <f>'Alternative 1'!$B$20/1.67</f>
        <v>149.70059880239521</v>
      </c>
      <c r="AA79" s="249" t="str">
        <f>'Alternative 2'!$F80</f>
        <v>x</v>
      </c>
      <c r="AB79" s="249" t="e">
        <f>'Alternative 2-Tilt Up (3pt)'!$T79/1000000</f>
        <v>#VALUE!</v>
      </c>
      <c r="AC79" s="249" t="e">
        <f>'Alternative 2-Tilt Up (3pt)'!$Z79/1000000</f>
        <v>#VALUE!</v>
      </c>
      <c r="AD79" s="249" t="e">
        <f>'Alternative 2-Tilt Up (3pt)'!$AF79/1000000</f>
        <v>#VALUE!</v>
      </c>
      <c r="AE79" s="249" t="e">
        <f>'Alternative 2-Tilt Up (3pt)'!$AL79/1000000</f>
        <v>#VALUE!</v>
      </c>
      <c r="AF79" s="249" t="e">
        <f>'Alternative 2-Tilt Up (3pt)'!$AR79/1000000</f>
        <v>#VALUE!</v>
      </c>
      <c r="AG79" s="249" t="e">
        <f>'Alternative 2-Tilt Up (3pt)'!$AX79/1000000</f>
        <v>#VALUE!</v>
      </c>
      <c r="AH79" s="249" t="e">
        <f>'Alternative 2-Tilt Up (3pt)'!$BD79/1000000</f>
        <v>#VALUE!</v>
      </c>
      <c r="AI79" s="249" t="e">
        <f>'Alternative 2-Tilt Up (3pt)'!$BJ79/1000000</f>
        <v>#VALUE!</v>
      </c>
      <c r="AJ79" s="249" t="e">
        <f>'Alternative 2-Tilt Up (3pt)'!$BP79/1000000</f>
        <v>#VALUE!</v>
      </c>
      <c r="AK79" s="249" t="e">
        <f>'Alternative 2-Tilt Up (3pt)'!$BV79/1000000</f>
        <v>#VALUE!</v>
      </c>
      <c r="AL79" s="249">
        <f>'Alternative 2'!$B$20/1.67</f>
        <v>149.70059880239521</v>
      </c>
      <c r="AN79" s="249" t="str">
        <f>'Alternative 3'!$F80</f>
        <v>x</v>
      </c>
      <c r="AO79" s="249" t="e">
        <f>'Alternative 3-Tilt Up (3pt)'!$T79/1000000</f>
        <v>#VALUE!</v>
      </c>
      <c r="AP79" s="249" t="e">
        <f>'Alternative 3-Tilt Up (3pt)'!$Z79/1000000</f>
        <v>#VALUE!</v>
      </c>
      <c r="AQ79" s="249" t="e">
        <f>'Alternative 3-Tilt Up (3pt)'!$AF79/1000000</f>
        <v>#VALUE!</v>
      </c>
      <c r="AR79" s="249" t="e">
        <f>'Alternative 3-Tilt Up (3pt)'!$AL79/1000000</f>
        <v>#VALUE!</v>
      </c>
      <c r="AS79" s="249" t="e">
        <f>'Alternative 3-Tilt Up (3pt)'!$AR79/1000000</f>
        <v>#VALUE!</v>
      </c>
      <c r="AT79" s="249" t="e">
        <f>'Alternative 3-Tilt Up (3pt)'!$AX79/1000000</f>
        <v>#VALUE!</v>
      </c>
      <c r="AU79" s="249" t="e">
        <f>'Alternative 3-Tilt Up (3pt)'!$BD79/1000000</f>
        <v>#VALUE!</v>
      </c>
      <c r="AV79" s="249" t="e">
        <f>'Alternative 3-Tilt Up (3pt)'!$BJ79/1000000</f>
        <v>#VALUE!</v>
      </c>
      <c r="AW79" s="249" t="e">
        <f>'Alternative 3-Tilt Up (3pt)'!$BP79/1000000</f>
        <v>#VALUE!</v>
      </c>
      <c r="AX79" s="249" t="e">
        <f>'Alternative 3-Tilt Up (3pt)'!$BV79/1000000</f>
        <v>#VALUE!</v>
      </c>
      <c r="AY79" s="249">
        <f>'Alternative 3'!$B$20/1.67</f>
        <v>149.70059880239521</v>
      </c>
    </row>
    <row r="80" spans="1:51" x14ac:dyDescent="0.25">
      <c r="N80" s="249" t="str">
        <f>'Alternative 1'!$F81</f>
        <v>x</v>
      </c>
      <c r="O80" s="249" t="e">
        <f>'Alternative 1-Tilt Up (3pt)'!$T80/1000000</f>
        <v>#VALUE!</v>
      </c>
      <c r="P80" s="249" t="e">
        <f>'Alternative 1-Tilt Up (3pt)'!$Z80/1000000</f>
        <v>#VALUE!</v>
      </c>
      <c r="Q80" s="249" t="e">
        <f>'Alternative 1-Tilt Up (3pt)'!$AF80/1000000</f>
        <v>#VALUE!</v>
      </c>
      <c r="R80" s="249" t="e">
        <f>'Alternative 1-Tilt Up (3pt)'!$AL80/1000000</f>
        <v>#VALUE!</v>
      </c>
      <c r="S80" s="249" t="e">
        <f>'Alternative 1-Tilt Up (3pt)'!$AR80/1000000</f>
        <v>#VALUE!</v>
      </c>
      <c r="T80" s="249" t="e">
        <f>'Alternative 1-Tilt Up (3pt)'!$AX80/1000000</f>
        <v>#VALUE!</v>
      </c>
      <c r="U80" s="249" t="e">
        <f>'Alternative 1-Tilt Up (3pt)'!$BD80/1000000</f>
        <v>#VALUE!</v>
      </c>
      <c r="V80" s="249" t="e">
        <f>'Alternative 1-Tilt Up (3pt)'!$BJ80/1000000</f>
        <v>#VALUE!</v>
      </c>
      <c r="W80" s="249" t="e">
        <f>'Alternative 1-Tilt Up (3pt)'!$BP80/1000000</f>
        <v>#VALUE!</v>
      </c>
      <c r="X80" s="249" t="e">
        <f>'Alternative 1-Tilt Up (3pt)'!$BV80/1000000</f>
        <v>#VALUE!</v>
      </c>
      <c r="Y80" s="249">
        <f>'Alternative 1'!$B$20/1.67</f>
        <v>149.70059880239521</v>
      </c>
      <c r="AA80" s="249" t="str">
        <f>'Alternative 2'!$F81</f>
        <v>x</v>
      </c>
      <c r="AB80" s="249" t="e">
        <f>'Alternative 2-Tilt Up (3pt)'!$T80/1000000</f>
        <v>#VALUE!</v>
      </c>
      <c r="AC80" s="249" t="e">
        <f>'Alternative 2-Tilt Up (3pt)'!$Z80/1000000</f>
        <v>#VALUE!</v>
      </c>
      <c r="AD80" s="249" t="e">
        <f>'Alternative 2-Tilt Up (3pt)'!$AF80/1000000</f>
        <v>#VALUE!</v>
      </c>
      <c r="AE80" s="249" t="e">
        <f>'Alternative 2-Tilt Up (3pt)'!$AL80/1000000</f>
        <v>#VALUE!</v>
      </c>
      <c r="AF80" s="249" t="e">
        <f>'Alternative 2-Tilt Up (3pt)'!$AR80/1000000</f>
        <v>#VALUE!</v>
      </c>
      <c r="AG80" s="249" t="e">
        <f>'Alternative 2-Tilt Up (3pt)'!$AX80/1000000</f>
        <v>#VALUE!</v>
      </c>
      <c r="AH80" s="249" t="e">
        <f>'Alternative 2-Tilt Up (3pt)'!$BD80/1000000</f>
        <v>#VALUE!</v>
      </c>
      <c r="AI80" s="249" t="e">
        <f>'Alternative 2-Tilt Up (3pt)'!$BJ80/1000000</f>
        <v>#VALUE!</v>
      </c>
      <c r="AJ80" s="249" t="e">
        <f>'Alternative 2-Tilt Up (3pt)'!$BP80/1000000</f>
        <v>#VALUE!</v>
      </c>
      <c r="AK80" s="249" t="e">
        <f>'Alternative 2-Tilt Up (3pt)'!$BV80/1000000</f>
        <v>#VALUE!</v>
      </c>
      <c r="AL80" s="249">
        <f>'Alternative 2'!$B$20/1.67</f>
        <v>149.70059880239521</v>
      </c>
      <c r="AN80" s="249" t="str">
        <f>'Alternative 3'!$F81</f>
        <v>x</v>
      </c>
      <c r="AO80" s="249" t="e">
        <f>'Alternative 3-Tilt Up (3pt)'!$T80/1000000</f>
        <v>#VALUE!</v>
      </c>
      <c r="AP80" s="249" t="e">
        <f>'Alternative 3-Tilt Up (3pt)'!$Z80/1000000</f>
        <v>#VALUE!</v>
      </c>
      <c r="AQ80" s="249" t="e">
        <f>'Alternative 3-Tilt Up (3pt)'!$AF80/1000000</f>
        <v>#VALUE!</v>
      </c>
      <c r="AR80" s="249" t="e">
        <f>'Alternative 3-Tilt Up (3pt)'!$AL80/1000000</f>
        <v>#VALUE!</v>
      </c>
      <c r="AS80" s="249" t="e">
        <f>'Alternative 3-Tilt Up (3pt)'!$AR80/1000000</f>
        <v>#VALUE!</v>
      </c>
      <c r="AT80" s="249" t="e">
        <f>'Alternative 3-Tilt Up (3pt)'!$AX80/1000000</f>
        <v>#VALUE!</v>
      </c>
      <c r="AU80" s="249" t="e">
        <f>'Alternative 3-Tilt Up (3pt)'!$BD80/1000000</f>
        <v>#VALUE!</v>
      </c>
      <c r="AV80" s="249" t="e">
        <f>'Alternative 3-Tilt Up (3pt)'!$BJ80/1000000</f>
        <v>#VALUE!</v>
      </c>
      <c r="AW80" s="249" t="e">
        <f>'Alternative 3-Tilt Up (3pt)'!$BP80/1000000</f>
        <v>#VALUE!</v>
      </c>
      <c r="AX80" s="249" t="e">
        <f>'Alternative 3-Tilt Up (3pt)'!$BV80/1000000</f>
        <v>#VALUE!</v>
      </c>
      <c r="AY80" s="249">
        <f>'Alternative 3'!$B$20/1.67</f>
        <v>149.70059880239521</v>
      </c>
    </row>
    <row r="81" spans="14:51" x14ac:dyDescent="0.25">
      <c r="N81" s="249" t="str">
        <f>'Alternative 1'!$F82</f>
        <v>x</v>
      </c>
      <c r="O81" s="249" t="e">
        <f>'Alternative 1-Tilt Up (3pt)'!$T81/1000000</f>
        <v>#VALUE!</v>
      </c>
      <c r="P81" s="249" t="e">
        <f>'Alternative 1-Tilt Up (3pt)'!$Z81/1000000</f>
        <v>#VALUE!</v>
      </c>
      <c r="Q81" s="249" t="e">
        <f>'Alternative 1-Tilt Up (3pt)'!$AF81/1000000</f>
        <v>#VALUE!</v>
      </c>
      <c r="R81" s="249" t="e">
        <f>'Alternative 1-Tilt Up (3pt)'!$AL81/1000000</f>
        <v>#VALUE!</v>
      </c>
      <c r="S81" s="249" t="e">
        <f>'Alternative 1-Tilt Up (3pt)'!$AR81/1000000</f>
        <v>#VALUE!</v>
      </c>
      <c r="T81" s="249" t="e">
        <f>'Alternative 1-Tilt Up (3pt)'!$AX81/1000000</f>
        <v>#VALUE!</v>
      </c>
      <c r="U81" s="249" t="e">
        <f>'Alternative 1-Tilt Up (3pt)'!$BD81/1000000</f>
        <v>#VALUE!</v>
      </c>
      <c r="V81" s="249" t="e">
        <f>'Alternative 1-Tilt Up (3pt)'!$BJ81/1000000</f>
        <v>#VALUE!</v>
      </c>
      <c r="W81" s="249" t="e">
        <f>'Alternative 1-Tilt Up (3pt)'!$BP81/1000000</f>
        <v>#VALUE!</v>
      </c>
      <c r="X81" s="249" t="e">
        <f>'Alternative 1-Tilt Up (3pt)'!$BV81/1000000</f>
        <v>#VALUE!</v>
      </c>
      <c r="Y81" s="249">
        <f>'Alternative 1'!$B$20/1.67</f>
        <v>149.70059880239521</v>
      </c>
      <c r="AA81" s="249" t="str">
        <f>'Alternative 2'!$F82</f>
        <v>x</v>
      </c>
      <c r="AB81" s="249" t="e">
        <f>'Alternative 2-Tilt Up (3pt)'!$T81/1000000</f>
        <v>#VALUE!</v>
      </c>
      <c r="AC81" s="249" t="e">
        <f>'Alternative 2-Tilt Up (3pt)'!$Z81/1000000</f>
        <v>#VALUE!</v>
      </c>
      <c r="AD81" s="249" t="e">
        <f>'Alternative 2-Tilt Up (3pt)'!$AF81/1000000</f>
        <v>#VALUE!</v>
      </c>
      <c r="AE81" s="249" t="e">
        <f>'Alternative 2-Tilt Up (3pt)'!$AL81/1000000</f>
        <v>#VALUE!</v>
      </c>
      <c r="AF81" s="249" t="e">
        <f>'Alternative 2-Tilt Up (3pt)'!$AR81/1000000</f>
        <v>#VALUE!</v>
      </c>
      <c r="AG81" s="249" t="e">
        <f>'Alternative 2-Tilt Up (3pt)'!$AX81/1000000</f>
        <v>#VALUE!</v>
      </c>
      <c r="AH81" s="249" t="e">
        <f>'Alternative 2-Tilt Up (3pt)'!$BD81/1000000</f>
        <v>#VALUE!</v>
      </c>
      <c r="AI81" s="249" t="e">
        <f>'Alternative 2-Tilt Up (3pt)'!$BJ81/1000000</f>
        <v>#VALUE!</v>
      </c>
      <c r="AJ81" s="249" t="e">
        <f>'Alternative 2-Tilt Up (3pt)'!$BP81/1000000</f>
        <v>#VALUE!</v>
      </c>
      <c r="AK81" s="249" t="e">
        <f>'Alternative 2-Tilt Up (3pt)'!$BV81/1000000</f>
        <v>#VALUE!</v>
      </c>
      <c r="AL81" s="249">
        <f>'Alternative 2'!$B$20/1.67</f>
        <v>149.70059880239521</v>
      </c>
      <c r="AN81" s="249" t="str">
        <f>'Alternative 3'!$F82</f>
        <v>x</v>
      </c>
      <c r="AO81" s="249" t="e">
        <f>'Alternative 3-Tilt Up (3pt)'!$T81/1000000</f>
        <v>#VALUE!</v>
      </c>
      <c r="AP81" s="249" t="e">
        <f>'Alternative 3-Tilt Up (3pt)'!$Z81/1000000</f>
        <v>#VALUE!</v>
      </c>
      <c r="AQ81" s="249" t="e">
        <f>'Alternative 3-Tilt Up (3pt)'!$AF81/1000000</f>
        <v>#VALUE!</v>
      </c>
      <c r="AR81" s="249" t="e">
        <f>'Alternative 3-Tilt Up (3pt)'!$AL81/1000000</f>
        <v>#VALUE!</v>
      </c>
      <c r="AS81" s="249" t="e">
        <f>'Alternative 3-Tilt Up (3pt)'!$AR81/1000000</f>
        <v>#VALUE!</v>
      </c>
      <c r="AT81" s="249" t="e">
        <f>'Alternative 3-Tilt Up (3pt)'!$AX81/1000000</f>
        <v>#VALUE!</v>
      </c>
      <c r="AU81" s="249" t="e">
        <f>'Alternative 3-Tilt Up (3pt)'!$BD81/1000000</f>
        <v>#VALUE!</v>
      </c>
      <c r="AV81" s="249" t="e">
        <f>'Alternative 3-Tilt Up (3pt)'!$BJ81/1000000</f>
        <v>#VALUE!</v>
      </c>
      <c r="AW81" s="249" t="e">
        <f>'Alternative 3-Tilt Up (3pt)'!$BP81/1000000</f>
        <v>#VALUE!</v>
      </c>
      <c r="AX81" s="249" t="e">
        <f>'Alternative 3-Tilt Up (3pt)'!$BV81/1000000</f>
        <v>#VALUE!</v>
      </c>
      <c r="AY81" s="249">
        <f>'Alternative 3'!$B$20/1.67</f>
        <v>149.70059880239521</v>
      </c>
    </row>
    <row r="82" spans="14:51" x14ac:dyDescent="0.25">
      <c r="N82" s="249" t="str">
        <f>'Alternative 1'!$F83</f>
        <v>x</v>
      </c>
      <c r="O82" s="249" t="e">
        <f>'Alternative 1-Tilt Up (3pt)'!$T82/1000000</f>
        <v>#VALUE!</v>
      </c>
      <c r="P82" s="249" t="e">
        <f>'Alternative 1-Tilt Up (3pt)'!$Z82/1000000</f>
        <v>#VALUE!</v>
      </c>
      <c r="Q82" s="249" t="e">
        <f>'Alternative 1-Tilt Up (3pt)'!$AF82/1000000</f>
        <v>#VALUE!</v>
      </c>
      <c r="R82" s="249" t="e">
        <f>'Alternative 1-Tilt Up (3pt)'!$AL82/1000000</f>
        <v>#VALUE!</v>
      </c>
      <c r="S82" s="249" t="e">
        <f>'Alternative 1-Tilt Up (3pt)'!$AR82/1000000</f>
        <v>#VALUE!</v>
      </c>
      <c r="T82" s="249" t="e">
        <f>'Alternative 1-Tilt Up (3pt)'!$AX82/1000000</f>
        <v>#VALUE!</v>
      </c>
      <c r="U82" s="249" t="e">
        <f>'Alternative 1-Tilt Up (3pt)'!$BD82/1000000</f>
        <v>#VALUE!</v>
      </c>
      <c r="V82" s="249" t="e">
        <f>'Alternative 1-Tilt Up (3pt)'!$BJ82/1000000</f>
        <v>#VALUE!</v>
      </c>
      <c r="W82" s="249" t="e">
        <f>'Alternative 1-Tilt Up (3pt)'!$BP82/1000000</f>
        <v>#VALUE!</v>
      </c>
      <c r="X82" s="249" t="e">
        <f>'Alternative 1-Tilt Up (3pt)'!$BV82/1000000</f>
        <v>#VALUE!</v>
      </c>
      <c r="Y82" s="249">
        <f>'Alternative 1'!$B$20/1.67</f>
        <v>149.70059880239521</v>
      </c>
      <c r="AA82" s="249" t="str">
        <f>'Alternative 2'!$F83</f>
        <v>x</v>
      </c>
      <c r="AB82" s="249" t="e">
        <f>'Alternative 2-Tilt Up (3pt)'!$T82/1000000</f>
        <v>#VALUE!</v>
      </c>
      <c r="AC82" s="249" t="e">
        <f>'Alternative 2-Tilt Up (3pt)'!$Z82/1000000</f>
        <v>#VALUE!</v>
      </c>
      <c r="AD82" s="249" t="e">
        <f>'Alternative 2-Tilt Up (3pt)'!$AF82/1000000</f>
        <v>#VALUE!</v>
      </c>
      <c r="AE82" s="249" t="e">
        <f>'Alternative 2-Tilt Up (3pt)'!$AL82/1000000</f>
        <v>#VALUE!</v>
      </c>
      <c r="AF82" s="249" t="e">
        <f>'Alternative 2-Tilt Up (3pt)'!$AR82/1000000</f>
        <v>#VALUE!</v>
      </c>
      <c r="AG82" s="249" t="e">
        <f>'Alternative 2-Tilt Up (3pt)'!$AX82/1000000</f>
        <v>#VALUE!</v>
      </c>
      <c r="AH82" s="249" t="e">
        <f>'Alternative 2-Tilt Up (3pt)'!$BD82/1000000</f>
        <v>#VALUE!</v>
      </c>
      <c r="AI82" s="249" t="e">
        <f>'Alternative 2-Tilt Up (3pt)'!$BJ82/1000000</f>
        <v>#VALUE!</v>
      </c>
      <c r="AJ82" s="249" t="e">
        <f>'Alternative 2-Tilt Up (3pt)'!$BP82/1000000</f>
        <v>#VALUE!</v>
      </c>
      <c r="AK82" s="249" t="e">
        <f>'Alternative 2-Tilt Up (3pt)'!$BV82/1000000</f>
        <v>#VALUE!</v>
      </c>
      <c r="AL82" s="249">
        <f>'Alternative 2'!$B$20/1.67</f>
        <v>149.70059880239521</v>
      </c>
      <c r="AN82" s="249" t="str">
        <f>'Alternative 3'!$F83</f>
        <v>x</v>
      </c>
      <c r="AO82" s="249" t="e">
        <f>'Alternative 3-Tilt Up (3pt)'!$T82/1000000</f>
        <v>#VALUE!</v>
      </c>
      <c r="AP82" s="249" t="e">
        <f>'Alternative 3-Tilt Up (3pt)'!$Z82/1000000</f>
        <v>#VALUE!</v>
      </c>
      <c r="AQ82" s="249" t="e">
        <f>'Alternative 3-Tilt Up (3pt)'!$AF82/1000000</f>
        <v>#VALUE!</v>
      </c>
      <c r="AR82" s="249" t="e">
        <f>'Alternative 3-Tilt Up (3pt)'!$AL82/1000000</f>
        <v>#VALUE!</v>
      </c>
      <c r="AS82" s="249" t="e">
        <f>'Alternative 3-Tilt Up (3pt)'!$AR82/1000000</f>
        <v>#VALUE!</v>
      </c>
      <c r="AT82" s="249" t="e">
        <f>'Alternative 3-Tilt Up (3pt)'!$AX82/1000000</f>
        <v>#VALUE!</v>
      </c>
      <c r="AU82" s="249" t="e">
        <f>'Alternative 3-Tilt Up (3pt)'!$BD82/1000000</f>
        <v>#VALUE!</v>
      </c>
      <c r="AV82" s="249" t="e">
        <f>'Alternative 3-Tilt Up (3pt)'!$BJ82/1000000</f>
        <v>#VALUE!</v>
      </c>
      <c r="AW82" s="249" t="e">
        <f>'Alternative 3-Tilt Up (3pt)'!$BP82/1000000</f>
        <v>#VALUE!</v>
      </c>
      <c r="AX82" s="249" t="e">
        <f>'Alternative 3-Tilt Up (3pt)'!$BV82/1000000</f>
        <v>#VALUE!</v>
      </c>
      <c r="AY82" s="249">
        <f>'Alternative 3'!$B$20/1.67</f>
        <v>149.70059880239521</v>
      </c>
    </row>
    <row r="83" spans="14:51" x14ac:dyDescent="0.25">
      <c r="N83" s="249" t="str">
        <f>'Alternative 1'!$F84</f>
        <v>x</v>
      </c>
      <c r="O83" s="249" t="e">
        <f>'Alternative 1-Tilt Up (3pt)'!$T83/1000000</f>
        <v>#VALUE!</v>
      </c>
      <c r="P83" s="249" t="e">
        <f>'Alternative 1-Tilt Up (3pt)'!$Z83/1000000</f>
        <v>#VALUE!</v>
      </c>
      <c r="Q83" s="249" t="e">
        <f>'Alternative 1-Tilt Up (3pt)'!$AF83/1000000</f>
        <v>#VALUE!</v>
      </c>
      <c r="R83" s="249" t="e">
        <f>'Alternative 1-Tilt Up (3pt)'!$AL83/1000000</f>
        <v>#VALUE!</v>
      </c>
      <c r="S83" s="249" t="e">
        <f>'Alternative 1-Tilt Up (3pt)'!$AR83/1000000</f>
        <v>#VALUE!</v>
      </c>
      <c r="T83" s="249" t="e">
        <f>'Alternative 1-Tilt Up (3pt)'!$AX83/1000000</f>
        <v>#VALUE!</v>
      </c>
      <c r="U83" s="249" t="e">
        <f>'Alternative 1-Tilt Up (3pt)'!$BD83/1000000</f>
        <v>#VALUE!</v>
      </c>
      <c r="V83" s="249" t="e">
        <f>'Alternative 1-Tilt Up (3pt)'!$BJ83/1000000</f>
        <v>#VALUE!</v>
      </c>
      <c r="W83" s="249" t="e">
        <f>'Alternative 1-Tilt Up (3pt)'!$BP83/1000000</f>
        <v>#VALUE!</v>
      </c>
      <c r="X83" s="249" t="e">
        <f>'Alternative 1-Tilt Up (3pt)'!$BV83/1000000</f>
        <v>#VALUE!</v>
      </c>
      <c r="Y83" s="249">
        <f>'Alternative 1'!$B$20/1.67</f>
        <v>149.70059880239521</v>
      </c>
      <c r="AA83" s="249" t="str">
        <f>'Alternative 2'!$F84</f>
        <v>x</v>
      </c>
      <c r="AB83" s="249" t="e">
        <f>'Alternative 2-Tilt Up (3pt)'!$T83/1000000</f>
        <v>#VALUE!</v>
      </c>
      <c r="AC83" s="249" t="e">
        <f>'Alternative 2-Tilt Up (3pt)'!$Z83/1000000</f>
        <v>#VALUE!</v>
      </c>
      <c r="AD83" s="249" t="e">
        <f>'Alternative 2-Tilt Up (3pt)'!$AF83/1000000</f>
        <v>#VALUE!</v>
      </c>
      <c r="AE83" s="249" t="e">
        <f>'Alternative 2-Tilt Up (3pt)'!$AL83/1000000</f>
        <v>#VALUE!</v>
      </c>
      <c r="AF83" s="249" t="e">
        <f>'Alternative 2-Tilt Up (3pt)'!$AR83/1000000</f>
        <v>#VALUE!</v>
      </c>
      <c r="AG83" s="249" t="e">
        <f>'Alternative 2-Tilt Up (3pt)'!$AX83/1000000</f>
        <v>#VALUE!</v>
      </c>
      <c r="AH83" s="249" t="e">
        <f>'Alternative 2-Tilt Up (3pt)'!$BD83/1000000</f>
        <v>#VALUE!</v>
      </c>
      <c r="AI83" s="249" t="e">
        <f>'Alternative 2-Tilt Up (3pt)'!$BJ83/1000000</f>
        <v>#VALUE!</v>
      </c>
      <c r="AJ83" s="249" t="e">
        <f>'Alternative 2-Tilt Up (3pt)'!$BP83/1000000</f>
        <v>#VALUE!</v>
      </c>
      <c r="AK83" s="249" t="e">
        <f>'Alternative 2-Tilt Up (3pt)'!$BV83/1000000</f>
        <v>#VALUE!</v>
      </c>
      <c r="AL83" s="249">
        <f>'Alternative 2'!$B$20/1.67</f>
        <v>149.70059880239521</v>
      </c>
      <c r="AN83" s="249" t="str">
        <f>'Alternative 3'!$F84</f>
        <v>x</v>
      </c>
      <c r="AO83" s="249" t="e">
        <f>'Alternative 3-Tilt Up (3pt)'!$T83/1000000</f>
        <v>#VALUE!</v>
      </c>
      <c r="AP83" s="249" t="e">
        <f>'Alternative 3-Tilt Up (3pt)'!$Z83/1000000</f>
        <v>#VALUE!</v>
      </c>
      <c r="AQ83" s="249" t="e">
        <f>'Alternative 3-Tilt Up (3pt)'!$AF83/1000000</f>
        <v>#VALUE!</v>
      </c>
      <c r="AR83" s="249" t="e">
        <f>'Alternative 3-Tilt Up (3pt)'!$AL83/1000000</f>
        <v>#VALUE!</v>
      </c>
      <c r="AS83" s="249" t="e">
        <f>'Alternative 3-Tilt Up (3pt)'!$AR83/1000000</f>
        <v>#VALUE!</v>
      </c>
      <c r="AT83" s="249" t="e">
        <f>'Alternative 3-Tilt Up (3pt)'!$AX83/1000000</f>
        <v>#VALUE!</v>
      </c>
      <c r="AU83" s="249" t="e">
        <f>'Alternative 3-Tilt Up (3pt)'!$BD83/1000000</f>
        <v>#VALUE!</v>
      </c>
      <c r="AV83" s="249" t="e">
        <f>'Alternative 3-Tilt Up (3pt)'!$BJ83/1000000</f>
        <v>#VALUE!</v>
      </c>
      <c r="AW83" s="249" t="e">
        <f>'Alternative 3-Tilt Up (3pt)'!$BP83/1000000</f>
        <v>#VALUE!</v>
      </c>
      <c r="AX83" s="249" t="e">
        <f>'Alternative 3-Tilt Up (3pt)'!$BV83/1000000</f>
        <v>#VALUE!</v>
      </c>
      <c r="AY83" s="249">
        <f>'Alternative 3'!$B$20/1.67</f>
        <v>149.70059880239521</v>
      </c>
    </row>
    <row r="84" spans="14:51" x14ac:dyDescent="0.25">
      <c r="N84" s="249" t="str">
        <f>'Alternative 1'!$F85</f>
        <v>x</v>
      </c>
      <c r="O84" s="249" t="e">
        <f>'Alternative 1-Tilt Up (3pt)'!$T84/1000000</f>
        <v>#VALUE!</v>
      </c>
      <c r="P84" s="249" t="e">
        <f>'Alternative 1-Tilt Up (3pt)'!$Z84/1000000</f>
        <v>#VALUE!</v>
      </c>
      <c r="Q84" s="249" t="e">
        <f>'Alternative 1-Tilt Up (3pt)'!$AF84/1000000</f>
        <v>#VALUE!</v>
      </c>
      <c r="R84" s="249" t="e">
        <f>'Alternative 1-Tilt Up (3pt)'!$AL84/1000000</f>
        <v>#VALUE!</v>
      </c>
      <c r="S84" s="249" t="e">
        <f>'Alternative 1-Tilt Up (3pt)'!$AR84/1000000</f>
        <v>#VALUE!</v>
      </c>
      <c r="T84" s="249" t="e">
        <f>'Alternative 1-Tilt Up (3pt)'!$AX84/1000000</f>
        <v>#VALUE!</v>
      </c>
      <c r="U84" s="249" t="e">
        <f>'Alternative 1-Tilt Up (3pt)'!$BD84/1000000</f>
        <v>#VALUE!</v>
      </c>
      <c r="V84" s="249" t="e">
        <f>'Alternative 1-Tilt Up (3pt)'!$BJ84/1000000</f>
        <v>#VALUE!</v>
      </c>
      <c r="W84" s="249" t="e">
        <f>'Alternative 1-Tilt Up (3pt)'!$BP84/1000000</f>
        <v>#VALUE!</v>
      </c>
      <c r="X84" s="249" t="e">
        <f>'Alternative 1-Tilt Up (3pt)'!$BV84/1000000</f>
        <v>#VALUE!</v>
      </c>
      <c r="Y84" s="249">
        <f>'Alternative 1'!$B$20/1.67</f>
        <v>149.70059880239521</v>
      </c>
      <c r="AA84" s="249" t="str">
        <f>'Alternative 2'!$F85</f>
        <v>x</v>
      </c>
      <c r="AB84" s="249" t="e">
        <f>'Alternative 2-Tilt Up (3pt)'!$T84/1000000</f>
        <v>#VALUE!</v>
      </c>
      <c r="AC84" s="249" t="e">
        <f>'Alternative 2-Tilt Up (3pt)'!$Z84/1000000</f>
        <v>#VALUE!</v>
      </c>
      <c r="AD84" s="249" t="e">
        <f>'Alternative 2-Tilt Up (3pt)'!$AF84/1000000</f>
        <v>#VALUE!</v>
      </c>
      <c r="AE84" s="249" t="e">
        <f>'Alternative 2-Tilt Up (3pt)'!$AL84/1000000</f>
        <v>#VALUE!</v>
      </c>
      <c r="AF84" s="249" t="e">
        <f>'Alternative 2-Tilt Up (3pt)'!$AR84/1000000</f>
        <v>#VALUE!</v>
      </c>
      <c r="AG84" s="249" t="e">
        <f>'Alternative 2-Tilt Up (3pt)'!$AX84/1000000</f>
        <v>#VALUE!</v>
      </c>
      <c r="AH84" s="249" t="e">
        <f>'Alternative 2-Tilt Up (3pt)'!$BD84/1000000</f>
        <v>#VALUE!</v>
      </c>
      <c r="AI84" s="249" t="e">
        <f>'Alternative 2-Tilt Up (3pt)'!$BJ84/1000000</f>
        <v>#VALUE!</v>
      </c>
      <c r="AJ84" s="249" t="e">
        <f>'Alternative 2-Tilt Up (3pt)'!$BP84/1000000</f>
        <v>#VALUE!</v>
      </c>
      <c r="AK84" s="249" t="e">
        <f>'Alternative 2-Tilt Up (3pt)'!$BV84/1000000</f>
        <v>#VALUE!</v>
      </c>
      <c r="AL84" s="249">
        <f>'Alternative 2'!$B$20/1.67</f>
        <v>149.70059880239521</v>
      </c>
      <c r="AN84" s="249" t="str">
        <f>'Alternative 3'!$F85</f>
        <v>x</v>
      </c>
      <c r="AO84" s="249" t="e">
        <f>'Alternative 3-Tilt Up (3pt)'!$T84/1000000</f>
        <v>#VALUE!</v>
      </c>
      <c r="AP84" s="249" t="e">
        <f>'Alternative 3-Tilt Up (3pt)'!$Z84/1000000</f>
        <v>#VALUE!</v>
      </c>
      <c r="AQ84" s="249" t="e">
        <f>'Alternative 3-Tilt Up (3pt)'!$AF84/1000000</f>
        <v>#VALUE!</v>
      </c>
      <c r="AR84" s="249" t="e">
        <f>'Alternative 3-Tilt Up (3pt)'!$AL84/1000000</f>
        <v>#VALUE!</v>
      </c>
      <c r="AS84" s="249" t="e">
        <f>'Alternative 3-Tilt Up (3pt)'!$AR84/1000000</f>
        <v>#VALUE!</v>
      </c>
      <c r="AT84" s="249" t="e">
        <f>'Alternative 3-Tilt Up (3pt)'!$AX84/1000000</f>
        <v>#VALUE!</v>
      </c>
      <c r="AU84" s="249" t="e">
        <f>'Alternative 3-Tilt Up (3pt)'!$BD84/1000000</f>
        <v>#VALUE!</v>
      </c>
      <c r="AV84" s="249" t="e">
        <f>'Alternative 3-Tilt Up (3pt)'!$BJ84/1000000</f>
        <v>#VALUE!</v>
      </c>
      <c r="AW84" s="249" t="e">
        <f>'Alternative 3-Tilt Up (3pt)'!$BP84/1000000</f>
        <v>#VALUE!</v>
      </c>
      <c r="AX84" s="249" t="e">
        <f>'Alternative 3-Tilt Up (3pt)'!$BV84/1000000</f>
        <v>#VALUE!</v>
      </c>
      <c r="AY84" s="249">
        <f>'Alternative 3'!$B$20/1.67</f>
        <v>149.70059880239521</v>
      </c>
    </row>
    <row r="85" spans="14:51" x14ac:dyDescent="0.25">
      <c r="N85" s="249" t="str">
        <f>'Alternative 1'!$F86</f>
        <v>x</v>
      </c>
      <c r="O85" s="249" t="e">
        <f>'Alternative 1-Tilt Up (3pt)'!$T85/1000000</f>
        <v>#VALUE!</v>
      </c>
      <c r="P85" s="249" t="e">
        <f>'Alternative 1-Tilt Up (3pt)'!$Z85/1000000</f>
        <v>#VALUE!</v>
      </c>
      <c r="Q85" s="249" t="e">
        <f>'Alternative 1-Tilt Up (3pt)'!$AF85/1000000</f>
        <v>#VALUE!</v>
      </c>
      <c r="R85" s="249" t="e">
        <f>'Alternative 1-Tilt Up (3pt)'!$AL85/1000000</f>
        <v>#VALUE!</v>
      </c>
      <c r="S85" s="249" t="e">
        <f>'Alternative 1-Tilt Up (3pt)'!$AR85/1000000</f>
        <v>#VALUE!</v>
      </c>
      <c r="T85" s="249" t="e">
        <f>'Alternative 1-Tilt Up (3pt)'!$AX85/1000000</f>
        <v>#VALUE!</v>
      </c>
      <c r="U85" s="249" t="e">
        <f>'Alternative 1-Tilt Up (3pt)'!$BD85/1000000</f>
        <v>#VALUE!</v>
      </c>
      <c r="V85" s="249" t="e">
        <f>'Alternative 1-Tilt Up (3pt)'!$BJ85/1000000</f>
        <v>#VALUE!</v>
      </c>
      <c r="W85" s="249" t="e">
        <f>'Alternative 1-Tilt Up (3pt)'!$BP85/1000000</f>
        <v>#VALUE!</v>
      </c>
      <c r="X85" s="249" t="e">
        <f>'Alternative 1-Tilt Up (3pt)'!$BV85/1000000</f>
        <v>#VALUE!</v>
      </c>
      <c r="Y85" s="249">
        <f>'Alternative 1'!$B$20/1.67</f>
        <v>149.70059880239521</v>
      </c>
      <c r="AA85" s="249" t="str">
        <f>'Alternative 2'!$F86</f>
        <v>x</v>
      </c>
      <c r="AB85" s="249" t="e">
        <f>'Alternative 2-Tilt Up (3pt)'!$T85/1000000</f>
        <v>#VALUE!</v>
      </c>
      <c r="AC85" s="249" t="e">
        <f>'Alternative 2-Tilt Up (3pt)'!$Z85/1000000</f>
        <v>#VALUE!</v>
      </c>
      <c r="AD85" s="249" t="e">
        <f>'Alternative 2-Tilt Up (3pt)'!$AF85/1000000</f>
        <v>#VALUE!</v>
      </c>
      <c r="AE85" s="249" t="e">
        <f>'Alternative 2-Tilt Up (3pt)'!$AL85/1000000</f>
        <v>#VALUE!</v>
      </c>
      <c r="AF85" s="249" t="e">
        <f>'Alternative 2-Tilt Up (3pt)'!$AR85/1000000</f>
        <v>#VALUE!</v>
      </c>
      <c r="AG85" s="249" t="e">
        <f>'Alternative 2-Tilt Up (3pt)'!$AX85/1000000</f>
        <v>#VALUE!</v>
      </c>
      <c r="AH85" s="249" t="e">
        <f>'Alternative 2-Tilt Up (3pt)'!$BD85/1000000</f>
        <v>#VALUE!</v>
      </c>
      <c r="AI85" s="249" t="e">
        <f>'Alternative 2-Tilt Up (3pt)'!$BJ85/1000000</f>
        <v>#VALUE!</v>
      </c>
      <c r="AJ85" s="249" t="e">
        <f>'Alternative 2-Tilt Up (3pt)'!$BP85/1000000</f>
        <v>#VALUE!</v>
      </c>
      <c r="AK85" s="249" t="e">
        <f>'Alternative 2-Tilt Up (3pt)'!$BV85/1000000</f>
        <v>#VALUE!</v>
      </c>
      <c r="AL85" s="249">
        <f>'Alternative 2'!$B$20/1.67</f>
        <v>149.70059880239521</v>
      </c>
      <c r="AN85" s="249" t="str">
        <f>'Alternative 3'!$F86</f>
        <v>x</v>
      </c>
      <c r="AO85" s="249" t="e">
        <f>'Alternative 3-Tilt Up (3pt)'!$T85/1000000</f>
        <v>#VALUE!</v>
      </c>
      <c r="AP85" s="249" t="e">
        <f>'Alternative 3-Tilt Up (3pt)'!$Z85/1000000</f>
        <v>#VALUE!</v>
      </c>
      <c r="AQ85" s="249" t="e">
        <f>'Alternative 3-Tilt Up (3pt)'!$AF85/1000000</f>
        <v>#VALUE!</v>
      </c>
      <c r="AR85" s="249" t="e">
        <f>'Alternative 3-Tilt Up (3pt)'!$AL85/1000000</f>
        <v>#VALUE!</v>
      </c>
      <c r="AS85" s="249" t="e">
        <f>'Alternative 3-Tilt Up (3pt)'!$AR85/1000000</f>
        <v>#VALUE!</v>
      </c>
      <c r="AT85" s="249" t="e">
        <f>'Alternative 3-Tilt Up (3pt)'!$AX85/1000000</f>
        <v>#VALUE!</v>
      </c>
      <c r="AU85" s="249" t="e">
        <f>'Alternative 3-Tilt Up (3pt)'!$BD85/1000000</f>
        <v>#VALUE!</v>
      </c>
      <c r="AV85" s="249" t="e">
        <f>'Alternative 3-Tilt Up (3pt)'!$BJ85/1000000</f>
        <v>#VALUE!</v>
      </c>
      <c r="AW85" s="249" t="e">
        <f>'Alternative 3-Tilt Up (3pt)'!$BP85/1000000</f>
        <v>#VALUE!</v>
      </c>
      <c r="AX85" s="249" t="e">
        <f>'Alternative 3-Tilt Up (3pt)'!$BV85/1000000</f>
        <v>#VALUE!</v>
      </c>
      <c r="AY85" s="249">
        <f>'Alternative 3'!$B$20/1.67</f>
        <v>149.70059880239521</v>
      </c>
    </row>
    <row r="86" spans="14:51" x14ac:dyDescent="0.25">
      <c r="N86" s="249" t="str">
        <f>'Alternative 1'!$F87</f>
        <v>x</v>
      </c>
      <c r="O86" s="249" t="e">
        <f>'Alternative 1-Tilt Up (3pt)'!$T86/1000000</f>
        <v>#VALUE!</v>
      </c>
      <c r="P86" s="249" t="e">
        <f>'Alternative 1-Tilt Up (3pt)'!$Z86/1000000</f>
        <v>#VALUE!</v>
      </c>
      <c r="Q86" s="249" t="e">
        <f>'Alternative 1-Tilt Up (3pt)'!$AF86/1000000</f>
        <v>#VALUE!</v>
      </c>
      <c r="R86" s="249" t="e">
        <f>'Alternative 1-Tilt Up (3pt)'!$AL86/1000000</f>
        <v>#VALUE!</v>
      </c>
      <c r="S86" s="249" t="e">
        <f>'Alternative 1-Tilt Up (3pt)'!$AR86/1000000</f>
        <v>#VALUE!</v>
      </c>
      <c r="T86" s="249" t="e">
        <f>'Alternative 1-Tilt Up (3pt)'!$AX86/1000000</f>
        <v>#VALUE!</v>
      </c>
      <c r="U86" s="249" t="e">
        <f>'Alternative 1-Tilt Up (3pt)'!$BD86/1000000</f>
        <v>#VALUE!</v>
      </c>
      <c r="V86" s="249" t="e">
        <f>'Alternative 1-Tilt Up (3pt)'!$BJ86/1000000</f>
        <v>#VALUE!</v>
      </c>
      <c r="W86" s="249" t="e">
        <f>'Alternative 1-Tilt Up (3pt)'!$BP86/1000000</f>
        <v>#VALUE!</v>
      </c>
      <c r="X86" s="249" t="e">
        <f>'Alternative 1-Tilt Up (3pt)'!$BV86/1000000</f>
        <v>#VALUE!</v>
      </c>
      <c r="Y86" s="249">
        <f>'Alternative 1'!$B$20/1.67</f>
        <v>149.70059880239521</v>
      </c>
      <c r="AA86" s="249" t="str">
        <f>'Alternative 2'!$F87</f>
        <v>x</v>
      </c>
      <c r="AB86" s="249" t="e">
        <f>'Alternative 2-Tilt Up (3pt)'!$T86/1000000</f>
        <v>#VALUE!</v>
      </c>
      <c r="AC86" s="249" t="e">
        <f>'Alternative 2-Tilt Up (3pt)'!$Z86/1000000</f>
        <v>#VALUE!</v>
      </c>
      <c r="AD86" s="249" t="e">
        <f>'Alternative 2-Tilt Up (3pt)'!$AF86/1000000</f>
        <v>#VALUE!</v>
      </c>
      <c r="AE86" s="249" t="e">
        <f>'Alternative 2-Tilt Up (3pt)'!$AL86/1000000</f>
        <v>#VALUE!</v>
      </c>
      <c r="AF86" s="249" t="e">
        <f>'Alternative 2-Tilt Up (3pt)'!$AR86/1000000</f>
        <v>#VALUE!</v>
      </c>
      <c r="AG86" s="249" t="e">
        <f>'Alternative 2-Tilt Up (3pt)'!$AX86/1000000</f>
        <v>#VALUE!</v>
      </c>
      <c r="AH86" s="249" t="e">
        <f>'Alternative 2-Tilt Up (3pt)'!$BD86/1000000</f>
        <v>#VALUE!</v>
      </c>
      <c r="AI86" s="249" t="e">
        <f>'Alternative 2-Tilt Up (3pt)'!$BJ86/1000000</f>
        <v>#VALUE!</v>
      </c>
      <c r="AJ86" s="249" t="e">
        <f>'Alternative 2-Tilt Up (3pt)'!$BP86/1000000</f>
        <v>#VALUE!</v>
      </c>
      <c r="AK86" s="249" t="e">
        <f>'Alternative 2-Tilt Up (3pt)'!$BV86/1000000</f>
        <v>#VALUE!</v>
      </c>
      <c r="AL86" s="249">
        <f>'Alternative 2'!$B$20/1.67</f>
        <v>149.70059880239521</v>
      </c>
      <c r="AN86" s="249" t="str">
        <f>'Alternative 3'!$F87</f>
        <v>x</v>
      </c>
      <c r="AO86" s="249" t="e">
        <f>'Alternative 3-Tilt Up (3pt)'!$T86/1000000</f>
        <v>#VALUE!</v>
      </c>
      <c r="AP86" s="249" t="e">
        <f>'Alternative 3-Tilt Up (3pt)'!$Z86/1000000</f>
        <v>#VALUE!</v>
      </c>
      <c r="AQ86" s="249" t="e">
        <f>'Alternative 3-Tilt Up (3pt)'!$AF86/1000000</f>
        <v>#VALUE!</v>
      </c>
      <c r="AR86" s="249" t="e">
        <f>'Alternative 3-Tilt Up (3pt)'!$AL86/1000000</f>
        <v>#VALUE!</v>
      </c>
      <c r="AS86" s="249" t="e">
        <f>'Alternative 3-Tilt Up (3pt)'!$AR86/1000000</f>
        <v>#VALUE!</v>
      </c>
      <c r="AT86" s="249" t="e">
        <f>'Alternative 3-Tilt Up (3pt)'!$AX86/1000000</f>
        <v>#VALUE!</v>
      </c>
      <c r="AU86" s="249" t="e">
        <f>'Alternative 3-Tilt Up (3pt)'!$BD86/1000000</f>
        <v>#VALUE!</v>
      </c>
      <c r="AV86" s="249" t="e">
        <f>'Alternative 3-Tilt Up (3pt)'!$BJ86/1000000</f>
        <v>#VALUE!</v>
      </c>
      <c r="AW86" s="249" t="e">
        <f>'Alternative 3-Tilt Up (3pt)'!$BP86/1000000</f>
        <v>#VALUE!</v>
      </c>
      <c r="AX86" s="249" t="e">
        <f>'Alternative 3-Tilt Up (3pt)'!$BV86/1000000</f>
        <v>#VALUE!</v>
      </c>
      <c r="AY86" s="249">
        <f>'Alternative 3'!$B$20/1.67</f>
        <v>149.70059880239521</v>
      </c>
    </row>
    <row r="87" spans="14:51" x14ac:dyDescent="0.25">
      <c r="N87" s="249" t="str">
        <f>'Alternative 1'!$F88</f>
        <v>x</v>
      </c>
      <c r="O87" s="249" t="e">
        <f>'Alternative 1-Tilt Up (3pt)'!$T87/1000000</f>
        <v>#VALUE!</v>
      </c>
      <c r="P87" s="249" t="e">
        <f>'Alternative 1-Tilt Up (3pt)'!$Z87/1000000</f>
        <v>#VALUE!</v>
      </c>
      <c r="Q87" s="249" t="e">
        <f>'Alternative 1-Tilt Up (3pt)'!$AF87/1000000</f>
        <v>#VALUE!</v>
      </c>
      <c r="R87" s="249" t="e">
        <f>'Alternative 1-Tilt Up (3pt)'!$AL87/1000000</f>
        <v>#VALUE!</v>
      </c>
      <c r="S87" s="249" t="e">
        <f>'Alternative 1-Tilt Up (3pt)'!$AR87/1000000</f>
        <v>#VALUE!</v>
      </c>
      <c r="T87" s="249" t="e">
        <f>'Alternative 1-Tilt Up (3pt)'!$AX87/1000000</f>
        <v>#VALUE!</v>
      </c>
      <c r="U87" s="249" t="e">
        <f>'Alternative 1-Tilt Up (3pt)'!$BD87/1000000</f>
        <v>#VALUE!</v>
      </c>
      <c r="V87" s="249" t="e">
        <f>'Alternative 1-Tilt Up (3pt)'!$BJ87/1000000</f>
        <v>#VALUE!</v>
      </c>
      <c r="W87" s="249" t="e">
        <f>'Alternative 1-Tilt Up (3pt)'!$BP87/1000000</f>
        <v>#VALUE!</v>
      </c>
      <c r="X87" s="249" t="e">
        <f>'Alternative 1-Tilt Up (3pt)'!$BV87/1000000</f>
        <v>#VALUE!</v>
      </c>
      <c r="Y87" s="249">
        <f>'Alternative 1'!$B$20/1.67</f>
        <v>149.70059880239521</v>
      </c>
      <c r="AA87" s="249" t="str">
        <f>'Alternative 2'!$F88</f>
        <v>x</v>
      </c>
      <c r="AB87" s="249" t="e">
        <f>'Alternative 2-Tilt Up (3pt)'!$T87/1000000</f>
        <v>#VALUE!</v>
      </c>
      <c r="AC87" s="249" t="e">
        <f>'Alternative 2-Tilt Up (3pt)'!$Z87/1000000</f>
        <v>#VALUE!</v>
      </c>
      <c r="AD87" s="249" t="e">
        <f>'Alternative 2-Tilt Up (3pt)'!$AF87/1000000</f>
        <v>#VALUE!</v>
      </c>
      <c r="AE87" s="249" t="e">
        <f>'Alternative 2-Tilt Up (3pt)'!$AL87/1000000</f>
        <v>#VALUE!</v>
      </c>
      <c r="AF87" s="249" t="e">
        <f>'Alternative 2-Tilt Up (3pt)'!$AR87/1000000</f>
        <v>#VALUE!</v>
      </c>
      <c r="AG87" s="249" t="e">
        <f>'Alternative 2-Tilt Up (3pt)'!$AX87/1000000</f>
        <v>#VALUE!</v>
      </c>
      <c r="AH87" s="249" t="e">
        <f>'Alternative 2-Tilt Up (3pt)'!$BD87/1000000</f>
        <v>#VALUE!</v>
      </c>
      <c r="AI87" s="249" t="e">
        <f>'Alternative 2-Tilt Up (3pt)'!$BJ87/1000000</f>
        <v>#VALUE!</v>
      </c>
      <c r="AJ87" s="249" t="e">
        <f>'Alternative 2-Tilt Up (3pt)'!$BP87/1000000</f>
        <v>#VALUE!</v>
      </c>
      <c r="AK87" s="249" t="e">
        <f>'Alternative 2-Tilt Up (3pt)'!$BV87/1000000</f>
        <v>#VALUE!</v>
      </c>
      <c r="AL87" s="249">
        <f>'Alternative 2'!$B$20/1.67</f>
        <v>149.70059880239521</v>
      </c>
      <c r="AN87" s="249" t="str">
        <f>'Alternative 3'!$F88</f>
        <v>x</v>
      </c>
      <c r="AO87" s="249" t="e">
        <f>'Alternative 3-Tilt Up (3pt)'!$T87/1000000</f>
        <v>#VALUE!</v>
      </c>
      <c r="AP87" s="249" t="e">
        <f>'Alternative 3-Tilt Up (3pt)'!$Z87/1000000</f>
        <v>#VALUE!</v>
      </c>
      <c r="AQ87" s="249" t="e">
        <f>'Alternative 3-Tilt Up (3pt)'!$AF87/1000000</f>
        <v>#VALUE!</v>
      </c>
      <c r="AR87" s="249" t="e">
        <f>'Alternative 3-Tilt Up (3pt)'!$AL87/1000000</f>
        <v>#VALUE!</v>
      </c>
      <c r="AS87" s="249" t="e">
        <f>'Alternative 3-Tilt Up (3pt)'!$AR87/1000000</f>
        <v>#VALUE!</v>
      </c>
      <c r="AT87" s="249" t="e">
        <f>'Alternative 3-Tilt Up (3pt)'!$AX87/1000000</f>
        <v>#VALUE!</v>
      </c>
      <c r="AU87" s="249" t="e">
        <f>'Alternative 3-Tilt Up (3pt)'!$BD87/1000000</f>
        <v>#VALUE!</v>
      </c>
      <c r="AV87" s="249" t="e">
        <f>'Alternative 3-Tilt Up (3pt)'!$BJ87/1000000</f>
        <v>#VALUE!</v>
      </c>
      <c r="AW87" s="249" t="e">
        <f>'Alternative 3-Tilt Up (3pt)'!$BP87/1000000</f>
        <v>#VALUE!</v>
      </c>
      <c r="AX87" s="249" t="e">
        <f>'Alternative 3-Tilt Up (3pt)'!$BV87/1000000</f>
        <v>#VALUE!</v>
      </c>
      <c r="AY87" s="249">
        <f>'Alternative 3'!$B$20/1.67</f>
        <v>149.70059880239521</v>
      </c>
    </row>
    <row r="88" spans="14:51" x14ac:dyDescent="0.25">
      <c r="N88" s="249" t="str">
        <f>'Alternative 1'!$F89</f>
        <v>x</v>
      </c>
      <c r="O88" s="249" t="e">
        <f>'Alternative 1-Tilt Up (3pt)'!$T88/1000000</f>
        <v>#VALUE!</v>
      </c>
      <c r="P88" s="249" t="e">
        <f>'Alternative 1-Tilt Up (3pt)'!$Z88/1000000</f>
        <v>#VALUE!</v>
      </c>
      <c r="Q88" s="249" t="e">
        <f>'Alternative 1-Tilt Up (3pt)'!$AF88/1000000</f>
        <v>#VALUE!</v>
      </c>
      <c r="R88" s="249" t="e">
        <f>'Alternative 1-Tilt Up (3pt)'!$AL88/1000000</f>
        <v>#VALUE!</v>
      </c>
      <c r="S88" s="249" t="e">
        <f>'Alternative 1-Tilt Up (3pt)'!$AR88/1000000</f>
        <v>#VALUE!</v>
      </c>
      <c r="T88" s="249" t="e">
        <f>'Alternative 1-Tilt Up (3pt)'!$AX88/1000000</f>
        <v>#VALUE!</v>
      </c>
      <c r="U88" s="249" t="e">
        <f>'Alternative 1-Tilt Up (3pt)'!$BD88/1000000</f>
        <v>#VALUE!</v>
      </c>
      <c r="V88" s="249" t="e">
        <f>'Alternative 1-Tilt Up (3pt)'!$BJ88/1000000</f>
        <v>#VALUE!</v>
      </c>
      <c r="W88" s="249" t="e">
        <f>'Alternative 1-Tilt Up (3pt)'!$BP88/1000000</f>
        <v>#VALUE!</v>
      </c>
      <c r="X88" s="249" t="e">
        <f>'Alternative 1-Tilt Up (3pt)'!$BV88/1000000</f>
        <v>#VALUE!</v>
      </c>
      <c r="Y88" s="249">
        <f>'Alternative 1'!$B$20/1.67</f>
        <v>149.70059880239521</v>
      </c>
      <c r="AA88" s="249" t="str">
        <f>'Alternative 2'!$F89</f>
        <v>x</v>
      </c>
      <c r="AB88" s="249" t="e">
        <f>'Alternative 2-Tilt Up (3pt)'!$T88/1000000</f>
        <v>#VALUE!</v>
      </c>
      <c r="AC88" s="249" t="e">
        <f>'Alternative 2-Tilt Up (3pt)'!$Z88/1000000</f>
        <v>#VALUE!</v>
      </c>
      <c r="AD88" s="249" t="e">
        <f>'Alternative 2-Tilt Up (3pt)'!$AF88/1000000</f>
        <v>#VALUE!</v>
      </c>
      <c r="AE88" s="249" t="e">
        <f>'Alternative 2-Tilt Up (3pt)'!$AL88/1000000</f>
        <v>#VALUE!</v>
      </c>
      <c r="AF88" s="249" t="e">
        <f>'Alternative 2-Tilt Up (3pt)'!$AR88/1000000</f>
        <v>#VALUE!</v>
      </c>
      <c r="AG88" s="249" t="e">
        <f>'Alternative 2-Tilt Up (3pt)'!$AX88/1000000</f>
        <v>#VALUE!</v>
      </c>
      <c r="AH88" s="249" t="e">
        <f>'Alternative 2-Tilt Up (3pt)'!$BD88/1000000</f>
        <v>#VALUE!</v>
      </c>
      <c r="AI88" s="249" t="e">
        <f>'Alternative 2-Tilt Up (3pt)'!$BJ88/1000000</f>
        <v>#VALUE!</v>
      </c>
      <c r="AJ88" s="249" t="e">
        <f>'Alternative 2-Tilt Up (3pt)'!$BP88/1000000</f>
        <v>#VALUE!</v>
      </c>
      <c r="AK88" s="249" t="e">
        <f>'Alternative 2-Tilt Up (3pt)'!$BV88/1000000</f>
        <v>#VALUE!</v>
      </c>
      <c r="AL88" s="249">
        <f>'Alternative 2'!$B$20/1.67</f>
        <v>149.70059880239521</v>
      </c>
      <c r="AN88" s="249" t="str">
        <f>'Alternative 3'!$F89</f>
        <v>x</v>
      </c>
      <c r="AO88" s="249" t="e">
        <f>'Alternative 3-Tilt Up (3pt)'!$T88/1000000</f>
        <v>#VALUE!</v>
      </c>
      <c r="AP88" s="249" t="e">
        <f>'Alternative 3-Tilt Up (3pt)'!$Z88/1000000</f>
        <v>#VALUE!</v>
      </c>
      <c r="AQ88" s="249" t="e">
        <f>'Alternative 3-Tilt Up (3pt)'!$AF88/1000000</f>
        <v>#VALUE!</v>
      </c>
      <c r="AR88" s="249" t="e">
        <f>'Alternative 3-Tilt Up (3pt)'!$AL88/1000000</f>
        <v>#VALUE!</v>
      </c>
      <c r="AS88" s="249" t="e">
        <f>'Alternative 3-Tilt Up (3pt)'!$AR88/1000000</f>
        <v>#VALUE!</v>
      </c>
      <c r="AT88" s="249" t="e">
        <f>'Alternative 3-Tilt Up (3pt)'!$AX88/1000000</f>
        <v>#VALUE!</v>
      </c>
      <c r="AU88" s="249" t="e">
        <f>'Alternative 3-Tilt Up (3pt)'!$BD88/1000000</f>
        <v>#VALUE!</v>
      </c>
      <c r="AV88" s="249" t="e">
        <f>'Alternative 3-Tilt Up (3pt)'!$BJ88/1000000</f>
        <v>#VALUE!</v>
      </c>
      <c r="AW88" s="249" t="e">
        <f>'Alternative 3-Tilt Up (3pt)'!$BP88/1000000</f>
        <v>#VALUE!</v>
      </c>
      <c r="AX88" s="249" t="e">
        <f>'Alternative 3-Tilt Up (3pt)'!$BV88/1000000</f>
        <v>#VALUE!</v>
      </c>
      <c r="AY88" s="249">
        <f>'Alternative 3'!$B$20/1.67</f>
        <v>149.70059880239521</v>
      </c>
    </row>
    <row r="89" spans="14:51" x14ac:dyDescent="0.25">
      <c r="N89" s="249" t="str">
        <f>'Alternative 1'!$F90</f>
        <v>x</v>
      </c>
      <c r="O89" s="249" t="e">
        <f>'Alternative 1-Tilt Up (3pt)'!$T89/1000000</f>
        <v>#VALUE!</v>
      </c>
      <c r="P89" s="249" t="e">
        <f>'Alternative 1-Tilt Up (3pt)'!$Z89/1000000</f>
        <v>#VALUE!</v>
      </c>
      <c r="Q89" s="249" t="e">
        <f>'Alternative 1-Tilt Up (3pt)'!$AF89/1000000</f>
        <v>#VALUE!</v>
      </c>
      <c r="R89" s="249" t="e">
        <f>'Alternative 1-Tilt Up (3pt)'!$AL89/1000000</f>
        <v>#VALUE!</v>
      </c>
      <c r="S89" s="249" t="e">
        <f>'Alternative 1-Tilt Up (3pt)'!$AR89/1000000</f>
        <v>#VALUE!</v>
      </c>
      <c r="T89" s="249" t="e">
        <f>'Alternative 1-Tilt Up (3pt)'!$AX89/1000000</f>
        <v>#VALUE!</v>
      </c>
      <c r="U89" s="249" t="e">
        <f>'Alternative 1-Tilt Up (3pt)'!$BD89/1000000</f>
        <v>#VALUE!</v>
      </c>
      <c r="V89" s="249" t="e">
        <f>'Alternative 1-Tilt Up (3pt)'!$BJ89/1000000</f>
        <v>#VALUE!</v>
      </c>
      <c r="W89" s="249" t="e">
        <f>'Alternative 1-Tilt Up (3pt)'!$BP89/1000000</f>
        <v>#VALUE!</v>
      </c>
      <c r="X89" s="249" t="e">
        <f>'Alternative 1-Tilt Up (3pt)'!$BV89/1000000</f>
        <v>#VALUE!</v>
      </c>
      <c r="Y89" s="249">
        <f>'Alternative 1'!$B$20/1.67</f>
        <v>149.70059880239521</v>
      </c>
      <c r="AA89" s="249" t="str">
        <f>'Alternative 2'!$F90</f>
        <v>x</v>
      </c>
      <c r="AB89" s="249" t="e">
        <f>'Alternative 2-Tilt Up (3pt)'!$T89/1000000</f>
        <v>#VALUE!</v>
      </c>
      <c r="AC89" s="249" t="e">
        <f>'Alternative 2-Tilt Up (3pt)'!$Z89/1000000</f>
        <v>#VALUE!</v>
      </c>
      <c r="AD89" s="249" t="e">
        <f>'Alternative 2-Tilt Up (3pt)'!$AF89/1000000</f>
        <v>#VALUE!</v>
      </c>
      <c r="AE89" s="249" t="e">
        <f>'Alternative 2-Tilt Up (3pt)'!$AL89/1000000</f>
        <v>#VALUE!</v>
      </c>
      <c r="AF89" s="249" t="e">
        <f>'Alternative 2-Tilt Up (3pt)'!$AR89/1000000</f>
        <v>#VALUE!</v>
      </c>
      <c r="AG89" s="249" t="e">
        <f>'Alternative 2-Tilt Up (3pt)'!$AX89/1000000</f>
        <v>#VALUE!</v>
      </c>
      <c r="AH89" s="249" t="e">
        <f>'Alternative 2-Tilt Up (3pt)'!$BD89/1000000</f>
        <v>#VALUE!</v>
      </c>
      <c r="AI89" s="249" t="e">
        <f>'Alternative 2-Tilt Up (3pt)'!$BJ89/1000000</f>
        <v>#VALUE!</v>
      </c>
      <c r="AJ89" s="249" t="e">
        <f>'Alternative 2-Tilt Up (3pt)'!$BP89/1000000</f>
        <v>#VALUE!</v>
      </c>
      <c r="AK89" s="249" t="e">
        <f>'Alternative 2-Tilt Up (3pt)'!$BV89/1000000</f>
        <v>#VALUE!</v>
      </c>
      <c r="AL89" s="249">
        <f>'Alternative 2'!$B$20/1.67</f>
        <v>149.70059880239521</v>
      </c>
      <c r="AN89" s="249" t="str">
        <f>'Alternative 3'!$F90</f>
        <v>x</v>
      </c>
      <c r="AO89" s="249" t="e">
        <f>'Alternative 3-Tilt Up (3pt)'!$T89/1000000</f>
        <v>#VALUE!</v>
      </c>
      <c r="AP89" s="249" t="e">
        <f>'Alternative 3-Tilt Up (3pt)'!$Z89/1000000</f>
        <v>#VALUE!</v>
      </c>
      <c r="AQ89" s="249" t="e">
        <f>'Alternative 3-Tilt Up (3pt)'!$AF89/1000000</f>
        <v>#VALUE!</v>
      </c>
      <c r="AR89" s="249" t="e">
        <f>'Alternative 3-Tilt Up (3pt)'!$AL89/1000000</f>
        <v>#VALUE!</v>
      </c>
      <c r="AS89" s="249" t="e">
        <f>'Alternative 3-Tilt Up (3pt)'!$AR89/1000000</f>
        <v>#VALUE!</v>
      </c>
      <c r="AT89" s="249" t="e">
        <f>'Alternative 3-Tilt Up (3pt)'!$AX89/1000000</f>
        <v>#VALUE!</v>
      </c>
      <c r="AU89" s="249" t="e">
        <f>'Alternative 3-Tilt Up (3pt)'!$BD89/1000000</f>
        <v>#VALUE!</v>
      </c>
      <c r="AV89" s="249" t="e">
        <f>'Alternative 3-Tilt Up (3pt)'!$BJ89/1000000</f>
        <v>#VALUE!</v>
      </c>
      <c r="AW89" s="249" t="e">
        <f>'Alternative 3-Tilt Up (3pt)'!$BP89/1000000</f>
        <v>#VALUE!</v>
      </c>
      <c r="AX89" s="249" t="e">
        <f>'Alternative 3-Tilt Up (3pt)'!$BV89/1000000</f>
        <v>#VALUE!</v>
      </c>
      <c r="AY89" s="249">
        <f>'Alternative 3'!$B$20/1.67</f>
        <v>149.70059880239521</v>
      </c>
    </row>
    <row r="90" spans="14:51" x14ac:dyDescent="0.25">
      <c r="N90" s="249" t="str">
        <f>'Alternative 1'!$F91</f>
        <v>x</v>
      </c>
      <c r="O90" s="249" t="e">
        <f>'Alternative 1-Tilt Up (3pt)'!$T90/1000000</f>
        <v>#VALUE!</v>
      </c>
      <c r="P90" s="249" t="e">
        <f>'Alternative 1-Tilt Up (3pt)'!$Z90/1000000</f>
        <v>#VALUE!</v>
      </c>
      <c r="Q90" s="249" t="e">
        <f>'Alternative 1-Tilt Up (3pt)'!$AF90/1000000</f>
        <v>#VALUE!</v>
      </c>
      <c r="R90" s="249" t="e">
        <f>'Alternative 1-Tilt Up (3pt)'!$AL90/1000000</f>
        <v>#VALUE!</v>
      </c>
      <c r="S90" s="249" t="e">
        <f>'Alternative 1-Tilt Up (3pt)'!$AR90/1000000</f>
        <v>#VALUE!</v>
      </c>
      <c r="T90" s="249" t="e">
        <f>'Alternative 1-Tilt Up (3pt)'!$AX90/1000000</f>
        <v>#VALUE!</v>
      </c>
      <c r="U90" s="249" t="e">
        <f>'Alternative 1-Tilt Up (3pt)'!$BD90/1000000</f>
        <v>#VALUE!</v>
      </c>
      <c r="V90" s="249" t="e">
        <f>'Alternative 1-Tilt Up (3pt)'!$BJ90/1000000</f>
        <v>#VALUE!</v>
      </c>
      <c r="W90" s="249" t="e">
        <f>'Alternative 1-Tilt Up (3pt)'!$BP90/1000000</f>
        <v>#VALUE!</v>
      </c>
      <c r="X90" s="249" t="e">
        <f>'Alternative 1-Tilt Up (3pt)'!$BV90/1000000</f>
        <v>#VALUE!</v>
      </c>
      <c r="Y90" s="249">
        <f>'Alternative 1'!$B$20/1.67</f>
        <v>149.70059880239521</v>
      </c>
      <c r="AA90" s="249" t="str">
        <f>'Alternative 2'!$F91</f>
        <v>x</v>
      </c>
      <c r="AB90" s="249" t="e">
        <f>'Alternative 2-Tilt Up (3pt)'!$T90/1000000</f>
        <v>#VALUE!</v>
      </c>
      <c r="AC90" s="249" t="e">
        <f>'Alternative 2-Tilt Up (3pt)'!$Z90/1000000</f>
        <v>#VALUE!</v>
      </c>
      <c r="AD90" s="249" t="e">
        <f>'Alternative 2-Tilt Up (3pt)'!$AF90/1000000</f>
        <v>#VALUE!</v>
      </c>
      <c r="AE90" s="249" t="e">
        <f>'Alternative 2-Tilt Up (3pt)'!$AL90/1000000</f>
        <v>#VALUE!</v>
      </c>
      <c r="AF90" s="249" t="e">
        <f>'Alternative 2-Tilt Up (3pt)'!$AR90/1000000</f>
        <v>#VALUE!</v>
      </c>
      <c r="AG90" s="249" t="e">
        <f>'Alternative 2-Tilt Up (3pt)'!$AX90/1000000</f>
        <v>#VALUE!</v>
      </c>
      <c r="AH90" s="249" t="e">
        <f>'Alternative 2-Tilt Up (3pt)'!$BD90/1000000</f>
        <v>#VALUE!</v>
      </c>
      <c r="AI90" s="249" t="e">
        <f>'Alternative 2-Tilt Up (3pt)'!$BJ90/1000000</f>
        <v>#VALUE!</v>
      </c>
      <c r="AJ90" s="249" t="e">
        <f>'Alternative 2-Tilt Up (3pt)'!$BP90/1000000</f>
        <v>#VALUE!</v>
      </c>
      <c r="AK90" s="249" t="e">
        <f>'Alternative 2-Tilt Up (3pt)'!$BV90/1000000</f>
        <v>#VALUE!</v>
      </c>
      <c r="AL90" s="249">
        <f>'Alternative 2'!$B$20/1.67</f>
        <v>149.70059880239521</v>
      </c>
      <c r="AN90" s="249" t="str">
        <f>'Alternative 3'!$F91</f>
        <v>x</v>
      </c>
      <c r="AO90" s="249" t="e">
        <f>'Alternative 3-Tilt Up (3pt)'!$T90/1000000</f>
        <v>#VALUE!</v>
      </c>
      <c r="AP90" s="249" t="e">
        <f>'Alternative 3-Tilt Up (3pt)'!$Z90/1000000</f>
        <v>#VALUE!</v>
      </c>
      <c r="AQ90" s="249" t="e">
        <f>'Alternative 3-Tilt Up (3pt)'!$AF90/1000000</f>
        <v>#VALUE!</v>
      </c>
      <c r="AR90" s="249" t="e">
        <f>'Alternative 3-Tilt Up (3pt)'!$AL90/1000000</f>
        <v>#VALUE!</v>
      </c>
      <c r="AS90" s="249" t="e">
        <f>'Alternative 3-Tilt Up (3pt)'!$AR90/1000000</f>
        <v>#VALUE!</v>
      </c>
      <c r="AT90" s="249" t="e">
        <f>'Alternative 3-Tilt Up (3pt)'!$AX90/1000000</f>
        <v>#VALUE!</v>
      </c>
      <c r="AU90" s="249" t="e">
        <f>'Alternative 3-Tilt Up (3pt)'!$BD90/1000000</f>
        <v>#VALUE!</v>
      </c>
      <c r="AV90" s="249" t="e">
        <f>'Alternative 3-Tilt Up (3pt)'!$BJ90/1000000</f>
        <v>#VALUE!</v>
      </c>
      <c r="AW90" s="249" t="e">
        <f>'Alternative 3-Tilt Up (3pt)'!$BP90/1000000</f>
        <v>#VALUE!</v>
      </c>
      <c r="AX90" s="249" t="e">
        <f>'Alternative 3-Tilt Up (3pt)'!$BV90/1000000</f>
        <v>#VALUE!</v>
      </c>
      <c r="AY90" s="249">
        <f>'Alternative 3'!$B$20/1.67</f>
        <v>149.70059880239521</v>
      </c>
    </row>
    <row r="91" spans="14:51" x14ac:dyDescent="0.25">
      <c r="N91" s="249" t="str">
        <f>'Alternative 1'!$F92</f>
        <v>x</v>
      </c>
      <c r="O91" s="249" t="e">
        <f>'Alternative 1-Tilt Up (3pt)'!$T91/1000000</f>
        <v>#VALUE!</v>
      </c>
      <c r="P91" s="249" t="e">
        <f>'Alternative 1-Tilt Up (3pt)'!$Z91/1000000</f>
        <v>#VALUE!</v>
      </c>
      <c r="Q91" s="249" t="e">
        <f>'Alternative 1-Tilt Up (3pt)'!$AF91/1000000</f>
        <v>#VALUE!</v>
      </c>
      <c r="R91" s="249" t="e">
        <f>'Alternative 1-Tilt Up (3pt)'!$AL91/1000000</f>
        <v>#VALUE!</v>
      </c>
      <c r="S91" s="249" t="e">
        <f>'Alternative 1-Tilt Up (3pt)'!$AR91/1000000</f>
        <v>#VALUE!</v>
      </c>
      <c r="T91" s="249" t="e">
        <f>'Alternative 1-Tilt Up (3pt)'!$AX91/1000000</f>
        <v>#VALUE!</v>
      </c>
      <c r="U91" s="249" t="e">
        <f>'Alternative 1-Tilt Up (3pt)'!$BD91/1000000</f>
        <v>#VALUE!</v>
      </c>
      <c r="V91" s="249" t="e">
        <f>'Alternative 1-Tilt Up (3pt)'!$BJ91/1000000</f>
        <v>#VALUE!</v>
      </c>
      <c r="W91" s="249" t="e">
        <f>'Alternative 1-Tilt Up (3pt)'!$BP91/1000000</f>
        <v>#VALUE!</v>
      </c>
      <c r="X91" s="249" t="e">
        <f>'Alternative 1-Tilt Up (3pt)'!$BV91/1000000</f>
        <v>#VALUE!</v>
      </c>
      <c r="Y91" s="249">
        <f>'Alternative 1'!$B$20/1.67</f>
        <v>149.70059880239521</v>
      </c>
      <c r="AA91" s="249" t="str">
        <f>'Alternative 2'!$F92</f>
        <v>x</v>
      </c>
      <c r="AB91" s="249" t="e">
        <f>'Alternative 2-Tilt Up (3pt)'!$T91/1000000</f>
        <v>#VALUE!</v>
      </c>
      <c r="AC91" s="249" t="e">
        <f>'Alternative 2-Tilt Up (3pt)'!$Z91/1000000</f>
        <v>#VALUE!</v>
      </c>
      <c r="AD91" s="249" t="e">
        <f>'Alternative 2-Tilt Up (3pt)'!$AF91/1000000</f>
        <v>#VALUE!</v>
      </c>
      <c r="AE91" s="249" t="e">
        <f>'Alternative 2-Tilt Up (3pt)'!$AL91/1000000</f>
        <v>#VALUE!</v>
      </c>
      <c r="AF91" s="249" t="e">
        <f>'Alternative 2-Tilt Up (3pt)'!$AR91/1000000</f>
        <v>#VALUE!</v>
      </c>
      <c r="AG91" s="249" t="e">
        <f>'Alternative 2-Tilt Up (3pt)'!$AX91/1000000</f>
        <v>#VALUE!</v>
      </c>
      <c r="AH91" s="249" t="e">
        <f>'Alternative 2-Tilt Up (3pt)'!$BD91/1000000</f>
        <v>#VALUE!</v>
      </c>
      <c r="AI91" s="249" t="e">
        <f>'Alternative 2-Tilt Up (3pt)'!$BJ91/1000000</f>
        <v>#VALUE!</v>
      </c>
      <c r="AJ91" s="249" t="e">
        <f>'Alternative 2-Tilt Up (3pt)'!$BP91/1000000</f>
        <v>#VALUE!</v>
      </c>
      <c r="AK91" s="249" t="e">
        <f>'Alternative 2-Tilt Up (3pt)'!$BV91/1000000</f>
        <v>#VALUE!</v>
      </c>
      <c r="AL91" s="249">
        <f>'Alternative 2'!$B$20/1.67</f>
        <v>149.70059880239521</v>
      </c>
      <c r="AN91" s="249" t="str">
        <f>'Alternative 3'!$F92</f>
        <v>x</v>
      </c>
      <c r="AO91" s="249" t="e">
        <f>'Alternative 3-Tilt Up (3pt)'!$T91/1000000</f>
        <v>#VALUE!</v>
      </c>
      <c r="AP91" s="249" t="e">
        <f>'Alternative 3-Tilt Up (3pt)'!$Z91/1000000</f>
        <v>#VALUE!</v>
      </c>
      <c r="AQ91" s="249" t="e">
        <f>'Alternative 3-Tilt Up (3pt)'!$AF91/1000000</f>
        <v>#VALUE!</v>
      </c>
      <c r="AR91" s="249" t="e">
        <f>'Alternative 3-Tilt Up (3pt)'!$AL91/1000000</f>
        <v>#VALUE!</v>
      </c>
      <c r="AS91" s="249" t="e">
        <f>'Alternative 3-Tilt Up (3pt)'!$AR91/1000000</f>
        <v>#VALUE!</v>
      </c>
      <c r="AT91" s="249" t="e">
        <f>'Alternative 3-Tilt Up (3pt)'!$AX91/1000000</f>
        <v>#VALUE!</v>
      </c>
      <c r="AU91" s="249" t="e">
        <f>'Alternative 3-Tilt Up (3pt)'!$BD91/1000000</f>
        <v>#VALUE!</v>
      </c>
      <c r="AV91" s="249" t="e">
        <f>'Alternative 3-Tilt Up (3pt)'!$BJ91/1000000</f>
        <v>#VALUE!</v>
      </c>
      <c r="AW91" s="249" t="e">
        <f>'Alternative 3-Tilt Up (3pt)'!$BP91/1000000</f>
        <v>#VALUE!</v>
      </c>
      <c r="AX91" s="249" t="e">
        <f>'Alternative 3-Tilt Up (3pt)'!$BV91/1000000</f>
        <v>#VALUE!</v>
      </c>
      <c r="AY91" s="249">
        <f>'Alternative 3'!$B$20/1.67</f>
        <v>149.70059880239521</v>
      </c>
    </row>
    <row r="92" spans="14:51" x14ac:dyDescent="0.25">
      <c r="N92" s="249" t="str">
        <f>'Alternative 1'!$F93</f>
        <v>x</v>
      </c>
      <c r="O92" s="249" t="e">
        <f>'Alternative 1-Tilt Up (3pt)'!$T92/1000000</f>
        <v>#VALUE!</v>
      </c>
      <c r="P92" s="249" t="e">
        <f>'Alternative 1-Tilt Up (3pt)'!$Z92/1000000</f>
        <v>#VALUE!</v>
      </c>
      <c r="Q92" s="249" t="e">
        <f>'Alternative 1-Tilt Up (3pt)'!$AF92/1000000</f>
        <v>#VALUE!</v>
      </c>
      <c r="R92" s="249" t="e">
        <f>'Alternative 1-Tilt Up (3pt)'!$AL92/1000000</f>
        <v>#VALUE!</v>
      </c>
      <c r="S92" s="249" t="e">
        <f>'Alternative 1-Tilt Up (3pt)'!$AR92/1000000</f>
        <v>#VALUE!</v>
      </c>
      <c r="T92" s="249" t="e">
        <f>'Alternative 1-Tilt Up (3pt)'!$AX92/1000000</f>
        <v>#VALUE!</v>
      </c>
      <c r="U92" s="249" t="e">
        <f>'Alternative 1-Tilt Up (3pt)'!$BD92/1000000</f>
        <v>#VALUE!</v>
      </c>
      <c r="V92" s="249" t="e">
        <f>'Alternative 1-Tilt Up (3pt)'!$BJ92/1000000</f>
        <v>#VALUE!</v>
      </c>
      <c r="W92" s="249" t="e">
        <f>'Alternative 1-Tilt Up (3pt)'!$BP92/1000000</f>
        <v>#VALUE!</v>
      </c>
      <c r="X92" s="249" t="e">
        <f>'Alternative 1-Tilt Up (3pt)'!$BV92/1000000</f>
        <v>#VALUE!</v>
      </c>
      <c r="Y92" s="249">
        <f>'Alternative 1'!$B$20/1.67</f>
        <v>149.70059880239521</v>
      </c>
      <c r="AA92" s="249" t="str">
        <f>'Alternative 2'!$F93</f>
        <v>x</v>
      </c>
      <c r="AB92" s="249" t="e">
        <f>'Alternative 2-Tilt Up (3pt)'!$T92/1000000</f>
        <v>#VALUE!</v>
      </c>
      <c r="AC92" s="249" t="e">
        <f>'Alternative 2-Tilt Up (3pt)'!$Z92/1000000</f>
        <v>#VALUE!</v>
      </c>
      <c r="AD92" s="249" t="e">
        <f>'Alternative 2-Tilt Up (3pt)'!$AF92/1000000</f>
        <v>#VALUE!</v>
      </c>
      <c r="AE92" s="249" t="e">
        <f>'Alternative 2-Tilt Up (3pt)'!$AL92/1000000</f>
        <v>#VALUE!</v>
      </c>
      <c r="AF92" s="249" t="e">
        <f>'Alternative 2-Tilt Up (3pt)'!$AR92/1000000</f>
        <v>#VALUE!</v>
      </c>
      <c r="AG92" s="249" t="e">
        <f>'Alternative 2-Tilt Up (3pt)'!$AX92/1000000</f>
        <v>#VALUE!</v>
      </c>
      <c r="AH92" s="249" t="e">
        <f>'Alternative 2-Tilt Up (3pt)'!$BD92/1000000</f>
        <v>#VALUE!</v>
      </c>
      <c r="AI92" s="249" t="e">
        <f>'Alternative 2-Tilt Up (3pt)'!$BJ92/1000000</f>
        <v>#VALUE!</v>
      </c>
      <c r="AJ92" s="249" t="e">
        <f>'Alternative 2-Tilt Up (3pt)'!$BP92/1000000</f>
        <v>#VALUE!</v>
      </c>
      <c r="AK92" s="249" t="e">
        <f>'Alternative 2-Tilt Up (3pt)'!$BV92/1000000</f>
        <v>#VALUE!</v>
      </c>
      <c r="AL92" s="249">
        <f>'Alternative 2'!$B$20/1.67</f>
        <v>149.70059880239521</v>
      </c>
      <c r="AN92" s="249" t="str">
        <f>'Alternative 3'!$F93</f>
        <v>x</v>
      </c>
      <c r="AO92" s="249" t="e">
        <f>'Alternative 3-Tilt Up (3pt)'!$T92/1000000</f>
        <v>#VALUE!</v>
      </c>
      <c r="AP92" s="249" t="e">
        <f>'Alternative 3-Tilt Up (3pt)'!$Z92/1000000</f>
        <v>#VALUE!</v>
      </c>
      <c r="AQ92" s="249" t="e">
        <f>'Alternative 3-Tilt Up (3pt)'!$AF92/1000000</f>
        <v>#VALUE!</v>
      </c>
      <c r="AR92" s="249" t="e">
        <f>'Alternative 3-Tilt Up (3pt)'!$AL92/1000000</f>
        <v>#VALUE!</v>
      </c>
      <c r="AS92" s="249" t="e">
        <f>'Alternative 3-Tilt Up (3pt)'!$AR92/1000000</f>
        <v>#VALUE!</v>
      </c>
      <c r="AT92" s="249" t="e">
        <f>'Alternative 3-Tilt Up (3pt)'!$AX92/1000000</f>
        <v>#VALUE!</v>
      </c>
      <c r="AU92" s="249" t="e">
        <f>'Alternative 3-Tilt Up (3pt)'!$BD92/1000000</f>
        <v>#VALUE!</v>
      </c>
      <c r="AV92" s="249" t="e">
        <f>'Alternative 3-Tilt Up (3pt)'!$BJ92/1000000</f>
        <v>#VALUE!</v>
      </c>
      <c r="AW92" s="249" t="e">
        <f>'Alternative 3-Tilt Up (3pt)'!$BP92/1000000</f>
        <v>#VALUE!</v>
      </c>
      <c r="AX92" s="249" t="e">
        <f>'Alternative 3-Tilt Up (3pt)'!$BV92/1000000</f>
        <v>#VALUE!</v>
      </c>
      <c r="AY92" s="249">
        <f>'Alternative 3'!$B$20/1.67</f>
        <v>149.70059880239521</v>
      </c>
    </row>
  </sheetData>
  <mergeCells count="7">
    <mergeCell ref="AM1:AM1048576"/>
    <mergeCell ref="AN1:AY1"/>
    <mergeCell ref="A1:L1"/>
    <mergeCell ref="N1:Y1"/>
    <mergeCell ref="AA1:AL1"/>
    <mergeCell ref="M1:M1048576"/>
    <mergeCell ref="Z1:Z104857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P70"/>
  <sheetViews>
    <sheetView zoomScale="70" zoomScaleNormal="70" workbookViewId="0">
      <selection activeCell="B21" sqref="B21"/>
    </sheetView>
  </sheetViews>
  <sheetFormatPr defaultColWidth="9.140625" defaultRowHeight="15" x14ac:dyDescent="0.25"/>
  <cols>
    <col min="1" max="1" width="21.42578125" style="8" customWidth="1"/>
    <col min="2" max="2" width="22.85546875" style="8" bestFit="1" customWidth="1"/>
    <col min="3" max="3" width="7.28515625" style="8" customWidth="1"/>
    <col min="4" max="4" width="3.28515625" style="8" customWidth="1"/>
    <col min="5" max="5" width="14.42578125" style="8" customWidth="1"/>
    <col min="6" max="6" width="12.85546875" style="44" bestFit="1" customWidth="1"/>
    <col min="7" max="7" width="12.85546875" style="44" customWidth="1"/>
    <col min="8" max="8" width="15.28515625" style="8" bestFit="1" customWidth="1"/>
    <col min="9" max="9" width="10.42578125" style="61" bestFit="1" customWidth="1"/>
    <col min="10" max="10" width="19.28515625" style="8" bestFit="1" customWidth="1"/>
    <col min="11" max="11" width="23.28515625" style="8" bestFit="1" customWidth="1"/>
    <col min="12" max="12" width="12" style="8" bestFit="1" customWidth="1"/>
    <col min="13" max="13" width="22.140625" style="8" bestFit="1" customWidth="1"/>
    <col min="14" max="14" width="26.42578125" style="8" bestFit="1" customWidth="1"/>
    <col min="15" max="15" width="28.5703125" style="8" bestFit="1" customWidth="1"/>
    <col min="16" max="16384" width="9.140625" style="8"/>
  </cols>
  <sheetData>
    <row r="1" spans="1:16" x14ac:dyDescent="0.25">
      <c r="A1" s="177" t="s">
        <v>14</v>
      </c>
      <c r="B1" s="177"/>
      <c r="C1" s="177"/>
      <c r="D1" s="180"/>
      <c r="E1" s="178" t="s">
        <v>58</v>
      </c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</row>
    <row r="2" spans="1:16" ht="28.5" customHeight="1" x14ac:dyDescent="0.25">
      <c r="A2" s="39" t="s">
        <v>19</v>
      </c>
      <c r="B2" s="70">
        <v>88000</v>
      </c>
      <c r="C2" s="36" t="s">
        <v>2</v>
      </c>
      <c r="D2" s="180"/>
      <c r="E2" s="29" t="s">
        <v>5</v>
      </c>
      <c r="F2" s="29" t="s">
        <v>71</v>
      </c>
      <c r="G2" s="29" t="s">
        <v>74</v>
      </c>
      <c r="H2" s="29" t="s">
        <v>7</v>
      </c>
      <c r="I2" s="59" t="s">
        <v>62</v>
      </c>
      <c r="J2" s="29" t="s">
        <v>37</v>
      </c>
      <c r="K2" s="29" t="s">
        <v>61</v>
      </c>
      <c r="L2" s="29" t="s">
        <v>9</v>
      </c>
      <c r="M2" s="29" t="s">
        <v>10</v>
      </c>
      <c r="N2" s="29" t="s">
        <v>12</v>
      </c>
      <c r="O2" s="29" t="s">
        <v>11</v>
      </c>
      <c r="P2" s="29" t="s">
        <v>35</v>
      </c>
    </row>
    <row r="3" spans="1:16" x14ac:dyDescent="0.25">
      <c r="A3" s="39" t="s">
        <v>19</v>
      </c>
      <c r="B3" s="137">
        <v>862990</v>
      </c>
      <c r="C3" s="8" t="s">
        <v>41</v>
      </c>
      <c r="D3" s="180"/>
      <c r="E3" s="13">
        <v>0</v>
      </c>
      <c r="F3" s="40" t="s">
        <v>56</v>
      </c>
      <c r="G3" s="62">
        <f>B18</f>
        <v>4</v>
      </c>
      <c r="H3" s="14">
        <v>2.8000000000000025E-2</v>
      </c>
      <c r="I3" s="60">
        <f t="shared" ref="I3:I34" si="0">(($B$18/2)-((($B$18/2)-($B$17/2))/67)*E3)</f>
        <v>2</v>
      </c>
      <c r="J3" s="14">
        <f t="shared" ref="J3:J34" si="1">I3-H3</f>
        <v>1.972</v>
      </c>
      <c r="K3" s="14">
        <f t="shared" ref="K3:K34" si="2">AVERAGE(I3:J3)</f>
        <v>1.986</v>
      </c>
      <c r="L3" s="14">
        <f>2*3.14159*K3*H3</f>
        <v>0.34939507344000031</v>
      </c>
      <c r="M3" s="14">
        <f>(3.141593)*(K3^2)</f>
        <v>12.391058544227999</v>
      </c>
      <c r="N3" s="14">
        <f>SQRT(L3/M3)</f>
        <v>0.16792067992117249</v>
      </c>
      <c r="O3" s="14">
        <f t="shared" ref="O3:O34" si="3">($I$9*E3)/N3</f>
        <v>0</v>
      </c>
      <c r="P3" s="14">
        <f t="shared" ref="P3:P34" si="4">($I$9*E3)/K3</f>
        <v>0</v>
      </c>
    </row>
    <row r="4" spans="1:16" x14ac:dyDescent="0.25">
      <c r="A4" s="39" t="s">
        <v>20</v>
      </c>
      <c r="B4" s="70">
        <v>32500</v>
      </c>
      <c r="C4" s="36" t="s">
        <v>2</v>
      </c>
      <c r="D4" s="180"/>
      <c r="E4" s="14">
        <v>1</v>
      </c>
      <c r="F4" s="38">
        <v>0.5</v>
      </c>
      <c r="G4" s="62">
        <f t="shared" ref="G4:G34" si="5">(($B$18)-((($B$18)-($B$17))/67)*F4)</f>
        <v>3.9900447761194031</v>
      </c>
      <c r="H4" s="14">
        <f>H3-0.00018</f>
        <v>2.7820000000000025E-2</v>
      </c>
      <c r="I4" s="60">
        <f t="shared" si="0"/>
        <v>1.9900447761194029</v>
      </c>
      <c r="J4" s="14">
        <f t="shared" si="1"/>
        <v>1.9622247761194029</v>
      </c>
      <c r="K4" s="14">
        <f t="shared" si="2"/>
        <v>1.976134776119403</v>
      </c>
      <c r="L4" s="14">
        <f t="shared" ref="L4:L67" si="6">2*3.14159*K4*H4</f>
        <v>0.34542454018283059</v>
      </c>
      <c r="M4" s="14">
        <f>(3.141593)*(K4^2)</f>
        <v>12.268262009724685</v>
      </c>
      <c r="N4" s="14">
        <f t="shared" ref="N4:N63" si="7">SQRT(L4/M4)</f>
        <v>0.16779734034940363</v>
      </c>
      <c r="O4" s="14">
        <f t="shared" si="3"/>
        <v>11.563166929083652</v>
      </c>
      <c r="P4" s="14">
        <f t="shared" si="4"/>
        <v>0.98185036778037138</v>
      </c>
    </row>
    <row r="5" spans="1:16" x14ac:dyDescent="0.25">
      <c r="A5" s="39" t="s">
        <v>20</v>
      </c>
      <c r="B5" s="137">
        <v>318720</v>
      </c>
      <c r="C5" s="36" t="s">
        <v>41</v>
      </c>
      <c r="D5" s="180"/>
      <c r="E5" s="14">
        <v>2</v>
      </c>
      <c r="F5" s="38">
        <f>F4+1</f>
        <v>1.5</v>
      </c>
      <c r="G5" s="62">
        <f t="shared" si="5"/>
        <v>3.9701343283582089</v>
      </c>
      <c r="H5" s="14">
        <f t="shared" ref="H5:H68" si="8">H4-0.00018</f>
        <v>2.7640000000000026E-2</v>
      </c>
      <c r="I5" s="60">
        <f t="shared" si="0"/>
        <v>1.980089552238806</v>
      </c>
      <c r="J5" s="14">
        <f t="shared" si="1"/>
        <v>1.9524495522388059</v>
      </c>
      <c r="K5" s="14">
        <f t="shared" si="2"/>
        <v>1.9662695522388058</v>
      </c>
      <c r="L5" s="14">
        <f t="shared" si="6"/>
        <v>0.34147632151751839</v>
      </c>
      <c r="M5" s="14">
        <f t="shared" ref="M5:M68" si="9">(3.141593)*(K5^2)</f>
        <v>12.14607697148441</v>
      </c>
      <c r="N5" s="14">
        <f t="shared" si="7"/>
        <v>0.16767267103355751</v>
      </c>
      <c r="O5" s="14">
        <f t="shared" si="3"/>
        <v>23.143528933562443</v>
      </c>
      <c r="P5" s="14">
        <f t="shared" si="4"/>
        <v>1.9735530711007723</v>
      </c>
    </row>
    <row r="6" spans="1:16" x14ac:dyDescent="0.25">
      <c r="A6" s="39" t="s">
        <v>24</v>
      </c>
      <c r="B6" s="70">
        <v>12</v>
      </c>
      <c r="C6" s="36" t="s">
        <v>27</v>
      </c>
      <c r="D6" s="180"/>
      <c r="E6" s="14">
        <v>3</v>
      </c>
      <c r="F6" s="38">
        <f t="shared" ref="F6:F69" si="10">F5+1</f>
        <v>2.5</v>
      </c>
      <c r="G6" s="62">
        <f t="shared" si="5"/>
        <v>3.9502238805970151</v>
      </c>
      <c r="H6" s="14">
        <f t="shared" si="8"/>
        <v>2.7460000000000026E-2</v>
      </c>
      <c r="I6" s="60">
        <f t="shared" si="0"/>
        <v>1.9701343283582089</v>
      </c>
      <c r="J6" s="14">
        <f t="shared" si="1"/>
        <v>1.9426743283582089</v>
      </c>
      <c r="K6" s="14">
        <f t="shared" si="2"/>
        <v>1.9564043283582089</v>
      </c>
      <c r="L6" s="14">
        <f t="shared" si="6"/>
        <v>0.33755041744406372</v>
      </c>
      <c r="M6" s="14">
        <f t="shared" si="9"/>
        <v>12.024503429507185</v>
      </c>
      <c r="N6" s="14">
        <f t="shared" si="7"/>
        <v>0.16754665024780477</v>
      </c>
      <c r="O6" s="14">
        <f t="shared" si="3"/>
        <v>34.741404626951166</v>
      </c>
      <c r="P6" s="14">
        <f t="shared" si="4"/>
        <v>2.9752571519988429</v>
      </c>
    </row>
    <row r="7" spans="1:16" x14ac:dyDescent="0.25">
      <c r="A7" s="39" t="s">
        <v>21</v>
      </c>
      <c r="B7" s="70">
        <v>3</v>
      </c>
      <c r="C7" s="36" t="s">
        <v>3</v>
      </c>
      <c r="D7" s="180"/>
      <c r="E7" s="14">
        <v>4</v>
      </c>
      <c r="F7" s="38">
        <f t="shared" si="10"/>
        <v>3.5</v>
      </c>
      <c r="G7" s="62">
        <f t="shared" si="5"/>
        <v>3.9303134328358209</v>
      </c>
      <c r="H7" s="14">
        <f t="shared" si="8"/>
        <v>2.7280000000000026E-2</v>
      </c>
      <c r="I7" s="60">
        <f t="shared" si="0"/>
        <v>1.960179104477612</v>
      </c>
      <c r="J7" s="14">
        <f t="shared" si="1"/>
        <v>1.932899104477612</v>
      </c>
      <c r="K7" s="14">
        <f t="shared" si="2"/>
        <v>1.9465391044776119</v>
      </c>
      <c r="L7" s="14">
        <f t="shared" si="6"/>
        <v>0.3336468279624667</v>
      </c>
      <c r="M7" s="14">
        <f t="shared" si="9"/>
        <v>11.903541383793</v>
      </c>
      <c r="N7" s="14">
        <f t="shared" si="7"/>
        <v>0.16741925578797365</v>
      </c>
      <c r="O7" s="14">
        <f t="shared" si="3"/>
        <v>46.357120573362259</v>
      </c>
      <c r="P7" s="14">
        <f t="shared" si="4"/>
        <v>3.9871146739425471</v>
      </c>
    </row>
    <row r="8" spans="1:16" x14ac:dyDescent="0.25">
      <c r="A8" s="39" t="s">
        <v>28</v>
      </c>
      <c r="B8" s="70">
        <v>69.95</v>
      </c>
      <c r="C8" s="36" t="s">
        <v>1</v>
      </c>
      <c r="D8" s="180"/>
      <c r="E8" s="14">
        <v>5</v>
      </c>
      <c r="F8" s="38">
        <f t="shared" si="10"/>
        <v>4.5</v>
      </c>
      <c r="G8" s="62">
        <f t="shared" si="5"/>
        <v>3.9104029850746267</v>
      </c>
      <c r="H8" s="14">
        <f t="shared" si="8"/>
        <v>2.7100000000000027E-2</v>
      </c>
      <c r="I8" s="60">
        <f t="shared" si="0"/>
        <v>1.9502238805970149</v>
      </c>
      <c r="J8" s="14">
        <f t="shared" si="1"/>
        <v>1.9231238805970148</v>
      </c>
      <c r="K8" s="14">
        <f t="shared" si="2"/>
        <v>1.9366738805970147</v>
      </c>
      <c r="L8" s="14">
        <f t="shared" si="6"/>
        <v>0.32976555307272715</v>
      </c>
      <c r="M8" s="14">
        <f t="shared" si="9"/>
        <v>11.783190834341857</v>
      </c>
      <c r="N8" s="14">
        <f t="shared" si="7"/>
        <v>0.16729046495823915</v>
      </c>
      <c r="O8" s="14">
        <f t="shared" si="3"/>
        <v>57.991011537948935</v>
      </c>
      <c r="P8" s="14">
        <f t="shared" si="4"/>
        <v>5.0092807987844985</v>
      </c>
    </row>
    <row r="9" spans="1:16" x14ac:dyDescent="0.25">
      <c r="A9" s="39" t="s">
        <v>22</v>
      </c>
      <c r="B9" s="70">
        <v>75</v>
      </c>
      <c r="C9" s="36" t="s">
        <v>1</v>
      </c>
      <c r="D9" s="180"/>
      <c r="E9" s="14">
        <v>6</v>
      </c>
      <c r="F9" s="38">
        <f t="shared" si="10"/>
        <v>5.5</v>
      </c>
      <c r="G9" s="62">
        <f t="shared" si="5"/>
        <v>3.8904925373134329</v>
      </c>
      <c r="H9" s="14">
        <f t="shared" si="8"/>
        <v>2.6920000000000027E-2</v>
      </c>
      <c r="I9" s="60">
        <f t="shared" si="0"/>
        <v>1.9402686567164178</v>
      </c>
      <c r="J9" s="14">
        <f t="shared" si="1"/>
        <v>1.9133486567164177</v>
      </c>
      <c r="K9" s="14">
        <f t="shared" si="2"/>
        <v>1.9268086567164178</v>
      </c>
      <c r="L9" s="14">
        <f t="shared" si="6"/>
        <v>0.32590659277484518</v>
      </c>
      <c r="M9" s="14">
        <f t="shared" si="9"/>
        <v>11.663451781153762</v>
      </c>
      <c r="N9" s="14">
        <f t="shared" si="7"/>
        <v>0.16716025455736336</v>
      </c>
      <c r="O9" s="14">
        <f t="shared" si="3"/>
        <v>69.643420746906827</v>
      </c>
      <c r="P9" s="14">
        <f t="shared" si="4"/>
        <v>6.0419138660803133</v>
      </c>
    </row>
    <row r="10" spans="1:16" x14ac:dyDescent="0.25">
      <c r="A10" s="39" t="s">
        <v>29</v>
      </c>
      <c r="B10" s="70">
        <v>18.23</v>
      </c>
      <c r="C10" s="36" t="s">
        <v>30</v>
      </c>
      <c r="D10" s="180"/>
      <c r="E10" s="14">
        <v>7</v>
      </c>
      <c r="F10" s="38">
        <f t="shared" si="10"/>
        <v>6.5</v>
      </c>
      <c r="G10" s="62">
        <f t="shared" si="5"/>
        <v>3.8705820895522387</v>
      </c>
      <c r="H10" s="14">
        <f t="shared" si="8"/>
        <v>2.6740000000000028E-2</v>
      </c>
      <c r="I10" s="60">
        <f t="shared" si="0"/>
        <v>1.9303134328358209</v>
      </c>
      <c r="J10" s="14">
        <f t="shared" si="1"/>
        <v>1.9035734328358209</v>
      </c>
      <c r="K10" s="14">
        <f t="shared" si="2"/>
        <v>1.9169434328358208</v>
      </c>
      <c r="L10" s="14">
        <f t="shared" si="6"/>
        <v>0.32206994706882081</v>
      </c>
      <c r="M10" s="14">
        <f t="shared" si="9"/>
        <v>11.544324224228712</v>
      </c>
      <c r="N10" s="14">
        <f t="shared" si="7"/>
        <v>0.16702860086446827</v>
      </c>
      <c r="O10" s="14">
        <f t="shared" si="3"/>
        <v>81.314700157463733</v>
      </c>
      <c r="P10" s="14">
        <f t="shared" si="4"/>
        <v>7.0851754748561548</v>
      </c>
    </row>
    <row r="11" spans="1:16" x14ac:dyDescent="0.25">
      <c r="A11" s="39" t="s">
        <v>25</v>
      </c>
      <c r="B11" s="70">
        <v>1.5</v>
      </c>
      <c r="C11" s="36" t="s">
        <v>26</v>
      </c>
      <c r="D11" s="180"/>
      <c r="E11" s="14">
        <v>8</v>
      </c>
      <c r="F11" s="38">
        <f t="shared" si="10"/>
        <v>7.5</v>
      </c>
      <c r="G11" s="62">
        <f t="shared" si="5"/>
        <v>3.8506716417910449</v>
      </c>
      <c r="H11" s="14">
        <f t="shared" si="8"/>
        <v>2.6560000000000028E-2</v>
      </c>
      <c r="I11" s="60">
        <f t="shared" si="0"/>
        <v>1.9203582089552238</v>
      </c>
      <c r="J11" s="14">
        <f t="shared" si="1"/>
        <v>1.8937982089552237</v>
      </c>
      <c r="K11" s="14">
        <f t="shared" si="2"/>
        <v>1.9070782089552236</v>
      </c>
      <c r="L11" s="14">
        <f t="shared" si="6"/>
        <v>0.3182556159546539</v>
      </c>
      <c r="M11" s="14">
        <f t="shared" si="9"/>
        <v>11.4258081635667</v>
      </c>
      <c r="N11" s="14">
        <f t="shared" si="7"/>
        <v>0.16689547962432205</v>
      </c>
      <c r="O11" s="14">
        <f t="shared" si="3"/>
        <v>93.005210738309685</v>
      </c>
      <c r="P11" s="14">
        <f t="shared" si="4"/>
        <v>8.1392305679141597</v>
      </c>
    </row>
    <row r="12" spans="1:16" x14ac:dyDescent="0.25">
      <c r="A12" s="177" t="s">
        <v>15</v>
      </c>
      <c r="B12" s="177"/>
      <c r="C12" s="177"/>
      <c r="D12" s="180"/>
      <c r="E12" s="14">
        <v>9</v>
      </c>
      <c r="F12" s="38">
        <f>F11+1</f>
        <v>8.5</v>
      </c>
      <c r="G12" s="62">
        <f t="shared" si="5"/>
        <v>3.8307611940298507</v>
      </c>
      <c r="H12" s="14">
        <f t="shared" si="8"/>
        <v>2.6380000000000028E-2</v>
      </c>
      <c r="I12" s="60">
        <f t="shared" si="0"/>
        <v>1.9104029850746269</v>
      </c>
      <c r="J12" s="14">
        <f t="shared" si="1"/>
        <v>1.8840229850746268</v>
      </c>
      <c r="K12" s="14">
        <f t="shared" si="2"/>
        <v>1.8972129850746269</v>
      </c>
      <c r="L12" s="14">
        <f t="shared" si="6"/>
        <v>0.31446359943234459</v>
      </c>
      <c r="M12" s="14">
        <f t="shared" si="9"/>
        <v>11.307903599167739</v>
      </c>
      <c r="N12" s="14">
        <f t="shared" si="7"/>
        <v>0.16676086603211984</v>
      </c>
      <c r="O12" s="14">
        <f t="shared" si="3"/>
        <v>104.71532276094274</v>
      </c>
      <c r="P12" s="14">
        <f t="shared" si="4"/>
        <v>9.2042475187681045</v>
      </c>
    </row>
    <row r="13" spans="1:16" x14ac:dyDescent="0.25">
      <c r="A13" s="39" t="s">
        <v>16</v>
      </c>
      <c r="B13" s="70">
        <v>67</v>
      </c>
      <c r="C13" s="36" t="s">
        <v>1</v>
      </c>
      <c r="D13" s="180"/>
      <c r="E13" s="14">
        <v>10</v>
      </c>
      <c r="F13" s="38">
        <f t="shared" si="10"/>
        <v>9.5</v>
      </c>
      <c r="G13" s="62">
        <f t="shared" si="5"/>
        <v>3.8108507462686565</v>
      </c>
      <c r="H13" s="14">
        <f t="shared" si="8"/>
        <v>2.6200000000000029E-2</v>
      </c>
      <c r="I13" s="60">
        <f t="shared" si="0"/>
        <v>1.9004477611940298</v>
      </c>
      <c r="J13" s="14">
        <f t="shared" si="1"/>
        <v>1.8742477611940298</v>
      </c>
      <c r="K13" s="14">
        <f t="shared" si="2"/>
        <v>1.8873477611940297</v>
      </c>
      <c r="L13" s="14">
        <f t="shared" si="6"/>
        <v>0.3106938975018928</v>
      </c>
      <c r="M13" s="14">
        <f t="shared" si="9"/>
        <v>11.190610531031817</v>
      </c>
      <c r="N13" s="14">
        <f t="shared" si="7"/>
        <v>0.16662473471773812</v>
      </c>
      <c r="O13" s="14">
        <f t="shared" si="3"/>
        <v>116.4454161024309</v>
      </c>
      <c r="P13" s="14">
        <f t="shared" si="4"/>
        <v>10.280398221305584</v>
      </c>
    </row>
    <row r="14" spans="1:16" x14ac:dyDescent="0.25">
      <c r="A14" s="39" t="s">
        <v>17</v>
      </c>
      <c r="B14" s="80">
        <v>110400</v>
      </c>
      <c r="C14" s="36" t="s">
        <v>2</v>
      </c>
      <c r="D14" s="180"/>
      <c r="E14" s="14">
        <v>11</v>
      </c>
      <c r="F14" s="38">
        <f t="shared" si="10"/>
        <v>10.5</v>
      </c>
      <c r="G14" s="62">
        <f t="shared" si="5"/>
        <v>3.7909402985074627</v>
      </c>
      <c r="H14" s="14">
        <f t="shared" si="8"/>
        <v>2.6020000000000029E-2</v>
      </c>
      <c r="I14" s="60">
        <f t="shared" si="0"/>
        <v>1.8904925373134329</v>
      </c>
      <c r="J14" s="14">
        <f t="shared" si="1"/>
        <v>1.864472537313433</v>
      </c>
      <c r="K14" s="14">
        <f t="shared" si="2"/>
        <v>1.877482537313433</v>
      </c>
      <c r="L14" s="14">
        <f t="shared" si="6"/>
        <v>0.30694651016329866</v>
      </c>
      <c r="M14" s="14">
        <f t="shared" si="9"/>
        <v>11.073928959158943</v>
      </c>
      <c r="N14" s="14">
        <f t="shared" si="7"/>
        <v>0.16648705972944114</v>
      </c>
      <c r="O14" s="14">
        <f t="shared" si="3"/>
        <v>128.19588056011756</v>
      </c>
      <c r="P14" s="14">
        <f t="shared" si="4"/>
        <v>11.367858182276947</v>
      </c>
    </row>
    <row r="15" spans="1:16" x14ac:dyDescent="0.25">
      <c r="A15" s="39" t="s">
        <v>17</v>
      </c>
      <c r="B15" s="140">
        <v>1082650</v>
      </c>
      <c r="C15" s="36" t="s">
        <v>41</v>
      </c>
      <c r="D15" s="180"/>
      <c r="E15" s="14">
        <v>12</v>
      </c>
      <c r="F15" s="38">
        <f t="shared" si="10"/>
        <v>11.5</v>
      </c>
      <c r="G15" s="62">
        <f t="shared" si="5"/>
        <v>3.7710298507462685</v>
      </c>
      <c r="H15" s="14">
        <f t="shared" si="8"/>
        <v>2.584000000000003E-2</v>
      </c>
      <c r="I15" s="60">
        <f t="shared" si="0"/>
        <v>1.8805373134328358</v>
      </c>
      <c r="J15" s="14">
        <f t="shared" si="1"/>
        <v>1.8546973134328357</v>
      </c>
      <c r="K15" s="14">
        <f t="shared" si="2"/>
        <v>1.8676173134328358</v>
      </c>
      <c r="L15" s="14">
        <f t="shared" si="6"/>
        <v>0.30322143741656199</v>
      </c>
      <c r="M15" s="14">
        <f t="shared" si="9"/>
        <v>10.957858883549109</v>
      </c>
      <c r="N15" s="14">
        <f t="shared" si="7"/>
        <v>0.16634781451701713</v>
      </c>
      <c r="O15" s="14">
        <f t="shared" si="3"/>
        <v>139.96711617882528</v>
      </c>
      <c r="P15" s="14">
        <f t="shared" si="4"/>
        <v>12.466806616715559</v>
      </c>
    </row>
    <row r="16" spans="1:16" x14ac:dyDescent="0.25">
      <c r="A16" s="39" t="s">
        <v>18</v>
      </c>
      <c r="B16" s="70">
        <v>3</v>
      </c>
      <c r="C16" s="36" t="s">
        <v>57</v>
      </c>
      <c r="D16" s="180"/>
      <c r="E16" s="14">
        <v>13</v>
      </c>
      <c r="F16" s="38">
        <f t="shared" si="10"/>
        <v>12.5</v>
      </c>
      <c r="G16" s="62">
        <f t="shared" si="5"/>
        <v>3.7511194029850747</v>
      </c>
      <c r="H16" s="14">
        <f t="shared" si="8"/>
        <v>2.566000000000003E-2</v>
      </c>
      <c r="I16" s="60">
        <f t="shared" si="0"/>
        <v>1.8705820895522387</v>
      </c>
      <c r="J16" s="14">
        <f t="shared" si="1"/>
        <v>1.8449220895522387</v>
      </c>
      <c r="K16" s="14">
        <f t="shared" si="2"/>
        <v>1.8577520895522386</v>
      </c>
      <c r="L16" s="14">
        <f t="shared" si="6"/>
        <v>0.29951867926168285</v>
      </c>
      <c r="M16" s="14">
        <f t="shared" si="9"/>
        <v>10.842400304202318</v>
      </c>
      <c r="N16" s="14">
        <f t="shared" si="7"/>
        <v>0.16620697191432052</v>
      </c>
      <c r="O16" s="14">
        <f t="shared" si="3"/>
        <v>151.75953359114268</v>
      </c>
      <c r="P16" s="14">
        <f t="shared" si="4"/>
        <v>13.577426546398277</v>
      </c>
    </row>
    <row r="17" spans="1:16" x14ac:dyDescent="0.25">
      <c r="A17" s="39" t="s">
        <v>144</v>
      </c>
      <c r="B17" s="70">
        <v>2.6659999999999999</v>
      </c>
      <c r="C17" s="36" t="s">
        <v>1</v>
      </c>
      <c r="D17" s="180"/>
      <c r="E17" s="14">
        <v>14</v>
      </c>
      <c r="F17" s="38">
        <f t="shared" si="10"/>
        <v>13.5</v>
      </c>
      <c r="G17" s="62">
        <f t="shared" si="5"/>
        <v>3.7312089552238805</v>
      </c>
      <c r="H17" s="14">
        <f t="shared" si="8"/>
        <v>2.548000000000003E-2</v>
      </c>
      <c r="I17" s="60">
        <f t="shared" si="0"/>
        <v>1.8606268656716418</v>
      </c>
      <c r="J17" s="14">
        <f t="shared" si="1"/>
        <v>1.8351468656716419</v>
      </c>
      <c r="K17" s="14">
        <f t="shared" si="2"/>
        <v>1.8478868656716418</v>
      </c>
      <c r="L17" s="14">
        <f t="shared" si="6"/>
        <v>0.29583823569866136</v>
      </c>
      <c r="M17" s="14">
        <f t="shared" si="9"/>
        <v>10.727553221118578</v>
      </c>
      <c r="N17" s="14">
        <f t="shared" si="7"/>
        <v>0.1660645041211955</v>
      </c>
      <c r="O17" s="14">
        <f t="shared" si="3"/>
        <v>163.57355437141143</v>
      </c>
      <c r="P17" s="14">
        <f t="shared" si="4"/>
        <v>14.699904901459851</v>
      </c>
    </row>
    <row r="18" spans="1:16" x14ac:dyDescent="0.25">
      <c r="A18" s="39" t="s">
        <v>145</v>
      </c>
      <c r="B18" s="70">
        <v>4</v>
      </c>
      <c r="C18" s="36" t="s">
        <v>1</v>
      </c>
      <c r="D18" s="180"/>
      <c r="E18" s="14">
        <v>15</v>
      </c>
      <c r="F18" s="38">
        <f t="shared" si="10"/>
        <v>14.5</v>
      </c>
      <c r="G18" s="62">
        <f t="shared" si="5"/>
        <v>3.7112985074626863</v>
      </c>
      <c r="H18" s="14">
        <f t="shared" si="8"/>
        <v>2.5300000000000031E-2</v>
      </c>
      <c r="I18" s="60">
        <f t="shared" si="0"/>
        <v>1.8506716417910447</v>
      </c>
      <c r="J18" s="14">
        <f t="shared" si="1"/>
        <v>1.8253716417910446</v>
      </c>
      <c r="K18" s="14">
        <f t="shared" si="2"/>
        <v>1.8380216417910447</v>
      </c>
      <c r="L18" s="14">
        <f t="shared" si="6"/>
        <v>0.29218010672749734</v>
      </c>
      <c r="M18" s="14">
        <f t="shared" si="9"/>
        <v>10.613317634297873</v>
      </c>
      <c r="N18" s="14">
        <f t="shared" si="7"/>
        <v>0.16592038268475517</v>
      </c>
      <c r="O18" s="14">
        <f t="shared" si="3"/>
        <v>175.40961140406262</v>
      </c>
      <c r="P18" s="14">
        <f t="shared" si="4"/>
        <v>15.834432625279694</v>
      </c>
    </row>
    <row r="19" spans="1:16" x14ac:dyDescent="0.25">
      <c r="A19" s="177" t="s">
        <v>50</v>
      </c>
      <c r="B19" s="177"/>
      <c r="C19" s="177"/>
      <c r="D19" s="180"/>
      <c r="E19" s="14">
        <v>16</v>
      </c>
      <c r="F19" s="38">
        <f t="shared" si="10"/>
        <v>15.5</v>
      </c>
      <c r="G19" s="62">
        <f t="shared" si="5"/>
        <v>3.6913880597014925</v>
      </c>
      <c r="H19" s="14">
        <f t="shared" si="8"/>
        <v>2.5120000000000031E-2</v>
      </c>
      <c r="I19" s="60">
        <f t="shared" si="0"/>
        <v>1.8407164179104478</v>
      </c>
      <c r="J19" s="14">
        <f t="shared" si="1"/>
        <v>1.8155964179104478</v>
      </c>
      <c r="K19" s="14">
        <f t="shared" si="2"/>
        <v>1.8281564179104479</v>
      </c>
      <c r="L19" s="14">
        <f t="shared" si="6"/>
        <v>0.2885442923481909</v>
      </c>
      <c r="M19" s="14">
        <f t="shared" si="9"/>
        <v>10.49969354374022</v>
      </c>
      <c r="N19" s="14">
        <f t="shared" si="7"/>
        <v>0.16577457847998875</v>
      </c>
      <c r="O19" s="14">
        <f t="shared" si="3"/>
        <v>187.26814926698881</v>
      </c>
      <c r="P19" s="14">
        <f t="shared" si="4"/>
        <v>16.981204782764593</v>
      </c>
    </row>
    <row r="20" spans="1:16" x14ac:dyDescent="0.25">
      <c r="A20" s="41" t="s">
        <v>51</v>
      </c>
      <c r="B20" s="141">
        <f>'Column Buckling'!I18</f>
        <v>2.2767536098692194</v>
      </c>
      <c r="C20" s="43" t="s">
        <v>56</v>
      </c>
      <c r="D20" s="180"/>
      <c r="E20" s="14">
        <v>17</v>
      </c>
      <c r="F20" s="38">
        <f t="shared" si="10"/>
        <v>16.5</v>
      </c>
      <c r="G20" s="62">
        <f t="shared" si="5"/>
        <v>3.6714776119402983</v>
      </c>
      <c r="H20" s="14">
        <f t="shared" si="8"/>
        <v>2.4940000000000032E-2</v>
      </c>
      <c r="I20" s="60">
        <f t="shared" si="0"/>
        <v>1.8307611940298507</v>
      </c>
      <c r="J20" s="14">
        <f t="shared" si="1"/>
        <v>1.8058211940298508</v>
      </c>
      <c r="K20" s="14">
        <f t="shared" si="2"/>
        <v>1.8182911940298507</v>
      </c>
      <c r="L20" s="14">
        <f t="shared" si="6"/>
        <v>0.284930792560742</v>
      </c>
      <c r="M20" s="14">
        <f t="shared" si="9"/>
        <v>10.386680949445605</v>
      </c>
      <c r="N20" s="14">
        <f t="shared" si="7"/>
        <v>0.16562706168966879</v>
      </c>
      <c r="O20" s="14">
        <f t="shared" si="3"/>
        <v>199.14962463067448</v>
      </c>
      <c r="P20" s="14">
        <f t="shared" si="4"/>
        <v>18.140420672156431</v>
      </c>
    </row>
    <row r="21" spans="1:16" x14ac:dyDescent="0.25">
      <c r="A21" s="41" t="s">
        <v>52</v>
      </c>
      <c r="B21" s="81">
        <v>250</v>
      </c>
      <c r="C21" s="36" t="s">
        <v>0</v>
      </c>
      <c r="D21" s="180"/>
      <c r="E21" s="14">
        <v>18</v>
      </c>
      <c r="F21" s="38">
        <f t="shared" si="10"/>
        <v>17.5</v>
      </c>
      <c r="G21" s="62">
        <f t="shared" si="5"/>
        <v>3.6515671641791045</v>
      </c>
      <c r="H21" s="14">
        <f t="shared" si="8"/>
        <v>2.4760000000000032E-2</v>
      </c>
      <c r="I21" s="60">
        <f t="shared" si="0"/>
        <v>1.8208059701492538</v>
      </c>
      <c r="J21" s="14">
        <f t="shared" si="1"/>
        <v>1.7960459701492537</v>
      </c>
      <c r="K21" s="14">
        <f t="shared" si="2"/>
        <v>1.8084259701492538</v>
      </c>
      <c r="L21" s="14">
        <f t="shared" si="6"/>
        <v>0.28133960736515068</v>
      </c>
      <c r="M21" s="14">
        <f t="shared" si="9"/>
        <v>10.274279851414036</v>
      </c>
      <c r="N21" s="14">
        <f t="shared" si="7"/>
        <v>0.16547780178352825</v>
      </c>
      <c r="O21" s="14">
        <f t="shared" si="3"/>
        <v>211.054506673849</v>
      </c>
      <c r="P21" s="14">
        <f t="shared" si="4"/>
        <v>19.312283940499423</v>
      </c>
    </row>
    <row r="22" spans="1:16" x14ac:dyDescent="0.25">
      <c r="A22" s="41" t="s">
        <v>52</v>
      </c>
      <c r="B22" s="81">
        <v>50</v>
      </c>
      <c r="C22" s="36" t="s">
        <v>53</v>
      </c>
      <c r="D22" s="180"/>
      <c r="E22" s="14">
        <v>19</v>
      </c>
      <c r="F22" s="38">
        <f t="shared" si="10"/>
        <v>18.5</v>
      </c>
      <c r="G22" s="62">
        <f t="shared" si="5"/>
        <v>3.6316567164179103</v>
      </c>
      <c r="H22" s="14">
        <f t="shared" si="8"/>
        <v>2.4580000000000032E-2</v>
      </c>
      <c r="I22" s="60">
        <f t="shared" si="0"/>
        <v>1.8108507462686567</v>
      </c>
      <c r="J22" s="14">
        <f t="shared" si="1"/>
        <v>1.7862707462686567</v>
      </c>
      <c r="K22" s="14">
        <f t="shared" si="2"/>
        <v>1.7985607462686568</v>
      </c>
      <c r="L22" s="14">
        <f t="shared" si="6"/>
        <v>0.27777073676141689</v>
      </c>
      <c r="M22" s="14">
        <f t="shared" si="9"/>
        <v>10.162490249645511</v>
      </c>
      <c r="N22" s="14">
        <f t="shared" si="7"/>
        <v>0.16532676749667621</v>
      </c>
      <c r="O22" s="14">
        <f t="shared" si="3"/>
        <v>222.98327751646801</v>
      </c>
      <c r="P22" s="14">
        <f t="shared" si="4"/>
        <v>20.497002702907469</v>
      </c>
    </row>
    <row r="23" spans="1:16" x14ac:dyDescent="0.25">
      <c r="A23" s="41" t="s">
        <v>54</v>
      </c>
      <c r="B23" s="81">
        <v>200000</v>
      </c>
      <c r="C23" s="36" t="s">
        <v>0</v>
      </c>
      <c r="D23" s="180"/>
      <c r="E23" s="14">
        <v>20</v>
      </c>
      <c r="F23" s="38">
        <f t="shared" si="10"/>
        <v>19.5</v>
      </c>
      <c r="G23" s="62">
        <f t="shared" si="5"/>
        <v>3.6117462686567166</v>
      </c>
      <c r="H23" s="14">
        <f t="shared" si="8"/>
        <v>2.4400000000000033E-2</v>
      </c>
      <c r="I23" s="60">
        <f t="shared" si="0"/>
        <v>1.8008955223880596</v>
      </c>
      <c r="J23" s="14">
        <f t="shared" si="1"/>
        <v>1.7764955223880596</v>
      </c>
      <c r="K23" s="14">
        <f t="shared" si="2"/>
        <v>1.7886955223880596</v>
      </c>
      <c r="L23" s="14">
        <f t="shared" si="6"/>
        <v>0.27422418074954064</v>
      </c>
      <c r="M23" s="14">
        <f t="shared" si="9"/>
        <v>10.051312144140029</v>
      </c>
      <c r="N23" s="14">
        <f t="shared" si="7"/>
        <v>0.16517392680721918</v>
      </c>
      <c r="O23" s="14">
        <f t="shared" si="3"/>
        <v>234.93643267087543</v>
      </c>
      <c r="P23" s="14">
        <f t="shared" si="4"/>
        <v>21.694789665778281</v>
      </c>
    </row>
    <row r="24" spans="1:16" x14ac:dyDescent="0.25">
      <c r="A24" s="41" t="s">
        <v>55</v>
      </c>
      <c r="B24" s="81">
        <v>1.67</v>
      </c>
      <c r="C24" s="43" t="s">
        <v>56</v>
      </c>
      <c r="D24" s="180"/>
      <c r="E24" s="14">
        <v>21</v>
      </c>
      <c r="F24" s="38">
        <f t="shared" si="10"/>
        <v>20.5</v>
      </c>
      <c r="G24" s="62">
        <f t="shared" si="5"/>
        <v>3.5918358208955223</v>
      </c>
      <c r="H24" s="14">
        <f t="shared" si="8"/>
        <v>2.4220000000000033E-2</v>
      </c>
      <c r="I24" s="60">
        <f t="shared" si="0"/>
        <v>1.7909402985074627</v>
      </c>
      <c r="J24" s="14">
        <f t="shared" si="1"/>
        <v>1.7667202985074626</v>
      </c>
      <c r="K24" s="14">
        <f t="shared" si="2"/>
        <v>1.7788302985074627</v>
      </c>
      <c r="L24" s="14">
        <f t="shared" si="6"/>
        <v>0.27069993932952197</v>
      </c>
      <c r="M24" s="14">
        <f t="shared" si="9"/>
        <v>9.9407455348975908</v>
      </c>
      <c r="N24" s="14">
        <f t="shared" si="7"/>
        <v>0.16501924691305345</v>
      </c>
      <c r="O24" s="14">
        <f t="shared" si="3"/>
        <v>246.91448151204531</v>
      </c>
      <c r="P24" s="14">
        <f t="shared" si="4"/>
        <v>22.905862254107451</v>
      </c>
    </row>
    <row r="25" spans="1:16" x14ac:dyDescent="0.25">
      <c r="A25" s="177" t="s">
        <v>64</v>
      </c>
      <c r="B25" s="177"/>
      <c r="C25" s="177"/>
      <c r="D25" s="180"/>
      <c r="E25" s="14">
        <v>22</v>
      </c>
      <c r="F25" s="38">
        <f t="shared" si="10"/>
        <v>21.5</v>
      </c>
      <c r="G25" s="62">
        <f t="shared" si="5"/>
        <v>3.5719253731343281</v>
      </c>
      <c r="H25" s="14">
        <f t="shared" si="8"/>
        <v>2.4040000000000034E-2</v>
      </c>
      <c r="I25" s="60">
        <f t="shared" si="0"/>
        <v>1.7809850746268656</v>
      </c>
      <c r="J25" s="14">
        <f t="shared" si="1"/>
        <v>1.7569450746268656</v>
      </c>
      <c r="K25" s="14">
        <f t="shared" si="2"/>
        <v>1.7689650746268657</v>
      </c>
      <c r="L25" s="14">
        <f t="shared" si="6"/>
        <v>0.26719801250136083</v>
      </c>
      <c r="M25" s="14">
        <f t="shared" si="9"/>
        <v>9.8307904219181985</v>
      </c>
      <c r="N25" s="14">
        <f t="shared" si="7"/>
        <v>0.16486269420779237</v>
      </c>
      <c r="O25" s="14">
        <f t="shared" si="3"/>
        <v>258.91794776785594</v>
      </c>
      <c r="P25" s="14">
        <f t="shared" si="4"/>
        <v>24.130442743062684</v>
      </c>
    </row>
    <row r="26" spans="1:16" x14ac:dyDescent="0.25">
      <c r="A26" s="41" t="s">
        <v>65</v>
      </c>
      <c r="B26" s="139">
        <f>B15</f>
        <v>1082650</v>
      </c>
      <c r="C26" s="42" t="s">
        <v>2</v>
      </c>
      <c r="D26" s="180"/>
      <c r="E26" s="14">
        <v>23</v>
      </c>
      <c r="F26" s="38">
        <f t="shared" si="10"/>
        <v>22.5</v>
      </c>
      <c r="G26" s="62">
        <f t="shared" si="5"/>
        <v>3.5520149253731343</v>
      </c>
      <c r="H26" s="14">
        <f t="shared" si="8"/>
        <v>2.3860000000000034E-2</v>
      </c>
      <c r="I26" s="60">
        <f t="shared" si="0"/>
        <v>1.7710298507462685</v>
      </c>
      <c r="J26" s="14">
        <f t="shared" si="1"/>
        <v>1.7471698507462685</v>
      </c>
      <c r="K26" s="14">
        <f t="shared" si="2"/>
        <v>1.7590998507462685</v>
      </c>
      <c r="L26" s="14">
        <f t="shared" si="6"/>
        <v>0.26371840026505722</v>
      </c>
      <c r="M26" s="14">
        <f t="shared" si="9"/>
        <v>9.7214468052018468</v>
      </c>
      <c r="N26" s="14">
        <f t="shared" si="7"/>
        <v>0.16470423425579017</v>
      </c>
      <c r="O26" s="14">
        <f t="shared" si="3"/>
        <v>270.94737003040211</v>
      </c>
      <c r="P26" s="14">
        <f t="shared" si="4"/>
        <v>25.368758393985253</v>
      </c>
    </row>
    <row r="27" spans="1:16" x14ac:dyDescent="0.25">
      <c r="A27" s="41" t="s">
        <v>66</v>
      </c>
      <c r="B27" s="80">
        <f>B13</f>
        <v>67</v>
      </c>
      <c r="C27" s="42" t="s">
        <v>1</v>
      </c>
      <c r="D27" s="180"/>
      <c r="E27" s="14">
        <v>24</v>
      </c>
      <c r="F27" s="38">
        <f t="shared" si="10"/>
        <v>23.5</v>
      </c>
      <c r="G27" s="62">
        <f t="shared" si="5"/>
        <v>3.5321044776119401</v>
      </c>
      <c r="H27" s="14">
        <f t="shared" si="8"/>
        <v>2.3680000000000034E-2</v>
      </c>
      <c r="I27" s="60">
        <f t="shared" si="0"/>
        <v>1.7610746268656716</v>
      </c>
      <c r="J27" s="14">
        <f t="shared" si="1"/>
        <v>1.7373946268656715</v>
      </c>
      <c r="K27" s="14">
        <f t="shared" si="2"/>
        <v>1.7492346268656715</v>
      </c>
      <c r="L27" s="14">
        <f t="shared" si="6"/>
        <v>0.2602611026206112</v>
      </c>
      <c r="M27" s="14">
        <f t="shared" si="9"/>
        <v>9.612714684748541</v>
      </c>
      <c r="N27" s="14">
        <f t="shared" si="7"/>
        <v>0.16454383176622228</v>
      </c>
      <c r="O27" s="14">
        <f t="shared" si="3"/>
        <v>283.00330228940999</v>
      </c>
      <c r="P27" s="14">
        <f t="shared" si="4"/>
        <v>26.621041594993528</v>
      </c>
    </row>
    <row r="28" spans="1:16" x14ac:dyDescent="0.25">
      <c r="A28" s="41" t="s">
        <v>172</v>
      </c>
      <c r="B28" s="80">
        <v>27.75</v>
      </c>
      <c r="C28" s="42" t="s">
        <v>1</v>
      </c>
      <c r="D28" s="180"/>
      <c r="E28" s="14">
        <v>25</v>
      </c>
      <c r="F28" s="38">
        <f t="shared" si="10"/>
        <v>24.5</v>
      </c>
      <c r="G28" s="62">
        <f t="shared" si="5"/>
        <v>3.5121940298507464</v>
      </c>
      <c r="H28" s="14">
        <f t="shared" si="8"/>
        <v>2.3500000000000035E-2</v>
      </c>
      <c r="I28" s="60">
        <f t="shared" si="0"/>
        <v>1.7511194029850745</v>
      </c>
      <c r="J28" s="14">
        <f t="shared" si="1"/>
        <v>1.7276194029850744</v>
      </c>
      <c r="K28" s="14">
        <f t="shared" si="2"/>
        <v>1.7393694029850746</v>
      </c>
      <c r="L28" s="14">
        <f t="shared" si="6"/>
        <v>0.25682611956802276</v>
      </c>
      <c r="M28" s="14">
        <f t="shared" si="9"/>
        <v>9.504594060558281</v>
      </c>
      <c r="N28" s="14">
        <f t="shared" si="7"/>
        <v>0.16438145056618006</v>
      </c>
      <c r="O28" s="14">
        <f t="shared" si="3"/>
        <v>295.08631448888218</v>
      </c>
      <c r="P28" s="14">
        <f t="shared" si="4"/>
        <v>27.887530006371325</v>
      </c>
    </row>
    <row r="29" spans="1:16" x14ac:dyDescent="0.25">
      <c r="A29" s="41" t="s">
        <v>68</v>
      </c>
      <c r="B29" s="138">
        <f>'Baseline-tilt up (3 pt)'!N5</f>
        <v>28864415.705391604</v>
      </c>
      <c r="C29" s="42" t="s">
        <v>41</v>
      </c>
      <c r="D29" s="180"/>
      <c r="E29" s="14">
        <v>26</v>
      </c>
      <c r="F29" s="38">
        <f t="shared" si="10"/>
        <v>25.5</v>
      </c>
      <c r="G29" s="62">
        <f t="shared" si="5"/>
        <v>3.4922835820895521</v>
      </c>
      <c r="H29" s="14">
        <f t="shared" si="8"/>
        <v>2.3320000000000035E-2</v>
      </c>
      <c r="I29" s="60">
        <f t="shared" si="0"/>
        <v>1.7411641791044776</v>
      </c>
      <c r="J29" s="14">
        <f t="shared" si="1"/>
        <v>1.7178441791044776</v>
      </c>
      <c r="K29" s="14">
        <f t="shared" si="2"/>
        <v>1.7295041791044776</v>
      </c>
      <c r="L29" s="14">
        <f t="shared" si="6"/>
        <v>0.25341345110729185</v>
      </c>
      <c r="M29" s="14">
        <f t="shared" si="9"/>
        <v>9.3970849326310617</v>
      </c>
      <c r="N29" s="14">
        <f t="shared" si="7"/>
        <v>0.1642170535727355</v>
      </c>
      <c r="O29" s="14">
        <f t="shared" si="3"/>
        <v>307.19699310816549</v>
      </c>
      <c r="P29" s="14">
        <f t="shared" si="4"/>
        <v>29.16846671093208</v>
      </c>
    </row>
    <row r="30" spans="1:16" x14ac:dyDescent="0.25">
      <c r="A30" s="177" t="s">
        <v>72</v>
      </c>
      <c r="B30" s="177"/>
      <c r="C30" s="177"/>
      <c r="D30" s="180"/>
      <c r="E30" s="14">
        <v>27</v>
      </c>
      <c r="F30" s="38">
        <f t="shared" si="10"/>
        <v>26.5</v>
      </c>
      <c r="G30" s="62">
        <f t="shared" si="5"/>
        <v>3.4723731343283584</v>
      </c>
      <c r="H30" s="14">
        <f t="shared" si="8"/>
        <v>2.3140000000000036E-2</v>
      </c>
      <c r="I30" s="60">
        <f t="shared" si="0"/>
        <v>1.7312089552238805</v>
      </c>
      <c r="J30" s="14">
        <f t="shared" si="1"/>
        <v>1.7080689552238806</v>
      </c>
      <c r="K30" s="14">
        <f t="shared" si="2"/>
        <v>1.7196389552238807</v>
      </c>
      <c r="L30" s="14">
        <f t="shared" si="6"/>
        <v>0.25002309723841848</v>
      </c>
      <c r="M30" s="14">
        <f t="shared" si="9"/>
        <v>9.29018730096689</v>
      </c>
      <c r="N30" s="14">
        <f t="shared" si="7"/>
        <v>0.16405060276392919</v>
      </c>
      <c r="O30" s="14">
        <f t="shared" si="3"/>
        <v>319.33594176870639</v>
      </c>
      <c r="P30" s="14">
        <f t="shared" si="4"/>
        <v>30.464100369558654</v>
      </c>
    </row>
    <row r="31" spans="1:16" x14ac:dyDescent="0.25">
      <c r="A31" s="36" t="s">
        <v>46</v>
      </c>
      <c r="B31" s="70">
        <v>0.85</v>
      </c>
      <c r="C31" s="43" t="s">
        <v>56</v>
      </c>
      <c r="D31" s="180"/>
      <c r="E31" s="14">
        <v>28</v>
      </c>
      <c r="F31" s="38">
        <f t="shared" si="10"/>
        <v>27.5</v>
      </c>
      <c r="G31" s="62">
        <f t="shared" si="5"/>
        <v>3.4524626865671642</v>
      </c>
      <c r="H31" s="14">
        <f t="shared" si="8"/>
        <v>2.2960000000000036E-2</v>
      </c>
      <c r="I31" s="60">
        <f t="shared" si="0"/>
        <v>1.7212537313432836</v>
      </c>
      <c r="J31" s="14">
        <f t="shared" si="1"/>
        <v>1.6982937313432835</v>
      </c>
      <c r="K31" s="14">
        <f t="shared" si="2"/>
        <v>1.7097737313432835</v>
      </c>
      <c r="L31" s="14">
        <f t="shared" si="6"/>
        <v>0.24665505796140264</v>
      </c>
      <c r="M31" s="14">
        <f>(3.141593)*(K31^2)</f>
        <v>9.1839011655657572</v>
      </c>
      <c r="N31" s="14">
        <f t="shared" si="7"/>
        <v>0.16388205914863282</v>
      </c>
      <c r="O31" s="14">
        <f t="shared" si="3"/>
        <v>331.50378186783308</v>
      </c>
      <c r="P31" s="14">
        <f t="shared" si="4"/>
        <v>31.774685382127895</v>
      </c>
    </row>
    <row r="32" spans="1:16" ht="18" x14ac:dyDescent="0.35">
      <c r="A32" s="36" t="s">
        <v>73</v>
      </c>
      <c r="B32" s="70">
        <v>0.7</v>
      </c>
      <c r="C32" s="43" t="s">
        <v>56</v>
      </c>
      <c r="D32" s="180"/>
      <c r="E32" s="14">
        <v>29</v>
      </c>
      <c r="F32" s="38">
        <f t="shared" si="10"/>
        <v>28.5</v>
      </c>
      <c r="G32" s="62">
        <f t="shared" si="5"/>
        <v>3.4325522388059699</v>
      </c>
      <c r="H32" s="14">
        <f t="shared" si="8"/>
        <v>2.2780000000000036E-2</v>
      </c>
      <c r="I32" s="60">
        <f t="shared" si="0"/>
        <v>1.7112985074626865</v>
      </c>
      <c r="J32" s="14">
        <f t="shared" si="1"/>
        <v>1.6885185074626865</v>
      </c>
      <c r="K32" s="14">
        <f t="shared" si="2"/>
        <v>1.6999085074626865</v>
      </c>
      <c r="L32" s="14">
        <f t="shared" si="6"/>
        <v>0.24330933327624435</v>
      </c>
      <c r="M32" s="14">
        <f t="shared" si="9"/>
        <v>9.078226526427672</v>
      </c>
      <c r="N32" s="14">
        <f t="shared" si="7"/>
        <v>0.16371138273523361</v>
      </c>
      <c r="O32" s="14">
        <f t="shared" si="3"/>
        <v>343.70115324098526</v>
      </c>
      <c r="P32" s="14">
        <f t="shared" si="4"/>
        <v>33.100482054038551</v>
      </c>
    </row>
    <row r="33" spans="1:16" ht="18" x14ac:dyDescent="0.35">
      <c r="A33" s="36" t="s">
        <v>75</v>
      </c>
      <c r="B33" s="70">
        <v>1</v>
      </c>
      <c r="C33" s="43" t="s">
        <v>56</v>
      </c>
      <c r="D33" s="180"/>
      <c r="E33" s="14">
        <v>30</v>
      </c>
      <c r="F33" s="38">
        <f t="shared" si="10"/>
        <v>29.5</v>
      </c>
      <c r="G33" s="62">
        <f t="shared" si="5"/>
        <v>3.4126417910447762</v>
      </c>
      <c r="H33" s="14">
        <f t="shared" si="8"/>
        <v>2.2600000000000037E-2</v>
      </c>
      <c r="I33" s="60">
        <f t="shared" si="0"/>
        <v>1.7013432835820894</v>
      </c>
      <c r="J33" s="14">
        <f t="shared" si="1"/>
        <v>1.6787432835820895</v>
      </c>
      <c r="K33" s="14">
        <f t="shared" si="2"/>
        <v>1.6900432835820896</v>
      </c>
      <c r="L33" s="14">
        <f t="shared" si="6"/>
        <v>0.23998592318294365</v>
      </c>
      <c r="M33" s="14">
        <f t="shared" si="9"/>
        <v>8.973163383552631</v>
      </c>
      <c r="N33" s="14">
        <f t="shared" si="7"/>
        <v>0.16353853249908737</v>
      </c>
      <c r="O33" s="14">
        <f t="shared" si="3"/>
        <v>355.92871485389759</v>
      </c>
      <c r="P33" s="14">
        <f t="shared" si="4"/>
        <v>34.441756768571672</v>
      </c>
    </row>
    <row r="34" spans="1:16" ht="18" x14ac:dyDescent="0.35">
      <c r="A34" s="36" t="s">
        <v>76</v>
      </c>
      <c r="B34" s="70">
        <v>0.95</v>
      </c>
      <c r="C34" s="43" t="s">
        <v>56</v>
      </c>
      <c r="D34" s="180"/>
      <c r="E34" s="14">
        <v>31</v>
      </c>
      <c r="F34" s="38">
        <f t="shared" si="10"/>
        <v>30.5</v>
      </c>
      <c r="G34" s="62">
        <f t="shared" si="5"/>
        <v>3.3927313432835819</v>
      </c>
      <c r="H34" s="14">
        <f t="shared" si="8"/>
        <v>2.2420000000000037E-2</v>
      </c>
      <c r="I34" s="60">
        <f t="shared" si="0"/>
        <v>1.6913880597014925</v>
      </c>
      <c r="J34" s="14">
        <f t="shared" si="1"/>
        <v>1.6689680597014924</v>
      </c>
      <c r="K34" s="14">
        <f t="shared" si="2"/>
        <v>1.6801780597014924</v>
      </c>
      <c r="L34" s="14">
        <f t="shared" si="6"/>
        <v>0.23668482768150048</v>
      </c>
      <c r="M34" s="14">
        <f t="shared" si="9"/>
        <v>8.8687117369406305</v>
      </c>
      <c r="N34" s="14">
        <f t="shared" si="7"/>
        <v>0.16336346634868179</v>
      </c>
      <c r="O34" s="14">
        <f t="shared" si="3"/>
        <v>368.18714552633696</v>
      </c>
      <c r="P34" s="14">
        <f t="shared" si="4"/>
        <v>35.798782165323097</v>
      </c>
    </row>
    <row r="35" spans="1:16" ht="17.25" x14ac:dyDescent="0.25">
      <c r="A35" s="42" t="s">
        <v>77</v>
      </c>
      <c r="B35" s="70">
        <f>44.704^2</f>
        <v>1998.4476160000002</v>
      </c>
      <c r="C35" s="43" t="s">
        <v>56</v>
      </c>
      <c r="D35" s="180"/>
      <c r="E35" s="14">
        <v>32</v>
      </c>
      <c r="F35" s="38">
        <f t="shared" si="10"/>
        <v>31.5</v>
      </c>
      <c r="G35" s="62">
        <f t="shared" ref="G35:G66" si="11">(($B$18)-((($B$18)-($B$17))/67)*F35)</f>
        <v>3.3728208955223877</v>
      </c>
      <c r="H35" s="14">
        <f t="shared" si="8"/>
        <v>2.2240000000000038E-2</v>
      </c>
      <c r="I35" s="60">
        <f t="shared" ref="I35:I70" si="12">(($B$18/2)-((($B$18/2)-($B$17/2))/67)*E35)</f>
        <v>1.6814328358208954</v>
      </c>
      <c r="J35" s="14">
        <f t="shared" ref="J35:J66" si="13">I35-H35</f>
        <v>1.6591928358208954</v>
      </c>
      <c r="K35" s="14">
        <f t="shared" ref="K35:K66" si="14">AVERAGE(I35:J35)</f>
        <v>1.6703128358208954</v>
      </c>
      <c r="L35" s="14">
        <f t="shared" si="6"/>
        <v>0.23340604677191487</v>
      </c>
      <c r="M35" s="14">
        <f t="shared" si="9"/>
        <v>8.764871586591676</v>
      </c>
      <c r="N35" s="14">
        <f t="shared" si="7"/>
        <v>0.1631861410904499</v>
      </c>
      <c r="O35" s="14">
        <f t="shared" ref="O35:O66" si="15">($I$9*E35)/N35</f>
        <v>380.47714468909004</v>
      </c>
      <c r="P35" s="14">
        <f t="shared" ref="P35:P70" si="16">($I$9*E35)/K35</f>
        <v>37.171837324959057</v>
      </c>
    </row>
    <row r="36" spans="1:16" x14ac:dyDescent="0.25">
      <c r="A36" s="177" t="s">
        <v>79</v>
      </c>
      <c r="B36" s="177"/>
      <c r="C36" s="177"/>
      <c r="D36" s="180"/>
      <c r="E36" s="14">
        <v>33</v>
      </c>
      <c r="F36" s="38">
        <f t="shared" si="10"/>
        <v>32.5</v>
      </c>
      <c r="G36" s="62">
        <f t="shared" si="11"/>
        <v>3.352910447761194</v>
      </c>
      <c r="H36" s="14">
        <f t="shared" si="8"/>
        <v>2.2060000000000038E-2</v>
      </c>
      <c r="I36" s="60">
        <f t="shared" si="12"/>
        <v>1.6714776119402985</v>
      </c>
      <c r="J36" s="14">
        <f t="shared" si="13"/>
        <v>1.6494176119402986</v>
      </c>
      <c r="K36" s="14">
        <f t="shared" si="14"/>
        <v>1.6604476119402984</v>
      </c>
      <c r="L36" s="14">
        <f t="shared" si="6"/>
        <v>0.23014958045418682</v>
      </c>
      <c r="M36" s="14">
        <f t="shared" si="9"/>
        <v>8.6616429325057673</v>
      </c>
      <c r="N36" s="14">
        <f t="shared" si="7"/>
        <v>0.16300651239217004</v>
      </c>
      <c r="O36" s="14">
        <f t="shared" si="15"/>
        <v>392.79943317600475</v>
      </c>
      <c r="P36" s="14">
        <f t="shared" si="16"/>
        <v>38.561207960558015</v>
      </c>
    </row>
    <row r="37" spans="1:16" x14ac:dyDescent="0.25">
      <c r="A37" s="42" t="s">
        <v>80</v>
      </c>
      <c r="B37" s="133">
        <f>B14/B13</f>
        <v>1647.7611940298507</v>
      </c>
      <c r="C37" s="42" t="s">
        <v>81</v>
      </c>
      <c r="D37" s="180"/>
      <c r="E37" s="14">
        <v>34</v>
      </c>
      <c r="F37" s="38">
        <f t="shared" si="10"/>
        <v>33.5</v>
      </c>
      <c r="G37" s="62">
        <f t="shared" si="11"/>
        <v>3.3329999999999997</v>
      </c>
      <c r="H37" s="14">
        <f t="shared" si="8"/>
        <v>2.1880000000000038E-2</v>
      </c>
      <c r="I37" s="60">
        <f t="shared" si="12"/>
        <v>1.6615223880597014</v>
      </c>
      <c r="J37" s="14">
        <f t="shared" si="13"/>
        <v>1.6396423880597013</v>
      </c>
      <c r="K37" s="14">
        <f t="shared" si="14"/>
        <v>1.6505823880597013</v>
      </c>
      <c r="L37" s="14">
        <f t="shared" si="6"/>
        <v>0.2269154287283163</v>
      </c>
      <c r="M37" s="14">
        <f t="shared" si="9"/>
        <v>8.5590257746828975</v>
      </c>
      <c r="N37" s="14">
        <f t="shared" si="7"/>
        <v>0.1628245347448847</v>
      </c>
      <c r="O37" s="14">
        <f t="shared" si="15"/>
        <v>405.1547540530018</v>
      </c>
      <c r="P37" s="14">
        <f t="shared" si="16"/>
        <v>39.967186615814128</v>
      </c>
    </row>
    <row r="38" spans="1:16" x14ac:dyDescent="0.25">
      <c r="A38" s="42" t="s">
        <v>80</v>
      </c>
      <c r="B38" s="133">
        <f>B15/67</f>
        <v>16158.955223880597</v>
      </c>
      <c r="C38" s="42" t="s">
        <v>41</v>
      </c>
      <c r="D38" s="180"/>
      <c r="E38" s="14">
        <v>35</v>
      </c>
      <c r="F38" s="38">
        <f t="shared" si="10"/>
        <v>34.5</v>
      </c>
      <c r="G38" s="62">
        <f t="shared" si="11"/>
        <v>3.313089552238806</v>
      </c>
      <c r="H38" s="14">
        <f t="shared" si="8"/>
        <v>2.1700000000000039E-2</v>
      </c>
      <c r="I38" s="60">
        <f t="shared" si="12"/>
        <v>1.6515671641791045</v>
      </c>
      <c r="J38" s="14">
        <f t="shared" si="13"/>
        <v>1.6298671641791045</v>
      </c>
      <c r="K38" s="14">
        <f t="shared" si="14"/>
        <v>1.6407171641791045</v>
      </c>
      <c r="L38" s="14">
        <f t="shared" si="6"/>
        <v>0.22370359159430336</v>
      </c>
      <c r="M38" s="14">
        <f t="shared" si="9"/>
        <v>8.4570201131230789</v>
      </c>
      <c r="N38" s="14">
        <f t="shared" si="7"/>
        <v>0.16264016142326718</v>
      </c>
      <c r="O38" s="14">
        <f t="shared" si="15"/>
        <v>417.5438734860943</v>
      </c>
      <c r="P38" s="14">
        <f t="shared" si="16"/>
        <v>41.39007287039113</v>
      </c>
    </row>
    <row r="39" spans="1:16" x14ac:dyDescent="0.25">
      <c r="A39" s="42" t="s">
        <v>83</v>
      </c>
      <c r="B39" s="81">
        <v>1.1000000000000001</v>
      </c>
      <c r="C39" s="43" t="s">
        <v>56</v>
      </c>
      <c r="D39" s="180"/>
      <c r="E39" s="14">
        <v>36</v>
      </c>
      <c r="F39" s="38">
        <f t="shared" si="10"/>
        <v>35.5</v>
      </c>
      <c r="G39" s="62">
        <f t="shared" si="11"/>
        <v>3.2931791044776118</v>
      </c>
      <c r="H39" s="14">
        <f t="shared" si="8"/>
        <v>2.1520000000000039E-2</v>
      </c>
      <c r="I39" s="60">
        <f t="shared" si="12"/>
        <v>1.6416119402985074</v>
      </c>
      <c r="J39" s="14">
        <f t="shared" si="13"/>
        <v>1.6200919402985074</v>
      </c>
      <c r="K39" s="14">
        <f t="shared" si="14"/>
        <v>1.6308519402985073</v>
      </c>
      <c r="L39" s="14">
        <f t="shared" si="6"/>
        <v>0.22051406905214793</v>
      </c>
      <c r="M39" s="14">
        <f t="shared" si="9"/>
        <v>8.3556259478262973</v>
      </c>
      <c r="N39" s="14">
        <f t="shared" si="7"/>
        <v>0.1624533444443618</v>
      </c>
      <c r="O39" s="14">
        <f t="shared" si="15"/>
        <v>429.96758165058071</v>
      </c>
      <c r="P39" s="14">
        <f t="shared" si="16"/>
        <v>42.830173552729704</v>
      </c>
    </row>
    <row r="40" spans="1:16" ht="30" x14ac:dyDescent="0.25">
      <c r="A40" s="54" t="s">
        <v>112</v>
      </c>
      <c r="B40" s="133">
        <f>B39*'Dynamic Loading'!I3</f>
        <v>329231.30875736073</v>
      </c>
      <c r="C40" s="36" t="s">
        <v>41</v>
      </c>
      <c r="D40" s="180"/>
      <c r="E40" s="14">
        <v>37</v>
      </c>
      <c r="F40" s="38">
        <f t="shared" si="10"/>
        <v>36.5</v>
      </c>
      <c r="G40" s="62">
        <f t="shared" si="11"/>
        <v>3.273268656716418</v>
      </c>
      <c r="H40" s="14">
        <f t="shared" si="8"/>
        <v>2.1340000000000039E-2</v>
      </c>
      <c r="I40" s="60">
        <f t="shared" si="12"/>
        <v>1.6316567164179103</v>
      </c>
      <c r="J40" s="14">
        <f t="shared" si="13"/>
        <v>1.6103167164179102</v>
      </c>
      <c r="K40" s="14">
        <f t="shared" si="14"/>
        <v>1.6209867164179101</v>
      </c>
      <c r="L40" s="14">
        <f t="shared" si="6"/>
        <v>0.21734686110185006</v>
      </c>
      <c r="M40" s="14">
        <f t="shared" si="9"/>
        <v>8.2548432787925599</v>
      </c>
      <c r="N40" s="14">
        <f t="shared" si="7"/>
        <v>0.1622640345246173</v>
      </c>
      <c r="O40" s="14">
        <f t="shared" si="15"/>
        <v>442.4266936837202</v>
      </c>
      <c r="P40" s="14">
        <f t="shared" si="16"/>
        <v>44.287802960625335</v>
      </c>
    </row>
    <row r="41" spans="1:16" x14ac:dyDescent="0.25">
      <c r="A41" s="42" t="s">
        <v>84</v>
      </c>
      <c r="B41" s="70">
        <v>13.4</v>
      </c>
      <c r="C41" s="36" t="s">
        <v>27</v>
      </c>
      <c r="D41" s="180"/>
      <c r="E41" s="14">
        <v>38</v>
      </c>
      <c r="F41" s="38">
        <f t="shared" si="10"/>
        <v>37.5</v>
      </c>
      <c r="G41" s="62">
        <f t="shared" si="11"/>
        <v>3.2533582089552238</v>
      </c>
      <c r="H41" s="14">
        <f t="shared" si="8"/>
        <v>2.116000000000004E-2</v>
      </c>
      <c r="I41" s="60">
        <f t="shared" si="12"/>
        <v>1.6217014925373134</v>
      </c>
      <c r="J41" s="14">
        <f t="shared" si="13"/>
        <v>1.6005414925373134</v>
      </c>
      <c r="K41" s="14">
        <f t="shared" si="14"/>
        <v>1.6111214925373134</v>
      </c>
      <c r="L41" s="14">
        <f t="shared" si="6"/>
        <v>0.21420196774340983</v>
      </c>
      <c r="M41" s="14">
        <f t="shared" si="9"/>
        <v>8.1546721060218719</v>
      </c>
      <c r="N41" s="14">
        <f t="shared" si="7"/>
        <v>0.16207218103513077</v>
      </c>
      <c r="O41" s="14">
        <f t="shared" si="15"/>
        <v>454.92205068334403</v>
      </c>
      <c r="P41" s="14">
        <f t="shared" si="16"/>
        <v>45.763283089910296</v>
      </c>
    </row>
    <row r="42" spans="1:16" x14ac:dyDescent="0.25">
      <c r="A42" s="42" t="s">
        <v>85</v>
      </c>
      <c r="B42" s="70">
        <v>12</v>
      </c>
      <c r="C42" s="36" t="s">
        <v>27</v>
      </c>
      <c r="D42" s="180"/>
      <c r="E42" s="14">
        <v>39</v>
      </c>
      <c r="F42" s="38">
        <f t="shared" si="10"/>
        <v>38.5</v>
      </c>
      <c r="G42" s="62">
        <f t="shared" si="11"/>
        <v>3.2334477611940295</v>
      </c>
      <c r="H42" s="14">
        <f t="shared" si="8"/>
        <v>2.098000000000004E-2</v>
      </c>
      <c r="I42" s="60">
        <f t="shared" si="12"/>
        <v>1.6117462686567163</v>
      </c>
      <c r="J42" s="14">
        <f t="shared" si="13"/>
        <v>1.5907662686567163</v>
      </c>
      <c r="K42" s="14">
        <f t="shared" si="14"/>
        <v>1.6012562686567162</v>
      </c>
      <c r="L42" s="14">
        <f t="shared" si="6"/>
        <v>0.21107938897682707</v>
      </c>
      <c r="M42" s="14">
        <f t="shared" si="9"/>
        <v>8.0551124295142245</v>
      </c>
      <c r="N42" s="14">
        <f t="shared" si="7"/>
        <v>0.16187773195501345</v>
      </c>
      <c r="O42" s="14">
        <f t="shared" si="15"/>
        <v>467.45452075501936</v>
      </c>
      <c r="P42" s="14">
        <f t="shared" si="16"/>
        <v>47.256943871588888</v>
      </c>
    </row>
    <row r="43" spans="1:16" x14ac:dyDescent="0.25">
      <c r="A43" s="42" t="s">
        <v>86</v>
      </c>
      <c r="B43" s="70">
        <v>7.5</v>
      </c>
      <c r="C43" s="36" t="s">
        <v>27</v>
      </c>
      <c r="D43" s="180"/>
      <c r="E43" s="14">
        <v>40</v>
      </c>
      <c r="F43" s="38">
        <f t="shared" si="10"/>
        <v>39.5</v>
      </c>
      <c r="G43" s="62">
        <f t="shared" si="11"/>
        <v>3.2135373134328358</v>
      </c>
      <c r="H43" s="14">
        <f t="shared" si="8"/>
        <v>2.0800000000000041E-2</v>
      </c>
      <c r="I43" s="60">
        <f t="shared" si="12"/>
        <v>1.6017910447761192</v>
      </c>
      <c r="J43" s="14">
        <f t="shared" si="13"/>
        <v>1.5809910447761193</v>
      </c>
      <c r="K43" s="14">
        <f t="shared" si="14"/>
        <v>1.5913910447761193</v>
      </c>
      <c r="L43" s="14">
        <f t="shared" si="6"/>
        <v>0.20797912480210187</v>
      </c>
      <c r="M43" s="14">
        <f t="shared" si="9"/>
        <v>7.9561642492696212</v>
      </c>
      <c r="N43" s="14">
        <f t="shared" si="7"/>
        <v>0.16168063382278444</v>
      </c>
      <c r="O43" s="14">
        <f t="shared" si="15"/>
        <v>480.02500011055503</v>
      </c>
      <c r="P43" s="14">
        <f t="shared" si="16"/>
        <v>48.769123417792756</v>
      </c>
    </row>
    <row r="44" spans="1:16" x14ac:dyDescent="0.25">
      <c r="A44" s="42" t="s">
        <v>87</v>
      </c>
      <c r="B44" s="70">
        <v>3</v>
      </c>
      <c r="C44" s="36" t="s">
        <v>27</v>
      </c>
      <c r="D44" s="180"/>
      <c r="E44" s="14">
        <v>41</v>
      </c>
      <c r="F44" s="38">
        <f t="shared" si="10"/>
        <v>40.5</v>
      </c>
      <c r="G44" s="62">
        <f t="shared" si="11"/>
        <v>3.1936268656716416</v>
      </c>
      <c r="H44" s="14">
        <f t="shared" si="8"/>
        <v>2.0620000000000041E-2</v>
      </c>
      <c r="I44" s="60">
        <f t="shared" si="12"/>
        <v>1.5918358208955223</v>
      </c>
      <c r="J44" s="14">
        <f t="shared" si="13"/>
        <v>1.5712158208955223</v>
      </c>
      <c r="K44" s="14">
        <f t="shared" si="14"/>
        <v>1.5815258208955223</v>
      </c>
      <c r="L44" s="14">
        <f t="shared" si="6"/>
        <v>0.20490117521923426</v>
      </c>
      <c r="M44" s="14">
        <f t="shared" si="9"/>
        <v>7.857827565288062</v>
      </c>
      <c r="N44" s="14">
        <f t="shared" si="7"/>
        <v>0.16148083168569383</v>
      </c>
      <c r="O44" s="14">
        <f t="shared" si="15"/>
        <v>492.6344142208232</v>
      </c>
      <c r="P44" s="14">
        <f t="shared" si="16"/>
        <v>50.300168276941697</v>
      </c>
    </row>
    <row r="45" spans="1:16" x14ac:dyDescent="0.25">
      <c r="A45" s="42" t="s">
        <v>88</v>
      </c>
      <c r="B45" s="81">
        <v>4.2</v>
      </c>
      <c r="C45" s="43" t="s">
        <v>56</v>
      </c>
      <c r="D45" s="180"/>
      <c r="E45" s="14">
        <v>42</v>
      </c>
      <c r="F45" s="38">
        <f t="shared" si="10"/>
        <v>41.5</v>
      </c>
      <c r="G45" s="62">
        <f t="shared" si="11"/>
        <v>3.1737164179104478</v>
      </c>
      <c r="H45" s="14">
        <f t="shared" si="8"/>
        <v>2.0440000000000041E-2</v>
      </c>
      <c r="I45" s="60">
        <f t="shared" si="12"/>
        <v>1.5818805970149254</v>
      </c>
      <c r="J45" s="14">
        <f t="shared" si="13"/>
        <v>1.5614405970149254</v>
      </c>
      <c r="K45" s="14">
        <f t="shared" si="14"/>
        <v>1.5716605970149256</v>
      </c>
      <c r="L45" s="14">
        <f t="shared" si="6"/>
        <v>0.20184554022822418</v>
      </c>
      <c r="M45" s="14">
        <f t="shared" si="9"/>
        <v>7.7601023775695497</v>
      </c>
      <c r="N45" s="14">
        <f t="shared" si="7"/>
        <v>0.1612782690468704</v>
      </c>
      <c r="O45" s="14">
        <f t="shared" si="15"/>
        <v>505.28371902606852</v>
      </c>
      <c r="P45" s="14">
        <f t="shared" si="16"/>
        <v>51.850433698514145</v>
      </c>
    </row>
    <row r="46" spans="1:16" ht="18" x14ac:dyDescent="0.35">
      <c r="A46" s="42" t="s">
        <v>89</v>
      </c>
      <c r="B46" s="81">
        <v>0.56000000000000005</v>
      </c>
      <c r="C46" s="43" t="s">
        <v>56</v>
      </c>
      <c r="D46" s="180"/>
      <c r="E46" s="14">
        <v>43</v>
      </c>
      <c r="F46" s="38">
        <f t="shared" si="10"/>
        <v>42.5</v>
      </c>
      <c r="G46" s="62">
        <f t="shared" si="11"/>
        <v>3.1538059701492536</v>
      </c>
      <c r="H46" s="14">
        <f t="shared" si="8"/>
        <v>2.0260000000000042E-2</v>
      </c>
      <c r="I46" s="60">
        <f t="shared" si="12"/>
        <v>1.5719253731343283</v>
      </c>
      <c r="J46" s="14">
        <f t="shared" si="13"/>
        <v>1.5516653731343284</v>
      </c>
      <c r="K46" s="14">
        <f t="shared" si="14"/>
        <v>1.5617953731343284</v>
      </c>
      <c r="L46" s="14">
        <f t="shared" si="6"/>
        <v>0.19881221982907163</v>
      </c>
      <c r="M46" s="14">
        <f t="shared" si="9"/>
        <v>7.662988686114077</v>
      </c>
      <c r="N46" s="14">
        <f t="shared" si="7"/>
        <v>0.16107288781018353</v>
      </c>
      <c r="O46" s="14">
        <f t="shared" si="15"/>
        <v>517.97390220709235</v>
      </c>
      <c r="P46" s="14">
        <f t="shared" si="16"/>
        <v>53.420283907852316</v>
      </c>
    </row>
    <row r="47" spans="1:16" x14ac:dyDescent="0.25">
      <c r="A47" s="42" t="s">
        <v>90</v>
      </c>
      <c r="B47" s="81">
        <v>1.2250000000000001</v>
      </c>
      <c r="C47" s="36" t="s">
        <v>91</v>
      </c>
      <c r="D47" s="180"/>
      <c r="E47" s="14">
        <v>44</v>
      </c>
      <c r="F47" s="38">
        <f t="shared" si="10"/>
        <v>43.5</v>
      </c>
      <c r="G47" s="62">
        <f t="shared" si="11"/>
        <v>3.1338955223880598</v>
      </c>
      <c r="H47" s="14">
        <f t="shared" si="8"/>
        <v>2.0080000000000042E-2</v>
      </c>
      <c r="I47" s="60">
        <f t="shared" si="12"/>
        <v>1.5619701492537312</v>
      </c>
      <c r="J47" s="14">
        <f t="shared" si="13"/>
        <v>1.5418901492537311</v>
      </c>
      <c r="K47" s="14">
        <f t="shared" si="14"/>
        <v>1.5519301492537312</v>
      </c>
      <c r="L47" s="14">
        <f t="shared" si="6"/>
        <v>0.19580121402177661</v>
      </c>
      <c r="M47" s="14">
        <f t="shared" si="9"/>
        <v>7.5664864909216476</v>
      </c>
      <c r="N47" s="14">
        <f t="shared" si="7"/>
        <v>0.16086462822270062</v>
      </c>
      <c r="O47" s="14">
        <f t="shared" si="15"/>
        <v>530.70598452093407</v>
      </c>
      <c r="P47" s="14">
        <f t="shared" si="16"/>
        <v>55.010092391448602</v>
      </c>
    </row>
    <row r="48" spans="1:16" x14ac:dyDescent="0.25">
      <c r="A48" s="42" t="s">
        <v>92</v>
      </c>
      <c r="B48" s="133">
        <f>3.14159*(37.5^2)</f>
        <v>4417.8609374999996</v>
      </c>
      <c r="C48" s="36" t="s">
        <v>93</v>
      </c>
      <c r="D48" s="180"/>
      <c r="E48" s="14">
        <v>45</v>
      </c>
      <c r="F48" s="38">
        <f t="shared" si="10"/>
        <v>44.5</v>
      </c>
      <c r="G48" s="62">
        <f t="shared" si="11"/>
        <v>3.1139850746268656</v>
      </c>
      <c r="H48" s="14">
        <f t="shared" si="8"/>
        <v>1.9900000000000043E-2</v>
      </c>
      <c r="I48" s="60">
        <f t="shared" si="12"/>
        <v>1.5520149253731343</v>
      </c>
      <c r="J48" s="14">
        <f t="shared" si="13"/>
        <v>1.5321149253731343</v>
      </c>
      <c r="K48" s="14">
        <f t="shared" si="14"/>
        <v>1.5420649253731344</v>
      </c>
      <c r="L48" s="14">
        <f t="shared" si="6"/>
        <v>0.19281252280633923</v>
      </c>
      <c r="M48" s="14">
        <f t="shared" si="9"/>
        <v>7.4705957919922659</v>
      </c>
      <c r="N48" s="14">
        <f t="shared" si="7"/>
        <v>0.16065342881461717</v>
      </c>
      <c r="O48" s="14">
        <f t="shared" si="15"/>
        <v>543.48102120491217</v>
      </c>
      <c r="P48" s="14">
        <f t="shared" si="16"/>
        <v>56.62024219318252</v>
      </c>
    </row>
    <row r="49" spans="1:16" x14ac:dyDescent="0.25">
      <c r="A49" s="42"/>
      <c r="B49" s="36"/>
      <c r="C49" s="36"/>
      <c r="D49" s="180"/>
      <c r="E49" s="14">
        <v>46</v>
      </c>
      <c r="F49" s="38">
        <f t="shared" si="10"/>
        <v>45.5</v>
      </c>
      <c r="G49" s="62">
        <f t="shared" si="11"/>
        <v>3.0940746268656714</v>
      </c>
      <c r="H49" s="14">
        <f t="shared" si="8"/>
        <v>1.9720000000000043E-2</v>
      </c>
      <c r="I49" s="60">
        <f t="shared" si="12"/>
        <v>1.5420597014925372</v>
      </c>
      <c r="J49" s="14">
        <f t="shared" si="13"/>
        <v>1.5223397014925373</v>
      </c>
      <c r="K49" s="14">
        <f t="shared" si="14"/>
        <v>1.5321997014925373</v>
      </c>
      <c r="L49" s="14">
        <f t="shared" si="6"/>
        <v>0.18984614618275933</v>
      </c>
      <c r="M49" s="14">
        <f t="shared" si="9"/>
        <v>7.3753165893259238</v>
      </c>
      <c r="N49" s="14">
        <f t="shared" si="7"/>
        <v>0.16043922633652652</v>
      </c>
      <c r="O49" s="14">
        <f t="shared" si="15"/>
        <v>556.3001034531635</v>
      </c>
      <c r="P49" s="14">
        <f t="shared" si="16"/>
        <v>58.251126222001766</v>
      </c>
    </row>
    <row r="50" spans="1:16" x14ac:dyDescent="0.25">
      <c r="D50" s="180"/>
      <c r="E50" s="14">
        <v>47</v>
      </c>
      <c r="F50" s="38">
        <f t="shared" si="10"/>
        <v>46.5</v>
      </c>
      <c r="G50" s="62">
        <f t="shared" si="11"/>
        <v>3.0741641791044776</v>
      </c>
      <c r="H50" s="14">
        <f t="shared" si="8"/>
        <v>1.9540000000000043E-2</v>
      </c>
      <c r="I50" s="60">
        <f t="shared" si="12"/>
        <v>1.5321044776119401</v>
      </c>
      <c r="J50" s="14">
        <f t="shared" si="13"/>
        <v>1.51256447761194</v>
      </c>
      <c r="K50" s="14">
        <f t="shared" si="14"/>
        <v>1.5223344776119401</v>
      </c>
      <c r="L50" s="14">
        <f t="shared" si="6"/>
        <v>0.18690208415103698</v>
      </c>
      <c r="M50" s="14">
        <f t="shared" si="9"/>
        <v>7.2806488829226268</v>
      </c>
      <c r="N50" s="14">
        <f t="shared" si="7"/>
        <v>0.16022195569388961</v>
      </c>
      <c r="O50" s="14">
        <f t="shared" si="15"/>
        <v>569.16435997010774</v>
      </c>
      <c r="P50" s="14">
        <f t="shared" si="16"/>
        <v>59.9031475715665</v>
      </c>
    </row>
    <row r="51" spans="1:16" x14ac:dyDescent="0.25">
      <c r="D51" s="180"/>
      <c r="E51" s="14">
        <v>48</v>
      </c>
      <c r="F51" s="38">
        <f t="shared" si="10"/>
        <v>47.5</v>
      </c>
      <c r="G51" s="62">
        <f t="shared" si="11"/>
        <v>3.0542537313432834</v>
      </c>
      <c r="H51" s="14">
        <f t="shared" si="8"/>
        <v>1.9360000000000044E-2</v>
      </c>
      <c r="I51" s="60">
        <f t="shared" si="12"/>
        <v>1.5221492537313432</v>
      </c>
      <c r="J51" s="14">
        <f t="shared" si="13"/>
        <v>1.5027892537313432</v>
      </c>
      <c r="K51" s="14">
        <f t="shared" si="14"/>
        <v>1.5124692537313433</v>
      </c>
      <c r="L51" s="14">
        <f t="shared" si="6"/>
        <v>0.18398033671117223</v>
      </c>
      <c r="M51" s="14">
        <f t="shared" si="9"/>
        <v>7.1865926727823775</v>
      </c>
      <c r="N51" s="14">
        <f t="shared" si="7"/>
        <v>0.16000154987855622</v>
      </c>
      <c r="O51" s="14">
        <f t="shared" si="15"/>
        <v>582.07495860557253</v>
      </c>
      <c r="P51" s="14">
        <f t="shared" si="16"/>
        <v>61.576719852403066</v>
      </c>
    </row>
    <row r="52" spans="1:16" x14ac:dyDescent="0.25">
      <c r="D52" s="180"/>
      <c r="E52" s="14">
        <v>49</v>
      </c>
      <c r="F52" s="38">
        <f t="shared" si="10"/>
        <v>48.5</v>
      </c>
      <c r="G52" s="62">
        <f t="shared" si="11"/>
        <v>3.0343432835820892</v>
      </c>
      <c r="H52" s="14">
        <f t="shared" si="8"/>
        <v>1.9180000000000044E-2</v>
      </c>
      <c r="I52" s="60">
        <f t="shared" si="12"/>
        <v>1.5121940298507461</v>
      </c>
      <c r="J52" s="14">
        <f t="shared" si="13"/>
        <v>1.4930140298507462</v>
      </c>
      <c r="K52" s="14">
        <f t="shared" si="14"/>
        <v>1.5026040298507461</v>
      </c>
      <c r="L52" s="14">
        <f t="shared" si="6"/>
        <v>0.18108090386316497</v>
      </c>
      <c r="M52" s="14">
        <f t="shared" si="9"/>
        <v>7.0931479589051678</v>
      </c>
      <c r="N52" s="14">
        <f t="shared" si="7"/>
        <v>0.15977793989718034</v>
      </c>
      <c r="O52" s="14">
        <f t="shared" si="15"/>
        <v>595.03310807665673</v>
      </c>
      <c r="P52" s="14">
        <f t="shared" si="16"/>
        <v>63.272267537142234</v>
      </c>
    </row>
    <row r="53" spans="1:16" x14ac:dyDescent="0.25">
      <c r="D53" s="180"/>
      <c r="E53" s="14">
        <v>50</v>
      </c>
      <c r="F53" s="38">
        <f t="shared" si="10"/>
        <v>49.5</v>
      </c>
      <c r="G53" s="62">
        <f t="shared" si="11"/>
        <v>3.0144328358208954</v>
      </c>
      <c r="H53" s="14">
        <f t="shared" si="8"/>
        <v>1.9000000000000045E-2</v>
      </c>
      <c r="I53" s="60">
        <f t="shared" si="12"/>
        <v>1.5022388059701492</v>
      </c>
      <c r="J53" s="14">
        <f t="shared" si="13"/>
        <v>1.4832388059701491</v>
      </c>
      <c r="K53" s="14">
        <f t="shared" si="14"/>
        <v>1.4927388059701492</v>
      </c>
      <c r="L53" s="14">
        <f t="shared" si="6"/>
        <v>0.17820378560701533</v>
      </c>
      <c r="M53" s="14">
        <f t="shared" si="9"/>
        <v>7.0003147412910049</v>
      </c>
      <c r="N53" s="14">
        <f t="shared" si="7"/>
        <v>0.15955105469636122</v>
      </c>
      <c r="O53" s="14">
        <f t="shared" si="15"/>
        <v>608.04005978177599</v>
      </c>
      <c r="P53" s="14">
        <f t="shared" si="16"/>
        <v>64.990226319446876</v>
      </c>
    </row>
    <row r="54" spans="1:16" x14ac:dyDescent="0.25">
      <c r="D54" s="180"/>
      <c r="E54" s="14">
        <v>51</v>
      </c>
      <c r="F54" s="38">
        <f t="shared" si="10"/>
        <v>50.5</v>
      </c>
      <c r="G54" s="62">
        <f t="shared" si="11"/>
        <v>2.9945223880597016</v>
      </c>
      <c r="H54" s="14">
        <f t="shared" si="8"/>
        <v>1.8820000000000045E-2</v>
      </c>
      <c r="I54" s="60">
        <f t="shared" si="12"/>
        <v>1.4922835820895521</v>
      </c>
      <c r="J54" s="14">
        <f t="shared" si="13"/>
        <v>1.4734635820895521</v>
      </c>
      <c r="K54" s="14">
        <f t="shared" si="14"/>
        <v>1.4828735820895522</v>
      </c>
      <c r="L54" s="14">
        <f t="shared" si="6"/>
        <v>0.17534898194272322</v>
      </c>
      <c r="M54" s="14">
        <f t="shared" si="9"/>
        <v>6.9080930199398844</v>
      </c>
      <c r="N54" s="14">
        <f t="shared" si="7"/>
        <v>0.15932082108433307</v>
      </c>
      <c r="O54" s="14">
        <f t="shared" si="15"/>
        <v>621.09710971272409</v>
      </c>
      <c r="P54" s="14">
        <f t="shared" si="16"/>
        <v>66.731043487267002</v>
      </c>
    </row>
    <row r="55" spans="1:16" x14ac:dyDescent="0.25">
      <c r="D55" s="180"/>
      <c r="E55" s="14">
        <v>52</v>
      </c>
      <c r="F55" s="38">
        <f t="shared" si="10"/>
        <v>51.5</v>
      </c>
      <c r="G55" s="62">
        <f t="shared" si="11"/>
        <v>2.9746119402985074</v>
      </c>
      <c r="H55" s="14">
        <f t="shared" si="8"/>
        <v>1.8640000000000045E-2</v>
      </c>
      <c r="I55" s="60">
        <f t="shared" si="12"/>
        <v>1.4823283582089553</v>
      </c>
      <c r="J55" s="14">
        <f t="shared" si="13"/>
        <v>1.4636883582089553</v>
      </c>
      <c r="K55" s="14">
        <f t="shared" si="14"/>
        <v>1.4730083582089553</v>
      </c>
      <c r="L55" s="14">
        <f t="shared" si="6"/>
        <v>0.17251649287028867</v>
      </c>
      <c r="M55" s="14">
        <f t="shared" si="9"/>
        <v>6.816482794851809</v>
      </c>
      <c r="N55" s="14">
        <f t="shared" si="7"/>
        <v>0.1590871636490136</v>
      </c>
      <c r="O55" s="14">
        <f t="shared" si="15"/>
        <v>634.20560047101776</v>
      </c>
      <c r="P55" s="14">
        <f t="shared" si="16"/>
        <v>68.495178311093667</v>
      </c>
    </row>
    <row r="56" spans="1:16" x14ac:dyDescent="0.25">
      <c r="D56" s="180"/>
      <c r="E56" s="14">
        <v>53</v>
      </c>
      <c r="F56" s="38">
        <f t="shared" si="10"/>
        <v>52.5</v>
      </c>
      <c r="G56" s="62">
        <f t="shared" si="11"/>
        <v>2.9547014925373132</v>
      </c>
      <c r="H56" s="14">
        <f t="shared" si="8"/>
        <v>1.8460000000000046E-2</v>
      </c>
      <c r="I56" s="60">
        <f t="shared" si="12"/>
        <v>1.4723731343283581</v>
      </c>
      <c r="J56" s="14">
        <f t="shared" si="13"/>
        <v>1.453913134328358</v>
      </c>
      <c r="K56" s="14">
        <f t="shared" si="14"/>
        <v>1.4631431343283581</v>
      </c>
      <c r="L56" s="14">
        <f t="shared" si="6"/>
        <v>0.16970631838971162</v>
      </c>
      <c r="M56" s="14">
        <f t="shared" si="9"/>
        <v>6.725484066026775</v>
      </c>
      <c r="N56" s="14">
        <f t="shared" si="7"/>
        <v>0.15885000467220978</v>
      </c>
      <c r="O56" s="14">
        <f t="shared" si="15"/>
        <v>647.36692339525382</v>
      </c>
      <c r="P56" s="14">
        <f t="shared" si="16"/>
        <v>70.283102447919575</v>
      </c>
    </row>
    <row r="57" spans="1:16" x14ac:dyDescent="0.25">
      <c r="D57" s="180"/>
      <c r="E57" s="14">
        <v>54</v>
      </c>
      <c r="F57" s="38">
        <f t="shared" si="10"/>
        <v>53.5</v>
      </c>
      <c r="G57" s="62">
        <f t="shared" si="11"/>
        <v>2.9347910447761194</v>
      </c>
      <c r="H57" s="14">
        <f t="shared" si="8"/>
        <v>1.8280000000000046E-2</v>
      </c>
      <c r="I57" s="60">
        <f t="shared" si="12"/>
        <v>1.462417910447761</v>
      </c>
      <c r="J57" s="14">
        <f t="shared" si="13"/>
        <v>1.444137910447761</v>
      </c>
      <c r="K57" s="14">
        <f t="shared" si="14"/>
        <v>1.4532779104477611</v>
      </c>
      <c r="L57" s="14">
        <f t="shared" si="6"/>
        <v>0.16691845850099218</v>
      </c>
      <c r="M57" s="14">
        <f t="shared" si="9"/>
        <v>6.6350968334647868</v>
      </c>
      <c r="N57" s="14">
        <f t="shared" si="7"/>
        <v>0.15860926403976666</v>
      </c>
      <c r="O57" s="14">
        <f t="shared" si="15"/>
        <v>660.58252080671275</v>
      </c>
      <c r="P57" s="14">
        <f t="shared" si="16"/>
        <v>72.095300361652846</v>
      </c>
    </row>
    <row r="58" spans="1:16" x14ac:dyDescent="0.25">
      <c r="D58" s="180"/>
      <c r="E58" s="14">
        <v>55</v>
      </c>
      <c r="F58" s="38">
        <f t="shared" si="10"/>
        <v>54.5</v>
      </c>
      <c r="G58" s="62">
        <f t="shared" si="11"/>
        <v>2.9148805970149252</v>
      </c>
      <c r="H58" s="14">
        <f t="shared" si="8"/>
        <v>1.8100000000000047E-2</v>
      </c>
      <c r="I58" s="60">
        <f t="shared" si="12"/>
        <v>1.4524626865671642</v>
      </c>
      <c r="J58" s="14">
        <f t="shared" si="13"/>
        <v>1.4343626865671641</v>
      </c>
      <c r="K58" s="14">
        <f t="shared" si="14"/>
        <v>1.4434126865671641</v>
      </c>
      <c r="L58" s="14">
        <f t="shared" si="6"/>
        <v>0.16415291320413025</v>
      </c>
      <c r="M58" s="14">
        <f t="shared" si="9"/>
        <v>6.5453210971658438</v>
      </c>
      <c r="N58" s="14">
        <f t="shared" si="7"/>
        <v>0.15836485914743079</v>
      </c>
      <c r="O58" s="14">
        <f t="shared" si="15"/>
        <v>673.85388838098345</v>
      </c>
      <c r="P58" s="14">
        <f t="shared" si="16"/>
        <v>73.932269760771135</v>
      </c>
    </row>
    <row r="59" spans="1:16" x14ac:dyDescent="0.25">
      <c r="D59" s="180"/>
      <c r="E59" s="14">
        <v>56</v>
      </c>
      <c r="F59" s="38">
        <f t="shared" si="10"/>
        <v>55.5</v>
      </c>
      <c r="G59" s="62">
        <f t="shared" si="11"/>
        <v>2.894970149253731</v>
      </c>
      <c r="H59" s="14">
        <f t="shared" si="8"/>
        <v>1.7920000000000047E-2</v>
      </c>
      <c r="I59" s="60">
        <f t="shared" si="12"/>
        <v>1.442507462686567</v>
      </c>
      <c r="J59" s="14">
        <f t="shared" si="13"/>
        <v>1.4245874626865671</v>
      </c>
      <c r="K59" s="14">
        <f t="shared" si="14"/>
        <v>1.4335474626865672</v>
      </c>
      <c r="L59" s="14">
        <f t="shared" si="6"/>
        <v>0.16140968249912591</v>
      </c>
      <c r="M59" s="14">
        <f t="shared" si="9"/>
        <v>6.456156857129943</v>
      </c>
      <c r="N59" s="14">
        <f t="shared" si="7"/>
        <v>0.15811670480218468</v>
      </c>
      <c r="O59" s="14">
        <f t="shared" si="15"/>
        <v>687.18257765398437</v>
      </c>
      <c r="P59" s="14">
        <f t="shared" si="16"/>
        <v>75.794522054046482</v>
      </c>
    </row>
    <row r="60" spans="1:16" x14ac:dyDescent="0.25">
      <c r="D60" s="180"/>
      <c r="E60" s="14">
        <v>57</v>
      </c>
      <c r="F60" s="38">
        <f t="shared" si="10"/>
        <v>56.5</v>
      </c>
      <c r="G60" s="62">
        <f t="shared" si="11"/>
        <v>2.8750597014925372</v>
      </c>
      <c r="H60" s="14">
        <f t="shared" si="8"/>
        <v>1.7740000000000047E-2</v>
      </c>
      <c r="I60" s="60">
        <f t="shared" si="12"/>
        <v>1.4325522388059699</v>
      </c>
      <c r="J60" s="14">
        <f t="shared" si="13"/>
        <v>1.4148122388059698</v>
      </c>
      <c r="K60" s="14">
        <f t="shared" si="14"/>
        <v>1.42368223880597</v>
      </c>
      <c r="L60" s="14">
        <f t="shared" si="6"/>
        <v>0.15868876638597909</v>
      </c>
      <c r="M60" s="14">
        <f t="shared" si="9"/>
        <v>6.3676041133570846</v>
      </c>
      <c r="N60" s="14">
        <f t="shared" si="7"/>
        <v>0.1578647131187928</v>
      </c>
      <c r="O60" s="14">
        <f t="shared" si="15"/>
        <v>700.57019867139729</v>
      </c>
      <c r="P60" s="14">
        <f t="shared" si="16"/>
        <v>77.68258282521748</v>
      </c>
    </row>
    <row r="61" spans="1:16" x14ac:dyDescent="0.25">
      <c r="D61" s="180"/>
      <c r="E61" s="14">
        <v>58</v>
      </c>
      <c r="F61" s="38">
        <f t="shared" si="10"/>
        <v>57.5</v>
      </c>
      <c r="G61" s="62">
        <f t="shared" si="11"/>
        <v>2.8551492537313434</v>
      </c>
      <c r="H61" s="14">
        <f t="shared" si="8"/>
        <v>1.7560000000000048E-2</v>
      </c>
      <c r="I61" s="60">
        <f t="shared" si="12"/>
        <v>1.422597014925373</v>
      </c>
      <c r="J61" s="14">
        <f t="shared" si="13"/>
        <v>1.405037014925373</v>
      </c>
      <c r="K61" s="14">
        <f t="shared" si="14"/>
        <v>1.413817014925373</v>
      </c>
      <c r="L61" s="14">
        <f t="shared" si="6"/>
        <v>0.15599016486468983</v>
      </c>
      <c r="M61" s="14">
        <f t="shared" si="9"/>
        <v>6.2796628658472722</v>
      </c>
      <c r="N61" s="14">
        <f t="shared" si="7"/>
        <v>0.1576087934112822</v>
      </c>
      <c r="O61" s="14">
        <f t="shared" si="15"/>
        <v>714.0184227912282</v>
      </c>
      <c r="P61" s="14">
        <f t="shared" si="16"/>
        <v>79.59699232753421</v>
      </c>
    </row>
    <row r="62" spans="1:16" x14ac:dyDescent="0.25">
      <c r="D62" s="180"/>
      <c r="E62" s="14">
        <v>59</v>
      </c>
      <c r="F62" s="38">
        <f t="shared" si="10"/>
        <v>58.5</v>
      </c>
      <c r="G62" s="62">
        <f t="shared" si="11"/>
        <v>2.8352388059701488</v>
      </c>
      <c r="H62" s="14">
        <f t="shared" si="8"/>
        <v>1.7380000000000048E-2</v>
      </c>
      <c r="I62" s="60">
        <f t="shared" si="12"/>
        <v>1.4126417910447762</v>
      </c>
      <c r="J62" s="14">
        <f t="shared" si="13"/>
        <v>1.3952617910447762</v>
      </c>
      <c r="K62" s="14">
        <f t="shared" si="14"/>
        <v>1.4039517910447761</v>
      </c>
      <c r="L62" s="14">
        <f t="shared" si="6"/>
        <v>0.15331387793525816</v>
      </c>
      <c r="M62" s="14">
        <f t="shared" si="9"/>
        <v>6.1923331146005038</v>
      </c>
      <c r="N62" s="14">
        <f t="shared" si="7"/>
        <v>0.15734885207906227</v>
      </c>
      <c r="O62" s="14">
        <f t="shared" si="15"/>
        <v>727.52898564997827</v>
      </c>
      <c r="P62" s="14">
        <f t="shared" si="16"/>
        <v>81.538305999153565</v>
      </c>
    </row>
    <row r="63" spans="1:16" x14ac:dyDescent="0.25">
      <c r="D63" s="180"/>
      <c r="E63" s="14">
        <v>60</v>
      </c>
      <c r="F63" s="38">
        <f t="shared" si="10"/>
        <v>59.5</v>
      </c>
      <c r="G63" s="62">
        <f t="shared" si="11"/>
        <v>2.815328358208955</v>
      </c>
      <c r="H63" s="14">
        <f t="shared" si="8"/>
        <v>1.7200000000000049E-2</v>
      </c>
      <c r="I63" s="60">
        <f t="shared" si="12"/>
        <v>1.4026865671641791</v>
      </c>
      <c r="J63" s="14">
        <f t="shared" si="13"/>
        <v>1.385486567164179</v>
      </c>
      <c r="K63" s="14">
        <f t="shared" si="14"/>
        <v>1.3940865671641789</v>
      </c>
      <c r="L63" s="14">
        <f t="shared" si="6"/>
        <v>0.150659905597684</v>
      </c>
      <c r="M63" s="14">
        <f t="shared" si="9"/>
        <v>6.105614859616777</v>
      </c>
      <c r="N63" s="14">
        <f t="shared" si="7"/>
        <v>0.15708479248736751</v>
      </c>
      <c r="O63" s="14">
        <f t="shared" si="15"/>
        <v>741.10369030373863</v>
      </c>
      <c r="P63" s="14">
        <f t="shared" si="16"/>
        <v>83.50709500041755</v>
      </c>
    </row>
    <row r="64" spans="1:16" x14ac:dyDescent="0.25">
      <c r="D64" s="180"/>
      <c r="E64" s="14">
        <v>61</v>
      </c>
      <c r="F64" s="38">
        <f t="shared" si="10"/>
        <v>60.5</v>
      </c>
      <c r="G64" s="62">
        <f t="shared" si="11"/>
        <v>2.7954179104477612</v>
      </c>
      <c r="H64" s="14">
        <f t="shared" si="8"/>
        <v>1.7020000000000049E-2</v>
      </c>
      <c r="I64" s="60">
        <f t="shared" si="12"/>
        <v>1.3927313432835819</v>
      </c>
      <c r="J64" s="14">
        <f t="shared" si="13"/>
        <v>1.3757113432835819</v>
      </c>
      <c r="K64" s="14">
        <f t="shared" si="14"/>
        <v>1.3842213432835819</v>
      </c>
      <c r="L64" s="14">
        <f t="shared" si="6"/>
        <v>0.14802824785196741</v>
      </c>
      <c r="M64" s="14">
        <f t="shared" si="9"/>
        <v>6.0195081008960969</v>
      </c>
      <c r="N64" s="14">
        <f t="shared" ref="N64:N70" si="17">SQRT(L64/M64)</f>
        <v>0.15681651484168596</v>
      </c>
      <c r="O64" s="14">
        <f t="shared" si="15"/>
        <v>754.74441055642717</v>
      </c>
      <c r="P64" s="14">
        <f t="shared" si="16"/>
        <v>85.503946774106424</v>
      </c>
    </row>
    <row r="65" spans="4:16" x14ac:dyDescent="0.25">
      <c r="D65" s="180"/>
      <c r="E65" s="14">
        <v>62</v>
      </c>
      <c r="F65" s="38">
        <f t="shared" si="10"/>
        <v>61.5</v>
      </c>
      <c r="G65" s="62">
        <f t="shared" si="11"/>
        <v>2.775507462686567</v>
      </c>
      <c r="H65" s="14">
        <f t="shared" si="8"/>
        <v>1.6840000000000049E-2</v>
      </c>
      <c r="I65" s="60">
        <f t="shared" si="12"/>
        <v>1.3827761194029851</v>
      </c>
      <c r="J65" s="14">
        <f t="shared" si="13"/>
        <v>1.3659361194029851</v>
      </c>
      <c r="K65" s="14">
        <f t="shared" si="14"/>
        <v>1.374356119402985</v>
      </c>
      <c r="L65" s="14">
        <f t="shared" si="6"/>
        <v>0.14541890469810834</v>
      </c>
      <c r="M65" s="14">
        <f t="shared" si="9"/>
        <v>5.9340128384384601</v>
      </c>
      <c r="N65" s="14">
        <f t="shared" si="17"/>
        <v>0.15654391605581239</v>
      </c>
      <c r="O65" s="14">
        <f t="shared" si="15"/>
        <v>768.45309448837793</v>
      </c>
      <c r="P65" s="14">
        <f t="shared" si="16"/>
        <v>87.529465629821118</v>
      </c>
    </row>
    <row r="66" spans="4:16" x14ac:dyDescent="0.25">
      <c r="D66" s="180"/>
      <c r="E66" s="14">
        <v>63</v>
      </c>
      <c r="F66" s="38">
        <f t="shared" si="10"/>
        <v>62.5</v>
      </c>
      <c r="G66" s="62">
        <f t="shared" si="11"/>
        <v>2.7555970149253728</v>
      </c>
      <c r="H66" s="14">
        <f t="shared" si="8"/>
        <v>1.666000000000005E-2</v>
      </c>
      <c r="I66" s="60">
        <f t="shared" si="12"/>
        <v>1.372820895522388</v>
      </c>
      <c r="J66" s="14">
        <f t="shared" si="13"/>
        <v>1.3561608955223878</v>
      </c>
      <c r="K66" s="14">
        <f t="shared" si="14"/>
        <v>1.3644908955223878</v>
      </c>
      <c r="L66" s="14">
        <f t="shared" si="6"/>
        <v>0.14283187613610682</v>
      </c>
      <c r="M66" s="14">
        <f t="shared" si="9"/>
        <v>5.8491290722438647</v>
      </c>
      <c r="N66" s="14">
        <f t="shared" si="17"/>
        <v>0.15626688961313995</v>
      </c>
      <c r="O66" s="14">
        <f t="shared" si="15"/>
        <v>782.23176819957541</v>
      </c>
      <c r="P66" s="14">
        <f t="shared" si="16"/>
        <v>89.584273353716</v>
      </c>
    </row>
    <row r="67" spans="4:16" x14ac:dyDescent="0.25">
      <c r="D67" s="180"/>
      <c r="E67" s="14">
        <v>64</v>
      </c>
      <c r="F67" s="38">
        <f t="shared" si="10"/>
        <v>63.5</v>
      </c>
      <c r="G67" s="62">
        <f>(($B$18)-((($B$18)-($B$17))/67)*F67)</f>
        <v>2.735686567164179</v>
      </c>
      <c r="H67" s="14">
        <f t="shared" si="8"/>
        <v>1.648000000000005E-2</v>
      </c>
      <c r="I67" s="60">
        <f t="shared" si="12"/>
        <v>1.3628656716417908</v>
      </c>
      <c r="J67" s="14">
        <f>I67-H67</f>
        <v>1.3463856716417908</v>
      </c>
      <c r="K67" s="14">
        <f>AVERAGE(I67:J67)</f>
        <v>1.3546256716417908</v>
      </c>
      <c r="L67" s="14">
        <f t="shared" si="6"/>
        <v>0.14026716216596291</v>
      </c>
      <c r="M67" s="14">
        <f t="shared" si="9"/>
        <v>5.7648568023123161</v>
      </c>
      <c r="N67" s="14">
        <f t="shared" si="17"/>
        <v>0.15598532542077584</v>
      </c>
      <c r="O67" s="14">
        <f>($I$9*E67)/N67</f>
        <v>796.08253978301127</v>
      </c>
      <c r="P67" s="14">
        <f t="shared" si="16"/>
        <v>91.669009844874267</v>
      </c>
    </row>
    <row r="68" spans="4:16" x14ac:dyDescent="0.25">
      <c r="D68" s="180"/>
      <c r="E68" s="14">
        <v>65</v>
      </c>
      <c r="F68" s="38">
        <f t="shared" si="10"/>
        <v>64.5</v>
      </c>
      <c r="G68" s="62">
        <f>(($B$18)-((($B$18)-($B$17))/67)*F68)</f>
        <v>2.7157761194029848</v>
      </c>
      <c r="H68" s="14">
        <f t="shared" si="8"/>
        <v>1.6300000000000051E-2</v>
      </c>
      <c r="I68" s="60">
        <f t="shared" si="12"/>
        <v>1.352910447761194</v>
      </c>
      <c r="J68" s="14">
        <f>I68-H68</f>
        <v>1.336610447761194</v>
      </c>
      <c r="K68" s="14">
        <f>AVERAGE(I68:J68)</f>
        <v>1.3447604477611939</v>
      </c>
      <c r="L68" s="14">
        <f t="shared" ref="L68:L70" si="18">2*3.14159*K68*H68</f>
        <v>0.13772476278767654</v>
      </c>
      <c r="M68" s="14">
        <f t="shared" si="9"/>
        <v>5.6811960286438108</v>
      </c>
      <c r="N68" s="14">
        <f t="shared" si="17"/>
        <v>0.15569910965603903</v>
      </c>
      <c r="O68" s="14">
        <f>($I$9*E68)/N68</f>
        <v>810.00760354492809</v>
      </c>
      <c r="P68" s="14">
        <f t="shared" si="16"/>
        <v>93.784333779694435</v>
      </c>
    </row>
    <row r="69" spans="4:16" x14ac:dyDescent="0.25">
      <c r="D69" s="180"/>
      <c r="E69" s="14">
        <v>66</v>
      </c>
      <c r="F69" s="38">
        <f t="shared" si="10"/>
        <v>65.5</v>
      </c>
      <c r="G69" s="62">
        <f>(($B$18)-((($B$18)-($B$17))/67)*F69)</f>
        <v>2.6958656716417906</v>
      </c>
      <c r="H69" s="14">
        <f>H68-0.00018</f>
        <v>1.6120000000000051E-2</v>
      </c>
      <c r="I69" s="60">
        <f t="shared" si="12"/>
        <v>1.3429552238805971</v>
      </c>
      <c r="J69" s="14">
        <f>I69-H69</f>
        <v>1.3268352238805969</v>
      </c>
      <c r="K69" s="14">
        <f>AVERAGE(I69:J69)</f>
        <v>1.3348952238805971</v>
      </c>
      <c r="L69" s="14">
        <f t="shared" si="18"/>
        <v>0.13520467800124772</v>
      </c>
      <c r="M69" s="14">
        <f>(3.141593)*(K69^2)</f>
        <v>5.5981467512383523</v>
      </c>
      <c r="N69" s="14">
        <f t="shared" si="17"/>
        <v>0.15540812460486314</v>
      </c>
      <c r="O69" s="14">
        <f>($I$9*E69)/N69</f>
        <v>824.00924449014485</v>
      </c>
      <c r="P69" s="14">
        <f t="shared" si="16"/>
        <v>95.930923305736542</v>
      </c>
    </row>
    <row r="70" spans="4:16" x14ac:dyDescent="0.25">
      <c r="D70" s="180"/>
      <c r="E70" s="14">
        <v>67</v>
      </c>
      <c r="F70" s="38">
        <f>F69+1</f>
        <v>66.5</v>
      </c>
      <c r="G70" s="62">
        <f>(($B$18)-((($B$18)-($B$17))/67)*F70)</f>
        <v>2.6759552238805968</v>
      </c>
      <c r="H70" s="14">
        <f>H69-0.00018</f>
        <v>1.5940000000000051E-2</v>
      </c>
      <c r="I70" s="60">
        <f t="shared" si="12"/>
        <v>1.3329999999999997</v>
      </c>
      <c r="J70" s="14">
        <f>I70-H70</f>
        <v>1.3170599999999997</v>
      </c>
      <c r="K70" s="14">
        <f>AVERAGE(I70:J70)</f>
        <v>1.3250299999999997</v>
      </c>
      <c r="L70" s="14">
        <f t="shared" si="18"/>
        <v>0.13270690780667641</v>
      </c>
      <c r="M70" s="14">
        <f>(3.141593)*(K70^2)</f>
        <v>5.5157089700959308</v>
      </c>
      <c r="N70" s="14">
        <f t="shared" si="17"/>
        <v>0.15511224849159555</v>
      </c>
      <c r="O70" s="14">
        <f>($I$9*E70)/N70</f>
        <v>838.08984309220216</v>
      </c>
      <c r="P70" s="14">
        <f t="shared" si="16"/>
        <v>98.109476766563787</v>
      </c>
    </row>
  </sheetData>
  <customSheetViews>
    <customSheetView guid="{73608749-DAD6-470A-871E-DA0A326E9E7B}" scale="70" topLeftCell="A8">
      <selection activeCell="E8" sqref="E8"/>
      <pageMargins left="0.7" right="0.7" top="0.75" bottom="0.75" header="0.3" footer="0.3"/>
      <pageSetup orientation="portrait" horizontalDpi="4294967293" verticalDpi="0" r:id="rId1"/>
    </customSheetView>
  </customSheetViews>
  <mergeCells count="8">
    <mergeCell ref="A36:C36"/>
    <mergeCell ref="E1:P1"/>
    <mergeCell ref="D1:D70"/>
    <mergeCell ref="A19:C19"/>
    <mergeCell ref="A25:C25"/>
    <mergeCell ref="A30:C30"/>
    <mergeCell ref="A1:C1"/>
    <mergeCell ref="A12:C12"/>
  </mergeCells>
  <pageMargins left="0.7" right="0.7" top="0.75" bottom="0.75" header="0.3" footer="0.3"/>
  <pageSetup orientation="portrait" horizontalDpi="4294967293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Q93"/>
  <sheetViews>
    <sheetView zoomScale="70" zoomScaleNormal="70" workbookViewId="0">
      <selection activeCell="R20" sqref="R20"/>
    </sheetView>
  </sheetViews>
  <sheetFormatPr defaultRowHeight="15" x14ac:dyDescent="0.25"/>
  <cols>
    <col min="1" max="1" width="23.42578125" customWidth="1"/>
    <col min="2" max="2" width="15.85546875" bestFit="1" customWidth="1"/>
    <col min="3" max="3" width="7.7109375" bestFit="1" customWidth="1"/>
    <col min="4" max="4" width="2.5703125" customWidth="1"/>
    <col min="5" max="5" width="4.28515625" style="63" hidden="1" customWidth="1"/>
    <col min="7" max="7" width="9.140625" style="2"/>
    <col min="8" max="8" width="12.85546875" style="2" bestFit="1" customWidth="1"/>
    <col min="9" max="9" width="10" bestFit="1" customWidth="1"/>
    <col min="10" max="10" width="13" bestFit="1" customWidth="1"/>
    <col min="11" max="11" width="12.42578125" bestFit="1" customWidth="1"/>
    <col min="12" max="12" width="12.42578125" customWidth="1"/>
    <col min="13" max="13" width="10" bestFit="1" customWidth="1"/>
    <col min="14" max="14" width="13.140625" customWidth="1"/>
    <col min="15" max="15" width="12.7109375" customWidth="1"/>
    <col min="16" max="16" width="14" customWidth="1"/>
  </cols>
  <sheetData>
    <row r="1" spans="1:17" x14ac:dyDescent="0.25">
      <c r="A1" s="177" t="s">
        <v>14</v>
      </c>
      <c r="B1" s="177"/>
      <c r="C1" s="177"/>
      <c r="D1" s="181"/>
      <c r="E1" s="64"/>
      <c r="F1" s="177" t="s">
        <v>58</v>
      </c>
      <c r="G1" s="177"/>
      <c r="H1" s="177"/>
      <c r="I1" s="182"/>
      <c r="J1" s="182"/>
      <c r="K1" s="182"/>
      <c r="L1" s="182"/>
      <c r="M1" s="182"/>
      <c r="N1" s="182"/>
      <c r="O1" s="182"/>
      <c r="P1" s="182"/>
    </row>
    <row r="2" spans="1:17" ht="45" x14ac:dyDescent="0.25">
      <c r="A2" s="25" t="s">
        <v>19</v>
      </c>
      <c r="B2" s="72">
        <v>3628</v>
      </c>
      <c r="C2" s="17" t="s">
        <v>2</v>
      </c>
      <c r="D2" s="181"/>
      <c r="E2" s="64" t="s">
        <v>49</v>
      </c>
      <c r="F2" s="29" t="s">
        <v>5</v>
      </c>
      <c r="G2" s="29" t="s">
        <v>71</v>
      </c>
      <c r="H2" s="29" t="s">
        <v>187</v>
      </c>
      <c r="I2" s="29" t="s">
        <v>63</v>
      </c>
      <c r="J2" s="29" t="s">
        <v>37</v>
      </c>
      <c r="K2" s="29" t="s">
        <v>59</v>
      </c>
      <c r="L2" s="29" t="s">
        <v>9</v>
      </c>
      <c r="M2" s="29" t="s">
        <v>10</v>
      </c>
      <c r="N2" s="29" t="s">
        <v>60</v>
      </c>
      <c r="O2" s="29" t="s">
        <v>11</v>
      </c>
      <c r="P2" s="29" t="s">
        <v>35</v>
      </c>
    </row>
    <row r="3" spans="1:17" x14ac:dyDescent="0.25">
      <c r="A3" s="25" t="s">
        <v>19</v>
      </c>
      <c r="B3" s="136">
        <f>B2*9.80665</f>
        <v>35578.5262</v>
      </c>
      <c r="C3" s="17" t="s">
        <v>41</v>
      </c>
      <c r="D3" s="181"/>
      <c r="E3" s="64">
        <v>0</v>
      </c>
      <c r="F3" s="13">
        <v>0</v>
      </c>
      <c r="G3" s="40" t="s">
        <v>56</v>
      </c>
      <c r="H3" s="62">
        <f>B16</f>
        <v>2.1360000000000001</v>
      </c>
      <c r="I3" s="60">
        <f>B16/2</f>
        <v>1.0680000000000001</v>
      </c>
      <c r="J3" s="60">
        <f>I3-$B$17</f>
        <v>1.048</v>
      </c>
      <c r="K3" s="14">
        <f>AVERAGE(I3:J3)</f>
        <v>1.0580000000000001</v>
      </c>
      <c r="L3" s="10">
        <f>2*3.14159*K3*$B$17</f>
        <v>0.13295208880000001</v>
      </c>
      <c r="M3" s="10">
        <f>(3.141593)*(K3^2)</f>
        <v>3.5165861068519999</v>
      </c>
      <c r="N3" s="10">
        <f>SQRT(L3/M3)</f>
        <v>0.19444060085702936</v>
      </c>
      <c r="O3" s="10">
        <f>($I$10*F3)/N3</f>
        <v>0</v>
      </c>
      <c r="P3" s="10">
        <f>($I$10*F3)/K3</f>
        <v>0</v>
      </c>
      <c r="Q3" s="14"/>
    </row>
    <row r="4" spans="1:17" x14ac:dyDescent="0.25">
      <c r="A4" s="25" t="s">
        <v>20</v>
      </c>
      <c r="B4" s="71">
        <v>564</v>
      </c>
      <c r="C4" s="17" t="s">
        <v>2</v>
      </c>
      <c r="D4" s="181"/>
      <c r="E4" s="64">
        <f>E3+1</f>
        <v>1</v>
      </c>
      <c r="F4" s="10">
        <f>IF((E4&lt;='Alternative 1'!$B$12),F3+1,"x")</f>
        <v>1</v>
      </c>
      <c r="G4" s="1">
        <v>0.5</v>
      </c>
      <c r="H4" s="62">
        <f>IF(F4&gt;0,(($B$16)-((($B$16)-($B$15))/$B$12)*G4),0)</f>
        <v>2.1260555555555558</v>
      </c>
      <c r="I4" s="60">
        <f>IF(F4&gt;0,(($B$16/2)-((($B$16/2)-($B$15/2))/$B$12)*F4),0)</f>
        <v>1.0580555555555555</v>
      </c>
      <c r="J4" s="60">
        <f>IF(F4&gt;0,I4-$B$17,0)</f>
        <v>1.0380555555555555</v>
      </c>
      <c r="K4" s="14">
        <f>AVERAGE(I4:J4)</f>
        <v>1.0480555555555555</v>
      </c>
      <c r="L4" s="10">
        <f t="shared" ref="L4:L67" si="0">2*3.14159*K4*$B$17</f>
        <v>0.1317024341111111</v>
      </c>
      <c r="M4" s="10">
        <f>(3.141593)*(K4^2)</f>
        <v>3.4507899890198299</v>
      </c>
      <c r="N4" s="10">
        <f>SQRT(L4/M4)</f>
        <v>0.19536089493850933</v>
      </c>
      <c r="O4" s="10">
        <f>($I$9*F4)/N4</f>
        <v>5.1613877672433395</v>
      </c>
      <c r="P4" s="10">
        <f>($I$9*F4)/K4</f>
        <v>0.96209912536443154</v>
      </c>
    </row>
    <row r="5" spans="1:17" x14ac:dyDescent="0.25">
      <c r="A5" s="25" t="s">
        <v>20</v>
      </c>
      <c r="B5" s="130">
        <f>B4*9.80665</f>
        <v>5530.9506000000001</v>
      </c>
      <c r="C5" s="17" t="s">
        <v>41</v>
      </c>
      <c r="D5" s="181"/>
      <c r="E5" s="64">
        <f t="shared" ref="E5:E68" si="1">E4+1</f>
        <v>2</v>
      </c>
      <c r="F5" s="10">
        <f>IF((E5&lt;='Alternative 1'!$B$12),F4+1,"x")</f>
        <v>2</v>
      </c>
      <c r="G5" s="1">
        <f>IF(E5&lt;='Alternative 1'!$B$12,G4+1,0)</f>
        <v>1.5</v>
      </c>
      <c r="H5" s="62">
        <f t="shared" ref="H5:H68" si="2">IF(F5&gt;0,(($B$16)-((($B$16)-($B$15))/$B$12)*G5),0)</f>
        <v>2.1061666666666667</v>
      </c>
      <c r="I5" s="60">
        <f t="shared" ref="I5:I68" si="3">IF(F5&gt;0,(($B$16/2)-((($B$16/2)-($B$15/2))/$B$12)*F5),0)</f>
        <v>1.0481111111111112</v>
      </c>
      <c r="J5" s="60">
        <f t="shared" ref="J5:J68" si="4">IF(F5&gt;0,I5-$B$17,0)</f>
        <v>1.0281111111111112</v>
      </c>
      <c r="K5" s="14">
        <f t="shared" ref="K5:K68" si="5">AVERAGE(I5:J5)</f>
        <v>1.0381111111111112</v>
      </c>
      <c r="L5" s="10">
        <f t="shared" si="0"/>
        <v>0.13045277942222222</v>
      </c>
      <c r="M5" s="10">
        <f t="shared" ref="M5:M68" si="6">(3.141593)*(K5^2)</f>
        <v>3.3856152278624325</v>
      </c>
      <c r="N5" s="10">
        <f t="shared" ref="N5:N68" si="7">SQRT(L5/M5)</f>
        <v>0.19629438129979276</v>
      </c>
      <c r="O5" s="10">
        <f t="shared" ref="O5:O68" si="8">($I$9*F5)/N5</f>
        <v>10.273685132060352</v>
      </c>
      <c r="P5" s="10">
        <f t="shared" ref="P5:P68" si="9">($I$9*F5)/K5</f>
        <v>1.9426308466231401</v>
      </c>
    </row>
    <row r="6" spans="1:17" x14ac:dyDescent="0.25">
      <c r="A6" s="25" t="s">
        <v>23</v>
      </c>
      <c r="B6" s="71">
        <v>37</v>
      </c>
      <c r="C6" s="17" t="s">
        <v>1</v>
      </c>
      <c r="D6" s="181"/>
      <c r="E6" s="64">
        <f t="shared" si="1"/>
        <v>3</v>
      </c>
      <c r="F6" s="10">
        <f>IF((E6&lt;='Alternative 1'!$B$12),F5+1,"x")</f>
        <v>3</v>
      </c>
      <c r="G6" s="1">
        <f>IF(E6&lt;='Alternative 1'!$B$12,G5+1,0)</f>
        <v>2.5</v>
      </c>
      <c r="H6" s="62">
        <f t="shared" si="2"/>
        <v>2.0862777777777777</v>
      </c>
      <c r="I6" s="60">
        <f t="shared" si="3"/>
        <v>1.0381666666666667</v>
      </c>
      <c r="J6" s="60">
        <f t="shared" si="4"/>
        <v>1.0181666666666667</v>
      </c>
      <c r="K6" s="14">
        <f t="shared" si="5"/>
        <v>1.0281666666666667</v>
      </c>
      <c r="L6" s="10">
        <f t="shared" si="0"/>
        <v>0.12920312473333334</v>
      </c>
      <c r="M6" s="10">
        <f t="shared" si="6"/>
        <v>3.3210618233798055</v>
      </c>
      <c r="N6" s="10">
        <f t="shared" si="7"/>
        <v>0.19724137816554388</v>
      </c>
      <c r="O6" s="10">
        <f t="shared" si="8"/>
        <v>15.336538550552662</v>
      </c>
      <c r="P6" s="10">
        <f t="shared" si="9"/>
        <v>2.9421300048630248</v>
      </c>
    </row>
    <row r="7" spans="1:17" x14ac:dyDescent="0.25">
      <c r="A7" s="25" t="s">
        <v>24</v>
      </c>
      <c r="B7" s="71">
        <v>9.5</v>
      </c>
      <c r="C7" s="17" t="s">
        <v>27</v>
      </c>
      <c r="D7" s="181"/>
      <c r="E7" s="64">
        <f t="shared" si="1"/>
        <v>4</v>
      </c>
      <c r="F7" s="10">
        <f>IF((E7&lt;='Alternative 1'!$B$12),F6+1,"x")</f>
        <v>4</v>
      </c>
      <c r="G7" s="1">
        <f>IF(E7&lt;='Alternative 1'!$B$12,G6+1,0)</f>
        <v>3.5</v>
      </c>
      <c r="H7" s="62">
        <f t="shared" si="2"/>
        <v>2.0663888888888891</v>
      </c>
      <c r="I7" s="60">
        <f t="shared" si="3"/>
        <v>1.0282222222222224</v>
      </c>
      <c r="J7" s="60">
        <f t="shared" si="4"/>
        <v>1.0082222222222224</v>
      </c>
      <c r="K7" s="14">
        <f t="shared" si="5"/>
        <v>1.0182222222222224</v>
      </c>
      <c r="L7" s="10">
        <f t="shared" si="0"/>
        <v>0.12795347004444446</v>
      </c>
      <c r="M7" s="10">
        <f t="shared" si="6"/>
        <v>3.2571297755719515</v>
      </c>
      <c r="N7" s="10">
        <f t="shared" si="7"/>
        <v>0.19820221461189111</v>
      </c>
      <c r="O7" s="10">
        <f t="shared" si="8"/>
        <v>20.349587623080748</v>
      </c>
      <c r="P7" s="10">
        <f t="shared" si="9"/>
        <v>3.9611523352247922</v>
      </c>
    </row>
    <row r="8" spans="1:17" x14ac:dyDescent="0.25">
      <c r="A8" s="25" t="s">
        <v>21</v>
      </c>
      <c r="B8" s="71">
        <v>3</v>
      </c>
      <c r="C8" s="17" t="s">
        <v>3</v>
      </c>
      <c r="D8" s="181"/>
      <c r="E8" s="64">
        <f t="shared" si="1"/>
        <v>5</v>
      </c>
      <c r="F8" s="10">
        <f>IF((E8&lt;='Alternative 1'!$B$12),F7+1,"x")</f>
        <v>5</v>
      </c>
      <c r="G8" s="1">
        <f>IF(E8&lt;='Alternative 1'!$B$12,G7+1,0)</f>
        <v>4.5</v>
      </c>
      <c r="H8" s="62">
        <f t="shared" si="2"/>
        <v>2.0465</v>
      </c>
      <c r="I8" s="60">
        <f t="shared" si="3"/>
        <v>1.0182777777777778</v>
      </c>
      <c r="J8" s="60">
        <f t="shared" si="4"/>
        <v>0.99827777777777782</v>
      </c>
      <c r="K8" s="14">
        <f t="shared" si="5"/>
        <v>1.0082777777777778</v>
      </c>
      <c r="L8" s="10">
        <f t="shared" si="0"/>
        <v>0.12670381535555555</v>
      </c>
      <c r="M8" s="10">
        <f t="shared" si="6"/>
        <v>3.1938190844388674</v>
      </c>
      <c r="N8" s="10">
        <f t="shared" si="7"/>
        <v>0.19917723104686946</v>
      </c>
      <c r="O8" s="10">
        <f t="shared" si="8"/>
        <v>25.312464884504216</v>
      </c>
      <c r="P8" s="10">
        <f t="shared" si="9"/>
        <v>5.0002754972725763</v>
      </c>
    </row>
    <row r="9" spans="1:17" x14ac:dyDescent="0.25">
      <c r="A9" s="25" t="s">
        <v>22</v>
      </c>
      <c r="B9" s="71">
        <v>19.2</v>
      </c>
      <c r="C9" s="17" t="s">
        <v>1</v>
      </c>
      <c r="D9" s="181"/>
      <c r="E9" s="64">
        <f t="shared" si="1"/>
        <v>6</v>
      </c>
      <c r="F9" s="10">
        <f>IF((E9&lt;='Alternative 1'!$B$12),F8+1,"x")</f>
        <v>6</v>
      </c>
      <c r="G9" s="1">
        <f>IF(E9&lt;='Alternative 1'!$B$12,G8+1,0)</f>
        <v>5.5</v>
      </c>
      <c r="H9" s="62">
        <f t="shared" si="2"/>
        <v>2.0266111111111114</v>
      </c>
      <c r="I9" s="60">
        <f t="shared" si="3"/>
        <v>1.0083333333333333</v>
      </c>
      <c r="J9" s="60">
        <f t="shared" si="4"/>
        <v>0.98833333333333329</v>
      </c>
      <c r="K9" s="14">
        <f t="shared" si="5"/>
        <v>0.99833333333333329</v>
      </c>
      <c r="L9" s="10">
        <f t="shared" si="0"/>
        <v>0.12545416066666668</v>
      </c>
      <c r="M9" s="10">
        <f t="shared" si="6"/>
        <v>3.131129749980555</v>
      </c>
      <c r="N9" s="10">
        <f t="shared" si="7"/>
        <v>0.20016677971711927</v>
      </c>
      <c r="O9" s="10">
        <f t="shared" si="8"/>
        <v>30.224795585711135</v>
      </c>
      <c r="P9" s="10">
        <f t="shared" si="9"/>
        <v>6.0601001669449079</v>
      </c>
    </row>
    <row r="10" spans="1:17" x14ac:dyDescent="0.25">
      <c r="A10" s="25" t="s">
        <v>25</v>
      </c>
      <c r="B10" s="71">
        <v>0.05</v>
      </c>
      <c r="C10" s="17" t="s">
        <v>26</v>
      </c>
      <c r="D10" s="181"/>
      <c r="E10" s="64">
        <f t="shared" si="1"/>
        <v>7</v>
      </c>
      <c r="F10" s="10">
        <f>IF((E10&lt;='Alternative 1'!$B$12),F9+1,"x")</f>
        <v>7</v>
      </c>
      <c r="G10" s="1">
        <f>IF(E10&lt;='Alternative 1'!$B$12,G9+1,0)</f>
        <v>6.5</v>
      </c>
      <c r="H10" s="62">
        <f t="shared" si="2"/>
        <v>2.0067222222222223</v>
      </c>
      <c r="I10" s="60">
        <f t="shared" si="3"/>
        <v>0.99838888888888899</v>
      </c>
      <c r="J10" s="60">
        <f t="shared" si="4"/>
        <v>0.97838888888888897</v>
      </c>
      <c r="K10" s="14">
        <f t="shared" si="5"/>
        <v>0.98838888888888898</v>
      </c>
      <c r="L10" s="10">
        <f t="shared" si="0"/>
        <v>0.12420450597777778</v>
      </c>
      <c r="M10" s="10">
        <f t="shared" si="6"/>
        <v>3.0690617721970161</v>
      </c>
      <c r="N10" s="10">
        <f t="shared" si="7"/>
        <v>0.2011712252425544</v>
      </c>
      <c r="O10" s="10">
        <f t="shared" si="8"/>
        <v>35.086197465979652</v>
      </c>
      <c r="P10" s="10">
        <f t="shared" si="9"/>
        <v>7.1412511944241466</v>
      </c>
    </row>
    <row r="11" spans="1:17" x14ac:dyDescent="0.25">
      <c r="A11" s="177" t="s">
        <v>15</v>
      </c>
      <c r="B11" s="177"/>
      <c r="C11" s="177"/>
      <c r="D11" s="181"/>
      <c r="E11" s="64">
        <f t="shared" si="1"/>
        <v>8</v>
      </c>
      <c r="F11" s="10">
        <f>IF((E11&lt;='Alternative 1'!$B$12),F10+1,"x")</f>
        <v>8</v>
      </c>
      <c r="G11" s="1">
        <f>IF(E11&lt;='Alternative 1'!$B$12,G10+1,0)</f>
        <v>7.5</v>
      </c>
      <c r="H11" s="62">
        <f t="shared" si="2"/>
        <v>1.9868333333333335</v>
      </c>
      <c r="I11" s="60">
        <f t="shared" si="3"/>
        <v>0.98844444444444446</v>
      </c>
      <c r="J11" s="60">
        <f t="shared" si="4"/>
        <v>0.96844444444444444</v>
      </c>
      <c r="K11" s="14">
        <f t="shared" si="5"/>
        <v>0.97844444444444445</v>
      </c>
      <c r="L11" s="10">
        <f t="shared" si="0"/>
        <v>0.12295485128888889</v>
      </c>
      <c r="M11" s="10">
        <f t="shared" si="6"/>
        <v>3.0076151510882467</v>
      </c>
      <c r="N11" s="10">
        <f t="shared" si="7"/>
        <v>0.20219094518084377</v>
      </c>
      <c r="O11" s="10">
        <f t="shared" si="8"/>
        <v>39.896280515686165</v>
      </c>
      <c r="P11" s="10">
        <f t="shared" si="9"/>
        <v>8.2443788326141263</v>
      </c>
    </row>
    <row r="12" spans="1:17" x14ac:dyDescent="0.25">
      <c r="A12" s="25" t="s">
        <v>16</v>
      </c>
      <c r="B12" s="71">
        <v>36</v>
      </c>
      <c r="C12" s="17" t="s">
        <v>1</v>
      </c>
      <c r="D12" s="181"/>
      <c r="E12" s="64">
        <f t="shared" si="1"/>
        <v>9</v>
      </c>
      <c r="F12" s="10">
        <f>IF((E12&lt;='Alternative 1'!$B$12),F11+1,"x")</f>
        <v>9</v>
      </c>
      <c r="G12" s="1">
        <f>IF(E12&lt;='Alternative 1'!$B$12,G11+1,0)</f>
        <v>8.5</v>
      </c>
      <c r="H12" s="62">
        <f t="shared" si="2"/>
        <v>1.9669444444444446</v>
      </c>
      <c r="I12" s="60">
        <f t="shared" si="3"/>
        <v>0.97850000000000004</v>
      </c>
      <c r="J12" s="60">
        <f t="shared" si="4"/>
        <v>0.95850000000000002</v>
      </c>
      <c r="K12" s="14">
        <f t="shared" si="5"/>
        <v>0.96850000000000003</v>
      </c>
      <c r="L12" s="10">
        <f t="shared" si="0"/>
        <v>0.12170519660000001</v>
      </c>
      <c r="M12" s="10">
        <f t="shared" si="6"/>
        <v>2.9467898866542503</v>
      </c>
      <c r="N12" s="10">
        <f t="shared" si="7"/>
        <v>0.20322633062368933</v>
      </c>
      <c r="O12" s="10">
        <f t="shared" si="8"/>
        <v>44.654646728843517</v>
      </c>
      <c r="P12" s="10">
        <f t="shared" si="9"/>
        <v>9.3701600413009807</v>
      </c>
    </row>
    <row r="13" spans="1:17" x14ac:dyDescent="0.25">
      <c r="A13" s="25" t="s">
        <v>17</v>
      </c>
      <c r="B13" s="130">
        <f>'Center of Gravity'!AB6</f>
        <v>31215.543190081382</v>
      </c>
      <c r="C13" s="17" t="s">
        <v>2</v>
      </c>
      <c r="D13" s="181"/>
      <c r="E13" s="64">
        <f t="shared" si="1"/>
        <v>10</v>
      </c>
      <c r="F13" s="10">
        <f>IF((E13&lt;='Alternative 1'!$B$12),F12+1,"x")</f>
        <v>10</v>
      </c>
      <c r="G13" s="1">
        <f>IF(E13&lt;='Alternative 1'!$B$12,G12+1,0)</f>
        <v>9.5</v>
      </c>
      <c r="H13" s="62">
        <f t="shared" si="2"/>
        <v>1.9470555555555555</v>
      </c>
      <c r="I13" s="60">
        <f t="shared" si="3"/>
        <v>0.96855555555555561</v>
      </c>
      <c r="J13" s="60">
        <f t="shared" si="4"/>
        <v>0.9485555555555556</v>
      </c>
      <c r="K13" s="14">
        <f t="shared" si="5"/>
        <v>0.95855555555555561</v>
      </c>
      <c r="L13" s="10">
        <f t="shared" si="0"/>
        <v>0.12045554191111112</v>
      </c>
      <c r="M13" s="10">
        <f t="shared" si="6"/>
        <v>2.8865859788950248</v>
      </c>
      <c r="N13" s="10">
        <f t="shared" si="7"/>
        <v>0.20427778682704117</v>
      </c>
      <c r="O13" s="10">
        <f t="shared" si="8"/>
        <v>49.360889844918546</v>
      </c>
      <c r="P13" s="10">
        <f t="shared" si="9"/>
        <v>10.519299872493333</v>
      </c>
    </row>
    <row r="14" spans="1:17" x14ac:dyDescent="0.25">
      <c r="A14" s="25" t="s">
        <v>17</v>
      </c>
      <c r="B14" s="130">
        <f>B13*9.80665</f>
        <v>306119.90662501159</v>
      </c>
      <c r="C14" s="17" t="s">
        <v>41</v>
      </c>
      <c r="D14" s="181"/>
      <c r="E14" s="64">
        <f t="shared" si="1"/>
        <v>11</v>
      </c>
      <c r="F14" s="10">
        <f>IF((E14&lt;='Alternative 1'!$B$12),F13+1,"x")</f>
        <v>11</v>
      </c>
      <c r="G14" s="1">
        <f>IF(E14&lt;='Alternative 1'!$B$12,G13+1,0)</f>
        <v>10.5</v>
      </c>
      <c r="H14" s="62">
        <f t="shared" si="2"/>
        <v>1.9271666666666667</v>
      </c>
      <c r="I14" s="60">
        <f t="shared" si="3"/>
        <v>0.95861111111111119</v>
      </c>
      <c r="J14" s="60">
        <f t="shared" si="4"/>
        <v>0.93861111111111117</v>
      </c>
      <c r="K14" s="14">
        <f t="shared" si="5"/>
        <v>0.94861111111111118</v>
      </c>
      <c r="L14" s="10">
        <f t="shared" si="0"/>
        <v>0.11920588722222222</v>
      </c>
      <c r="M14" s="10">
        <f t="shared" si="6"/>
        <v>2.8270034278105713</v>
      </c>
      <c r="N14" s="10">
        <f t="shared" si="7"/>
        <v>0.20534573387755434</v>
      </c>
      <c r="O14" s="10">
        <f t="shared" si="8"/>
        <v>54.014595079343209</v>
      </c>
      <c r="P14" s="10">
        <f t="shared" si="9"/>
        <v>11.692532942898975</v>
      </c>
    </row>
    <row r="15" spans="1:17" x14ac:dyDescent="0.25">
      <c r="A15" s="25" t="s">
        <v>144</v>
      </c>
      <c r="B15" s="71">
        <v>1.42</v>
      </c>
      <c r="C15" s="17" t="s">
        <v>1</v>
      </c>
      <c r="D15" s="181"/>
      <c r="E15" s="64">
        <f t="shared" si="1"/>
        <v>12</v>
      </c>
      <c r="F15" s="10">
        <f>IF((E15&lt;='Alternative 1'!$B$12),F14+1,"x")</f>
        <v>12</v>
      </c>
      <c r="G15" s="1">
        <f>IF(E15&lt;='Alternative 1'!$B$12,G14+1,0)</f>
        <v>11.5</v>
      </c>
      <c r="H15" s="62">
        <f t="shared" si="2"/>
        <v>1.9072777777777778</v>
      </c>
      <c r="I15" s="60">
        <f t="shared" si="3"/>
        <v>0.94866666666666666</v>
      </c>
      <c r="J15" s="60">
        <f t="shared" si="4"/>
        <v>0.92866666666666664</v>
      </c>
      <c r="K15" s="14">
        <f t="shared" si="5"/>
        <v>0.93866666666666665</v>
      </c>
      <c r="L15" s="10">
        <f t="shared" si="0"/>
        <v>0.11795623253333332</v>
      </c>
      <c r="M15" s="10">
        <f t="shared" si="6"/>
        <v>2.7680422334008887</v>
      </c>
      <c r="N15" s="10">
        <f t="shared" si="7"/>
        <v>0.20643060739777816</v>
      </c>
      <c r="O15" s="10">
        <f t="shared" si="8"/>
        <v>58.615338842093792</v>
      </c>
      <c r="P15" s="10">
        <f t="shared" si="9"/>
        <v>12.890625</v>
      </c>
    </row>
    <row r="16" spans="1:17" x14ac:dyDescent="0.25">
      <c r="A16" s="25" t="s">
        <v>145</v>
      </c>
      <c r="B16" s="71">
        <v>2.1360000000000001</v>
      </c>
      <c r="C16" s="17" t="s">
        <v>1</v>
      </c>
      <c r="D16" s="181"/>
      <c r="E16" s="64">
        <f t="shared" si="1"/>
        <v>13</v>
      </c>
      <c r="F16" s="10">
        <f>IF((E16&lt;='Alternative 1'!$B$12),F15+1,"x")</f>
        <v>13</v>
      </c>
      <c r="G16" s="1">
        <f>IF(E16&lt;='Alternative 1'!$B$12,G15+1,0)</f>
        <v>12.5</v>
      </c>
      <c r="H16" s="62">
        <f t="shared" si="2"/>
        <v>1.887388888888889</v>
      </c>
      <c r="I16" s="60">
        <f t="shared" si="3"/>
        <v>0.93872222222222224</v>
      </c>
      <c r="J16" s="60">
        <f t="shared" si="4"/>
        <v>0.91872222222222222</v>
      </c>
      <c r="K16" s="14">
        <f t="shared" si="5"/>
        <v>0.92872222222222223</v>
      </c>
      <c r="L16" s="10">
        <f t="shared" si="0"/>
        <v>0.11670657784444444</v>
      </c>
      <c r="M16" s="10">
        <f t="shared" si="6"/>
        <v>2.7097023956659783</v>
      </c>
      <c r="N16" s="10">
        <f t="shared" si="7"/>
        <v>0.20753285929276569</v>
      </c>
      <c r="O16" s="10">
        <f t="shared" si="8"/>
        <v>63.162688443671776</v>
      </c>
      <c r="P16" s="10">
        <f t="shared" si="9"/>
        <v>14.114374588741999</v>
      </c>
    </row>
    <row r="17" spans="1:16" x14ac:dyDescent="0.25">
      <c r="A17" s="25" t="s">
        <v>146</v>
      </c>
      <c r="B17" s="71">
        <v>0.02</v>
      </c>
      <c r="C17" s="17" t="s">
        <v>1</v>
      </c>
      <c r="D17" s="181"/>
      <c r="E17" s="64">
        <f t="shared" si="1"/>
        <v>14</v>
      </c>
      <c r="F17" s="10">
        <f>IF((E17&lt;='Alternative 1'!$B$12),F16+1,"x")</f>
        <v>14</v>
      </c>
      <c r="G17" s="1">
        <f>IF(E17&lt;='Alternative 1'!$B$12,G16+1,0)</f>
        <v>13.5</v>
      </c>
      <c r="H17" s="62">
        <f t="shared" si="2"/>
        <v>1.8675000000000002</v>
      </c>
      <c r="I17" s="60">
        <f t="shared" si="3"/>
        <v>0.92877777777777781</v>
      </c>
      <c r="J17" s="60">
        <f t="shared" si="4"/>
        <v>0.9087777777777778</v>
      </c>
      <c r="K17" s="14">
        <f t="shared" si="5"/>
        <v>0.9187777777777778</v>
      </c>
      <c r="L17" s="10">
        <f t="shared" si="0"/>
        <v>0.11545692315555556</v>
      </c>
      <c r="M17" s="10">
        <f t="shared" si="6"/>
        <v>2.6519839146058395</v>
      </c>
      <c r="N17" s="10">
        <f t="shared" si="7"/>
        <v>0.20865295854100996</v>
      </c>
      <c r="O17" s="10">
        <f t="shared" si="8"/>
        <v>67.656201787774265</v>
      </c>
      <c r="P17" s="10">
        <f t="shared" si="9"/>
        <v>15.364614826460274</v>
      </c>
    </row>
    <row r="18" spans="1:16" x14ac:dyDescent="0.25">
      <c r="A18" s="177" t="s">
        <v>50</v>
      </c>
      <c r="B18" s="177"/>
      <c r="C18" s="177"/>
      <c r="D18" s="181"/>
      <c r="E18" s="64">
        <f t="shared" si="1"/>
        <v>15</v>
      </c>
      <c r="F18" s="10">
        <f>IF((E18&lt;='Alternative 1'!$B$12),F17+1,"x")</f>
        <v>15</v>
      </c>
      <c r="G18" s="1">
        <f>IF(E18&lt;='Alternative 1'!$B$12,G17+1,0)</f>
        <v>14.5</v>
      </c>
      <c r="H18" s="62">
        <f t="shared" si="2"/>
        <v>1.8476111111111111</v>
      </c>
      <c r="I18" s="60">
        <f t="shared" si="3"/>
        <v>0.91883333333333339</v>
      </c>
      <c r="J18" s="60">
        <f t="shared" si="4"/>
        <v>0.89883333333333337</v>
      </c>
      <c r="K18" s="14">
        <f t="shared" si="5"/>
        <v>0.90883333333333338</v>
      </c>
      <c r="L18" s="10">
        <f t="shared" si="0"/>
        <v>0.11420726846666668</v>
      </c>
      <c r="M18" s="10">
        <f t="shared" si="6"/>
        <v>2.5948867902204724</v>
      </c>
      <c r="N18" s="10">
        <f t="shared" si="7"/>
        <v>0.20979139203285121</v>
      </c>
      <c r="O18" s="10">
        <f t="shared" si="8"/>
        <v>72.095427049893345</v>
      </c>
      <c r="P18" s="10">
        <f t="shared" si="9"/>
        <v>16.642215294333393</v>
      </c>
    </row>
    <row r="19" spans="1:16" x14ac:dyDescent="0.25">
      <c r="A19" s="22" t="s">
        <v>51</v>
      </c>
      <c r="B19" s="131">
        <f>'Column Buckling'!S18</f>
        <v>2.1070739335506223</v>
      </c>
      <c r="C19" s="24" t="s">
        <v>56</v>
      </c>
      <c r="D19" s="181"/>
      <c r="E19" s="64">
        <f t="shared" si="1"/>
        <v>16</v>
      </c>
      <c r="F19" s="10">
        <f>IF((E19&lt;='Alternative 1'!$B$12),F18+1,"x")</f>
        <v>16</v>
      </c>
      <c r="G19" s="1">
        <f>IF(E19&lt;='Alternative 1'!$B$12,G18+1,0)</f>
        <v>15.5</v>
      </c>
      <c r="H19" s="62">
        <f t="shared" si="2"/>
        <v>1.8277222222222222</v>
      </c>
      <c r="I19" s="60">
        <f t="shared" si="3"/>
        <v>0.90888888888888886</v>
      </c>
      <c r="J19" s="60">
        <f t="shared" si="4"/>
        <v>0.88888888888888884</v>
      </c>
      <c r="K19" s="14">
        <f t="shared" si="5"/>
        <v>0.89888888888888885</v>
      </c>
      <c r="L19" s="10">
        <f t="shared" si="0"/>
        <v>0.11295761377777779</v>
      </c>
      <c r="M19" s="10">
        <f t="shared" si="6"/>
        <v>2.5384110225098762</v>
      </c>
      <c r="N19" s="10">
        <f t="shared" si="7"/>
        <v>0.21094866545975946</v>
      </c>
      <c r="O19" s="10">
        <f t="shared" si="8"/>
        <v>76.479902341031519</v>
      </c>
      <c r="P19" s="10">
        <f t="shared" si="9"/>
        <v>17.948084054388133</v>
      </c>
    </row>
    <row r="20" spans="1:16" x14ac:dyDescent="0.25">
      <c r="A20" s="22" t="s">
        <v>52</v>
      </c>
      <c r="B20" s="82">
        <v>250</v>
      </c>
      <c r="C20" s="17" t="s">
        <v>0</v>
      </c>
      <c r="D20" s="181"/>
      <c r="E20" s="64">
        <f t="shared" si="1"/>
        <v>17</v>
      </c>
      <c r="F20" s="10">
        <f>IF((E20&lt;='Alternative 1'!$B$12),F19+1,"x")</f>
        <v>17</v>
      </c>
      <c r="G20" s="1">
        <f>IF(E20&lt;='Alternative 1'!$B$12,G19+1,0)</f>
        <v>16.5</v>
      </c>
      <c r="H20" s="62">
        <f t="shared" si="2"/>
        <v>1.8078333333333334</v>
      </c>
      <c r="I20" s="60">
        <f t="shared" si="3"/>
        <v>0.89894444444444443</v>
      </c>
      <c r="J20" s="60">
        <f t="shared" si="4"/>
        <v>0.87894444444444442</v>
      </c>
      <c r="K20" s="14">
        <f t="shared" si="5"/>
        <v>0.88894444444444443</v>
      </c>
      <c r="L20" s="10">
        <f t="shared" si="0"/>
        <v>0.11170795908888888</v>
      </c>
      <c r="M20" s="10">
        <f t="shared" si="6"/>
        <v>2.482556611474052</v>
      </c>
      <c r="N20" s="10">
        <f t="shared" si="7"/>
        <v>0.21212530425818119</v>
      </c>
      <c r="O20" s="10">
        <f t="shared" si="8"/>
        <v>80.809155355663094</v>
      </c>
      <c r="P20" s="10">
        <f t="shared" si="9"/>
        <v>19.283169801887382</v>
      </c>
    </row>
    <row r="21" spans="1:16" x14ac:dyDescent="0.25">
      <c r="A21" s="22" t="s">
        <v>52</v>
      </c>
      <c r="B21" s="82">
        <v>50</v>
      </c>
      <c r="C21" s="17" t="s">
        <v>53</v>
      </c>
      <c r="D21" s="181"/>
      <c r="E21" s="64">
        <f t="shared" si="1"/>
        <v>18</v>
      </c>
      <c r="F21" s="10">
        <f>IF((E21&lt;='Alternative 1'!$B$12),F20+1,"x")</f>
        <v>18</v>
      </c>
      <c r="G21" s="1">
        <f>IF(E21&lt;='Alternative 1'!$B$12,G20+1,0)</f>
        <v>17.5</v>
      </c>
      <c r="H21" s="62">
        <f t="shared" si="2"/>
        <v>1.7879444444444446</v>
      </c>
      <c r="I21" s="60">
        <f t="shared" si="3"/>
        <v>0.88900000000000001</v>
      </c>
      <c r="J21" s="60">
        <f t="shared" si="4"/>
        <v>0.86899999999999999</v>
      </c>
      <c r="K21" s="14">
        <f t="shared" si="5"/>
        <v>0.879</v>
      </c>
      <c r="L21" s="10">
        <f t="shared" si="0"/>
        <v>0.1104583044</v>
      </c>
      <c r="M21" s="10">
        <f t="shared" si="6"/>
        <v>2.4273235571130001</v>
      </c>
      <c r="N21" s="10">
        <f t="shared" si="7"/>
        <v>0.21332185461195227</v>
      </c>
      <c r="O21" s="10">
        <f t="shared" si="8"/>
        <v>85.082703003009925</v>
      </c>
      <c r="P21" s="10">
        <f t="shared" si="9"/>
        <v>20.648464163822524</v>
      </c>
    </row>
    <row r="22" spans="1:16" x14ac:dyDescent="0.25">
      <c r="A22" s="22" t="s">
        <v>54</v>
      </c>
      <c r="B22" s="82">
        <v>200000</v>
      </c>
      <c r="C22" s="17" t="s">
        <v>0</v>
      </c>
      <c r="D22" s="181"/>
      <c r="E22" s="64">
        <f t="shared" si="1"/>
        <v>19</v>
      </c>
      <c r="F22" s="10">
        <f>IF((E22&lt;='Alternative 1'!$B$12),F21+1,"x")</f>
        <v>19</v>
      </c>
      <c r="G22" s="1">
        <f>IF(E22&lt;='Alternative 1'!$B$12,G21+1,0)</f>
        <v>18.5</v>
      </c>
      <c r="H22" s="62">
        <f t="shared" si="2"/>
        <v>1.7680555555555557</v>
      </c>
      <c r="I22" s="60">
        <f t="shared" si="3"/>
        <v>0.87905555555555559</v>
      </c>
      <c r="J22" s="60">
        <f t="shared" si="4"/>
        <v>0.85905555555555557</v>
      </c>
      <c r="K22" s="14">
        <f t="shared" si="5"/>
        <v>0.86905555555555558</v>
      </c>
      <c r="L22" s="10">
        <f t="shared" si="0"/>
        <v>0.10920864971111112</v>
      </c>
      <c r="M22" s="10">
        <f t="shared" si="6"/>
        <v>2.3727118594267189</v>
      </c>
      <c r="N22" s="10">
        <f t="shared" si="7"/>
        <v>0.21453888451761999</v>
      </c>
      <c r="O22" s="10">
        <f t="shared" si="8"/>
        <v>89.300051020633816</v>
      </c>
      <c r="P22" s="10">
        <f t="shared" si="9"/>
        <v>22.045004155213192</v>
      </c>
    </row>
    <row r="23" spans="1:16" x14ac:dyDescent="0.25">
      <c r="A23" s="22" t="s">
        <v>55</v>
      </c>
      <c r="B23" s="82">
        <v>1.67</v>
      </c>
      <c r="C23" s="24" t="s">
        <v>56</v>
      </c>
      <c r="D23" s="181"/>
      <c r="E23" s="64">
        <f t="shared" si="1"/>
        <v>20</v>
      </c>
      <c r="F23" s="10">
        <f>IF((E23&lt;='Alternative 1'!$B$12),F22+1,"x")</f>
        <v>20</v>
      </c>
      <c r="G23" s="1">
        <f>IF(E23&lt;='Alternative 1'!$B$12,G22+1,0)</f>
        <v>19.5</v>
      </c>
      <c r="H23" s="62">
        <f t="shared" si="2"/>
        <v>1.7481666666666666</v>
      </c>
      <c r="I23" s="60">
        <f t="shared" si="3"/>
        <v>0.86911111111111117</v>
      </c>
      <c r="J23" s="60">
        <f t="shared" si="4"/>
        <v>0.84911111111111115</v>
      </c>
      <c r="K23" s="14">
        <f t="shared" si="5"/>
        <v>0.85911111111111116</v>
      </c>
      <c r="L23" s="10">
        <f t="shared" si="0"/>
        <v>0.10795899502222224</v>
      </c>
      <c r="M23" s="10">
        <f t="shared" si="6"/>
        <v>2.3187215184152099</v>
      </c>
      <c r="N23" s="10">
        <f t="shared" si="7"/>
        <v>0.2157769849173945</v>
      </c>
      <c r="O23" s="10">
        <f t="shared" si="8"/>
        <v>93.460693569274923</v>
      </c>
      <c r="P23" s="10">
        <f t="shared" si="9"/>
        <v>23.473874806001032</v>
      </c>
    </row>
    <row r="24" spans="1:16" x14ac:dyDescent="0.25">
      <c r="A24" s="177" t="s">
        <v>64</v>
      </c>
      <c r="B24" s="177"/>
      <c r="C24" s="177"/>
      <c r="D24" s="181"/>
      <c r="E24" s="64">
        <f t="shared" si="1"/>
        <v>21</v>
      </c>
      <c r="F24" s="10">
        <f>IF((E24&lt;='Alternative 1'!$B$12),F23+1,"x")</f>
        <v>21</v>
      </c>
      <c r="G24" s="1">
        <f>IF(E24&lt;='Alternative 1'!$B$12,G23+1,0)</f>
        <v>20.5</v>
      </c>
      <c r="H24" s="62">
        <f t="shared" si="2"/>
        <v>1.7282777777777778</v>
      </c>
      <c r="I24" s="60">
        <f t="shared" si="3"/>
        <v>0.85916666666666663</v>
      </c>
      <c r="J24" s="60">
        <f t="shared" si="4"/>
        <v>0.83916666666666662</v>
      </c>
      <c r="K24" s="14">
        <f t="shared" si="5"/>
        <v>0.84916666666666663</v>
      </c>
      <c r="L24" s="10">
        <f t="shared" si="0"/>
        <v>0.10670934033333332</v>
      </c>
      <c r="M24" s="10">
        <f t="shared" si="6"/>
        <v>2.2653525340784717</v>
      </c>
      <c r="N24" s="10">
        <f t="shared" si="7"/>
        <v>0.21703677090486317</v>
      </c>
      <c r="O24" s="10">
        <f t="shared" si="8"/>
        <v>97.564112807787495</v>
      </c>
      <c r="P24" s="10">
        <f t="shared" si="9"/>
        <v>24.936211972522081</v>
      </c>
    </row>
    <row r="25" spans="1:16" x14ac:dyDescent="0.25">
      <c r="A25" s="22" t="s">
        <v>65</v>
      </c>
      <c r="B25" s="130">
        <f>B13</f>
        <v>31215.543190081382</v>
      </c>
      <c r="C25" s="23" t="s">
        <v>2</v>
      </c>
      <c r="D25" s="181"/>
      <c r="E25" s="64">
        <f t="shared" si="1"/>
        <v>22</v>
      </c>
      <c r="F25" s="10">
        <f>IF((E25&lt;='Alternative 1'!$B$12),F24+1,"x")</f>
        <v>22</v>
      </c>
      <c r="G25" s="1">
        <f>IF(E25&lt;='Alternative 1'!$B$12,G24+1,0)</f>
        <v>21.5</v>
      </c>
      <c r="H25" s="62">
        <f t="shared" si="2"/>
        <v>1.708388888888889</v>
      </c>
      <c r="I25" s="60">
        <f t="shared" si="3"/>
        <v>0.84922222222222221</v>
      </c>
      <c r="J25" s="60">
        <f t="shared" si="4"/>
        <v>0.82922222222222219</v>
      </c>
      <c r="K25" s="14">
        <f t="shared" si="5"/>
        <v>0.8392222222222222</v>
      </c>
      <c r="L25" s="10">
        <f t="shared" si="0"/>
        <v>0.10545968564444444</v>
      </c>
      <c r="M25" s="10">
        <f t="shared" si="6"/>
        <v>2.2126049064165061</v>
      </c>
      <c r="N25" s="10">
        <f t="shared" si="7"/>
        <v>0.21831888300905469</v>
      </c>
      <c r="O25" s="10">
        <f t="shared" si="8"/>
        <v>101.60977844693942</v>
      </c>
      <c r="P25" s="10">
        <f t="shared" si="9"/>
        <v>26.433205348868</v>
      </c>
    </row>
    <row r="26" spans="1:16" x14ac:dyDescent="0.25">
      <c r="A26" s="22" t="s">
        <v>66</v>
      </c>
      <c r="B26" s="77">
        <f>B12</f>
        <v>36</v>
      </c>
      <c r="C26" s="23" t="s">
        <v>1</v>
      </c>
      <c r="D26" s="181"/>
      <c r="E26" s="64">
        <f t="shared" si="1"/>
        <v>23</v>
      </c>
      <c r="F26" s="10">
        <f>IF((E26&lt;='Alternative 1'!$B$12),F25+1,"x")</f>
        <v>23</v>
      </c>
      <c r="G26" s="1">
        <f>IF(E26&lt;='Alternative 1'!$B$12,G25+1,0)</f>
        <v>22.5</v>
      </c>
      <c r="H26" s="62">
        <f t="shared" si="2"/>
        <v>1.6884999999999999</v>
      </c>
      <c r="I26" s="60">
        <f t="shared" si="3"/>
        <v>0.83927777777777779</v>
      </c>
      <c r="J26" s="60">
        <f t="shared" si="4"/>
        <v>0.81927777777777777</v>
      </c>
      <c r="K26" s="14">
        <f t="shared" si="5"/>
        <v>0.82927777777777778</v>
      </c>
      <c r="L26" s="10">
        <f t="shared" si="0"/>
        <v>0.10421003095555556</v>
      </c>
      <c r="M26" s="10">
        <f t="shared" si="6"/>
        <v>2.1604786354293113</v>
      </c>
      <c r="N26" s="10">
        <f t="shared" si="7"/>
        <v>0.21962398856294357</v>
      </c>
      <c r="O26" s="10">
        <f t="shared" si="8"/>
        <v>105.59714728074891</v>
      </c>
      <c r="P26" s="10">
        <f t="shared" si="9"/>
        <v>27.966101694915253</v>
      </c>
    </row>
    <row r="27" spans="1:16" x14ac:dyDescent="0.25">
      <c r="A27" s="22" t="s">
        <v>67</v>
      </c>
      <c r="B27" s="77">
        <f>'Center of Gravity'!AB4</f>
        <v>16</v>
      </c>
      <c r="C27" s="23" t="s">
        <v>1</v>
      </c>
      <c r="D27" s="181"/>
      <c r="E27" s="64">
        <f t="shared" si="1"/>
        <v>24</v>
      </c>
      <c r="F27" s="10">
        <f>IF((E27&lt;='Alternative 1'!$B$12),F26+1,"x")</f>
        <v>24</v>
      </c>
      <c r="G27" s="1">
        <f>IF(E27&lt;='Alternative 1'!$B$12,G26+1,0)</f>
        <v>23.5</v>
      </c>
      <c r="H27" s="62">
        <f t="shared" si="2"/>
        <v>1.668611111111111</v>
      </c>
      <c r="I27" s="60">
        <f t="shared" si="3"/>
        <v>0.82933333333333337</v>
      </c>
      <c r="J27" s="60">
        <f t="shared" si="4"/>
        <v>0.80933333333333335</v>
      </c>
      <c r="K27" s="14">
        <f t="shared" si="5"/>
        <v>0.81933333333333336</v>
      </c>
      <c r="L27" s="10">
        <f t="shared" si="0"/>
        <v>0.10296037626666667</v>
      </c>
      <c r="M27" s="10">
        <f t="shared" si="6"/>
        <v>2.1089737211168891</v>
      </c>
      <c r="N27" s="10">
        <f t="shared" si="7"/>
        <v>0.22095278316303529</v>
      </c>
      <c r="O27" s="10">
        <f t="shared" si="8"/>
        <v>109.52566269393154</v>
      </c>
      <c r="P27" s="10">
        <f t="shared" si="9"/>
        <v>29.536208299430431</v>
      </c>
    </row>
    <row r="28" spans="1:16" x14ac:dyDescent="0.25">
      <c r="A28" s="22" t="s">
        <v>177</v>
      </c>
      <c r="B28" s="78">
        <f>ROUND(((B26-B27)/3+B27),2)</f>
        <v>22.67</v>
      </c>
      <c r="C28" s="23"/>
      <c r="D28" s="181"/>
      <c r="E28" s="64">
        <f t="shared" si="1"/>
        <v>25</v>
      </c>
      <c r="F28" s="10">
        <f>IF((E28&lt;='Alternative 1'!$B$12),F27+1,"x")</f>
        <v>25</v>
      </c>
      <c r="G28" s="1">
        <f>IF(E28&lt;='Alternative 1'!$B$12,G27+1,0)</f>
        <v>24.5</v>
      </c>
      <c r="H28" s="62">
        <f t="shared" si="2"/>
        <v>1.6487222222222222</v>
      </c>
      <c r="I28" s="60">
        <f t="shared" si="3"/>
        <v>0.81938888888888894</v>
      </c>
      <c r="J28" s="60">
        <f t="shared" si="4"/>
        <v>0.79938888888888893</v>
      </c>
      <c r="K28" s="14">
        <f t="shared" si="5"/>
        <v>0.80938888888888894</v>
      </c>
      <c r="L28" s="10">
        <f t="shared" si="0"/>
        <v>0.10171072157777777</v>
      </c>
      <c r="M28" s="10">
        <f t="shared" si="6"/>
        <v>2.0580901634792381</v>
      </c>
      <c r="N28" s="10">
        <f t="shared" si="7"/>
        <v>0.22230599222728561</v>
      </c>
      <c r="O28" s="10">
        <f t="shared" si="8"/>
        <v>113.39475414392041</v>
      </c>
      <c r="P28" s="10">
        <f t="shared" si="9"/>
        <v>31.144896698469349</v>
      </c>
    </row>
    <row r="29" spans="1:16" x14ac:dyDescent="0.25">
      <c r="A29" s="22" t="s">
        <v>178</v>
      </c>
      <c r="B29" s="79">
        <f>ROUNDDOWN((2*(B26-B27)/3+B27),2)</f>
        <v>29.33</v>
      </c>
      <c r="C29" s="23"/>
      <c r="D29" s="181"/>
      <c r="E29" s="64">
        <f t="shared" si="1"/>
        <v>26</v>
      </c>
      <c r="F29" s="10">
        <f>IF((E29&lt;='Alternative 1'!$B$12),F28+1,"x")</f>
        <v>26</v>
      </c>
      <c r="G29" s="1">
        <f>IF(E29&lt;='Alternative 1'!$B$12,G28+1,0)</f>
        <v>25.5</v>
      </c>
      <c r="H29" s="62">
        <f t="shared" si="2"/>
        <v>1.6288333333333334</v>
      </c>
      <c r="I29" s="60">
        <f t="shared" si="3"/>
        <v>0.80944444444444441</v>
      </c>
      <c r="J29" s="60">
        <f t="shared" si="4"/>
        <v>0.78944444444444439</v>
      </c>
      <c r="K29" s="14">
        <f t="shared" si="5"/>
        <v>0.7994444444444444</v>
      </c>
      <c r="L29" s="10">
        <f t="shared" si="0"/>
        <v>0.10046106688888888</v>
      </c>
      <c r="M29" s="10">
        <f t="shared" si="6"/>
        <v>2.007827962516358</v>
      </c>
      <c r="N29" s="10">
        <f t="shared" si="7"/>
        <v>0.22368437265927876</v>
      </c>
      <c r="O29" s="10">
        <f t="shared" si="8"/>
        <v>117.20383661580374</v>
      </c>
      <c r="P29" s="10">
        <f t="shared" si="9"/>
        <v>32.793606671299514</v>
      </c>
    </row>
    <row r="30" spans="1:16" x14ac:dyDescent="0.25">
      <c r="A30" s="22" t="s">
        <v>184</v>
      </c>
      <c r="B30" s="132">
        <f>'Alternative 1-Tilt Up (3pt)'!N5</f>
        <v>5996068.2740079593</v>
      </c>
      <c r="C30" s="23" t="s">
        <v>41</v>
      </c>
      <c r="D30" s="181"/>
      <c r="E30" s="64">
        <f t="shared" si="1"/>
        <v>27</v>
      </c>
      <c r="F30" s="10">
        <f>IF((E30&lt;='Alternative 1'!$B$12),F29+1,"x")</f>
        <v>27</v>
      </c>
      <c r="G30" s="1">
        <f>IF(E30&lt;='Alternative 1'!$B$12,G29+1,0)</f>
        <v>26.5</v>
      </c>
      <c r="H30" s="62">
        <f t="shared" si="2"/>
        <v>1.6089444444444445</v>
      </c>
      <c r="I30" s="60">
        <f t="shared" si="3"/>
        <v>0.79949999999999999</v>
      </c>
      <c r="J30" s="60">
        <f t="shared" si="4"/>
        <v>0.77949999999999997</v>
      </c>
      <c r="K30" s="14">
        <f t="shared" si="5"/>
        <v>0.78949999999999998</v>
      </c>
      <c r="L30" s="10">
        <f t="shared" si="0"/>
        <v>9.9211412199999988E-2</v>
      </c>
      <c r="M30" s="10">
        <f t="shared" si="6"/>
        <v>1.9581871182282498</v>
      </c>
      <c r="N30" s="10">
        <f t="shared" si="7"/>
        <v>0.22508871462733876</v>
      </c>
      <c r="O30" s="10">
        <f t="shared" si="8"/>
        <v>120.95231004839241</v>
      </c>
      <c r="P30" s="10">
        <f t="shared" si="9"/>
        <v>34.483850538315387</v>
      </c>
    </row>
    <row r="31" spans="1:16" x14ac:dyDescent="0.25">
      <c r="A31" s="177" t="s">
        <v>185</v>
      </c>
      <c r="B31" s="177"/>
      <c r="C31" s="177"/>
      <c r="D31" s="181"/>
      <c r="E31" s="64">
        <f t="shared" si="1"/>
        <v>28</v>
      </c>
      <c r="F31" s="10">
        <f>IF((E31&lt;='Alternative 1'!$B$12),F30+1,"x")</f>
        <v>28</v>
      </c>
      <c r="G31" s="1">
        <f>IF(E31&lt;='Alternative 1'!$B$12,G30+1,0)</f>
        <v>27.5</v>
      </c>
      <c r="H31" s="62">
        <f t="shared" si="2"/>
        <v>1.5890555555555554</v>
      </c>
      <c r="I31" s="60">
        <f t="shared" si="3"/>
        <v>0.78955555555555557</v>
      </c>
      <c r="J31" s="60">
        <f t="shared" si="4"/>
        <v>0.76955555555555555</v>
      </c>
      <c r="K31" s="14">
        <f t="shared" si="5"/>
        <v>0.77955555555555556</v>
      </c>
      <c r="L31" s="10">
        <f t="shared" si="0"/>
        <v>9.7961757511111108E-2</v>
      </c>
      <c r="M31" s="10">
        <f t="shared" si="6"/>
        <v>1.9091676306149135</v>
      </c>
      <c r="N31" s="10">
        <f t="shared" si="7"/>
        <v>0.22651984346807363</v>
      </c>
      <c r="O31" s="10">
        <f t="shared" si="8"/>
        <v>124.63955872948775</v>
      </c>
      <c r="P31" s="10">
        <f t="shared" si="9"/>
        <v>36.217217787913341</v>
      </c>
    </row>
    <row r="32" spans="1:16" x14ac:dyDescent="0.25">
      <c r="A32" s="36" t="s">
        <v>46</v>
      </c>
      <c r="B32" s="70">
        <v>0.85</v>
      </c>
      <c r="C32" s="43" t="s">
        <v>56</v>
      </c>
      <c r="D32" s="181"/>
      <c r="E32" s="64">
        <f t="shared" si="1"/>
        <v>29</v>
      </c>
      <c r="F32" s="10">
        <f>IF((E32&lt;='Alternative 1'!$B$12),F31+1,"x")</f>
        <v>29</v>
      </c>
      <c r="G32" s="1">
        <f>IF(E32&lt;='Alternative 1'!$B$12,G31+1,0)</f>
        <v>28.5</v>
      </c>
      <c r="H32" s="62">
        <f t="shared" si="2"/>
        <v>1.5691666666666668</v>
      </c>
      <c r="I32" s="60">
        <f t="shared" si="3"/>
        <v>0.77961111111111103</v>
      </c>
      <c r="J32" s="60">
        <f t="shared" si="4"/>
        <v>0.75961111111111101</v>
      </c>
      <c r="K32" s="14">
        <f t="shared" si="5"/>
        <v>0.76961111111111102</v>
      </c>
      <c r="L32" s="10">
        <f t="shared" si="0"/>
        <v>9.6712102822222215E-2</v>
      </c>
      <c r="M32" s="10">
        <f t="shared" si="6"/>
        <v>1.8607694996763484</v>
      </c>
      <c r="N32" s="10">
        <f t="shared" si="7"/>
        <v>0.22797862172476988</v>
      </c>
      <c r="O32" s="10">
        <f t="shared" si="8"/>
        <v>128.26495065826413</v>
      </c>
      <c r="P32" s="10">
        <f t="shared" si="9"/>
        <v>37.995380062080422</v>
      </c>
    </row>
    <row r="33" spans="1:16" ht="18" x14ac:dyDescent="0.35">
      <c r="A33" s="36" t="s">
        <v>73</v>
      </c>
      <c r="B33" s="70">
        <v>0.7</v>
      </c>
      <c r="C33" s="43" t="s">
        <v>56</v>
      </c>
      <c r="D33" s="181"/>
      <c r="E33" s="64">
        <f t="shared" si="1"/>
        <v>30</v>
      </c>
      <c r="F33" s="10">
        <f>IF((E33&lt;='Alternative 1'!$B$12),F32+1,"x")</f>
        <v>30</v>
      </c>
      <c r="G33" s="1">
        <f>IF(E33&lt;='Alternative 1'!$B$12,G32+1,0)</f>
        <v>29.5</v>
      </c>
      <c r="H33" s="62">
        <f t="shared" si="2"/>
        <v>1.5492777777777778</v>
      </c>
      <c r="I33" s="60">
        <f t="shared" si="3"/>
        <v>0.76966666666666672</v>
      </c>
      <c r="J33" s="60">
        <f t="shared" si="4"/>
        <v>0.7496666666666667</v>
      </c>
      <c r="K33" s="14">
        <f t="shared" si="5"/>
        <v>0.75966666666666671</v>
      </c>
      <c r="L33" s="10">
        <f t="shared" si="0"/>
        <v>9.5462448133333336E-2</v>
      </c>
      <c r="M33" s="10">
        <f t="shared" si="6"/>
        <v>1.8129927254125557</v>
      </c>
      <c r="N33" s="10">
        <f t="shared" si="7"/>
        <v>0.22946595133207531</v>
      </c>
      <c r="O33" s="10">
        <f t="shared" si="8"/>
        <v>131.82783687250938</v>
      </c>
      <c r="P33" s="10">
        <f t="shared" si="9"/>
        <v>39.820096533567352</v>
      </c>
    </row>
    <row r="34" spans="1:16" ht="18" x14ac:dyDescent="0.35">
      <c r="A34" s="36" t="s">
        <v>75</v>
      </c>
      <c r="B34" s="70">
        <v>1</v>
      </c>
      <c r="C34" s="43" t="s">
        <v>56</v>
      </c>
      <c r="D34" s="181"/>
      <c r="E34" s="64">
        <f t="shared" si="1"/>
        <v>31</v>
      </c>
      <c r="F34" s="10">
        <f>IF((E34&lt;='Alternative 1'!$B$12),F33+1,"x")</f>
        <v>31</v>
      </c>
      <c r="G34" s="1">
        <f>IF(E34&lt;='Alternative 1'!$B$12,G33+1,0)</f>
        <v>30.5</v>
      </c>
      <c r="H34" s="62">
        <f t="shared" si="2"/>
        <v>1.5293888888888889</v>
      </c>
      <c r="I34" s="60">
        <f t="shared" si="3"/>
        <v>0.75972222222222219</v>
      </c>
      <c r="J34" s="60">
        <f t="shared" si="4"/>
        <v>0.73972222222222217</v>
      </c>
      <c r="K34" s="14">
        <f t="shared" si="5"/>
        <v>0.74972222222222218</v>
      </c>
      <c r="L34" s="10">
        <f t="shared" si="0"/>
        <v>9.4212793444444429E-2</v>
      </c>
      <c r="M34" s="10">
        <f t="shared" si="6"/>
        <v>1.7658373078235334</v>
      </c>
      <c r="N34" s="10">
        <f t="shared" si="7"/>
        <v>0.23098277595954136</v>
      </c>
      <c r="O34" s="10">
        <f t="shared" si="8"/>
        <v>135.32755073827886</v>
      </c>
      <c r="P34" s="10">
        <f t="shared" si="9"/>
        <v>41.693219711004076</v>
      </c>
    </row>
    <row r="35" spans="1:16" ht="18" x14ac:dyDescent="0.35">
      <c r="A35" s="36" t="s">
        <v>76</v>
      </c>
      <c r="B35" s="70">
        <v>0.95</v>
      </c>
      <c r="C35" s="43" t="s">
        <v>56</v>
      </c>
      <c r="D35" s="181"/>
      <c r="E35" s="64">
        <f t="shared" si="1"/>
        <v>32</v>
      </c>
      <c r="F35" s="10">
        <f>IF((E35&lt;='Alternative 1'!$B$12),F34+1,"x")</f>
        <v>32</v>
      </c>
      <c r="G35" s="1">
        <f>IF(E35&lt;='Alternative 1'!$B$12,G34+1,0)</f>
        <v>31.5</v>
      </c>
      <c r="H35" s="62">
        <f t="shared" si="2"/>
        <v>1.5095000000000001</v>
      </c>
      <c r="I35" s="60">
        <f t="shared" si="3"/>
        <v>0.74977777777777777</v>
      </c>
      <c r="J35" s="60">
        <f t="shared" si="4"/>
        <v>0.72977777777777775</v>
      </c>
      <c r="K35" s="14">
        <f t="shared" si="5"/>
        <v>0.73977777777777776</v>
      </c>
      <c r="L35" s="10">
        <f t="shared" si="0"/>
        <v>9.2963138755555549E-2</v>
      </c>
      <c r="M35" s="10">
        <f t="shared" si="6"/>
        <v>1.7193032469092839</v>
      </c>
      <c r="N35" s="10">
        <f t="shared" si="7"/>
        <v>0.23253008352785934</v>
      </c>
      <c r="O35" s="10">
        <f t="shared" si="8"/>
        <v>138.76340719931324</v>
      </c>
      <c r="P35" s="10">
        <f t="shared" si="9"/>
        <v>43.616701712225897</v>
      </c>
    </row>
    <row r="36" spans="1:16" ht="17.25" x14ac:dyDescent="0.25">
      <c r="A36" s="42" t="s">
        <v>77</v>
      </c>
      <c r="B36" s="70">
        <f>44.704^2</f>
        <v>1998.4476160000002</v>
      </c>
      <c r="C36" s="43" t="s">
        <v>56</v>
      </c>
      <c r="D36" s="181"/>
      <c r="E36" s="64">
        <f t="shared" si="1"/>
        <v>33</v>
      </c>
      <c r="F36" s="10">
        <f>IF((E36&lt;='Alternative 1'!$B$12),F35+1,"x")</f>
        <v>33</v>
      </c>
      <c r="G36" s="1">
        <f>IF(E36&lt;='Alternative 1'!$B$12,G35+1,0)</f>
        <v>32.5</v>
      </c>
      <c r="H36" s="62">
        <f t="shared" si="2"/>
        <v>1.489611111111111</v>
      </c>
      <c r="I36" s="60">
        <f t="shared" si="3"/>
        <v>0.73983333333333334</v>
      </c>
      <c r="J36" s="60">
        <f t="shared" si="4"/>
        <v>0.71983333333333333</v>
      </c>
      <c r="K36" s="14">
        <f t="shared" si="5"/>
        <v>0.72983333333333333</v>
      </c>
      <c r="L36" s="10">
        <f t="shared" si="0"/>
        <v>9.171348406666667E-2</v>
      </c>
      <c r="M36" s="10">
        <f t="shared" si="6"/>
        <v>1.6733905426698055</v>
      </c>
      <c r="N36" s="10">
        <f t="shared" si="7"/>
        <v>0.23410890891303557</v>
      </c>
      <c r="O36" s="10">
        <f t="shared" si="8"/>
        <v>142.1347019833434</v>
      </c>
      <c r="P36" s="10">
        <f t="shared" si="9"/>
        <v>45.59260105046814</v>
      </c>
    </row>
    <row r="37" spans="1:16" x14ac:dyDescent="0.25">
      <c r="A37" s="177" t="s">
        <v>79</v>
      </c>
      <c r="B37" s="177"/>
      <c r="C37" s="177"/>
      <c r="D37" s="181"/>
      <c r="E37" s="64">
        <f t="shared" si="1"/>
        <v>34</v>
      </c>
      <c r="F37" s="10">
        <f>IF((E37&lt;='Alternative 1'!$B$12),F36+1,"x")</f>
        <v>34</v>
      </c>
      <c r="G37" s="1">
        <f>IF(E37&lt;='Alternative 1'!$B$12,G36+1,0)</f>
        <v>33.5</v>
      </c>
      <c r="H37" s="62">
        <f t="shared" si="2"/>
        <v>1.4697222222222222</v>
      </c>
      <c r="I37" s="60">
        <f t="shared" si="3"/>
        <v>0.72988888888888881</v>
      </c>
      <c r="J37" s="60">
        <f t="shared" si="4"/>
        <v>0.70988888888888879</v>
      </c>
      <c r="K37" s="14">
        <f t="shared" si="5"/>
        <v>0.7198888888888888</v>
      </c>
      <c r="L37" s="10">
        <f t="shared" si="0"/>
        <v>9.0463829377777763E-2</v>
      </c>
      <c r="M37" s="10">
        <f t="shared" si="6"/>
        <v>1.6280991951050983</v>
      </c>
      <c r="N37" s="10">
        <f t="shared" si="7"/>
        <v>0.2357203368553219</v>
      </c>
      <c r="O37" s="10">
        <f t="shared" si="8"/>
        <v>145.44071076215803</v>
      </c>
      <c r="P37" s="10">
        <f t="shared" si="9"/>
        <v>47.623089983022076</v>
      </c>
    </row>
    <row r="38" spans="1:16" x14ac:dyDescent="0.25">
      <c r="A38" s="42" t="s">
        <v>80</v>
      </c>
      <c r="B38" s="133">
        <f>B13/B12</f>
        <v>867.098421946705</v>
      </c>
      <c r="C38" s="42" t="s">
        <v>81</v>
      </c>
      <c r="D38" s="181"/>
      <c r="E38" s="64">
        <f t="shared" si="1"/>
        <v>35</v>
      </c>
      <c r="F38" s="10">
        <f>IF((E38&lt;='Alternative 1'!$B$12),F37+1,"x")</f>
        <v>35</v>
      </c>
      <c r="G38" s="1">
        <f>IF(E38&lt;='Alternative 1'!$B$12,G37+1,0)</f>
        <v>34.5</v>
      </c>
      <c r="H38" s="62">
        <f t="shared" si="2"/>
        <v>1.4498333333333333</v>
      </c>
      <c r="I38" s="60">
        <f t="shared" si="3"/>
        <v>0.7199444444444445</v>
      </c>
      <c r="J38" s="60">
        <f t="shared" si="4"/>
        <v>0.69994444444444448</v>
      </c>
      <c r="K38" s="14">
        <f t="shared" si="5"/>
        <v>0.70994444444444449</v>
      </c>
      <c r="L38" s="10">
        <f t="shared" si="0"/>
        <v>8.9214174688888884E-2</v>
      </c>
      <c r="M38" s="10">
        <f t="shared" si="6"/>
        <v>1.5834292042151636</v>
      </c>
      <c r="N38" s="10">
        <f t="shared" si="7"/>
        <v>0.2373655050914813</v>
      </c>
      <c r="O38" s="10">
        <f t="shared" si="8"/>
        <v>148.68068826203353</v>
      </c>
      <c r="P38" s="10">
        <f t="shared" si="9"/>
        <v>49.710462477502148</v>
      </c>
    </row>
    <row r="39" spans="1:16" x14ac:dyDescent="0.25">
      <c r="A39" s="42" t="s">
        <v>80</v>
      </c>
      <c r="B39" s="133">
        <f>B14/B12</f>
        <v>8503.3307395836546</v>
      </c>
      <c r="C39" s="42" t="s">
        <v>186</v>
      </c>
      <c r="D39" s="181"/>
      <c r="E39" s="64">
        <f t="shared" si="1"/>
        <v>36</v>
      </c>
      <c r="F39" s="10">
        <f>IF((E39&lt;='Alternative 1'!$B$12),F38+1,"x")</f>
        <v>36</v>
      </c>
      <c r="G39" s="1">
        <f>IF(E39&lt;='Alternative 1'!$B$12,G38+1,0)</f>
        <v>35.5</v>
      </c>
      <c r="H39" s="62">
        <f t="shared" si="2"/>
        <v>1.4299444444444442</v>
      </c>
      <c r="I39" s="60">
        <f t="shared" si="3"/>
        <v>0.71</v>
      </c>
      <c r="J39" s="60">
        <f t="shared" si="4"/>
        <v>0.69</v>
      </c>
      <c r="K39" s="14">
        <f t="shared" si="5"/>
        <v>0.7</v>
      </c>
      <c r="L39" s="10">
        <f t="shared" si="0"/>
        <v>8.796451999999999E-2</v>
      </c>
      <c r="M39" s="10">
        <f t="shared" si="6"/>
        <v>1.5393805699999998</v>
      </c>
      <c r="N39" s="10">
        <f t="shared" si="7"/>
        <v>0.23904560773093927</v>
      </c>
      <c r="O39" s="10">
        <f t="shared" si="8"/>
        <v>151.85386732082486</v>
      </c>
      <c r="P39" s="10">
        <f t="shared" si="9"/>
        <v>51.857142857142854</v>
      </c>
    </row>
    <row r="40" spans="1:16" x14ac:dyDescent="0.25">
      <c r="A40" s="42" t="s">
        <v>83</v>
      </c>
      <c r="B40" s="81">
        <v>1.1000000000000001</v>
      </c>
      <c r="C40" s="43" t="s">
        <v>56</v>
      </c>
      <c r="D40" s="181"/>
      <c r="E40" s="64">
        <f t="shared" si="1"/>
        <v>37</v>
      </c>
      <c r="F40" s="10" t="str">
        <f>IF((E40&lt;='Alternative 1'!$B$12),F39+1,"x")</f>
        <v>x</v>
      </c>
      <c r="G40" s="1">
        <f>IF(E40&lt;='Alternative 1'!$B$12,G39+1,0)</f>
        <v>0</v>
      </c>
      <c r="H40" s="62">
        <f t="shared" si="2"/>
        <v>2.1360000000000001</v>
      </c>
      <c r="I40" s="60" t="e">
        <f t="shared" si="3"/>
        <v>#VALUE!</v>
      </c>
      <c r="J40" s="60" t="e">
        <f t="shared" si="4"/>
        <v>#VALUE!</v>
      </c>
      <c r="K40" s="14" t="e">
        <f t="shared" si="5"/>
        <v>#VALUE!</v>
      </c>
      <c r="L40" s="10" t="e">
        <f t="shared" si="0"/>
        <v>#VALUE!</v>
      </c>
      <c r="M40" s="10" t="e">
        <f t="shared" si="6"/>
        <v>#VALUE!</v>
      </c>
      <c r="N40" s="10" t="e">
        <f t="shared" si="7"/>
        <v>#VALUE!</v>
      </c>
      <c r="O40" s="10" t="e">
        <f t="shared" si="8"/>
        <v>#VALUE!</v>
      </c>
      <c r="P40" s="10" t="e">
        <f t="shared" si="9"/>
        <v>#VALUE!</v>
      </c>
    </row>
    <row r="41" spans="1:16" ht="30" x14ac:dyDescent="0.25">
      <c r="A41" s="54" t="s">
        <v>112</v>
      </c>
      <c r="B41" s="133">
        <f>'Dynamic Loading'!Q3</f>
        <v>19615.019341482042</v>
      </c>
      <c r="C41" s="36" t="s">
        <v>41</v>
      </c>
      <c r="D41" s="181"/>
      <c r="E41" s="64">
        <f t="shared" si="1"/>
        <v>38</v>
      </c>
      <c r="F41" s="10" t="str">
        <f>IF((E41&lt;='Alternative 1'!$B$12),F40+1,"x")</f>
        <v>x</v>
      </c>
      <c r="G41" s="1">
        <f>IF(E41&lt;='Alternative 1'!$B$12,G40+1,0)</f>
        <v>0</v>
      </c>
      <c r="H41" s="62">
        <f t="shared" si="2"/>
        <v>2.1360000000000001</v>
      </c>
      <c r="I41" s="60" t="e">
        <f t="shared" si="3"/>
        <v>#VALUE!</v>
      </c>
      <c r="J41" s="60" t="e">
        <f t="shared" si="4"/>
        <v>#VALUE!</v>
      </c>
      <c r="K41" s="14" t="e">
        <f t="shared" si="5"/>
        <v>#VALUE!</v>
      </c>
      <c r="L41" s="10" t="e">
        <f t="shared" si="0"/>
        <v>#VALUE!</v>
      </c>
      <c r="M41" s="10" t="e">
        <f t="shared" si="6"/>
        <v>#VALUE!</v>
      </c>
      <c r="N41" s="10" t="e">
        <f t="shared" si="7"/>
        <v>#VALUE!</v>
      </c>
      <c r="O41" s="10" t="e">
        <f t="shared" si="8"/>
        <v>#VALUE!</v>
      </c>
      <c r="P41" s="10" t="e">
        <f t="shared" si="9"/>
        <v>#VALUE!</v>
      </c>
    </row>
    <row r="42" spans="1:16" x14ac:dyDescent="0.25">
      <c r="A42" s="42" t="s">
        <v>84</v>
      </c>
      <c r="B42" s="70">
        <v>13.4</v>
      </c>
      <c r="C42" s="36" t="s">
        <v>27</v>
      </c>
      <c r="D42" s="181"/>
      <c r="E42" s="64">
        <f t="shared" si="1"/>
        <v>39</v>
      </c>
      <c r="F42" s="10" t="str">
        <f>IF((E42&lt;='Alternative 1'!$B$12),F41+1,"x")</f>
        <v>x</v>
      </c>
      <c r="G42" s="1">
        <f>IF(E42&lt;='Alternative 1'!$B$12,G41+1,0)</f>
        <v>0</v>
      </c>
      <c r="H42" s="62">
        <f t="shared" si="2"/>
        <v>2.1360000000000001</v>
      </c>
      <c r="I42" s="60" t="e">
        <f t="shared" si="3"/>
        <v>#VALUE!</v>
      </c>
      <c r="J42" s="60" t="e">
        <f t="shared" si="4"/>
        <v>#VALUE!</v>
      </c>
      <c r="K42" s="14" t="e">
        <f t="shared" si="5"/>
        <v>#VALUE!</v>
      </c>
      <c r="L42" s="10" t="e">
        <f t="shared" si="0"/>
        <v>#VALUE!</v>
      </c>
      <c r="M42" s="10" t="e">
        <f t="shared" si="6"/>
        <v>#VALUE!</v>
      </c>
      <c r="N42" s="10" t="e">
        <f t="shared" si="7"/>
        <v>#VALUE!</v>
      </c>
      <c r="O42" s="10" t="e">
        <f t="shared" si="8"/>
        <v>#VALUE!</v>
      </c>
      <c r="P42" s="10" t="e">
        <f t="shared" si="9"/>
        <v>#VALUE!</v>
      </c>
    </row>
    <row r="43" spans="1:16" x14ac:dyDescent="0.25">
      <c r="A43" s="42" t="s">
        <v>85</v>
      </c>
      <c r="B43" s="70">
        <v>12</v>
      </c>
      <c r="C43" s="36" t="s">
        <v>27</v>
      </c>
      <c r="D43" s="181"/>
      <c r="E43" s="64">
        <f t="shared" si="1"/>
        <v>40</v>
      </c>
      <c r="F43" s="10" t="str">
        <f>IF((E43&lt;='Alternative 1'!$B$12),F42+1,"x")</f>
        <v>x</v>
      </c>
      <c r="G43" s="1">
        <f>IF(E43&lt;='Alternative 1'!$B$12,G42+1,0)</f>
        <v>0</v>
      </c>
      <c r="H43" s="62">
        <f t="shared" si="2"/>
        <v>2.1360000000000001</v>
      </c>
      <c r="I43" s="60" t="e">
        <f t="shared" si="3"/>
        <v>#VALUE!</v>
      </c>
      <c r="J43" s="60" t="e">
        <f t="shared" si="4"/>
        <v>#VALUE!</v>
      </c>
      <c r="K43" s="14" t="e">
        <f t="shared" si="5"/>
        <v>#VALUE!</v>
      </c>
      <c r="L43" s="10" t="e">
        <f t="shared" si="0"/>
        <v>#VALUE!</v>
      </c>
      <c r="M43" s="10" t="e">
        <f t="shared" si="6"/>
        <v>#VALUE!</v>
      </c>
      <c r="N43" s="10" t="e">
        <f t="shared" si="7"/>
        <v>#VALUE!</v>
      </c>
      <c r="O43" s="10" t="e">
        <f t="shared" si="8"/>
        <v>#VALUE!</v>
      </c>
      <c r="P43" s="10" t="e">
        <f t="shared" si="9"/>
        <v>#VALUE!</v>
      </c>
    </row>
    <row r="44" spans="1:16" x14ac:dyDescent="0.25">
      <c r="A44" s="42" t="s">
        <v>86</v>
      </c>
      <c r="B44" s="70">
        <v>7.5</v>
      </c>
      <c r="C44" s="36" t="s">
        <v>27</v>
      </c>
      <c r="D44" s="181"/>
      <c r="E44" s="64">
        <f t="shared" si="1"/>
        <v>41</v>
      </c>
      <c r="F44" s="10" t="str">
        <f>IF((E44&lt;='Alternative 1'!$B$12),F43+1,"x")</f>
        <v>x</v>
      </c>
      <c r="G44" s="1">
        <f>IF(E44&lt;='Alternative 1'!$B$12,G43+1,0)</f>
        <v>0</v>
      </c>
      <c r="H44" s="62">
        <f t="shared" si="2"/>
        <v>2.1360000000000001</v>
      </c>
      <c r="I44" s="60" t="e">
        <f t="shared" si="3"/>
        <v>#VALUE!</v>
      </c>
      <c r="J44" s="60" t="e">
        <f t="shared" si="4"/>
        <v>#VALUE!</v>
      </c>
      <c r="K44" s="14" t="e">
        <f t="shared" si="5"/>
        <v>#VALUE!</v>
      </c>
      <c r="L44" s="10" t="e">
        <f t="shared" si="0"/>
        <v>#VALUE!</v>
      </c>
      <c r="M44" s="10" t="e">
        <f t="shared" si="6"/>
        <v>#VALUE!</v>
      </c>
      <c r="N44" s="10" t="e">
        <f t="shared" si="7"/>
        <v>#VALUE!</v>
      </c>
      <c r="O44" s="10" t="e">
        <f t="shared" si="8"/>
        <v>#VALUE!</v>
      </c>
      <c r="P44" s="10" t="e">
        <f t="shared" si="9"/>
        <v>#VALUE!</v>
      </c>
    </row>
    <row r="45" spans="1:16" x14ac:dyDescent="0.25">
      <c r="A45" s="42" t="s">
        <v>87</v>
      </c>
      <c r="B45" s="70">
        <v>3</v>
      </c>
      <c r="C45" s="36" t="s">
        <v>27</v>
      </c>
      <c r="D45" s="181"/>
      <c r="E45" s="64">
        <f t="shared" si="1"/>
        <v>42</v>
      </c>
      <c r="F45" s="10" t="str">
        <f>IF((E45&lt;='Alternative 1'!$B$12),F44+1,"x")</f>
        <v>x</v>
      </c>
      <c r="G45" s="1">
        <f>IF(E45&lt;='Alternative 1'!$B$12,G44+1,0)</f>
        <v>0</v>
      </c>
      <c r="H45" s="62">
        <f t="shared" si="2"/>
        <v>2.1360000000000001</v>
      </c>
      <c r="I45" s="60" t="e">
        <f t="shared" si="3"/>
        <v>#VALUE!</v>
      </c>
      <c r="J45" s="60" t="e">
        <f t="shared" si="4"/>
        <v>#VALUE!</v>
      </c>
      <c r="K45" s="14" t="e">
        <f t="shared" si="5"/>
        <v>#VALUE!</v>
      </c>
      <c r="L45" s="10" t="e">
        <f t="shared" si="0"/>
        <v>#VALUE!</v>
      </c>
      <c r="M45" s="10" t="e">
        <f t="shared" si="6"/>
        <v>#VALUE!</v>
      </c>
      <c r="N45" s="10" t="e">
        <f t="shared" si="7"/>
        <v>#VALUE!</v>
      </c>
      <c r="O45" s="10" t="e">
        <f t="shared" si="8"/>
        <v>#VALUE!</v>
      </c>
      <c r="P45" s="10" t="e">
        <f t="shared" si="9"/>
        <v>#VALUE!</v>
      </c>
    </row>
    <row r="46" spans="1:16" x14ac:dyDescent="0.25">
      <c r="A46" s="42" t="s">
        <v>88</v>
      </c>
      <c r="B46" s="81">
        <v>4.2</v>
      </c>
      <c r="C46" s="43" t="s">
        <v>56</v>
      </c>
      <c r="D46" s="181"/>
      <c r="E46" s="64">
        <f t="shared" si="1"/>
        <v>43</v>
      </c>
      <c r="F46" s="10" t="str">
        <f>IF((E46&lt;='Alternative 1'!$B$12),F45+1,"x")</f>
        <v>x</v>
      </c>
      <c r="G46" s="1">
        <f>IF(E46&lt;='Alternative 1'!$B$12,G45+1,0)</f>
        <v>0</v>
      </c>
      <c r="H46" s="62">
        <f t="shared" si="2"/>
        <v>2.1360000000000001</v>
      </c>
      <c r="I46" s="60" t="e">
        <f t="shared" si="3"/>
        <v>#VALUE!</v>
      </c>
      <c r="J46" s="60" t="e">
        <f t="shared" si="4"/>
        <v>#VALUE!</v>
      </c>
      <c r="K46" s="14" t="e">
        <f t="shared" si="5"/>
        <v>#VALUE!</v>
      </c>
      <c r="L46" s="10" t="e">
        <f t="shared" si="0"/>
        <v>#VALUE!</v>
      </c>
      <c r="M46" s="10" t="e">
        <f t="shared" si="6"/>
        <v>#VALUE!</v>
      </c>
      <c r="N46" s="10" t="e">
        <f t="shared" si="7"/>
        <v>#VALUE!</v>
      </c>
      <c r="O46" s="10" t="e">
        <f t="shared" si="8"/>
        <v>#VALUE!</v>
      </c>
      <c r="P46" s="10" t="e">
        <f t="shared" si="9"/>
        <v>#VALUE!</v>
      </c>
    </row>
    <row r="47" spans="1:16" ht="18" x14ac:dyDescent="0.35">
      <c r="A47" s="42" t="s">
        <v>89</v>
      </c>
      <c r="B47" s="81">
        <v>0.56000000000000005</v>
      </c>
      <c r="C47" s="43" t="s">
        <v>56</v>
      </c>
      <c r="D47" s="181"/>
      <c r="E47" s="64">
        <f t="shared" si="1"/>
        <v>44</v>
      </c>
      <c r="F47" s="10" t="str">
        <f>IF((E47&lt;='Alternative 1'!$B$12),F46+1,"x")</f>
        <v>x</v>
      </c>
      <c r="G47" s="1">
        <f>IF(E47&lt;='Alternative 1'!$B$12,G46+1,0)</f>
        <v>0</v>
      </c>
      <c r="H47" s="62">
        <f t="shared" si="2"/>
        <v>2.1360000000000001</v>
      </c>
      <c r="I47" s="60" t="e">
        <f t="shared" si="3"/>
        <v>#VALUE!</v>
      </c>
      <c r="J47" s="60" t="e">
        <f t="shared" si="4"/>
        <v>#VALUE!</v>
      </c>
      <c r="K47" s="14" t="e">
        <f t="shared" si="5"/>
        <v>#VALUE!</v>
      </c>
      <c r="L47" s="10" t="e">
        <f t="shared" si="0"/>
        <v>#VALUE!</v>
      </c>
      <c r="M47" s="10" t="e">
        <f t="shared" si="6"/>
        <v>#VALUE!</v>
      </c>
      <c r="N47" s="10" t="e">
        <f t="shared" si="7"/>
        <v>#VALUE!</v>
      </c>
      <c r="O47" s="10" t="e">
        <f t="shared" si="8"/>
        <v>#VALUE!</v>
      </c>
      <c r="P47" s="10" t="e">
        <f t="shared" si="9"/>
        <v>#VALUE!</v>
      </c>
    </row>
    <row r="48" spans="1:16" x14ac:dyDescent="0.25">
      <c r="A48" s="42" t="s">
        <v>90</v>
      </c>
      <c r="B48" s="81">
        <v>1.2250000000000001</v>
      </c>
      <c r="C48" s="36" t="s">
        <v>91</v>
      </c>
      <c r="D48" s="181"/>
      <c r="E48" s="64">
        <f t="shared" si="1"/>
        <v>45</v>
      </c>
      <c r="F48" s="10" t="str">
        <f>IF((E48&lt;='Alternative 1'!$B$12),F47+1,"x")</f>
        <v>x</v>
      </c>
      <c r="G48" s="1">
        <f>IF(E48&lt;='Alternative 1'!$B$12,G47+1,0)</f>
        <v>0</v>
      </c>
      <c r="H48" s="62">
        <f t="shared" si="2"/>
        <v>2.1360000000000001</v>
      </c>
      <c r="I48" s="60" t="e">
        <f t="shared" si="3"/>
        <v>#VALUE!</v>
      </c>
      <c r="J48" s="60" t="e">
        <f t="shared" si="4"/>
        <v>#VALUE!</v>
      </c>
      <c r="K48" s="14" t="e">
        <f t="shared" si="5"/>
        <v>#VALUE!</v>
      </c>
      <c r="L48" s="10" t="e">
        <f t="shared" si="0"/>
        <v>#VALUE!</v>
      </c>
      <c r="M48" s="10" t="e">
        <f t="shared" si="6"/>
        <v>#VALUE!</v>
      </c>
      <c r="N48" s="10" t="e">
        <f t="shared" si="7"/>
        <v>#VALUE!</v>
      </c>
      <c r="O48" s="10" t="e">
        <f t="shared" si="8"/>
        <v>#VALUE!</v>
      </c>
      <c r="P48" s="10" t="e">
        <f t="shared" si="9"/>
        <v>#VALUE!</v>
      </c>
    </row>
    <row r="49" spans="1:16" x14ac:dyDescent="0.25">
      <c r="A49" s="73" t="s">
        <v>92</v>
      </c>
      <c r="B49" s="134">
        <f>PI()*(B9/2)^2</f>
        <v>289.52917895483534</v>
      </c>
      <c r="C49" s="74" t="s">
        <v>93</v>
      </c>
      <c r="D49" s="181"/>
      <c r="E49" s="64">
        <f t="shared" si="1"/>
        <v>46</v>
      </c>
      <c r="F49" s="10" t="str">
        <f>IF((E49&lt;='Alternative 1'!$B$12),F48+1,"x")</f>
        <v>x</v>
      </c>
      <c r="G49" s="1">
        <f>IF(E49&lt;='Alternative 1'!$B$12,G48+1,0)</f>
        <v>0</v>
      </c>
      <c r="H49" s="62">
        <f t="shared" si="2"/>
        <v>2.1360000000000001</v>
      </c>
      <c r="I49" s="60" t="e">
        <f t="shared" si="3"/>
        <v>#VALUE!</v>
      </c>
      <c r="J49" s="60" t="e">
        <f t="shared" si="4"/>
        <v>#VALUE!</v>
      </c>
      <c r="K49" s="14" t="e">
        <f t="shared" si="5"/>
        <v>#VALUE!</v>
      </c>
      <c r="L49" s="10" t="e">
        <f t="shared" si="0"/>
        <v>#VALUE!</v>
      </c>
      <c r="M49" s="10" t="e">
        <f t="shared" si="6"/>
        <v>#VALUE!</v>
      </c>
      <c r="N49" s="10" t="e">
        <f t="shared" si="7"/>
        <v>#VALUE!</v>
      </c>
      <c r="O49" s="10" t="e">
        <f t="shared" si="8"/>
        <v>#VALUE!</v>
      </c>
      <c r="P49" s="10" t="e">
        <f t="shared" si="9"/>
        <v>#VALUE!</v>
      </c>
    </row>
    <row r="50" spans="1:16" x14ac:dyDescent="0.25">
      <c r="A50" s="75"/>
      <c r="B50" s="76"/>
      <c r="C50" s="76"/>
      <c r="D50" s="181"/>
      <c r="E50" s="64">
        <f t="shared" si="1"/>
        <v>47</v>
      </c>
      <c r="F50" s="10" t="str">
        <f>IF((E50&lt;='Alternative 1'!$B$12),F49+1,"x")</f>
        <v>x</v>
      </c>
      <c r="G50" s="1">
        <f>IF(E50&lt;='Alternative 1'!$B$12,G49+1,0)</f>
        <v>0</v>
      </c>
      <c r="H50" s="62">
        <f t="shared" si="2"/>
        <v>2.1360000000000001</v>
      </c>
      <c r="I50" s="60" t="e">
        <f t="shared" si="3"/>
        <v>#VALUE!</v>
      </c>
      <c r="J50" s="60" t="e">
        <f t="shared" si="4"/>
        <v>#VALUE!</v>
      </c>
      <c r="K50" s="14" t="e">
        <f t="shared" si="5"/>
        <v>#VALUE!</v>
      </c>
      <c r="L50" s="10" t="e">
        <f t="shared" si="0"/>
        <v>#VALUE!</v>
      </c>
      <c r="M50" s="10" t="e">
        <f t="shared" si="6"/>
        <v>#VALUE!</v>
      </c>
      <c r="N50" s="10" t="e">
        <f t="shared" si="7"/>
        <v>#VALUE!</v>
      </c>
      <c r="O50" s="10" t="e">
        <f t="shared" si="8"/>
        <v>#VALUE!</v>
      </c>
      <c r="P50" s="10" t="e">
        <f t="shared" si="9"/>
        <v>#VALUE!</v>
      </c>
    </row>
    <row r="51" spans="1:16" x14ac:dyDescent="0.25">
      <c r="A51" s="15"/>
      <c r="B51" s="15"/>
      <c r="C51" s="15"/>
      <c r="D51" s="181"/>
      <c r="E51" s="64">
        <f t="shared" si="1"/>
        <v>48</v>
      </c>
      <c r="F51" s="10" t="str">
        <f>IF((E51&lt;='Alternative 1'!$B$12),F50+1,"x")</f>
        <v>x</v>
      </c>
      <c r="G51" s="1">
        <f>IF(E51&lt;='Alternative 1'!$B$12,G50+1,0)</f>
        <v>0</v>
      </c>
      <c r="H51" s="62">
        <f t="shared" si="2"/>
        <v>2.1360000000000001</v>
      </c>
      <c r="I51" s="60" t="e">
        <f t="shared" si="3"/>
        <v>#VALUE!</v>
      </c>
      <c r="J51" s="60" t="e">
        <f t="shared" si="4"/>
        <v>#VALUE!</v>
      </c>
      <c r="K51" s="14" t="e">
        <f t="shared" si="5"/>
        <v>#VALUE!</v>
      </c>
      <c r="L51" s="10" t="e">
        <f t="shared" si="0"/>
        <v>#VALUE!</v>
      </c>
      <c r="M51" s="10" t="e">
        <f t="shared" si="6"/>
        <v>#VALUE!</v>
      </c>
      <c r="N51" s="10" t="e">
        <f t="shared" si="7"/>
        <v>#VALUE!</v>
      </c>
      <c r="O51" s="10" t="e">
        <f t="shared" si="8"/>
        <v>#VALUE!</v>
      </c>
      <c r="P51" s="10" t="e">
        <f t="shared" si="9"/>
        <v>#VALUE!</v>
      </c>
    </row>
    <row r="52" spans="1:16" x14ac:dyDescent="0.25">
      <c r="A52" s="15"/>
      <c r="B52" s="15"/>
      <c r="C52" s="15"/>
      <c r="D52" s="181"/>
      <c r="E52" s="64">
        <f t="shared" si="1"/>
        <v>49</v>
      </c>
      <c r="F52" s="10" t="str">
        <f>IF((E52&lt;='Alternative 1'!$B$12),F51+1,"x")</f>
        <v>x</v>
      </c>
      <c r="G52" s="1">
        <f>IF(E52&lt;='Alternative 1'!$B$12,G51+1,0)</f>
        <v>0</v>
      </c>
      <c r="H52" s="62">
        <f t="shared" si="2"/>
        <v>2.1360000000000001</v>
      </c>
      <c r="I52" s="60" t="e">
        <f t="shared" si="3"/>
        <v>#VALUE!</v>
      </c>
      <c r="J52" s="60" t="e">
        <f t="shared" si="4"/>
        <v>#VALUE!</v>
      </c>
      <c r="K52" s="14" t="e">
        <f t="shared" si="5"/>
        <v>#VALUE!</v>
      </c>
      <c r="L52" s="10" t="e">
        <f t="shared" si="0"/>
        <v>#VALUE!</v>
      </c>
      <c r="M52" s="10" t="e">
        <f t="shared" si="6"/>
        <v>#VALUE!</v>
      </c>
      <c r="N52" s="10" t="e">
        <f t="shared" si="7"/>
        <v>#VALUE!</v>
      </c>
      <c r="O52" s="10" t="e">
        <f t="shared" si="8"/>
        <v>#VALUE!</v>
      </c>
      <c r="P52" s="10" t="e">
        <f t="shared" si="9"/>
        <v>#VALUE!</v>
      </c>
    </row>
    <row r="53" spans="1:16" x14ac:dyDescent="0.25">
      <c r="A53" s="15"/>
      <c r="B53" s="15"/>
      <c r="C53" s="15"/>
      <c r="D53" s="181"/>
      <c r="E53" s="64">
        <f t="shared" si="1"/>
        <v>50</v>
      </c>
      <c r="F53" s="10" t="str">
        <f>IF((E53&lt;='Alternative 1'!$B$12),F52+1,"x")</f>
        <v>x</v>
      </c>
      <c r="G53" s="1">
        <f>IF(E53&lt;='Alternative 1'!$B$12,G52+1,0)</f>
        <v>0</v>
      </c>
      <c r="H53" s="62">
        <f t="shared" si="2"/>
        <v>2.1360000000000001</v>
      </c>
      <c r="I53" s="60" t="e">
        <f t="shared" si="3"/>
        <v>#VALUE!</v>
      </c>
      <c r="J53" s="60" t="e">
        <f t="shared" si="4"/>
        <v>#VALUE!</v>
      </c>
      <c r="K53" s="14" t="e">
        <f t="shared" si="5"/>
        <v>#VALUE!</v>
      </c>
      <c r="L53" s="10" t="e">
        <f t="shared" si="0"/>
        <v>#VALUE!</v>
      </c>
      <c r="M53" s="10" t="e">
        <f t="shared" si="6"/>
        <v>#VALUE!</v>
      </c>
      <c r="N53" s="10" t="e">
        <f t="shared" si="7"/>
        <v>#VALUE!</v>
      </c>
      <c r="O53" s="10" t="e">
        <f t="shared" si="8"/>
        <v>#VALUE!</v>
      </c>
      <c r="P53" s="10" t="e">
        <f t="shared" si="9"/>
        <v>#VALUE!</v>
      </c>
    </row>
    <row r="54" spans="1:16" x14ac:dyDescent="0.25">
      <c r="A54" s="15"/>
      <c r="B54" s="15"/>
      <c r="C54" s="15"/>
      <c r="D54" s="181"/>
      <c r="E54" s="64">
        <f t="shared" si="1"/>
        <v>51</v>
      </c>
      <c r="F54" s="10" t="str">
        <f>IF((E54&lt;='Alternative 1'!$B$12),F53+1,"x")</f>
        <v>x</v>
      </c>
      <c r="G54" s="1">
        <f>IF(E54&lt;='Alternative 1'!$B$12,G53+1,0)</f>
        <v>0</v>
      </c>
      <c r="H54" s="62">
        <f t="shared" si="2"/>
        <v>2.1360000000000001</v>
      </c>
      <c r="I54" s="60" t="e">
        <f t="shared" si="3"/>
        <v>#VALUE!</v>
      </c>
      <c r="J54" s="60" t="e">
        <f t="shared" si="4"/>
        <v>#VALUE!</v>
      </c>
      <c r="K54" s="14" t="e">
        <f t="shared" si="5"/>
        <v>#VALUE!</v>
      </c>
      <c r="L54" s="10" t="e">
        <f t="shared" si="0"/>
        <v>#VALUE!</v>
      </c>
      <c r="M54" s="10" t="e">
        <f t="shared" si="6"/>
        <v>#VALUE!</v>
      </c>
      <c r="N54" s="10" t="e">
        <f t="shared" si="7"/>
        <v>#VALUE!</v>
      </c>
      <c r="O54" s="10" t="e">
        <f t="shared" si="8"/>
        <v>#VALUE!</v>
      </c>
      <c r="P54" s="10" t="e">
        <f t="shared" si="9"/>
        <v>#VALUE!</v>
      </c>
    </row>
    <row r="55" spans="1:16" x14ac:dyDescent="0.25">
      <c r="A55" s="15"/>
      <c r="B55" s="15"/>
      <c r="C55" s="15"/>
      <c r="D55" s="181"/>
      <c r="E55" s="64">
        <f t="shared" si="1"/>
        <v>52</v>
      </c>
      <c r="F55" s="10" t="str">
        <f>IF((E55&lt;='Alternative 1'!$B$12),F54+1,"x")</f>
        <v>x</v>
      </c>
      <c r="G55" s="1">
        <f>IF(E55&lt;='Alternative 1'!$B$12,G54+1,0)</f>
        <v>0</v>
      </c>
      <c r="H55" s="62">
        <f t="shared" si="2"/>
        <v>2.1360000000000001</v>
      </c>
      <c r="I55" s="60" t="e">
        <f t="shared" si="3"/>
        <v>#VALUE!</v>
      </c>
      <c r="J55" s="60" t="e">
        <f t="shared" si="4"/>
        <v>#VALUE!</v>
      </c>
      <c r="K55" s="14" t="e">
        <f t="shared" si="5"/>
        <v>#VALUE!</v>
      </c>
      <c r="L55" s="10" t="e">
        <f t="shared" si="0"/>
        <v>#VALUE!</v>
      </c>
      <c r="M55" s="10" t="e">
        <f t="shared" si="6"/>
        <v>#VALUE!</v>
      </c>
      <c r="N55" s="10" t="e">
        <f t="shared" si="7"/>
        <v>#VALUE!</v>
      </c>
      <c r="O55" s="10" t="e">
        <f t="shared" si="8"/>
        <v>#VALUE!</v>
      </c>
      <c r="P55" s="10" t="e">
        <f t="shared" si="9"/>
        <v>#VALUE!</v>
      </c>
    </row>
    <row r="56" spans="1:16" x14ac:dyDescent="0.25">
      <c r="A56" s="15"/>
      <c r="B56" s="15"/>
      <c r="C56" s="15"/>
      <c r="D56" s="181"/>
      <c r="E56" s="64">
        <f t="shared" si="1"/>
        <v>53</v>
      </c>
      <c r="F56" s="10" t="str">
        <f>IF((E56&lt;='Alternative 1'!$B$12),F55+1,"x")</f>
        <v>x</v>
      </c>
      <c r="G56" s="1">
        <f>IF(E56&lt;='Alternative 1'!$B$12,G55+1,0)</f>
        <v>0</v>
      </c>
      <c r="H56" s="62">
        <f t="shared" si="2"/>
        <v>2.1360000000000001</v>
      </c>
      <c r="I56" s="60" t="e">
        <f t="shared" si="3"/>
        <v>#VALUE!</v>
      </c>
      <c r="J56" s="60" t="e">
        <f t="shared" si="4"/>
        <v>#VALUE!</v>
      </c>
      <c r="K56" s="14" t="e">
        <f t="shared" si="5"/>
        <v>#VALUE!</v>
      </c>
      <c r="L56" s="10" t="e">
        <f t="shared" si="0"/>
        <v>#VALUE!</v>
      </c>
      <c r="M56" s="10" t="e">
        <f t="shared" si="6"/>
        <v>#VALUE!</v>
      </c>
      <c r="N56" s="10" t="e">
        <f t="shared" si="7"/>
        <v>#VALUE!</v>
      </c>
      <c r="O56" s="10" t="e">
        <f t="shared" si="8"/>
        <v>#VALUE!</v>
      </c>
      <c r="P56" s="10" t="e">
        <f t="shared" si="9"/>
        <v>#VALUE!</v>
      </c>
    </row>
    <row r="57" spans="1:16" x14ac:dyDescent="0.25">
      <c r="A57" s="15"/>
      <c r="B57" s="15"/>
      <c r="C57" s="15"/>
      <c r="D57" s="181"/>
      <c r="E57" s="64">
        <f t="shared" si="1"/>
        <v>54</v>
      </c>
      <c r="F57" s="10" t="str">
        <f>IF((E57&lt;='Alternative 1'!$B$12),F56+1,"x")</f>
        <v>x</v>
      </c>
      <c r="G57" s="1">
        <f>IF(E57&lt;='Alternative 1'!$B$12,G56+1,0)</f>
        <v>0</v>
      </c>
      <c r="H57" s="62">
        <f t="shared" si="2"/>
        <v>2.1360000000000001</v>
      </c>
      <c r="I57" s="60" t="e">
        <f t="shared" si="3"/>
        <v>#VALUE!</v>
      </c>
      <c r="J57" s="60" t="e">
        <f t="shared" si="4"/>
        <v>#VALUE!</v>
      </c>
      <c r="K57" s="14" t="e">
        <f t="shared" si="5"/>
        <v>#VALUE!</v>
      </c>
      <c r="L57" s="10" t="e">
        <f t="shared" si="0"/>
        <v>#VALUE!</v>
      </c>
      <c r="M57" s="10" t="e">
        <f t="shared" si="6"/>
        <v>#VALUE!</v>
      </c>
      <c r="N57" s="10" t="e">
        <f t="shared" si="7"/>
        <v>#VALUE!</v>
      </c>
      <c r="O57" s="10" t="e">
        <f t="shared" si="8"/>
        <v>#VALUE!</v>
      </c>
      <c r="P57" s="10" t="e">
        <f t="shared" si="9"/>
        <v>#VALUE!</v>
      </c>
    </row>
    <row r="58" spans="1:16" x14ac:dyDescent="0.25">
      <c r="A58" s="15"/>
      <c r="B58" s="15"/>
      <c r="C58" s="15"/>
      <c r="D58" s="181"/>
      <c r="E58" s="64">
        <f t="shared" si="1"/>
        <v>55</v>
      </c>
      <c r="F58" s="10" t="str">
        <f>IF((E58&lt;='Alternative 1'!$B$12),F57+1,"x")</f>
        <v>x</v>
      </c>
      <c r="G58" s="1">
        <f>IF(E58&lt;='Alternative 1'!$B$12,G57+1,0)</f>
        <v>0</v>
      </c>
      <c r="H58" s="62">
        <f t="shared" si="2"/>
        <v>2.1360000000000001</v>
      </c>
      <c r="I58" s="60" t="e">
        <f t="shared" si="3"/>
        <v>#VALUE!</v>
      </c>
      <c r="J58" s="60" t="e">
        <f t="shared" si="4"/>
        <v>#VALUE!</v>
      </c>
      <c r="K58" s="14" t="e">
        <f t="shared" si="5"/>
        <v>#VALUE!</v>
      </c>
      <c r="L58" s="10" t="e">
        <f t="shared" si="0"/>
        <v>#VALUE!</v>
      </c>
      <c r="M58" s="10" t="e">
        <f t="shared" si="6"/>
        <v>#VALUE!</v>
      </c>
      <c r="N58" s="10" t="e">
        <f t="shared" si="7"/>
        <v>#VALUE!</v>
      </c>
      <c r="O58" s="10" t="e">
        <f t="shared" si="8"/>
        <v>#VALUE!</v>
      </c>
      <c r="P58" s="10" t="e">
        <f t="shared" si="9"/>
        <v>#VALUE!</v>
      </c>
    </row>
    <row r="59" spans="1:16" x14ac:dyDescent="0.25">
      <c r="A59" s="15"/>
      <c r="B59" s="15"/>
      <c r="C59" s="15"/>
      <c r="D59" s="181"/>
      <c r="E59" s="64">
        <f t="shared" si="1"/>
        <v>56</v>
      </c>
      <c r="F59" s="10" t="str">
        <f>IF((E59&lt;='Alternative 1'!$B$12),F58+1,"x")</f>
        <v>x</v>
      </c>
      <c r="G59" s="1">
        <f>IF(E59&lt;='Alternative 1'!$B$12,G58+1,0)</f>
        <v>0</v>
      </c>
      <c r="H59" s="62">
        <f t="shared" si="2"/>
        <v>2.1360000000000001</v>
      </c>
      <c r="I59" s="60" t="e">
        <f t="shared" si="3"/>
        <v>#VALUE!</v>
      </c>
      <c r="J59" s="60" t="e">
        <f t="shared" si="4"/>
        <v>#VALUE!</v>
      </c>
      <c r="K59" s="14" t="e">
        <f t="shared" si="5"/>
        <v>#VALUE!</v>
      </c>
      <c r="L59" s="10" t="e">
        <f t="shared" si="0"/>
        <v>#VALUE!</v>
      </c>
      <c r="M59" s="10" t="e">
        <f t="shared" si="6"/>
        <v>#VALUE!</v>
      </c>
      <c r="N59" s="10" t="e">
        <f t="shared" si="7"/>
        <v>#VALUE!</v>
      </c>
      <c r="O59" s="10" t="e">
        <f t="shared" si="8"/>
        <v>#VALUE!</v>
      </c>
      <c r="P59" s="10" t="e">
        <f t="shared" si="9"/>
        <v>#VALUE!</v>
      </c>
    </row>
    <row r="60" spans="1:16" x14ac:dyDescent="0.25">
      <c r="A60" s="15"/>
      <c r="B60" s="15"/>
      <c r="C60" s="15"/>
      <c r="D60" s="181"/>
      <c r="E60" s="64">
        <f t="shared" si="1"/>
        <v>57</v>
      </c>
      <c r="F60" s="10" t="str">
        <f>IF((E60&lt;='Alternative 1'!$B$12),F59+1,"x")</f>
        <v>x</v>
      </c>
      <c r="G60" s="1">
        <f>IF(E60&lt;='Alternative 1'!$B$12,G59+1,0)</f>
        <v>0</v>
      </c>
      <c r="H60" s="62">
        <f t="shared" si="2"/>
        <v>2.1360000000000001</v>
      </c>
      <c r="I60" s="60" t="e">
        <f t="shared" si="3"/>
        <v>#VALUE!</v>
      </c>
      <c r="J60" s="60" t="e">
        <f t="shared" si="4"/>
        <v>#VALUE!</v>
      </c>
      <c r="K60" s="14" t="e">
        <f t="shared" si="5"/>
        <v>#VALUE!</v>
      </c>
      <c r="L60" s="10" t="e">
        <f t="shared" si="0"/>
        <v>#VALUE!</v>
      </c>
      <c r="M60" s="10" t="e">
        <f t="shared" si="6"/>
        <v>#VALUE!</v>
      </c>
      <c r="N60" s="10" t="e">
        <f t="shared" si="7"/>
        <v>#VALUE!</v>
      </c>
      <c r="O60" s="10" t="e">
        <f t="shared" si="8"/>
        <v>#VALUE!</v>
      </c>
      <c r="P60" s="10" t="e">
        <f t="shared" si="9"/>
        <v>#VALUE!</v>
      </c>
    </row>
    <row r="61" spans="1:16" x14ac:dyDescent="0.25">
      <c r="A61" s="15"/>
      <c r="B61" s="15"/>
      <c r="C61" s="15"/>
      <c r="D61" s="181"/>
      <c r="E61" s="64">
        <f t="shared" si="1"/>
        <v>58</v>
      </c>
      <c r="F61" s="10" t="str">
        <f>IF((E61&lt;='Alternative 1'!$B$12),F60+1,"x")</f>
        <v>x</v>
      </c>
      <c r="G61" s="1">
        <f>IF(E61&lt;='Alternative 1'!$B$12,G60+1,0)</f>
        <v>0</v>
      </c>
      <c r="H61" s="62">
        <f t="shared" si="2"/>
        <v>2.1360000000000001</v>
      </c>
      <c r="I61" s="60" t="e">
        <f t="shared" si="3"/>
        <v>#VALUE!</v>
      </c>
      <c r="J61" s="60" t="e">
        <f t="shared" si="4"/>
        <v>#VALUE!</v>
      </c>
      <c r="K61" s="14" t="e">
        <f t="shared" si="5"/>
        <v>#VALUE!</v>
      </c>
      <c r="L61" s="10" t="e">
        <f t="shared" si="0"/>
        <v>#VALUE!</v>
      </c>
      <c r="M61" s="10" t="e">
        <f t="shared" si="6"/>
        <v>#VALUE!</v>
      </c>
      <c r="N61" s="10" t="e">
        <f t="shared" si="7"/>
        <v>#VALUE!</v>
      </c>
      <c r="O61" s="10" t="e">
        <f t="shared" si="8"/>
        <v>#VALUE!</v>
      </c>
      <c r="P61" s="10" t="e">
        <f t="shared" si="9"/>
        <v>#VALUE!</v>
      </c>
    </row>
    <row r="62" spans="1:16" x14ac:dyDescent="0.25">
      <c r="A62" s="15"/>
      <c r="B62" s="15"/>
      <c r="C62" s="15"/>
      <c r="D62" s="181"/>
      <c r="E62" s="64">
        <f t="shared" si="1"/>
        <v>59</v>
      </c>
      <c r="F62" s="10" t="str">
        <f>IF((E62&lt;='Alternative 1'!$B$12),F61+1,"x")</f>
        <v>x</v>
      </c>
      <c r="G62" s="1">
        <f>IF(E62&lt;='Alternative 1'!$B$12,G61+1,0)</f>
        <v>0</v>
      </c>
      <c r="H62" s="62">
        <f t="shared" si="2"/>
        <v>2.1360000000000001</v>
      </c>
      <c r="I62" s="60" t="e">
        <f t="shared" si="3"/>
        <v>#VALUE!</v>
      </c>
      <c r="J62" s="60" t="e">
        <f t="shared" si="4"/>
        <v>#VALUE!</v>
      </c>
      <c r="K62" s="14" t="e">
        <f t="shared" si="5"/>
        <v>#VALUE!</v>
      </c>
      <c r="L62" s="10" t="e">
        <f t="shared" si="0"/>
        <v>#VALUE!</v>
      </c>
      <c r="M62" s="10" t="e">
        <f t="shared" si="6"/>
        <v>#VALUE!</v>
      </c>
      <c r="N62" s="10" t="e">
        <f t="shared" si="7"/>
        <v>#VALUE!</v>
      </c>
      <c r="O62" s="10" t="e">
        <f t="shared" si="8"/>
        <v>#VALUE!</v>
      </c>
      <c r="P62" s="10" t="e">
        <f t="shared" si="9"/>
        <v>#VALUE!</v>
      </c>
    </row>
    <row r="63" spans="1:16" x14ac:dyDescent="0.25">
      <c r="A63" s="15"/>
      <c r="B63" s="15"/>
      <c r="C63" s="15"/>
      <c r="D63" s="181"/>
      <c r="E63" s="64">
        <f t="shared" si="1"/>
        <v>60</v>
      </c>
      <c r="F63" s="10" t="str">
        <f>IF((E63&lt;='Alternative 1'!$B$12),F62+1,"x")</f>
        <v>x</v>
      </c>
      <c r="G63" s="1">
        <f>IF(E63&lt;='Alternative 1'!$B$12,G62+1,0)</f>
        <v>0</v>
      </c>
      <c r="H63" s="62">
        <f t="shared" si="2"/>
        <v>2.1360000000000001</v>
      </c>
      <c r="I63" s="60" t="e">
        <f t="shared" si="3"/>
        <v>#VALUE!</v>
      </c>
      <c r="J63" s="60" t="e">
        <f t="shared" si="4"/>
        <v>#VALUE!</v>
      </c>
      <c r="K63" s="14" t="e">
        <f t="shared" si="5"/>
        <v>#VALUE!</v>
      </c>
      <c r="L63" s="10" t="e">
        <f t="shared" si="0"/>
        <v>#VALUE!</v>
      </c>
      <c r="M63" s="10" t="e">
        <f t="shared" si="6"/>
        <v>#VALUE!</v>
      </c>
      <c r="N63" s="10" t="e">
        <f t="shared" si="7"/>
        <v>#VALUE!</v>
      </c>
      <c r="O63" s="10" t="e">
        <f t="shared" si="8"/>
        <v>#VALUE!</v>
      </c>
      <c r="P63" s="10" t="e">
        <f t="shared" si="9"/>
        <v>#VALUE!</v>
      </c>
    </row>
    <row r="64" spans="1:16" x14ac:dyDescent="0.25">
      <c r="A64" s="15"/>
      <c r="B64" s="15"/>
      <c r="C64" s="15"/>
      <c r="D64" s="181"/>
      <c r="E64" s="64">
        <f t="shared" si="1"/>
        <v>61</v>
      </c>
      <c r="F64" s="10" t="str">
        <f>IF((E64&lt;='Alternative 1'!$B$12),F63+1,"x")</f>
        <v>x</v>
      </c>
      <c r="G64" s="1">
        <f>IF(E64&lt;='Alternative 1'!$B$12,G63+1,0)</f>
        <v>0</v>
      </c>
      <c r="H64" s="62">
        <f t="shared" si="2"/>
        <v>2.1360000000000001</v>
      </c>
      <c r="I64" s="60" t="e">
        <f t="shared" si="3"/>
        <v>#VALUE!</v>
      </c>
      <c r="J64" s="60" t="e">
        <f t="shared" si="4"/>
        <v>#VALUE!</v>
      </c>
      <c r="K64" s="14" t="e">
        <f t="shared" si="5"/>
        <v>#VALUE!</v>
      </c>
      <c r="L64" s="10" t="e">
        <f t="shared" si="0"/>
        <v>#VALUE!</v>
      </c>
      <c r="M64" s="10" t="e">
        <f t="shared" si="6"/>
        <v>#VALUE!</v>
      </c>
      <c r="N64" s="10" t="e">
        <f t="shared" si="7"/>
        <v>#VALUE!</v>
      </c>
      <c r="O64" s="10" t="e">
        <f t="shared" si="8"/>
        <v>#VALUE!</v>
      </c>
      <c r="P64" s="10" t="e">
        <f t="shared" si="9"/>
        <v>#VALUE!</v>
      </c>
    </row>
    <row r="65" spans="1:16" x14ac:dyDescent="0.25">
      <c r="A65" s="15"/>
      <c r="B65" s="15"/>
      <c r="C65" s="15"/>
      <c r="D65" s="181"/>
      <c r="E65" s="64">
        <f t="shared" si="1"/>
        <v>62</v>
      </c>
      <c r="F65" s="10" t="str">
        <f>IF((E65&lt;='Alternative 1'!$B$12),F64+1,"x")</f>
        <v>x</v>
      </c>
      <c r="G65" s="1">
        <f>IF(E65&lt;='Alternative 1'!$B$12,G64+1,0)</f>
        <v>0</v>
      </c>
      <c r="H65" s="62">
        <f t="shared" si="2"/>
        <v>2.1360000000000001</v>
      </c>
      <c r="I65" s="60" t="e">
        <f t="shared" si="3"/>
        <v>#VALUE!</v>
      </c>
      <c r="J65" s="60" t="e">
        <f t="shared" si="4"/>
        <v>#VALUE!</v>
      </c>
      <c r="K65" s="14" t="e">
        <f t="shared" si="5"/>
        <v>#VALUE!</v>
      </c>
      <c r="L65" s="10" t="e">
        <f t="shared" si="0"/>
        <v>#VALUE!</v>
      </c>
      <c r="M65" s="10" t="e">
        <f t="shared" si="6"/>
        <v>#VALUE!</v>
      </c>
      <c r="N65" s="10" t="e">
        <f t="shared" si="7"/>
        <v>#VALUE!</v>
      </c>
      <c r="O65" s="10" t="e">
        <f t="shared" si="8"/>
        <v>#VALUE!</v>
      </c>
      <c r="P65" s="10" t="e">
        <f t="shared" si="9"/>
        <v>#VALUE!</v>
      </c>
    </row>
    <row r="66" spans="1:16" x14ac:dyDescent="0.25">
      <c r="A66" s="15"/>
      <c r="B66" s="15"/>
      <c r="C66" s="15"/>
      <c r="D66" s="181"/>
      <c r="E66" s="64">
        <f t="shared" si="1"/>
        <v>63</v>
      </c>
      <c r="F66" s="10" t="str">
        <f>IF((E66&lt;='Alternative 1'!$B$12),F65+1,"x")</f>
        <v>x</v>
      </c>
      <c r="G66" s="1">
        <f>IF(E66&lt;='Alternative 1'!$B$12,G65+1,0)</f>
        <v>0</v>
      </c>
      <c r="H66" s="62">
        <f t="shared" si="2"/>
        <v>2.1360000000000001</v>
      </c>
      <c r="I66" s="60" t="e">
        <f t="shared" si="3"/>
        <v>#VALUE!</v>
      </c>
      <c r="J66" s="60" t="e">
        <f t="shared" si="4"/>
        <v>#VALUE!</v>
      </c>
      <c r="K66" s="14" t="e">
        <f t="shared" si="5"/>
        <v>#VALUE!</v>
      </c>
      <c r="L66" s="10" t="e">
        <f t="shared" si="0"/>
        <v>#VALUE!</v>
      </c>
      <c r="M66" s="10" t="e">
        <f t="shared" si="6"/>
        <v>#VALUE!</v>
      </c>
      <c r="N66" s="10" t="e">
        <f t="shared" si="7"/>
        <v>#VALUE!</v>
      </c>
      <c r="O66" s="10" t="e">
        <f t="shared" si="8"/>
        <v>#VALUE!</v>
      </c>
      <c r="P66" s="10" t="e">
        <f t="shared" si="9"/>
        <v>#VALUE!</v>
      </c>
    </row>
    <row r="67" spans="1:16" x14ac:dyDescent="0.25">
      <c r="A67" s="15"/>
      <c r="B67" s="15"/>
      <c r="C67" s="15"/>
      <c r="D67" s="181"/>
      <c r="E67" s="64">
        <f t="shared" si="1"/>
        <v>64</v>
      </c>
      <c r="F67" s="10" t="str">
        <f>IF((E67&lt;='Alternative 1'!$B$12),F66+1,"x")</f>
        <v>x</v>
      </c>
      <c r="G67" s="1">
        <f>IF(E67&lt;='Alternative 1'!$B$12,G66+1,0)</f>
        <v>0</v>
      </c>
      <c r="H67" s="62">
        <f t="shared" si="2"/>
        <v>2.1360000000000001</v>
      </c>
      <c r="I67" s="60" t="e">
        <f t="shared" si="3"/>
        <v>#VALUE!</v>
      </c>
      <c r="J67" s="60" t="e">
        <f t="shared" si="4"/>
        <v>#VALUE!</v>
      </c>
      <c r="K67" s="14" t="e">
        <f t="shared" si="5"/>
        <v>#VALUE!</v>
      </c>
      <c r="L67" s="10" t="e">
        <f t="shared" si="0"/>
        <v>#VALUE!</v>
      </c>
      <c r="M67" s="10" t="e">
        <f t="shared" si="6"/>
        <v>#VALUE!</v>
      </c>
      <c r="N67" s="10" t="e">
        <f t="shared" si="7"/>
        <v>#VALUE!</v>
      </c>
      <c r="O67" s="10" t="e">
        <f t="shared" si="8"/>
        <v>#VALUE!</v>
      </c>
      <c r="P67" s="10" t="e">
        <f t="shared" si="9"/>
        <v>#VALUE!</v>
      </c>
    </row>
    <row r="68" spans="1:16" x14ac:dyDescent="0.25">
      <c r="A68" s="15"/>
      <c r="B68" s="15"/>
      <c r="C68" s="15"/>
      <c r="D68" s="181"/>
      <c r="E68" s="64">
        <f t="shared" si="1"/>
        <v>65</v>
      </c>
      <c r="F68" s="10" t="str">
        <f>IF((E68&lt;='Alternative 1'!$B$12),F67+1,"x")</f>
        <v>x</v>
      </c>
      <c r="G68" s="1">
        <f>IF(E68&lt;='Alternative 1'!$B$12,G67+1,0)</f>
        <v>0</v>
      </c>
      <c r="H68" s="62">
        <f t="shared" si="2"/>
        <v>2.1360000000000001</v>
      </c>
      <c r="I68" s="60" t="e">
        <f t="shared" si="3"/>
        <v>#VALUE!</v>
      </c>
      <c r="J68" s="60" t="e">
        <f t="shared" si="4"/>
        <v>#VALUE!</v>
      </c>
      <c r="K68" s="14" t="e">
        <f t="shared" si="5"/>
        <v>#VALUE!</v>
      </c>
      <c r="L68" s="10" t="e">
        <f t="shared" ref="L68:L93" si="10">2*3.14159*K68*$B$17</f>
        <v>#VALUE!</v>
      </c>
      <c r="M68" s="10" t="e">
        <f t="shared" si="6"/>
        <v>#VALUE!</v>
      </c>
      <c r="N68" s="10" t="e">
        <f t="shared" si="7"/>
        <v>#VALUE!</v>
      </c>
      <c r="O68" s="10" t="e">
        <f t="shared" si="8"/>
        <v>#VALUE!</v>
      </c>
      <c r="P68" s="10" t="e">
        <f t="shared" si="9"/>
        <v>#VALUE!</v>
      </c>
    </row>
    <row r="69" spans="1:16" x14ac:dyDescent="0.25">
      <c r="A69" s="15"/>
      <c r="B69" s="15"/>
      <c r="C69" s="15"/>
      <c r="D69" s="181"/>
      <c r="E69" s="64">
        <f t="shared" ref="E69:E78" si="11">E68+1</f>
        <v>66</v>
      </c>
      <c r="F69" s="10" t="str">
        <f>IF((E69&lt;='Alternative 1'!$B$12),F68+1,"x")</f>
        <v>x</v>
      </c>
      <c r="G69" s="1">
        <f>IF(E69&lt;='Alternative 1'!$B$12,G68+1,0)</f>
        <v>0</v>
      </c>
      <c r="H69" s="62">
        <f t="shared" ref="H69:H93" si="12">IF(F69&gt;0,(($B$16)-((($B$16)-($B$15))/$B$12)*G69),0)</f>
        <v>2.1360000000000001</v>
      </c>
      <c r="I69" s="60" t="e">
        <f t="shared" ref="I69:I90" si="13">IF(F69&gt;0,(($B$16/2)-((($B$16/2)-($B$15/2))/$B$12)*F69),0)</f>
        <v>#VALUE!</v>
      </c>
      <c r="J69" s="60" t="e">
        <f t="shared" ref="J69:J93" si="14">IF(F69&gt;0,I69-$B$17,0)</f>
        <v>#VALUE!</v>
      </c>
      <c r="K69" s="14" t="e">
        <f t="shared" ref="K69:K93" si="15">AVERAGE(I69:J69)</f>
        <v>#VALUE!</v>
      </c>
      <c r="L69" s="10" t="e">
        <f t="shared" si="10"/>
        <v>#VALUE!</v>
      </c>
      <c r="M69" s="10" t="e">
        <f t="shared" ref="M69:M93" si="16">(3.141593)*(K69^2)</f>
        <v>#VALUE!</v>
      </c>
      <c r="N69" s="10" t="e">
        <f t="shared" ref="N69:N93" si="17">SQRT(L69/M69)</f>
        <v>#VALUE!</v>
      </c>
      <c r="O69" s="10" t="e">
        <f t="shared" ref="O69:O93" si="18">($I$9*F69)/N69</f>
        <v>#VALUE!</v>
      </c>
      <c r="P69" s="10" t="e">
        <f t="shared" ref="P69:P93" si="19">($I$9*F69)/K69</f>
        <v>#VALUE!</v>
      </c>
    </row>
    <row r="70" spans="1:16" x14ac:dyDescent="0.25">
      <c r="A70" s="15"/>
      <c r="B70" s="15"/>
      <c r="C70" s="15"/>
      <c r="D70" s="181"/>
      <c r="E70" s="64">
        <f t="shared" si="11"/>
        <v>67</v>
      </c>
      <c r="F70" s="10" t="str">
        <f>IF((E70&lt;='Alternative 1'!$B$12),F69+1,"x")</f>
        <v>x</v>
      </c>
      <c r="G70" s="1">
        <f>IF(E70&lt;='Alternative 1'!$B$12,G69+1,0)</f>
        <v>0</v>
      </c>
      <c r="H70" s="62">
        <f t="shared" si="12"/>
        <v>2.1360000000000001</v>
      </c>
      <c r="I70" s="60" t="e">
        <f t="shared" si="13"/>
        <v>#VALUE!</v>
      </c>
      <c r="J70" s="60" t="e">
        <f t="shared" si="14"/>
        <v>#VALUE!</v>
      </c>
      <c r="K70" s="14" t="e">
        <f t="shared" si="15"/>
        <v>#VALUE!</v>
      </c>
      <c r="L70" s="10" t="e">
        <f t="shared" si="10"/>
        <v>#VALUE!</v>
      </c>
      <c r="M70" s="10" t="e">
        <f t="shared" si="16"/>
        <v>#VALUE!</v>
      </c>
      <c r="N70" s="10" t="e">
        <f t="shared" si="17"/>
        <v>#VALUE!</v>
      </c>
      <c r="O70" s="10" t="e">
        <f t="shared" si="18"/>
        <v>#VALUE!</v>
      </c>
      <c r="P70" s="10" t="e">
        <f t="shared" si="19"/>
        <v>#VALUE!</v>
      </c>
    </row>
    <row r="71" spans="1:16" x14ac:dyDescent="0.25">
      <c r="A71" s="15"/>
      <c r="B71" s="15"/>
      <c r="C71" s="15"/>
      <c r="D71" s="181"/>
      <c r="E71" s="64">
        <f t="shared" si="11"/>
        <v>68</v>
      </c>
      <c r="F71" s="10" t="str">
        <f>IF((E71&lt;='Alternative 1'!$B$12),F70+1,"x")</f>
        <v>x</v>
      </c>
      <c r="G71" s="1">
        <f>IF(E71&lt;='Alternative 1'!$B$12,G70+1,0)</f>
        <v>0</v>
      </c>
      <c r="H71" s="62">
        <f t="shared" si="12"/>
        <v>2.1360000000000001</v>
      </c>
      <c r="I71" s="60" t="e">
        <f t="shared" si="13"/>
        <v>#VALUE!</v>
      </c>
      <c r="J71" s="60" t="e">
        <f t="shared" si="14"/>
        <v>#VALUE!</v>
      </c>
      <c r="K71" s="14" t="e">
        <f t="shared" si="15"/>
        <v>#VALUE!</v>
      </c>
      <c r="L71" s="10" t="e">
        <f t="shared" si="10"/>
        <v>#VALUE!</v>
      </c>
      <c r="M71" s="10" t="e">
        <f t="shared" si="16"/>
        <v>#VALUE!</v>
      </c>
      <c r="N71" s="10" t="e">
        <f t="shared" si="17"/>
        <v>#VALUE!</v>
      </c>
      <c r="O71" s="10" t="e">
        <f t="shared" si="18"/>
        <v>#VALUE!</v>
      </c>
      <c r="P71" s="10" t="e">
        <f t="shared" si="19"/>
        <v>#VALUE!</v>
      </c>
    </row>
    <row r="72" spans="1:16" x14ac:dyDescent="0.25">
      <c r="A72" s="15"/>
      <c r="B72" s="15"/>
      <c r="C72" s="15"/>
      <c r="D72" s="181"/>
      <c r="E72" s="64">
        <f t="shared" si="11"/>
        <v>69</v>
      </c>
      <c r="F72" s="10" t="str">
        <f>IF((E72&lt;='Alternative 1'!$B$12),F71+1,"x")</f>
        <v>x</v>
      </c>
      <c r="G72" s="1">
        <f>IF(E72&lt;='Alternative 1'!$B$12,G71+1,0)</f>
        <v>0</v>
      </c>
      <c r="H72" s="62">
        <f t="shared" si="12"/>
        <v>2.1360000000000001</v>
      </c>
      <c r="I72" s="60" t="e">
        <f t="shared" si="13"/>
        <v>#VALUE!</v>
      </c>
      <c r="J72" s="60" t="e">
        <f t="shared" si="14"/>
        <v>#VALUE!</v>
      </c>
      <c r="K72" s="14" t="e">
        <f t="shared" si="15"/>
        <v>#VALUE!</v>
      </c>
      <c r="L72" s="10" t="e">
        <f t="shared" si="10"/>
        <v>#VALUE!</v>
      </c>
      <c r="M72" s="10" t="e">
        <f t="shared" si="16"/>
        <v>#VALUE!</v>
      </c>
      <c r="N72" s="10" t="e">
        <f t="shared" si="17"/>
        <v>#VALUE!</v>
      </c>
      <c r="O72" s="10" t="e">
        <f t="shared" si="18"/>
        <v>#VALUE!</v>
      </c>
      <c r="P72" s="10" t="e">
        <f t="shared" si="19"/>
        <v>#VALUE!</v>
      </c>
    </row>
    <row r="73" spans="1:16" x14ac:dyDescent="0.25">
      <c r="A73" s="15"/>
      <c r="B73" s="15"/>
      <c r="C73" s="15"/>
      <c r="D73" s="181"/>
      <c r="E73" s="64">
        <f t="shared" si="11"/>
        <v>70</v>
      </c>
      <c r="F73" s="10" t="str">
        <f>IF((E73&lt;='Alternative 1'!$B$12),F72+1,"x")</f>
        <v>x</v>
      </c>
      <c r="G73" s="1">
        <f>IF(E73&lt;='Alternative 1'!$B$12,G72+1,0)</f>
        <v>0</v>
      </c>
      <c r="H73" s="62">
        <f t="shared" si="12"/>
        <v>2.1360000000000001</v>
      </c>
      <c r="I73" s="60" t="e">
        <f t="shared" si="13"/>
        <v>#VALUE!</v>
      </c>
      <c r="J73" s="60" t="e">
        <f t="shared" si="14"/>
        <v>#VALUE!</v>
      </c>
      <c r="K73" s="14" t="e">
        <f t="shared" si="15"/>
        <v>#VALUE!</v>
      </c>
      <c r="L73" s="10" t="e">
        <f t="shared" si="10"/>
        <v>#VALUE!</v>
      </c>
      <c r="M73" s="10" t="e">
        <f t="shared" si="16"/>
        <v>#VALUE!</v>
      </c>
      <c r="N73" s="10" t="e">
        <f t="shared" si="17"/>
        <v>#VALUE!</v>
      </c>
      <c r="O73" s="10" t="e">
        <f t="shared" si="18"/>
        <v>#VALUE!</v>
      </c>
      <c r="P73" s="10" t="e">
        <f t="shared" si="19"/>
        <v>#VALUE!</v>
      </c>
    </row>
    <row r="74" spans="1:16" x14ac:dyDescent="0.25">
      <c r="A74" s="15"/>
      <c r="B74" s="15"/>
      <c r="C74" s="15"/>
      <c r="D74" s="181"/>
      <c r="E74" s="64">
        <f t="shared" si="11"/>
        <v>71</v>
      </c>
      <c r="F74" s="10" t="str">
        <f>IF((E74&lt;='Alternative 1'!$B$12),F73+1,"x")</f>
        <v>x</v>
      </c>
      <c r="G74" s="1">
        <f>IF(E74&lt;='Alternative 1'!$B$12,G73+1,0)</f>
        <v>0</v>
      </c>
      <c r="H74" s="62">
        <f t="shared" si="12"/>
        <v>2.1360000000000001</v>
      </c>
      <c r="I74" s="60" t="e">
        <f t="shared" si="13"/>
        <v>#VALUE!</v>
      </c>
      <c r="J74" s="60" t="e">
        <f t="shared" si="14"/>
        <v>#VALUE!</v>
      </c>
      <c r="K74" s="14" t="e">
        <f t="shared" si="15"/>
        <v>#VALUE!</v>
      </c>
      <c r="L74" s="10" t="e">
        <f t="shared" si="10"/>
        <v>#VALUE!</v>
      </c>
      <c r="M74" s="10" t="e">
        <f t="shared" si="16"/>
        <v>#VALUE!</v>
      </c>
      <c r="N74" s="10" t="e">
        <f t="shared" si="17"/>
        <v>#VALUE!</v>
      </c>
      <c r="O74" s="10" t="e">
        <f t="shared" si="18"/>
        <v>#VALUE!</v>
      </c>
      <c r="P74" s="10" t="e">
        <f t="shared" si="19"/>
        <v>#VALUE!</v>
      </c>
    </row>
    <row r="75" spans="1:16" x14ac:dyDescent="0.25">
      <c r="A75" s="15"/>
      <c r="B75" s="15"/>
      <c r="C75" s="15"/>
      <c r="D75" s="181"/>
      <c r="E75" s="64">
        <f t="shared" si="11"/>
        <v>72</v>
      </c>
      <c r="F75" s="10" t="str">
        <f>IF((E75&lt;='Alternative 1'!$B$12),F74+1,"x")</f>
        <v>x</v>
      </c>
      <c r="G75" s="1">
        <f>IF(E75&lt;='Alternative 1'!$B$12,G74+1,0)</f>
        <v>0</v>
      </c>
      <c r="H75" s="62">
        <f t="shared" si="12"/>
        <v>2.1360000000000001</v>
      </c>
      <c r="I75" s="60" t="e">
        <f t="shared" si="13"/>
        <v>#VALUE!</v>
      </c>
      <c r="J75" s="60" t="e">
        <f t="shared" si="14"/>
        <v>#VALUE!</v>
      </c>
      <c r="K75" s="14" t="e">
        <f t="shared" si="15"/>
        <v>#VALUE!</v>
      </c>
      <c r="L75" s="10" t="e">
        <f t="shared" si="10"/>
        <v>#VALUE!</v>
      </c>
      <c r="M75" s="10" t="e">
        <f t="shared" si="16"/>
        <v>#VALUE!</v>
      </c>
      <c r="N75" s="10" t="e">
        <f t="shared" si="17"/>
        <v>#VALUE!</v>
      </c>
      <c r="O75" s="10" t="e">
        <f t="shared" si="18"/>
        <v>#VALUE!</v>
      </c>
      <c r="P75" s="10" t="e">
        <f t="shared" si="19"/>
        <v>#VALUE!</v>
      </c>
    </row>
    <row r="76" spans="1:16" x14ac:dyDescent="0.25">
      <c r="A76" s="15"/>
      <c r="B76" s="15"/>
      <c r="C76" s="15"/>
      <c r="D76" s="181"/>
      <c r="E76" s="64">
        <f t="shared" si="11"/>
        <v>73</v>
      </c>
      <c r="F76" s="10" t="str">
        <f>IF((E76&lt;='Alternative 1'!$B$12),F75+1,"x")</f>
        <v>x</v>
      </c>
      <c r="G76" s="1">
        <f>IF(E76&lt;='Alternative 1'!$B$12,G75+1,0)</f>
        <v>0</v>
      </c>
      <c r="H76" s="62">
        <f t="shared" si="12"/>
        <v>2.1360000000000001</v>
      </c>
      <c r="I76" s="60" t="e">
        <f t="shared" si="13"/>
        <v>#VALUE!</v>
      </c>
      <c r="J76" s="60" t="e">
        <f t="shared" si="14"/>
        <v>#VALUE!</v>
      </c>
      <c r="K76" s="14" t="e">
        <f t="shared" si="15"/>
        <v>#VALUE!</v>
      </c>
      <c r="L76" s="10" t="e">
        <f t="shared" si="10"/>
        <v>#VALUE!</v>
      </c>
      <c r="M76" s="10" t="e">
        <f t="shared" si="16"/>
        <v>#VALUE!</v>
      </c>
      <c r="N76" s="10" t="e">
        <f t="shared" si="17"/>
        <v>#VALUE!</v>
      </c>
      <c r="O76" s="10" t="e">
        <f t="shared" si="18"/>
        <v>#VALUE!</v>
      </c>
      <c r="P76" s="10" t="e">
        <f t="shared" si="19"/>
        <v>#VALUE!</v>
      </c>
    </row>
    <row r="77" spans="1:16" x14ac:dyDescent="0.25">
      <c r="A77" s="15"/>
      <c r="B77" s="15"/>
      <c r="C77" s="15"/>
      <c r="D77" s="181"/>
      <c r="E77" s="64">
        <f t="shared" si="11"/>
        <v>74</v>
      </c>
      <c r="F77" s="10" t="str">
        <f>IF((E77&lt;='Alternative 1'!$B$12),F76+1,"x")</f>
        <v>x</v>
      </c>
      <c r="G77" s="1">
        <f>IF(E77&lt;='Alternative 1'!$B$12,G76+1,0)</f>
        <v>0</v>
      </c>
      <c r="H77" s="62">
        <f t="shared" si="12"/>
        <v>2.1360000000000001</v>
      </c>
      <c r="I77" s="60" t="e">
        <f t="shared" si="13"/>
        <v>#VALUE!</v>
      </c>
      <c r="J77" s="60" t="e">
        <f t="shared" si="14"/>
        <v>#VALUE!</v>
      </c>
      <c r="K77" s="14" t="e">
        <f t="shared" si="15"/>
        <v>#VALUE!</v>
      </c>
      <c r="L77" s="10" t="e">
        <f t="shared" si="10"/>
        <v>#VALUE!</v>
      </c>
      <c r="M77" s="10" t="e">
        <f t="shared" si="16"/>
        <v>#VALUE!</v>
      </c>
      <c r="N77" s="10" t="e">
        <f t="shared" si="17"/>
        <v>#VALUE!</v>
      </c>
      <c r="O77" s="10" t="e">
        <f t="shared" si="18"/>
        <v>#VALUE!</v>
      </c>
      <c r="P77" s="10" t="e">
        <f t="shared" si="19"/>
        <v>#VALUE!</v>
      </c>
    </row>
    <row r="78" spans="1:16" x14ac:dyDescent="0.25">
      <c r="A78" s="15"/>
      <c r="B78" s="15"/>
      <c r="C78" s="15"/>
      <c r="D78" s="181"/>
      <c r="E78" s="64">
        <f t="shared" si="11"/>
        <v>75</v>
      </c>
      <c r="F78" s="10" t="str">
        <f>IF((E78&lt;='Alternative 1'!$B$12),F77+1,"x")</f>
        <v>x</v>
      </c>
      <c r="G78" s="1">
        <f>IF(E78&lt;='Alternative 1'!$B$12,G77+1,0)</f>
        <v>0</v>
      </c>
      <c r="H78" s="62">
        <f t="shared" si="12"/>
        <v>2.1360000000000001</v>
      </c>
      <c r="I78" s="60" t="e">
        <f t="shared" si="13"/>
        <v>#VALUE!</v>
      </c>
      <c r="J78" s="60" t="e">
        <f t="shared" si="14"/>
        <v>#VALUE!</v>
      </c>
      <c r="K78" s="14" t="e">
        <f t="shared" si="15"/>
        <v>#VALUE!</v>
      </c>
      <c r="L78" s="10" t="e">
        <f t="shared" si="10"/>
        <v>#VALUE!</v>
      </c>
      <c r="M78" s="10" t="e">
        <f t="shared" si="16"/>
        <v>#VALUE!</v>
      </c>
      <c r="N78" s="10" t="e">
        <f t="shared" si="17"/>
        <v>#VALUE!</v>
      </c>
      <c r="O78" s="10" t="e">
        <f t="shared" si="18"/>
        <v>#VALUE!</v>
      </c>
      <c r="P78" s="10" t="e">
        <f t="shared" si="19"/>
        <v>#VALUE!</v>
      </c>
    </row>
    <row r="79" spans="1:16" x14ac:dyDescent="0.25">
      <c r="A79" s="15"/>
      <c r="B79" s="15"/>
      <c r="C79" s="15"/>
      <c r="D79" s="181"/>
      <c r="E79" s="64">
        <f>E78+1</f>
        <v>76</v>
      </c>
      <c r="F79" s="10" t="str">
        <f>IF((E79&lt;='Alternative 1'!$B$12),F78+1,"x")</f>
        <v>x</v>
      </c>
      <c r="G79" s="1">
        <f>IF(E79&lt;='Alternative 1'!$B$12,G78+1,0)</f>
        <v>0</v>
      </c>
      <c r="H79" s="62">
        <f t="shared" si="12"/>
        <v>2.1360000000000001</v>
      </c>
      <c r="I79" s="60" t="e">
        <f t="shared" si="13"/>
        <v>#VALUE!</v>
      </c>
      <c r="J79" s="60" t="e">
        <f t="shared" si="14"/>
        <v>#VALUE!</v>
      </c>
      <c r="K79" s="14" t="e">
        <f t="shared" si="15"/>
        <v>#VALUE!</v>
      </c>
      <c r="L79" s="10" t="e">
        <f t="shared" si="10"/>
        <v>#VALUE!</v>
      </c>
      <c r="M79" s="10" t="e">
        <f t="shared" si="16"/>
        <v>#VALUE!</v>
      </c>
      <c r="N79" s="10" t="e">
        <f t="shared" si="17"/>
        <v>#VALUE!</v>
      </c>
      <c r="O79" s="10" t="e">
        <f t="shared" si="18"/>
        <v>#VALUE!</v>
      </c>
      <c r="P79" s="10" t="e">
        <f t="shared" si="19"/>
        <v>#VALUE!</v>
      </c>
    </row>
    <row r="80" spans="1:16" x14ac:dyDescent="0.25">
      <c r="D80" s="181"/>
      <c r="E80" s="64">
        <f t="shared" ref="E80:E92" si="20">E79+1</f>
        <v>77</v>
      </c>
      <c r="F80" s="10" t="str">
        <f>IF((E80&lt;='Alternative 1'!$B$12),F79+1,"x")</f>
        <v>x</v>
      </c>
      <c r="G80" s="1">
        <f>IF(E80&lt;='Alternative 1'!$B$12,G79+1,0)</f>
        <v>0</v>
      </c>
      <c r="H80" s="62">
        <f t="shared" si="12"/>
        <v>2.1360000000000001</v>
      </c>
      <c r="I80" s="60" t="e">
        <f t="shared" si="13"/>
        <v>#VALUE!</v>
      </c>
      <c r="J80" s="60" t="e">
        <f t="shared" si="14"/>
        <v>#VALUE!</v>
      </c>
      <c r="K80" s="14" t="e">
        <f t="shared" si="15"/>
        <v>#VALUE!</v>
      </c>
      <c r="L80" s="10" t="e">
        <f t="shared" si="10"/>
        <v>#VALUE!</v>
      </c>
      <c r="M80" s="10" t="e">
        <f t="shared" si="16"/>
        <v>#VALUE!</v>
      </c>
      <c r="N80" s="10" t="e">
        <f t="shared" si="17"/>
        <v>#VALUE!</v>
      </c>
      <c r="O80" s="10" t="e">
        <f t="shared" si="18"/>
        <v>#VALUE!</v>
      </c>
      <c r="P80" s="10" t="e">
        <f t="shared" si="19"/>
        <v>#VALUE!</v>
      </c>
    </row>
    <row r="81" spans="4:16" x14ac:dyDescent="0.25">
      <c r="D81" s="181"/>
      <c r="E81" s="64">
        <f t="shared" si="20"/>
        <v>78</v>
      </c>
      <c r="F81" s="10" t="str">
        <f>IF((E81&lt;='Alternative 1'!$B$12),F80+1,"x")</f>
        <v>x</v>
      </c>
      <c r="G81" s="1">
        <f>IF(E81&lt;='Alternative 1'!$B$12,G80+1,0)</f>
        <v>0</v>
      </c>
      <c r="H81" s="62">
        <f t="shared" si="12"/>
        <v>2.1360000000000001</v>
      </c>
      <c r="I81" s="60" t="e">
        <f t="shared" si="13"/>
        <v>#VALUE!</v>
      </c>
      <c r="J81" s="60" t="e">
        <f t="shared" si="14"/>
        <v>#VALUE!</v>
      </c>
      <c r="K81" s="14" t="e">
        <f t="shared" si="15"/>
        <v>#VALUE!</v>
      </c>
      <c r="L81" s="10" t="e">
        <f t="shared" si="10"/>
        <v>#VALUE!</v>
      </c>
      <c r="M81" s="10" t="e">
        <f t="shared" si="16"/>
        <v>#VALUE!</v>
      </c>
      <c r="N81" s="10" t="e">
        <f t="shared" si="17"/>
        <v>#VALUE!</v>
      </c>
      <c r="O81" s="10" t="e">
        <f t="shared" si="18"/>
        <v>#VALUE!</v>
      </c>
      <c r="P81" s="10" t="e">
        <f t="shared" si="19"/>
        <v>#VALUE!</v>
      </c>
    </row>
    <row r="82" spans="4:16" x14ac:dyDescent="0.25">
      <c r="D82" s="181"/>
      <c r="E82" s="64">
        <f t="shared" si="20"/>
        <v>79</v>
      </c>
      <c r="F82" s="10" t="str">
        <f>IF((E82&lt;='Alternative 1'!$B$12),F81+1,"x")</f>
        <v>x</v>
      </c>
      <c r="G82" s="1">
        <f>IF(E82&lt;='Alternative 1'!$B$12,G81+1,0)</f>
        <v>0</v>
      </c>
      <c r="H82" s="62">
        <f t="shared" si="12"/>
        <v>2.1360000000000001</v>
      </c>
      <c r="I82" s="60" t="e">
        <f t="shared" si="13"/>
        <v>#VALUE!</v>
      </c>
      <c r="J82" s="60" t="e">
        <f t="shared" si="14"/>
        <v>#VALUE!</v>
      </c>
      <c r="K82" s="14" t="e">
        <f t="shared" si="15"/>
        <v>#VALUE!</v>
      </c>
      <c r="L82" s="10" t="e">
        <f t="shared" si="10"/>
        <v>#VALUE!</v>
      </c>
      <c r="M82" s="10" t="e">
        <f t="shared" si="16"/>
        <v>#VALUE!</v>
      </c>
      <c r="N82" s="10" t="e">
        <f t="shared" si="17"/>
        <v>#VALUE!</v>
      </c>
      <c r="O82" s="10" t="e">
        <f t="shared" si="18"/>
        <v>#VALUE!</v>
      </c>
      <c r="P82" s="10" t="e">
        <f t="shared" si="19"/>
        <v>#VALUE!</v>
      </c>
    </row>
    <row r="83" spans="4:16" x14ac:dyDescent="0.25">
      <c r="D83" s="181"/>
      <c r="E83" s="64">
        <f t="shared" si="20"/>
        <v>80</v>
      </c>
      <c r="F83" s="10" t="str">
        <f>IF((E83&lt;='Alternative 1'!$B$12),F82+1,"x")</f>
        <v>x</v>
      </c>
      <c r="G83" s="1">
        <f>IF(E83&lt;='Alternative 1'!$B$12,G82+1,0)</f>
        <v>0</v>
      </c>
      <c r="H83" s="62">
        <f t="shared" si="12"/>
        <v>2.1360000000000001</v>
      </c>
      <c r="I83" s="60" t="e">
        <f t="shared" si="13"/>
        <v>#VALUE!</v>
      </c>
      <c r="J83" s="60" t="e">
        <f t="shared" si="14"/>
        <v>#VALUE!</v>
      </c>
      <c r="K83" s="14" t="e">
        <f t="shared" si="15"/>
        <v>#VALUE!</v>
      </c>
      <c r="L83" s="10" t="e">
        <f t="shared" si="10"/>
        <v>#VALUE!</v>
      </c>
      <c r="M83" s="10" t="e">
        <f t="shared" si="16"/>
        <v>#VALUE!</v>
      </c>
      <c r="N83" s="10" t="e">
        <f t="shared" si="17"/>
        <v>#VALUE!</v>
      </c>
      <c r="O83" s="10" t="e">
        <f t="shared" si="18"/>
        <v>#VALUE!</v>
      </c>
      <c r="P83" s="10" t="e">
        <f t="shared" si="19"/>
        <v>#VALUE!</v>
      </c>
    </row>
    <row r="84" spans="4:16" x14ac:dyDescent="0.25">
      <c r="D84" s="181"/>
      <c r="E84" s="64">
        <f t="shared" si="20"/>
        <v>81</v>
      </c>
      <c r="F84" s="10" t="str">
        <f>IF((E84&lt;='Alternative 1'!$B$12),F83+1,"x")</f>
        <v>x</v>
      </c>
      <c r="G84" s="1">
        <f>IF(E84&lt;='Alternative 1'!$B$12,G83+1,0)</f>
        <v>0</v>
      </c>
      <c r="H84" s="62">
        <f t="shared" si="12"/>
        <v>2.1360000000000001</v>
      </c>
      <c r="I84" s="60" t="e">
        <f t="shared" si="13"/>
        <v>#VALUE!</v>
      </c>
      <c r="J84" s="60" t="e">
        <f t="shared" si="14"/>
        <v>#VALUE!</v>
      </c>
      <c r="K84" s="14" t="e">
        <f t="shared" si="15"/>
        <v>#VALUE!</v>
      </c>
      <c r="L84" s="10" t="e">
        <f t="shared" si="10"/>
        <v>#VALUE!</v>
      </c>
      <c r="M84" s="10" t="e">
        <f t="shared" si="16"/>
        <v>#VALUE!</v>
      </c>
      <c r="N84" s="10" t="e">
        <f t="shared" si="17"/>
        <v>#VALUE!</v>
      </c>
      <c r="O84" s="10" t="e">
        <f t="shared" si="18"/>
        <v>#VALUE!</v>
      </c>
      <c r="P84" s="10" t="e">
        <f t="shared" si="19"/>
        <v>#VALUE!</v>
      </c>
    </row>
    <row r="85" spans="4:16" x14ac:dyDescent="0.25">
      <c r="D85" s="181"/>
      <c r="E85" s="64">
        <f t="shared" si="20"/>
        <v>82</v>
      </c>
      <c r="F85" s="10" t="str">
        <f>IF((E85&lt;='Alternative 1'!$B$12),F84+1,"x")</f>
        <v>x</v>
      </c>
      <c r="G85" s="1">
        <f>IF(E85&lt;='Alternative 1'!$B$12,G84+1,0)</f>
        <v>0</v>
      </c>
      <c r="H85" s="62">
        <f t="shared" si="12"/>
        <v>2.1360000000000001</v>
      </c>
      <c r="I85" s="60" t="e">
        <f t="shared" si="13"/>
        <v>#VALUE!</v>
      </c>
      <c r="J85" s="60" t="e">
        <f t="shared" si="14"/>
        <v>#VALUE!</v>
      </c>
      <c r="K85" s="14" t="e">
        <f t="shared" si="15"/>
        <v>#VALUE!</v>
      </c>
      <c r="L85" s="10" t="e">
        <f t="shared" si="10"/>
        <v>#VALUE!</v>
      </c>
      <c r="M85" s="10" t="e">
        <f t="shared" si="16"/>
        <v>#VALUE!</v>
      </c>
      <c r="N85" s="10" t="e">
        <f t="shared" si="17"/>
        <v>#VALUE!</v>
      </c>
      <c r="O85" s="10" t="e">
        <f t="shared" si="18"/>
        <v>#VALUE!</v>
      </c>
      <c r="P85" s="10" t="e">
        <f t="shared" si="19"/>
        <v>#VALUE!</v>
      </c>
    </row>
    <row r="86" spans="4:16" x14ac:dyDescent="0.25">
      <c r="D86" s="181"/>
      <c r="E86" s="64">
        <f t="shared" si="20"/>
        <v>83</v>
      </c>
      <c r="F86" s="10" t="str">
        <f>IF((E86&lt;='Alternative 1'!$B$12),F85+1,"x")</f>
        <v>x</v>
      </c>
      <c r="G86" s="1">
        <f>IF(E86&lt;='Alternative 1'!$B$12,G85+1,0)</f>
        <v>0</v>
      </c>
      <c r="H86" s="62">
        <f t="shared" si="12"/>
        <v>2.1360000000000001</v>
      </c>
      <c r="I86" s="60" t="e">
        <f t="shared" si="13"/>
        <v>#VALUE!</v>
      </c>
      <c r="J86" s="60" t="e">
        <f t="shared" si="14"/>
        <v>#VALUE!</v>
      </c>
      <c r="K86" s="14" t="e">
        <f t="shared" si="15"/>
        <v>#VALUE!</v>
      </c>
      <c r="L86" s="10" t="e">
        <f t="shared" si="10"/>
        <v>#VALUE!</v>
      </c>
      <c r="M86" s="10" t="e">
        <f t="shared" si="16"/>
        <v>#VALUE!</v>
      </c>
      <c r="N86" s="10" t="e">
        <f t="shared" si="17"/>
        <v>#VALUE!</v>
      </c>
      <c r="O86" s="10" t="e">
        <f t="shared" si="18"/>
        <v>#VALUE!</v>
      </c>
      <c r="P86" s="10" t="e">
        <f t="shared" si="19"/>
        <v>#VALUE!</v>
      </c>
    </row>
    <row r="87" spans="4:16" x14ac:dyDescent="0.25">
      <c r="D87" s="181"/>
      <c r="E87" s="64">
        <f t="shared" si="20"/>
        <v>84</v>
      </c>
      <c r="F87" s="10" t="str">
        <f>IF((E87&lt;='Alternative 1'!$B$12),F86+1,"x")</f>
        <v>x</v>
      </c>
      <c r="G87" s="1">
        <f>IF(E87&lt;='Alternative 1'!$B$12,G86+1,0)</f>
        <v>0</v>
      </c>
      <c r="H87" s="62">
        <f t="shared" si="12"/>
        <v>2.1360000000000001</v>
      </c>
      <c r="I87" s="60" t="e">
        <f t="shared" si="13"/>
        <v>#VALUE!</v>
      </c>
      <c r="J87" s="60" t="e">
        <f t="shared" si="14"/>
        <v>#VALUE!</v>
      </c>
      <c r="K87" s="14" t="e">
        <f t="shared" si="15"/>
        <v>#VALUE!</v>
      </c>
      <c r="L87" s="10" t="e">
        <f t="shared" si="10"/>
        <v>#VALUE!</v>
      </c>
      <c r="M87" s="10" t="e">
        <f t="shared" si="16"/>
        <v>#VALUE!</v>
      </c>
      <c r="N87" s="10" t="e">
        <f t="shared" si="17"/>
        <v>#VALUE!</v>
      </c>
      <c r="O87" s="10" t="e">
        <f t="shared" si="18"/>
        <v>#VALUE!</v>
      </c>
      <c r="P87" s="10" t="e">
        <f t="shared" si="19"/>
        <v>#VALUE!</v>
      </c>
    </row>
    <row r="88" spans="4:16" x14ac:dyDescent="0.25">
      <c r="D88" s="181"/>
      <c r="E88" s="64">
        <f t="shared" si="20"/>
        <v>85</v>
      </c>
      <c r="F88" s="10" t="str">
        <f>IF((E88&lt;='Alternative 1'!$B$12),F87+1,"x")</f>
        <v>x</v>
      </c>
      <c r="G88" s="1">
        <f>IF(E88&lt;='Alternative 1'!$B$12,G87+1,0)</f>
        <v>0</v>
      </c>
      <c r="H88" s="62">
        <f t="shared" si="12"/>
        <v>2.1360000000000001</v>
      </c>
      <c r="I88" s="60" t="e">
        <f t="shared" si="13"/>
        <v>#VALUE!</v>
      </c>
      <c r="J88" s="60" t="e">
        <f t="shared" si="14"/>
        <v>#VALUE!</v>
      </c>
      <c r="K88" s="14" t="e">
        <f t="shared" si="15"/>
        <v>#VALUE!</v>
      </c>
      <c r="L88" s="10" t="e">
        <f t="shared" si="10"/>
        <v>#VALUE!</v>
      </c>
      <c r="M88" s="10" t="e">
        <f t="shared" si="16"/>
        <v>#VALUE!</v>
      </c>
      <c r="N88" s="10" t="e">
        <f t="shared" si="17"/>
        <v>#VALUE!</v>
      </c>
      <c r="O88" s="10" t="e">
        <f t="shared" si="18"/>
        <v>#VALUE!</v>
      </c>
      <c r="P88" s="10" t="e">
        <f t="shared" si="19"/>
        <v>#VALUE!</v>
      </c>
    </row>
    <row r="89" spans="4:16" x14ac:dyDescent="0.25">
      <c r="D89" s="181"/>
      <c r="E89" s="64">
        <f t="shared" si="20"/>
        <v>86</v>
      </c>
      <c r="F89" s="10" t="str">
        <f>IF((E89&lt;='Alternative 1'!$B$12),F88+1,"x")</f>
        <v>x</v>
      </c>
      <c r="G89" s="1">
        <f>IF(E89&lt;='Alternative 1'!$B$12,G88+1,0)</f>
        <v>0</v>
      </c>
      <c r="H89" s="62">
        <f t="shared" si="12"/>
        <v>2.1360000000000001</v>
      </c>
      <c r="I89" s="60" t="e">
        <f t="shared" si="13"/>
        <v>#VALUE!</v>
      </c>
      <c r="J89" s="60" t="e">
        <f t="shared" si="14"/>
        <v>#VALUE!</v>
      </c>
      <c r="K89" s="14" t="e">
        <f t="shared" si="15"/>
        <v>#VALUE!</v>
      </c>
      <c r="L89" s="10" t="e">
        <f t="shared" si="10"/>
        <v>#VALUE!</v>
      </c>
      <c r="M89" s="10" t="e">
        <f t="shared" si="16"/>
        <v>#VALUE!</v>
      </c>
      <c r="N89" s="10" t="e">
        <f t="shared" si="17"/>
        <v>#VALUE!</v>
      </c>
      <c r="O89" s="10" t="e">
        <f t="shared" si="18"/>
        <v>#VALUE!</v>
      </c>
      <c r="P89" s="10" t="e">
        <f t="shared" si="19"/>
        <v>#VALUE!</v>
      </c>
    </row>
    <row r="90" spans="4:16" x14ac:dyDescent="0.25">
      <c r="D90" s="181"/>
      <c r="E90" s="64">
        <f t="shared" si="20"/>
        <v>87</v>
      </c>
      <c r="F90" s="10" t="str">
        <f>IF((E90&lt;='Alternative 1'!$B$12),F89+1,"x")</f>
        <v>x</v>
      </c>
      <c r="G90" s="1">
        <f>IF(E90&lt;='Alternative 1'!$B$12,G89+1,0)</f>
        <v>0</v>
      </c>
      <c r="H90" s="62">
        <f t="shared" si="12"/>
        <v>2.1360000000000001</v>
      </c>
      <c r="I90" s="60" t="e">
        <f t="shared" si="13"/>
        <v>#VALUE!</v>
      </c>
      <c r="J90" s="60" t="e">
        <f t="shared" si="14"/>
        <v>#VALUE!</v>
      </c>
      <c r="K90" s="14" t="e">
        <f t="shared" si="15"/>
        <v>#VALUE!</v>
      </c>
      <c r="L90" s="10" t="e">
        <f t="shared" si="10"/>
        <v>#VALUE!</v>
      </c>
      <c r="M90" s="10" t="e">
        <f t="shared" si="16"/>
        <v>#VALUE!</v>
      </c>
      <c r="N90" s="10" t="e">
        <f t="shared" si="17"/>
        <v>#VALUE!</v>
      </c>
      <c r="O90" s="10" t="e">
        <f t="shared" si="18"/>
        <v>#VALUE!</v>
      </c>
      <c r="P90" s="10" t="e">
        <f t="shared" si="19"/>
        <v>#VALUE!</v>
      </c>
    </row>
    <row r="91" spans="4:16" x14ac:dyDescent="0.25">
      <c r="D91" s="181"/>
      <c r="E91" s="64">
        <f t="shared" si="20"/>
        <v>88</v>
      </c>
      <c r="F91" s="10" t="str">
        <f>IF((E91&lt;='Alternative 1'!$B$12),F90+1,"x")</f>
        <v>x</v>
      </c>
      <c r="G91" s="1">
        <f>IF(E91&lt;='Alternative 1'!$B$12,G90+1,0)</f>
        <v>0</v>
      </c>
      <c r="H91" s="62">
        <f t="shared" si="12"/>
        <v>2.1360000000000001</v>
      </c>
      <c r="I91" s="60" t="e">
        <f>IF(F91&gt;0,(($B$16/2)-((($B$16/2)-($B$15/2))/$B$12)*F91),0)</f>
        <v>#VALUE!</v>
      </c>
      <c r="J91" s="60" t="e">
        <f t="shared" si="14"/>
        <v>#VALUE!</v>
      </c>
      <c r="K91" s="14" t="e">
        <f t="shared" si="15"/>
        <v>#VALUE!</v>
      </c>
      <c r="L91" s="10" t="e">
        <f t="shared" si="10"/>
        <v>#VALUE!</v>
      </c>
      <c r="M91" s="10" t="e">
        <f t="shared" si="16"/>
        <v>#VALUE!</v>
      </c>
      <c r="N91" s="10" t="e">
        <f t="shared" si="17"/>
        <v>#VALUE!</v>
      </c>
      <c r="O91" s="10" t="e">
        <f t="shared" si="18"/>
        <v>#VALUE!</v>
      </c>
      <c r="P91" s="10" t="e">
        <f t="shared" si="19"/>
        <v>#VALUE!</v>
      </c>
    </row>
    <row r="92" spans="4:16" x14ac:dyDescent="0.25">
      <c r="D92" s="181"/>
      <c r="E92" s="64">
        <f t="shared" si="20"/>
        <v>89</v>
      </c>
      <c r="F92" s="10" t="str">
        <f>IF((E92&lt;='Alternative 1'!$B$12),F91+1,"x")</f>
        <v>x</v>
      </c>
      <c r="G92" s="1">
        <f>IF(E92&lt;='Alternative 1'!$B$12,G91+1,0)</f>
        <v>0</v>
      </c>
      <c r="H92" s="62">
        <f t="shared" si="12"/>
        <v>2.1360000000000001</v>
      </c>
      <c r="I92" s="60" t="e">
        <f>IF(F92&gt;0,(($B$16/2)-((($B$16/2)-($B$15/2))/$B$12)*F92),0)</f>
        <v>#VALUE!</v>
      </c>
      <c r="J92" s="60" t="e">
        <f t="shared" si="14"/>
        <v>#VALUE!</v>
      </c>
      <c r="K92" s="14" t="e">
        <f t="shared" si="15"/>
        <v>#VALUE!</v>
      </c>
      <c r="L92" s="10" t="e">
        <f t="shared" si="10"/>
        <v>#VALUE!</v>
      </c>
      <c r="M92" s="10" t="e">
        <f t="shared" si="16"/>
        <v>#VALUE!</v>
      </c>
      <c r="N92" s="10" t="e">
        <f t="shared" si="17"/>
        <v>#VALUE!</v>
      </c>
      <c r="O92" s="10" t="e">
        <f t="shared" si="18"/>
        <v>#VALUE!</v>
      </c>
      <c r="P92" s="10" t="e">
        <f t="shared" si="19"/>
        <v>#VALUE!</v>
      </c>
    </row>
    <row r="93" spans="4:16" x14ac:dyDescent="0.25">
      <c r="D93" s="181"/>
      <c r="E93" s="64">
        <f>E92+1</f>
        <v>90</v>
      </c>
      <c r="F93" s="10" t="str">
        <f>IF((E93&lt;='Alternative 1'!$B$12),F92+1,"x")</f>
        <v>x</v>
      </c>
      <c r="G93" s="1">
        <f>IF(E93&lt;='Alternative 1'!$B$12,G92+1,0)</f>
        <v>0</v>
      </c>
      <c r="H93" s="62">
        <f t="shared" si="12"/>
        <v>2.1360000000000001</v>
      </c>
      <c r="I93" s="60" t="e">
        <f>IF(F93&gt;0,(($B$16/2)-((($B$16/2)-($B$15/2))/$B$12)*F93),0)</f>
        <v>#VALUE!</v>
      </c>
      <c r="J93" s="60" t="e">
        <f t="shared" si="14"/>
        <v>#VALUE!</v>
      </c>
      <c r="K93" s="14" t="e">
        <f t="shared" si="15"/>
        <v>#VALUE!</v>
      </c>
      <c r="L93" s="10" t="e">
        <f t="shared" si="10"/>
        <v>#VALUE!</v>
      </c>
      <c r="M93" s="10" t="e">
        <f t="shared" si="16"/>
        <v>#VALUE!</v>
      </c>
      <c r="N93" s="10" t="e">
        <f t="shared" si="17"/>
        <v>#VALUE!</v>
      </c>
      <c r="O93" s="10" t="e">
        <f t="shared" si="18"/>
        <v>#VALUE!</v>
      </c>
      <c r="P93" s="10" t="e">
        <f t="shared" si="19"/>
        <v>#VALUE!</v>
      </c>
    </row>
  </sheetData>
  <customSheetViews>
    <customSheetView guid="{73608749-DAD6-470A-871E-DA0A326E9E7B}" scale="70" topLeftCell="A7">
      <selection activeCell="J22" sqref="J22"/>
      <pageMargins left="0.7" right="0.7" top="0.75" bottom="0.75" header="0.3" footer="0.3"/>
    </customSheetView>
  </customSheetViews>
  <mergeCells count="8">
    <mergeCell ref="A31:C31"/>
    <mergeCell ref="A37:C37"/>
    <mergeCell ref="D1:D93"/>
    <mergeCell ref="A1:C1"/>
    <mergeCell ref="F1:P1"/>
    <mergeCell ref="A11:C11"/>
    <mergeCell ref="A18:C18"/>
    <mergeCell ref="A24:C24"/>
  </mergeCells>
  <conditionalFormatting sqref="F1:F1048576">
    <cfRule type="cellIs" dxfId="20" priority="1" operator="equal">
      <formula>$B$12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P93"/>
  <sheetViews>
    <sheetView topLeftCell="A6" zoomScale="70" zoomScaleNormal="70" workbookViewId="0">
      <selection activeCell="G16" sqref="G16"/>
    </sheetView>
  </sheetViews>
  <sheetFormatPr defaultRowHeight="15" x14ac:dyDescent="0.25"/>
  <cols>
    <col min="1" max="1" width="18.7109375" bestFit="1" customWidth="1"/>
    <col min="2" max="2" width="15.140625" bestFit="1" customWidth="1"/>
    <col min="3" max="3" width="5.42578125" bestFit="1" customWidth="1"/>
    <col min="4" max="4" width="2.7109375" customWidth="1"/>
    <col min="5" max="5" width="7" style="63" hidden="1" customWidth="1"/>
    <col min="7" max="8" width="9.140625" style="2"/>
    <col min="9" max="9" width="9.140625" style="67"/>
    <col min="12" max="12" width="13" customWidth="1"/>
    <col min="14" max="14" width="13.7109375" customWidth="1"/>
    <col min="15" max="15" width="11.42578125" customWidth="1"/>
    <col min="16" max="16" width="15.42578125" customWidth="1"/>
  </cols>
  <sheetData>
    <row r="1" spans="1:16" x14ac:dyDescent="0.25">
      <c r="A1" s="177" t="s">
        <v>14</v>
      </c>
      <c r="B1" s="177"/>
      <c r="C1" s="234"/>
      <c r="D1" s="242"/>
      <c r="E1" s="64"/>
      <c r="F1" s="177" t="s">
        <v>58</v>
      </c>
      <c r="G1" s="177"/>
      <c r="H1" s="177"/>
      <c r="I1" s="182"/>
      <c r="J1" s="182"/>
      <c r="K1" s="182"/>
      <c r="L1" s="182"/>
      <c r="M1" s="182"/>
      <c r="N1" s="182"/>
      <c r="O1" s="182"/>
      <c r="P1" s="182"/>
    </row>
    <row r="2" spans="1:16" ht="45" x14ac:dyDescent="0.25">
      <c r="A2" s="25" t="s">
        <v>19</v>
      </c>
      <c r="B2" s="72">
        <v>7800</v>
      </c>
      <c r="C2" s="235" t="s">
        <v>2</v>
      </c>
      <c r="D2" s="242"/>
      <c r="E2" s="64" t="s">
        <v>49</v>
      </c>
      <c r="F2" s="29" t="s">
        <v>5</v>
      </c>
      <c r="G2" s="29" t="s">
        <v>71</v>
      </c>
      <c r="H2" s="29" t="s">
        <v>74</v>
      </c>
      <c r="I2" s="65" t="s">
        <v>36</v>
      </c>
      <c r="J2" s="29" t="s">
        <v>37</v>
      </c>
      <c r="K2" s="29" t="s">
        <v>59</v>
      </c>
      <c r="L2" s="29" t="s">
        <v>9</v>
      </c>
      <c r="M2" s="29" t="s">
        <v>10</v>
      </c>
      <c r="N2" s="29" t="s">
        <v>60</v>
      </c>
      <c r="O2" s="29" t="s">
        <v>11</v>
      </c>
      <c r="P2" s="29" t="s">
        <v>35</v>
      </c>
    </row>
    <row r="3" spans="1:16" x14ac:dyDescent="0.25">
      <c r="A3" s="25" t="s">
        <v>19</v>
      </c>
      <c r="B3" s="77">
        <f>B2*9.80665</f>
        <v>76491.87</v>
      </c>
      <c r="C3" s="235" t="s">
        <v>41</v>
      </c>
      <c r="D3" s="242"/>
      <c r="E3" s="64">
        <v>0</v>
      </c>
      <c r="F3" s="13">
        <v>0</v>
      </c>
      <c r="G3" s="40" t="s">
        <v>56</v>
      </c>
      <c r="H3" s="62">
        <f>B16</f>
        <v>1.36</v>
      </c>
      <c r="I3" s="66">
        <f>B16/2</f>
        <v>0.68</v>
      </c>
      <c r="J3" s="60">
        <f>I3-$B$17</f>
        <v>0.67</v>
      </c>
      <c r="K3" s="14">
        <f>AVERAGE(I3:J3)</f>
        <v>0.67500000000000004</v>
      </c>
      <c r="L3" s="10">
        <f>2*3.14159*K3*$B$17</f>
        <v>4.2411465000000002E-2</v>
      </c>
      <c r="M3" s="10">
        <f>(3.141593)*(K3^2)</f>
        <v>1.431388310625</v>
      </c>
      <c r="N3" s="10">
        <f>SQRT(L3/M3)</f>
        <v>0.17213251097750432</v>
      </c>
      <c r="O3" s="10">
        <f>($I$10*F3)/N3</f>
        <v>0</v>
      </c>
      <c r="P3" s="10">
        <f>($I$10*F3)/K3</f>
        <v>0</v>
      </c>
    </row>
    <row r="4" spans="1:16" x14ac:dyDescent="0.25">
      <c r="A4" s="25" t="s">
        <v>20</v>
      </c>
      <c r="B4" s="71">
        <v>0</v>
      </c>
      <c r="C4" s="235" t="s">
        <v>2</v>
      </c>
      <c r="D4" s="242"/>
      <c r="E4" s="64">
        <f>E3+1</f>
        <v>1</v>
      </c>
      <c r="F4" s="10">
        <f>IF((E4&lt;='Alternative 2'!$B$12),F3+1,"x")</f>
        <v>1</v>
      </c>
      <c r="G4" s="1">
        <v>0.5</v>
      </c>
      <c r="H4" s="62">
        <f>IF(F4&gt;0,(($B$16)-((($B$16)-($B$15))/$B$12)*G4),0)</f>
        <v>1.3502173913043478</v>
      </c>
      <c r="I4" s="66">
        <f>IF(F4&gt;0,(($B$16/2)-((($B$16/2)-($B$15/2))/$B$12)*F4),0)</f>
        <v>0.67021739130434788</v>
      </c>
      <c r="J4" s="60">
        <f>IF(F4&gt;0,I4-$B$17,0)</f>
        <v>0.66021739130434787</v>
      </c>
      <c r="K4" s="14">
        <f>AVERAGE(I4:J4)</f>
        <v>0.66521739130434787</v>
      </c>
      <c r="L4" s="10">
        <f t="shared" ref="L4:L67" si="0">2*3.14159*K4*$B$17</f>
        <v>4.1796806086956524E-2</v>
      </c>
      <c r="M4" s="10">
        <f>(3.141593)*(K4^2)</f>
        <v>1.3901994430434785</v>
      </c>
      <c r="N4" s="10">
        <f>SQRT(L4/M4)</f>
        <v>0.17339357187284621</v>
      </c>
      <c r="O4" s="10">
        <f>($I$10*F4)/N4</f>
        <v>3.5267843699469945</v>
      </c>
      <c r="P4" s="10">
        <f>($I$10*F4)/K4</f>
        <v>0.91928104575163405</v>
      </c>
    </row>
    <row r="5" spans="1:16" x14ac:dyDescent="0.25">
      <c r="A5" s="25" t="s">
        <v>20</v>
      </c>
      <c r="B5" s="77">
        <f>B4*9.80665</f>
        <v>0</v>
      </c>
      <c r="C5" s="235" t="s">
        <v>41</v>
      </c>
      <c r="D5" s="242"/>
      <c r="E5" s="64">
        <f t="shared" ref="E5:E68" si="1">E4+1</f>
        <v>2</v>
      </c>
      <c r="F5" s="10">
        <f>IF((E5&lt;='Alternative 2'!$B$12),F4+1,"x")</f>
        <v>2</v>
      </c>
      <c r="G5" s="1">
        <f>IF(E5&lt;='Alternative 2'!$B$12,G4+1,0)</f>
        <v>1.5</v>
      </c>
      <c r="H5" s="62">
        <f t="shared" ref="H5:H68" si="2">IF(F5&gt;0,(($B$16)-((($B$16)-($B$15))/$B$12)*G5),0)</f>
        <v>1.3306521739130435</v>
      </c>
      <c r="I5" s="66">
        <f t="shared" ref="I5:I68" si="3">IF(F5&gt;0,(($B$16/2)-((($B$16/2)-($B$15/2))/$B$12)*F5),0)</f>
        <v>0.6604347826086957</v>
      </c>
      <c r="J5" s="60">
        <f t="shared" ref="J5:J68" si="4">IF(F5&gt;0,I5-$B$17,0)</f>
        <v>0.65043478260869569</v>
      </c>
      <c r="K5" s="14">
        <f t="shared" ref="K5:K68" si="5">AVERAGE(I5:J5)</f>
        <v>0.6554347826086957</v>
      </c>
      <c r="L5" s="10">
        <f t="shared" si="0"/>
        <v>4.1182147173913046E-2</v>
      </c>
      <c r="M5" s="10">
        <f t="shared" ref="M5:M68" si="6">(3.141593)*(K5^2)</f>
        <v>1.349611872798913</v>
      </c>
      <c r="N5" s="10">
        <f t="shared" ref="N5:N68" si="7">SQRT(L5/M5)</f>
        <v>0.17468276116127127</v>
      </c>
      <c r="O5" s="10">
        <f t="shared" ref="O5:O68" si="8">($I$10*F5)/N5</f>
        <v>7.0015121705783372</v>
      </c>
      <c r="P5" s="10">
        <f t="shared" ref="P5:P68" si="9">($I$10*F5)/K5</f>
        <v>1.8660033167495855</v>
      </c>
    </row>
    <row r="6" spans="1:16" x14ac:dyDescent="0.25">
      <c r="A6" s="25" t="s">
        <v>23</v>
      </c>
      <c r="B6" s="71">
        <v>23.5</v>
      </c>
      <c r="C6" s="235" t="s">
        <v>1</v>
      </c>
      <c r="D6" s="242"/>
      <c r="E6" s="64">
        <f t="shared" si="1"/>
        <v>3</v>
      </c>
      <c r="F6" s="10">
        <f>IF((E6&lt;='Alternative 2'!$B$12),F5+1,"x")</f>
        <v>3</v>
      </c>
      <c r="G6" s="1">
        <f>IF(E6&lt;='Alternative 2'!$B$12,G5+1,0)</f>
        <v>2.5</v>
      </c>
      <c r="H6" s="62">
        <f t="shared" si="2"/>
        <v>1.3110869565217391</v>
      </c>
      <c r="I6" s="66">
        <f t="shared" si="3"/>
        <v>0.65065217391304353</v>
      </c>
      <c r="J6" s="60">
        <f t="shared" si="4"/>
        <v>0.64065217391304352</v>
      </c>
      <c r="K6" s="14">
        <f t="shared" si="5"/>
        <v>0.64565217391304353</v>
      </c>
      <c r="L6" s="10">
        <f t="shared" si="0"/>
        <v>4.0567488260869568E-2</v>
      </c>
      <c r="M6" s="10">
        <f t="shared" si="6"/>
        <v>1.3096255998913044</v>
      </c>
      <c r="N6" s="10">
        <f t="shared" si="7"/>
        <v>0.17600114032619671</v>
      </c>
      <c r="O6" s="10">
        <f t="shared" si="8"/>
        <v>10.423598472096039</v>
      </c>
      <c r="P6" s="10">
        <f t="shared" si="9"/>
        <v>2.8414141414141416</v>
      </c>
    </row>
    <row r="7" spans="1:16" x14ac:dyDescent="0.25">
      <c r="A7" s="25" t="s">
        <v>24</v>
      </c>
      <c r="B7" s="71">
        <v>14</v>
      </c>
      <c r="C7" s="235" t="s">
        <v>27</v>
      </c>
      <c r="D7" s="242"/>
      <c r="E7" s="64">
        <f t="shared" si="1"/>
        <v>4</v>
      </c>
      <c r="F7" s="10">
        <f>IF((E7&lt;='Alternative 2'!$B$12),F6+1,"x")</f>
        <v>4</v>
      </c>
      <c r="G7" s="1">
        <f>IF(E7&lt;='Alternative 2'!$B$12,G6+1,0)</f>
        <v>3.5</v>
      </c>
      <c r="H7" s="62">
        <f t="shared" si="2"/>
        <v>1.2915217391304348</v>
      </c>
      <c r="I7" s="66">
        <f t="shared" si="3"/>
        <v>0.64086956521739136</v>
      </c>
      <c r="J7" s="60">
        <f t="shared" si="4"/>
        <v>0.63086956521739135</v>
      </c>
      <c r="K7" s="14">
        <f t="shared" si="5"/>
        <v>0.63586956521739135</v>
      </c>
      <c r="L7" s="10">
        <f t="shared" si="0"/>
        <v>3.995282934782609E-2</v>
      </c>
      <c r="M7" s="10">
        <f t="shared" si="6"/>
        <v>1.2702406243206523</v>
      </c>
      <c r="N7" s="10">
        <f t="shared" si="7"/>
        <v>0.17734982779129044</v>
      </c>
      <c r="O7" s="10">
        <f t="shared" si="8"/>
        <v>13.792440550888799</v>
      </c>
      <c r="P7" s="10">
        <f t="shared" si="9"/>
        <v>3.8468376068376071</v>
      </c>
    </row>
    <row r="8" spans="1:16" x14ac:dyDescent="0.25">
      <c r="A8" s="25" t="s">
        <v>21</v>
      </c>
      <c r="B8" s="71">
        <v>3</v>
      </c>
      <c r="C8" s="235" t="s">
        <v>3</v>
      </c>
      <c r="D8" s="242"/>
      <c r="E8" s="64">
        <f t="shared" si="1"/>
        <v>5</v>
      </c>
      <c r="F8" s="10">
        <f>IF((E8&lt;='Alternative 2'!$B$12),F7+1,"x")</f>
        <v>5</v>
      </c>
      <c r="G8" s="1">
        <f>IF(E8&lt;='Alternative 2'!$B$12,G7+1,0)</f>
        <v>4.5</v>
      </c>
      <c r="H8" s="62">
        <f t="shared" si="2"/>
        <v>1.2719565217391304</v>
      </c>
      <c r="I8" s="66">
        <f t="shared" si="3"/>
        <v>0.63108695652173918</v>
      </c>
      <c r="J8" s="60">
        <f t="shared" si="4"/>
        <v>0.62108695652173918</v>
      </c>
      <c r="K8" s="14">
        <f t="shared" si="5"/>
        <v>0.62608695652173918</v>
      </c>
      <c r="L8" s="10">
        <f t="shared" si="0"/>
        <v>3.9338170434782611E-2</v>
      </c>
      <c r="M8" s="10">
        <f t="shared" si="6"/>
        <v>1.2314569460869567</v>
      </c>
      <c r="N8" s="10">
        <f t="shared" si="7"/>
        <v>0.1787300029087181</v>
      </c>
      <c r="O8" s="10">
        <f t="shared" si="8"/>
        <v>17.107417030669282</v>
      </c>
      <c r="P8" s="10">
        <f t="shared" si="9"/>
        <v>4.8836805555555554</v>
      </c>
    </row>
    <row r="9" spans="1:16" x14ac:dyDescent="0.25">
      <c r="A9" s="25" t="s">
        <v>22</v>
      </c>
      <c r="B9" s="71">
        <v>21</v>
      </c>
      <c r="C9" s="235" t="s">
        <v>1</v>
      </c>
      <c r="D9" s="242"/>
      <c r="E9" s="64">
        <f t="shared" si="1"/>
        <v>6</v>
      </c>
      <c r="F9" s="10">
        <f>IF((E9&lt;='Alternative 2'!$B$12),F8+1,"x")</f>
        <v>6</v>
      </c>
      <c r="G9" s="1">
        <f>IF(E9&lt;='Alternative 2'!$B$12,G8+1,0)</f>
        <v>5.5</v>
      </c>
      <c r="H9" s="62">
        <f t="shared" si="2"/>
        <v>1.2523913043478261</v>
      </c>
      <c r="I9" s="66">
        <f t="shared" si="3"/>
        <v>0.62130434782608701</v>
      </c>
      <c r="J9" s="60">
        <f t="shared" si="4"/>
        <v>0.611304347826087</v>
      </c>
      <c r="K9" s="14">
        <f t="shared" si="5"/>
        <v>0.61630434782608701</v>
      </c>
      <c r="L9" s="10">
        <f t="shared" si="0"/>
        <v>3.8723511521739133E-2</v>
      </c>
      <c r="M9" s="10">
        <f t="shared" si="6"/>
        <v>1.1932745651902177</v>
      </c>
      <c r="N9" s="10">
        <f t="shared" si="7"/>
        <v>0.18014291029421675</v>
      </c>
      <c r="O9" s="10">
        <f t="shared" si="8"/>
        <v>20.367886967019881</v>
      </c>
      <c r="P9" s="10">
        <f t="shared" si="9"/>
        <v>5.9534391534391533</v>
      </c>
    </row>
    <row r="10" spans="1:16" x14ac:dyDescent="0.25">
      <c r="A10" s="25" t="s">
        <v>25</v>
      </c>
      <c r="B10" s="71">
        <v>0.05</v>
      </c>
      <c r="C10" s="235" t="s">
        <v>26</v>
      </c>
      <c r="D10" s="242"/>
      <c r="E10" s="64">
        <f t="shared" si="1"/>
        <v>7</v>
      </c>
      <c r="F10" s="10">
        <f>IF((E10&lt;='Alternative 2'!$B$12),F9+1,"x")</f>
        <v>7</v>
      </c>
      <c r="G10" s="1">
        <f>IF(E10&lt;='Alternative 2'!$B$12,G9+1,0)</f>
        <v>6.5</v>
      </c>
      <c r="H10" s="62">
        <f t="shared" si="2"/>
        <v>1.2328260869565217</v>
      </c>
      <c r="I10" s="66">
        <f t="shared" si="3"/>
        <v>0.61152173913043484</v>
      </c>
      <c r="J10" s="60">
        <f t="shared" si="4"/>
        <v>0.60152173913043483</v>
      </c>
      <c r="K10" s="14">
        <f t="shared" si="5"/>
        <v>0.60652173913043483</v>
      </c>
      <c r="L10" s="10">
        <f t="shared" si="0"/>
        <v>3.8108852608695655E-2</v>
      </c>
      <c r="M10" s="10">
        <f t="shared" si="6"/>
        <v>1.1556934816304349</v>
      </c>
      <c r="N10" s="10">
        <f t="shared" si="7"/>
        <v>0.18158986454521292</v>
      </c>
      <c r="O10" s="10">
        <f t="shared" si="8"/>
        <v>23.573188870611393</v>
      </c>
      <c r="P10" s="10">
        <f t="shared" si="9"/>
        <v>7.0577060931899638</v>
      </c>
    </row>
    <row r="11" spans="1:16" x14ac:dyDescent="0.25">
      <c r="A11" s="177" t="s">
        <v>15</v>
      </c>
      <c r="B11" s="177"/>
      <c r="C11" s="234"/>
      <c r="D11" s="242"/>
      <c r="E11" s="64">
        <f t="shared" si="1"/>
        <v>8</v>
      </c>
      <c r="F11" s="10">
        <f>IF((E11&lt;='Alternative 2'!$B$12),F10+1,"x")</f>
        <v>8</v>
      </c>
      <c r="G11" s="1">
        <f>IF(E11&lt;='Alternative 2'!$B$12,G10+1,0)</f>
        <v>7.5</v>
      </c>
      <c r="H11" s="62">
        <f t="shared" si="2"/>
        <v>1.2132608695652174</v>
      </c>
      <c r="I11" s="66">
        <f t="shared" si="3"/>
        <v>0.60173913043478267</v>
      </c>
      <c r="J11" s="60">
        <f t="shared" si="4"/>
        <v>0.59173913043478266</v>
      </c>
      <c r="K11" s="14">
        <f t="shared" si="5"/>
        <v>0.59673913043478266</v>
      </c>
      <c r="L11" s="10">
        <f t="shared" si="0"/>
        <v>3.7494193695652177E-2</v>
      </c>
      <c r="M11" s="10">
        <f t="shared" si="6"/>
        <v>1.1187136954076089</v>
      </c>
      <c r="N11" s="10">
        <f t="shared" si="7"/>
        <v>0.18307225538263749</v>
      </c>
      <c r="O11" s="10">
        <f t="shared" si="8"/>
        <v>26.722639663876947</v>
      </c>
      <c r="P11" s="10">
        <f t="shared" si="9"/>
        <v>8.1981785063752284</v>
      </c>
    </row>
    <row r="12" spans="1:16" x14ac:dyDescent="0.25">
      <c r="A12" s="25" t="s">
        <v>16</v>
      </c>
      <c r="B12" s="71">
        <v>23</v>
      </c>
      <c r="C12" s="235" t="s">
        <v>1</v>
      </c>
      <c r="D12" s="242"/>
      <c r="E12" s="64">
        <f t="shared" si="1"/>
        <v>9</v>
      </c>
      <c r="F12" s="10">
        <f>IF((E12&lt;='Alternative 2'!$B$12),F11+1,"x")</f>
        <v>9</v>
      </c>
      <c r="G12" s="1">
        <f>IF(E12&lt;='Alternative 2'!$B$12,G11+1,0)</f>
        <v>8.5</v>
      </c>
      <c r="H12" s="62">
        <f t="shared" si="2"/>
        <v>1.193695652173913</v>
      </c>
      <c r="I12" s="66">
        <f t="shared" si="3"/>
        <v>0.59195652173913049</v>
      </c>
      <c r="J12" s="60">
        <f t="shared" si="4"/>
        <v>0.58195652173913048</v>
      </c>
      <c r="K12" s="14">
        <f t="shared" si="5"/>
        <v>0.58695652173913049</v>
      </c>
      <c r="L12" s="10">
        <f t="shared" si="0"/>
        <v>3.6879534782608699E-2</v>
      </c>
      <c r="M12" s="10">
        <f t="shared" si="6"/>
        <v>1.0823352065217393</v>
      </c>
      <c r="N12" s="10">
        <f t="shared" si="7"/>
        <v>0.18459155326215154</v>
      </c>
      <c r="O12" s="10">
        <f t="shared" si="8"/>
        <v>29.815533565383273</v>
      </c>
      <c r="P12" s="10">
        <f t="shared" si="9"/>
        <v>9.3766666666666669</v>
      </c>
    </row>
    <row r="13" spans="1:16" x14ac:dyDescent="0.25">
      <c r="A13" s="25" t="s">
        <v>17</v>
      </c>
      <c r="B13" s="130">
        <f>'Center of Gravity'!AQ6</f>
        <v>6381.1637280634177</v>
      </c>
      <c r="C13" s="235" t="s">
        <v>2</v>
      </c>
      <c r="D13" s="242"/>
      <c r="E13" s="64">
        <f t="shared" si="1"/>
        <v>10</v>
      </c>
      <c r="F13" s="10">
        <f>IF((E13&lt;='Alternative 2'!$B$12),F12+1,"x")</f>
        <v>10</v>
      </c>
      <c r="G13" s="1">
        <f>IF(E13&lt;='Alternative 2'!$B$12,G12+1,0)</f>
        <v>9.5</v>
      </c>
      <c r="H13" s="62">
        <f t="shared" si="2"/>
        <v>1.1741304347826087</v>
      </c>
      <c r="I13" s="66">
        <f t="shared" si="3"/>
        <v>0.58217391304347832</v>
      </c>
      <c r="J13" s="60">
        <f t="shared" si="4"/>
        <v>0.57217391304347831</v>
      </c>
      <c r="K13" s="14">
        <f t="shared" si="5"/>
        <v>0.57717391304347831</v>
      </c>
      <c r="L13" s="10">
        <f t="shared" si="0"/>
        <v>3.626487586956522E-2</v>
      </c>
      <c r="M13" s="10">
        <f t="shared" si="6"/>
        <v>1.0465580149728262</v>
      </c>
      <c r="N13" s="10">
        <f t="shared" si="7"/>
        <v>0.18614931550628394</v>
      </c>
      <c r="O13" s="10">
        <f t="shared" si="8"/>
        <v>32.851140895535089</v>
      </c>
      <c r="P13" s="10">
        <f t="shared" si="9"/>
        <v>10.595103578154426</v>
      </c>
    </row>
    <row r="14" spans="1:16" x14ac:dyDescent="0.25">
      <c r="A14" s="25" t="s">
        <v>17</v>
      </c>
      <c r="B14" s="130">
        <f>B13*9.80665</f>
        <v>62577.839273813108</v>
      </c>
      <c r="C14" s="235" t="s">
        <v>41</v>
      </c>
      <c r="D14" s="242"/>
      <c r="E14" s="64">
        <f t="shared" si="1"/>
        <v>11</v>
      </c>
      <c r="F14" s="10">
        <f>IF((E14&lt;='Alternative 2'!$B$12),F13+1,"x")</f>
        <v>11</v>
      </c>
      <c r="G14" s="1">
        <f>IF(E14&lt;='Alternative 2'!$B$12,G13+1,0)</f>
        <v>10.5</v>
      </c>
      <c r="H14" s="62">
        <f t="shared" si="2"/>
        <v>1.1545652173913044</v>
      </c>
      <c r="I14" s="66">
        <f t="shared" si="3"/>
        <v>0.57239130434782615</v>
      </c>
      <c r="J14" s="60">
        <f t="shared" si="4"/>
        <v>0.56239130434782614</v>
      </c>
      <c r="K14" s="14">
        <f t="shared" si="5"/>
        <v>0.56739130434782614</v>
      </c>
      <c r="L14" s="10">
        <f t="shared" si="0"/>
        <v>3.5650216956521742E-2</v>
      </c>
      <c r="M14" s="10">
        <f t="shared" si="6"/>
        <v>1.0113821207608698</v>
      </c>
      <c r="N14" s="10">
        <f t="shared" si="7"/>
        <v>0.18774719301561288</v>
      </c>
      <c r="O14" s="10">
        <f t="shared" si="8"/>
        <v>35.828706796566564</v>
      </c>
      <c r="P14" s="10">
        <f t="shared" si="9"/>
        <v>11.855555555555556</v>
      </c>
    </row>
    <row r="15" spans="1:16" x14ac:dyDescent="0.25">
      <c r="A15" s="25" t="s">
        <v>144</v>
      </c>
      <c r="B15" s="71">
        <v>0.91</v>
      </c>
      <c r="C15" s="235" t="s">
        <v>1</v>
      </c>
      <c r="D15" s="242"/>
      <c r="E15" s="64">
        <f t="shared" si="1"/>
        <v>12</v>
      </c>
      <c r="F15" s="10">
        <f>IF((E15&lt;='Alternative 2'!$B$12),F14+1,"x")</f>
        <v>12</v>
      </c>
      <c r="G15" s="1">
        <f>IF(E15&lt;='Alternative 2'!$B$12,G14+1,0)</f>
        <v>11.5</v>
      </c>
      <c r="H15" s="62">
        <f t="shared" si="2"/>
        <v>1.135</v>
      </c>
      <c r="I15" s="66">
        <f t="shared" si="3"/>
        <v>0.56260869565217397</v>
      </c>
      <c r="J15" s="60">
        <f t="shared" si="4"/>
        <v>0.55260869565217396</v>
      </c>
      <c r="K15" s="14">
        <f t="shared" si="5"/>
        <v>0.55760869565217397</v>
      </c>
      <c r="L15" s="10">
        <f t="shared" si="0"/>
        <v>3.5035558043478264E-2</v>
      </c>
      <c r="M15" s="10">
        <f t="shared" si="6"/>
        <v>0.97680752388586978</v>
      </c>
      <c r="N15" s="10">
        <f t="shared" si="7"/>
        <v>0.18938693762474121</v>
      </c>
      <c r="O15" s="10">
        <f t="shared" si="8"/>
        <v>38.747449859005265</v>
      </c>
      <c r="P15" s="10">
        <f t="shared" si="9"/>
        <v>13.160233918128656</v>
      </c>
    </row>
    <row r="16" spans="1:16" x14ac:dyDescent="0.25">
      <c r="A16" s="25" t="s">
        <v>145</v>
      </c>
      <c r="B16" s="71">
        <v>1.36</v>
      </c>
      <c r="C16" s="235" t="s">
        <v>1</v>
      </c>
      <c r="D16" s="242"/>
      <c r="E16" s="64">
        <f t="shared" si="1"/>
        <v>13</v>
      </c>
      <c r="F16" s="10">
        <f>IF((E16&lt;='Alternative 2'!$B$12),F15+1,"x")</f>
        <v>13</v>
      </c>
      <c r="G16" s="1">
        <f>IF(E16&lt;='Alternative 2'!$B$12,G15+1,0)</f>
        <v>12.5</v>
      </c>
      <c r="H16" s="62">
        <f t="shared" si="2"/>
        <v>1.1154347826086957</v>
      </c>
      <c r="I16" s="66">
        <f t="shared" si="3"/>
        <v>0.5528260869565218</v>
      </c>
      <c r="J16" s="60">
        <f t="shared" si="4"/>
        <v>0.54282608695652179</v>
      </c>
      <c r="K16" s="14">
        <f t="shared" si="5"/>
        <v>0.5478260869565218</v>
      </c>
      <c r="L16" s="10">
        <f t="shared" si="0"/>
        <v>3.4420899130434786E-2</v>
      </c>
      <c r="M16" s="10">
        <f t="shared" si="6"/>
        <v>0.94283422434782627</v>
      </c>
      <c r="N16" s="10">
        <f t="shared" si="7"/>
        <v>0.19107041017758089</v>
      </c>
      <c r="O16" s="10">
        <f t="shared" si="8"/>
        <v>41.606560645926926</v>
      </c>
      <c r="P16" s="10">
        <f t="shared" si="9"/>
        <v>14.511507936507936</v>
      </c>
    </row>
    <row r="17" spans="1:16" x14ac:dyDescent="0.25">
      <c r="A17" s="25" t="s">
        <v>146</v>
      </c>
      <c r="B17" s="71">
        <v>0.01</v>
      </c>
      <c r="C17" s="235" t="s">
        <v>1</v>
      </c>
      <c r="D17" s="242"/>
      <c r="E17" s="64">
        <f t="shared" si="1"/>
        <v>14</v>
      </c>
      <c r="F17" s="10">
        <f>IF((E17&lt;='Alternative 2'!$B$12),F16+1,"x")</f>
        <v>14</v>
      </c>
      <c r="G17" s="1">
        <f>IF(E17&lt;='Alternative 2'!$B$12,G16+1,0)</f>
        <v>13.5</v>
      </c>
      <c r="H17" s="62">
        <f t="shared" si="2"/>
        <v>1.0958695652173913</v>
      </c>
      <c r="I17" s="66">
        <f t="shared" si="3"/>
        <v>0.54304347826086963</v>
      </c>
      <c r="J17" s="60">
        <f t="shared" si="4"/>
        <v>0.53304347826086962</v>
      </c>
      <c r="K17" s="14">
        <f t="shared" si="5"/>
        <v>0.53804347826086962</v>
      </c>
      <c r="L17" s="10">
        <f t="shared" si="0"/>
        <v>3.3806240217391308E-2</v>
      </c>
      <c r="M17" s="10">
        <f t="shared" si="6"/>
        <v>0.90946222214673933</v>
      </c>
      <c r="N17" s="10">
        <f t="shared" si="7"/>
        <v>0.19279958940658015</v>
      </c>
      <c r="O17" s="10">
        <f t="shared" si="8"/>
        <v>44.405200105337435</v>
      </c>
      <c r="P17" s="10">
        <f t="shared" si="9"/>
        <v>15.911919191919191</v>
      </c>
    </row>
    <row r="18" spans="1:16" x14ac:dyDescent="0.25">
      <c r="A18" s="177" t="s">
        <v>50</v>
      </c>
      <c r="B18" s="177"/>
      <c r="C18" s="234"/>
      <c r="D18" s="242"/>
      <c r="E18" s="64">
        <f t="shared" si="1"/>
        <v>15</v>
      </c>
      <c r="F18" s="10">
        <f>IF((E18&lt;='Alternative 2'!$B$12),F17+1,"x")</f>
        <v>15</v>
      </c>
      <c r="G18" s="1">
        <f>IF(E18&lt;='Alternative 2'!$B$12,G17+1,0)</f>
        <v>14.5</v>
      </c>
      <c r="H18" s="62">
        <f t="shared" si="2"/>
        <v>1.076304347826087</v>
      </c>
      <c r="I18" s="66">
        <f t="shared" si="3"/>
        <v>0.53326086956521745</v>
      </c>
      <c r="J18" s="60">
        <f t="shared" si="4"/>
        <v>0.52326086956521745</v>
      </c>
      <c r="K18" s="14">
        <f t="shared" si="5"/>
        <v>0.52826086956521745</v>
      </c>
      <c r="L18" s="10">
        <f t="shared" si="0"/>
        <v>3.3191581304347829E-2</v>
      </c>
      <c r="M18" s="10">
        <f t="shared" si="6"/>
        <v>0.87669151728260886</v>
      </c>
      <c r="N18" s="10">
        <f t="shared" si="7"/>
        <v>0.1945765817122278</v>
      </c>
      <c r="O18" s="10">
        <f t="shared" si="8"/>
        <v>47.142497859905994</v>
      </c>
      <c r="P18" s="10">
        <f t="shared" si="9"/>
        <v>17.364197530864196</v>
      </c>
    </row>
    <row r="19" spans="1:16" x14ac:dyDescent="0.25">
      <c r="A19" s="22" t="s">
        <v>51</v>
      </c>
      <c r="B19" s="131">
        <f>'Column Buckling'!V18</f>
        <v>2.1070739335506223</v>
      </c>
      <c r="C19" s="236" t="s">
        <v>56</v>
      </c>
      <c r="D19" s="242"/>
      <c r="E19" s="64">
        <f t="shared" si="1"/>
        <v>16</v>
      </c>
      <c r="F19" s="10">
        <f>IF((E19&lt;='Alternative 2'!$B$12),F18+1,"x")</f>
        <v>16</v>
      </c>
      <c r="G19" s="1">
        <f>IF(E19&lt;='Alternative 2'!$B$12,G18+1,0)</f>
        <v>15.5</v>
      </c>
      <c r="H19" s="62">
        <f t="shared" si="2"/>
        <v>1.0567391304347826</v>
      </c>
      <c r="I19" s="66">
        <f t="shared" si="3"/>
        <v>0.52347826086956528</v>
      </c>
      <c r="J19" s="60">
        <f t="shared" si="4"/>
        <v>0.51347826086956527</v>
      </c>
      <c r="K19" s="14">
        <f t="shared" si="5"/>
        <v>0.51847826086956528</v>
      </c>
      <c r="L19" s="10">
        <f t="shared" si="0"/>
        <v>3.2576922391304351E-2</v>
      </c>
      <c r="M19" s="10">
        <f t="shared" si="6"/>
        <v>0.84452210975543496</v>
      </c>
      <c r="N19" s="10">
        <f t="shared" si="7"/>
        <v>0.19640363195273877</v>
      </c>
      <c r="O19" s="10">
        <f t="shared" si="8"/>
        <v>49.817550362008561</v>
      </c>
      <c r="P19" s="10">
        <f t="shared" si="9"/>
        <v>18.871278825995805</v>
      </c>
    </row>
    <row r="20" spans="1:16" x14ac:dyDescent="0.25">
      <c r="A20" s="22" t="s">
        <v>52</v>
      </c>
      <c r="B20" s="82">
        <v>250</v>
      </c>
      <c r="C20" s="235" t="s">
        <v>0</v>
      </c>
      <c r="D20" s="242"/>
      <c r="E20" s="64">
        <f t="shared" si="1"/>
        <v>17</v>
      </c>
      <c r="F20" s="10">
        <f>IF((E20&lt;='Alternative 2'!$B$12),F19+1,"x")</f>
        <v>17</v>
      </c>
      <c r="G20" s="1">
        <f>IF(E20&lt;='Alternative 2'!$B$12,G19+1,0)</f>
        <v>16.5</v>
      </c>
      <c r="H20" s="62">
        <f t="shared" si="2"/>
        <v>1.0371739130434783</v>
      </c>
      <c r="I20" s="66">
        <f t="shared" si="3"/>
        <v>0.51369565217391311</v>
      </c>
      <c r="J20" s="60">
        <f t="shared" si="4"/>
        <v>0.5036956521739131</v>
      </c>
      <c r="K20" s="14">
        <f t="shared" si="5"/>
        <v>0.5086956521739131</v>
      </c>
      <c r="L20" s="10">
        <f t="shared" si="0"/>
        <v>3.1962263478260873E-2</v>
      </c>
      <c r="M20" s="10">
        <f t="shared" si="6"/>
        <v>0.81295399956521763</v>
      </c>
      <c r="N20" s="10">
        <f t="shared" si="7"/>
        <v>0.1982831353696034</v>
      </c>
      <c r="O20" s="10">
        <f t="shared" si="8"/>
        <v>52.429418900600396</v>
      </c>
      <c r="P20" s="10">
        <f t="shared" si="9"/>
        <v>20.436324786324786</v>
      </c>
    </row>
    <row r="21" spans="1:16" x14ac:dyDescent="0.25">
      <c r="A21" s="22" t="s">
        <v>52</v>
      </c>
      <c r="B21" s="82">
        <v>50</v>
      </c>
      <c r="C21" s="235" t="s">
        <v>53</v>
      </c>
      <c r="D21" s="242"/>
      <c r="E21" s="64">
        <f t="shared" si="1"/>
        <v>18</v>
      </c>
      <c r="F21" s="10">
        <f>IF((E21&lt;='Alternative 2'!$B$12),F20+1,"x")</f>
        <v>18</v>
      </c>
      <c r="G21" s="1">
        <f>IF(E21&lt;='Alternative 2'!$B$12,G20+1,0)</f>
        <v>17.5</v>
      </c>
      <c r="H21" s="62">
        <f t="shared" si="2"/>
        <v>1.0176086956521739</v>
      </c>
      <c r="I21" s="66">
        <f t="shared" si="3"/>
        <v>0.50391304347826094</v>
      </c>
      <c r="J21" s="60">
        <f t="shared" si="4"/>
        <v>0.49391304347826093</v>
      </c>
      <c r="K21" s="14">
        <f t="shared" si="5"/>
        <v>0.49891304347826093</v>
      </c>
      <c r="L21" s="10">
        <f t="shared" si="0"/>
        <v>3.1347604565217395E-2</v>
      </c>
      <c r="M21" s="10">
        <f t="shared" si="6"/>
        <v>0.78198718671195666</v>
      </c>
      <c r="N21" s="10">
        <f t="shared" si="7"/>
        <v>0.20021765079307699</v>
      </c>
      <c r="O21" s="10">
        <f t="shared" si="8"/>
        <v>54.977127444791869</v>
      </c>
      <c r="P21" s="10">
        <f t="shared" si="9"/>
        <v>22.062745098039215</v>
      </c>
    </row>
    <row r="22" spans="1:16" x14ac:dyDescent="0.25">
      <c r="A22" s="22" t="s">
        <v>54</v>
      </c>
      <c r="B22" s="82">
        <v>200000</v>
      </c>
      <c r="C22" s="235" t="s">
        <v>0</v>
      </c>
      <c r="D22" s="242"/>
      <c r="E22" s="64">
        <f t="shared" si="1"/>
        <v>19</v>
      </c>
      <c r="F22" s="10">
        <f>IF((E22&lt;='Alternative 2'!$B$12),F21+1,"x")</f>
        <v>19</v>
      </c>
      <c r="G22" s="1">
        <f>IF(E22&lt;='Alternative 2'!$B$12,G21+1,0)</f>
        <v>18.5</v>
      </c>
      <c r="H22" s="62">
        <f t="shared" si="2"/>
        <v>0.99804347826086959</v>
      </c>
      <c r="I22" s="66">
        <f t="shared" si="3"/>
        <v>0.49413043478260876</v>
      </c>
      <c r="J22" s="60">
        <f t="shared" si="4"/>
        <v>0.48413043478260875</v>
      </c>
      <c r="K22" s="14">
        <f t="shared" si="5"/>
        <v>0.48913043478260876</v>
      </c>
      <c r="L22" s="10">
        <f t="shared" si="0"/>
        <v>3.0732945652173917E-2</v>
      </c>
      <c r="M22" s="10">
        <f t="shared" si="6"/>
        <v>0.75162167119565226</v>
      </c>
      <c r="N22" s="10">
        <f t="shared" si="7"/>
        <v>0.20220991529319352</v>
      </c>
      <c r="O22" s="10">
        <f t="shared" si="8"/>
        <v>57.459660307119272</v>
      </c>
      <c r="P22" s="10">
        <f t="shared" si="9"/>
        <v>23.754222222222221</v>
      </c>
    </row>
    <row r="23" spans="1:16" x14ac:dyDescent="0.25">
      <c r="A23" s="22" t="s">
        <v>55</v>
      </c>
      <c r="B23" s="82">
        <v>1.67</v>
      </c>
      <c r="C23" s="236" t="s">
        <v>56</v>
      </c>
      <c r="D23" s="242"/>
      <c r="E23" s="64">
        <f t="shared" si="1"/>
        <v>20</v>
      </c>
      <c r="F23" s="10">
        <f>IF((E23&lt;='Alternative 2'!$B$12),F22+1,"x")</f>
        <v>20</v>
      </c>
      <c r="G23" s="1">
        <f>IF(E23&lt;='Alternative 2'!$B$12,G22+1,0)</f>
        <v>19.5</v>
      </c>
      <c r="H23" s="62">
        <f t="shared" si="2"/>
        <v>0.97847826086956524</v>
      </c>
      <c r="I23" s="66">
        <f t="shared" si="3"/>
        <v>0.48434782608695659</v>
      </c>
      <c r="J23" s="60">
        <f t="shared" si="4"/>
        <v>0.47434782608695658</v>
      </c>
      <c r="K23" s="14">
        <f t="shared" si="5"/>
        <v>0.47934782608695659</v>
      </c>
      <c r="L23" s="10">
        <f t="shared" si="0"/>
        <v>3.0118286739130442E-2</v>
      </c>
      <c r="M23" s="10">
        <f t="shared" si="6"/>
        <v>0.72185745301630455</v>
      </c>
      <c r="N23" s="10">
        <f t="shared" si="7"/>
        <v>0.2042628604671064</v>
      </c>
      <c r="O23" s="10">
        <f t="shared" si="8"/>
        <v>59.875959607342487</v>
      </c>
      <c r="P23" s="10">
        <f t="shared" si="9"/>
        <v>25.514739229024944</v>
      </c>
    </row>
    <row r="24" spans="1:16" x14ac:dyDescent="0.25">
      <c r="A24" s="177" t="s">
        <v>64</v>
      </c>
      <c r="B24" s="177"/>
      <c r="C24" s="234"/>
      <c r="D24" s="242"/>
      <c r="E24" s="64">
        <f t="shared" si="1"/>
        <v>21</v>
      </c>
      <c r="F24" s="10">
        <f>IF((E24&lt;='Alternative 2'!$B$12),F23+1,"x")</f>
        <v>21</v>
      </c>
      <c r="G24" s="1">
        <f>IF(E24&lt;='Alternative 2'!$B$12,G23+1,0)</f>
        <v>20.5</v>
      </c>
      <c r="H24" s="62">
        <f t="shared" si="2"/>
        <v>0.9589130434782609</v>
      </c>
      <c r="I24" s="66">
        <f t="shared" si="3"/>
        <v>0.47456521739130442</v>
      </c>
      <c r="J24" s="60">
        <f t="shared" si="4"/>
        <v>0.46456521739130441</v>
      </c>
      <c r="K24" s="14">
        <f t="shared" si="5"/>
        <v>0.46956521739130441</v>
      </c>
      <c r="L24" s="10">
        <f t="shared" si="0"/>
        <v>2.9503627826086957E-2</v>
      </c>
      <c r="M24" s="10">
        <f t="shared" si="6"/>
        <v>0.69269453217391319</v>
      </c>
      <c r="N24" s="10">
        <f t="shared" si="7"/>
        <v>0.20637963058322198</v>
      </c>
      <c r="O24" s="10">
        <f t="shared" si="8"/>
        <v>62.224922515115416</v>
      </c>
      <c r="P24" s="10">
        <f t="shared" si="9"/>
        <v>27.348611111111111</v>
      </c>
    </row>
    <row r="25" spans="1:16" s="15" customFormat="1" x14ac:dyDescent="0.25">
      <c r="A25" s="22" t="s">
        <v>65</v>
      </c>
      <c r="B25" s="130">
        <f>B13</f>
        <v>6381.1637280634177</v>
      </c>
      <c r="C25" s="237" t="s">
        <v>2</v>
      </c>
      <c r="D25" s="242"/>
      <c r="E25" s="64">
        <f t="shared" si="1"/>
        <v>22</v>
      </c>
      <c r="F25" s="10">
        <f>IF((E25&lt;='Alternative 2'!$B$12),F24+1,"x")</f>
        <v>22</v>
      </c>
      <c r="G25" s="1">
        <f>IF(E25&lt;='Alternative 2'!$B$12,G24+1,0)</f>
        <v>21.5</v>
      </c>
      <c r="H25" s="62">
        <f t="shared" si="2"/>
        <v>0.93934782608695655</v>
      </c>
      <c r="I25" s="66">
        <f t="shared" si="3"/>
        <v>0.46478260869565224</v>
      </c>
      <c r="J25" s="60">
        <f t="shared" si="4"/>
        <v>0.45478260869565224</v>
      </c>
      <c r="K25" s="14">
        <f t="shared" si="5"/>
        <v>0.45978260869565224</v>
      </c>
      <c r="L25" s="10">
        <f t="shared" si="0"/>
        <v>2.8888968913043482E-2</v>
      </c>
      <c r="M25" s="10">
        <f t="shared" si="6"/>
        <v>0.66413290866847841</v>
      </c>
      <c r="N25" s="10">
        <f t="shared" si="7"/>
        <v>0.20856360283759068</v>
      </c>
      <c r="O25" s="10">
        <f t="shared" si="8"/>
        <v>64.505398247007861</v>
      </c>
      <c r="P25" s="10">
        <f t="shared" si="9"/>
        <v>29.260520094562647</v>
      </c>
    </row>
    <row r="26" spans="1:16" x14ac:dyDescent="0.25">
      <c r="A26" s="22" t="s">
        <v>66</v>
      </c>
      <c r="B26" s="77">
        <f>B12</f>
        <v>23</v>
      </c>
      <c r="C26" s="237" t="s">
        <v>1</v>
      </c>
      <c r="D26" s="242"/>
      <c r="E26" s="64">
        <f t="shared" si="1"/>
        <v>23</v>
      </c>
      <c r="F26" s="10">
        <f>IF((E26&lt;='Alternative 2'!$B$12),F25+1,"x")</f>
        <v>23</v>
      </c>
      <c r="G26" s="1">
        <f>IF(E26&lt;='Alternative 2'!$B$12,G25+1,0)</f>
        <v>22.5</v>
      </c>
      <c r="H26" s="62">
        <f t="shared" si="2"/>
        <v>0.9197826086956522</v>
      </c>
      <c r="I26" s="66">
        <f t="shared" si="3"/>
        <v>0.45500000000000007</v>
      </c>
      <c r="J26" s="60">
        <f t="shared" si="4"/>
        <v>0.44500000000000006</v>
      </c>
      <c r="K26" s="14">
        <f t="shared" si="5"/>
        <v>0.45000000000000007</v>
      </c>
      <c r="L26" s="10">
        <f t="shared" si="0"/>
        <v>2.8274310000000004E-2</v>
      </c>
      <c r="M26" s="10">
        <f t="shared" si="6"/>
        <v>0.63617258250000019</v>
      </c>
      <c r="N26" s="10">
        <f t="shared" si="7"/>
        <v>0.21081841001945481</v>
      </c>
      <c r="O26" s="10">
        <f t="shared" si="8"/>
        <v>66.71618479003827</v>
      </c>
      <c r="P26" s="10">
        <f t="shared" si="9"/>
        <v>31.255555555555553</v>
      </c>
    </row>
    <row r="27" spans="1:16" x14ac:dyDescent="0.25">
      <c r="A27" s="22" t="s">
        <v>69</v>
      </c>
      <c r="B27" s="77">
        <f>'Center of Gravity'!AQ4</f>
        <v>10</v>
      </c>
      <c r="C27" s="237" t="s">
        <v>1</v>
      </c>
      <c r="D27" s="242"/>
      <c r="E27" s="64">
        <f t="shared" si="1"/>
        <v>24</v>
      </c>
      <c r="F27" s="10" t="str">
        <f>IF((E27&lt;='Alternative 2'!$B$12),F26+1,"x")</f>
        <v>x</v>
      </c>
      <c r="G27" s="1">
        <f>IF(E27&lt;='Alternative 2'!$B$12,G26+1,0)</f>
        <v>0</v>
      </c>
      <c r="H27" s="62">
        <f t="shared" si="2"/>
        <v>1.36</v>
      </c>
      <c r="I27" s="66" t="e">
        <f t="shared" si="3"/>
        <v>#VALUE!</v>
      </c>
      <c r="J27" s="60" t="e">
        <f t="shared" si="4"/>
        <v>#VALUE!</v>
      </c>
      <c r="K27" s="14" t="e">
        <f t="shared" si="5"/>
        <v>#VALUE!</v>
      </c>
      <c r="L27" s="10" t="e">
        <f t="shared" si="0"/>
        <v>#VALUE!</v>
      </c>
      <c r="M27" s="10" t="e">
        <f t="shared" si="6"/>
        <v>#VALUE!</v>
      </c>
      <c r="N27" s="10" t="e">
        <f t="shared" si="7"/>
        <v>#VALUE!</v>
      </c>
      <c r="O27" s="10" t="e">
        <f t="shared" si="8"/>
        <v>#VALUE!</v>
      </c>
      <c r="P27" s="10" t="e">
        <f t="shared" si="9"/>
        <v>#VALUE!</v>
      </c>
    </row>
    <row r="28" spans="1:16" x14ac:dyDescent="0.25">
      <c r="A28" s="22" t="s">
        <v>177</v>
      </c>
      <c r="B28" s="78">
        <f>ROUND((B26-B27)/3+B27,2)</f>
        <v>14.33</v>
      </c>
      <c r="C28" s="237"/>
      <c r="D28" s="242"/>
      <c r="E28" s="64">
        <f t="shared" si="1"/>
        <v>25</v>
      </c>
      <c r="F28" s="10" t="str">
        <f>IF((E28&lt;='Alternative 2'!$B$12),F27+1,"x")</f>
        <v>x</v>
      </c>
      <c r="G28" s="1">
        <f>IF(E28&lt;='Alternative 2'!$B$12,G27+1,0)</f>
        <v>0</v>
      </c>
      <c r="H28" s="62">
        <f t="shared" si="2"/>
        <v>1.36</v>
      </c>
      <c r="I28" s="66" t="e">
        <f t="shared" si="3"/>
        <v>#VALUE!</v>
      </c>
      <c r="J28" s="60" t="e">
        <f t="shared" si="4"/>
        <v>#VALUE!</v>
      </c>
      <c r="K28" s="14" t="e">
        <f t="shared" si="5"/>
        <v>#VALUE!</v>
      </c>
      <c r="L28" s="10" t="e">
        <f t="shared" si="0"/>
        <v>#VALUE!</v>
      </c>
      <c r="M28" s="10" t="e">
        <f t="shared" si="6"/>
        <v>#VALUE!</v>
      </c>
      <c r="N28" s="10" t="e">
        <f t="shared" si="7"/>
        <v>#VALUE!</v>
      </c>
      <c r="O28" s="10" t="e">
        <f t="shared" si="8"/>
        <v>#VALUE!</v>
      </c>
      <c r="P28" s="10" t="e">
        <f t="shared" si="9"/>
        <v>#VALUE!</v>
      </c>
    </row>
    <row r="29" spans="1:16" x14ac:dyDescent="0.25">
      <c r="A29" s="22" t="s">
        <v>178</v>
      </c>
      <c r="B29" s="79">
        <f>ROUNDDOWN(2*(B26-B27)/3+B27,2)</f>
        <v>18.66</v>
      </c>
      <c r="C29" s="237"/>
      <c r="D29" s="242"/>
      <c r="E29" s="64">
        <f t="shared" si="1"/>
        <v>26</v>
      </c>
      <c r="F29" s="10" t="str">
        <f>IF((E29&lt;='Alternative 2'!$B$12),F28+1,"x")</f>
        <v>x</v>
      </c>
      <c r="G29" s="1">
        <f>IF(E29&lt;='Alternative 2'!$B$12,G28+1,0)</f>
        <v>0</v>
      </c>
      <c r="H29" s="62">
        <f t="shared" si="2"/>
        <v>1.36</v>
      </c>
      <c r="I29" s="66" t="e">
        <f t="shared" si="3"/>
        <v>#VALUE!</v>
      </c>
      <c r="J29" s="60" t="e">
        <f t="shared" si="4"/>
        <v>#VALUE!</v>
      </c>
      <c r="K29" s="14" t="e">
        <f t="shared" si="5"/>
        <v>#VALUE!</v>
      </c>
      <c r="L29" s="10" t="e">
        <f t="shared" si="0"/>
        <v>#VALUE!</v>
      </c>
      <c r="M29" s="10" t="e">
        <f t="shared" si="6"/>
        <v>#VALUE!</v>
      </c>
      <c r="N29" s="10" t="e">
        <f t="shared" si="7"/>
        <v>#VALUE!</v>
      </c>
      <c r="O29" s="10" t="e">
        <f t="shared" si="8"/>
        <v>#VALUE!</v>
      </c>
      <c r="P29" s="10" t="e">
        <f t="shared" si="9"/>
        <v>#VALUE!</v>
      </c>
    </row>
    <row r="30" spans="1:16" x14ac:dyDescent="0.25">
      <c r="A30" s="22" t="s">
        <v>184</v>
      </c>
      <c r="B30" s="132">
        <f>'Alternative 2-Tilt Up (3pt)'!N5</f>
        <v>1218591.2080805635</v>
      </c>
      <c r="C30" s="237" t="s">
        <v>41</v>
      </c>
      <c r="D30" s="242"/>
      <c r="E30" s="64">
        <f t="shared" si="1"/>
        <v>27</v>
      </c>
      <c r="F30" s="10" t="str">
        <f>IF((E30&lt;='Alternative 2'!$B$12),F29+1,"x")</f>
        <v>x</v>
      </c>
      <c r="G30" s="1">
        <f>IF(E30&lt;='Alternative 2'!$B$12,G29+1,0)</f>
        <v>0</v>
      </c>
      <c r="H30" s="62">
        <f t="shared" si="2"/>
        <v>1.36</v>
      </c>
      <c r="I30" s="66" t="e">
        <f t="shared" si="3"/>
        <v>#VALUE!</v>
      </c>
      <c r="J30" s="60" t="e">
        <f t="shared" si="4"/>
        <v>#VALUE!</v>
      </c>
      <c r="K30" s="14" t="e">
        <f t="shared" si="5"/>
        <v>#VALUE!</v>
      </c>
      <c r="L30" s="10" t="e">
        <f t="shared" si="0"/>
        <v>#VALUE!</v>
      </c>
      <c r="M30" s="10" t="e">
        <f t="shared" si="6"/>
        <v>#VALUE!</v>
      </c>
      <c r="N30" s="10" t="e">
        <f t="shared" si="7"/>
        <v>#VALUE!</v>
      </c>
      <c r="O30" s="10" t="e">
        <f t="shared" si="8"/>
        <v>#VALUE!</v>
      </c>
      <c r="P30" s="10" t="e">
        <f t="shared" si="9"/>
        <v>#VALUE!</v>
      </c>
    </row>
    <row r="31" spans="1:16" x14ac:dyDescent="0.25">
      <c r="A31" s="177" t="s">
        <v>72</v>
      </c>
      <c r="B31" s="177"/>
      <c r="C31" s="234"/>
      <c r="D31" s="242"/>
      <c r="E31" s="64">
        <f t="shared" si="1"/>
        <v>28</v>
      </c>
      <c r="F31" s="10" t="str">
        <f>IF((E31&lt;='Alternative 2'!$B$12),F30+1,"x")</f>
        <v>x</v>
      </c>
      <c r="G31" s="1">
        <f>IF(E31&lt;='Alternative 2'!$B$12,G30+1,0)</f>
        <v>0</v>
      </c>
      <c r="H31" s="62">
        <f t="shared" si="2"/>
        <v>1.36</v>
      </c>
      <c r="I31" s="66" t="e">
        <f t="shared" si="3"/>
        <v>#VALUE!</v>
      </c>
      <c r="J31" s="60" t="e">
        <f t="shared" si="4"/>
        <v>#VALUE!</v>
      </c>
      <c r="K31" s="14" t="e">
        <f t="shared" si="5"/>
        <v>#VALUE!</v>
      </c>
      <c r="L31" s="10" t="e">
        <f t="shared" si="0"/>
        <v>#VALUE!</v>
      </c>
      <c r="M31" s="10" t="e">
        <f t="shared" si="6"/>
        <v>#VALUE!</v>
      </c>
      <c r="N31" s="10" t="e">
        <f t="shared" si="7"/>
        <v>#VALUE!</v>
      </c>
      <c r="O31" s="10" t="e">
        <f t="shared" si="8"/>
        <v>#VALUE!</v>
      </c>
      <c r="P31" s="10" t="e">
        <f t="shared" si="9"/>
        <v>#VALUE!</v>
      </c>
    </row>
    <row r="32" spans="1:16" x14ac:dyDescent="0.25">
      <c r="A32" s="36" t="s">
        <v>46</v>
      </c>
      <c r="B32" s="70">
        <v>0.85</v>
      </c>
      <c r="C32" s="238" t="s">
        <v>56</v>
      </c>
      <c r="D32" s="242"/>
      <c r="E32" s="64">
        <f t="shared" si="1"/>
        <v>29</v>
      </c>
      <c r="F32" s="10" t="str">
        <f>IF((E32&lt;='Alternative 2'!$B$12),F31+1,"x")</f>
        <v>x</v>
      </c>
      <c r="G32" s="1">
        <f>IF(E32&lt;='Alternative 2'!$B$12,G31+1,0)</f>
        <v>0</v>
      </c>
      <c r="H32" s="62">
        <f t="shared" si="2"/>
        <v>1.36</v>
      </c>
      <c r="I32" s="66" t="e">
        <f t="shared" si="3"/>
        <v>#VALUE!</v>
      </c>
      <c r="J32" s="60" t="e">
        <f t="shared" si="4"/>
        <v>#VALUE!</v>
      </c>
      <c r="K32" s="14" t="e">
        <f t="shared" si="5"/>
        <v>#VALUE!</v>
      </c>
      <c r="L32" s="10" t="e">
        <f t="shared" si="0"/>
        <v>#VALUE!</v>
      </c>
      <c r="M32" s="10" t="e">
        <f t="shared" si="6"/>
        <v>#VALUE!</v>
      </c>
      <c r="N32" s="10" t="e">
        <f t="shared" si="7"/>
        <v>#VALUE!</v>
      </c>
      <c r="O32" s="10" t="e">
        <f t="shared" si="8"/>
        <v>#VALUE!</v>
      </c>
      <c r="P32" s="10" t="e">
        <f t="shared" si="9"/>
        <v>#VALUE!</v>
      </c>
    </row>
    <row r="33" spans="1:16" ht="18" x14ac:dyDescent="0.35">
      <c r="A33" s="36" t="s">
        <v>73</v>
      </c>
      <c r="B33" s="70">
        <v>0.7</v>
      </c>
      <c r="C33" s="238" t="s">
        <v>56</v>
      </c>
      <c r="D33" s="242"/>
      <c r="E33" s="64">
        <f t="shared" si="1"/>
        <v>30</v>
      </c>
      <c r="F33" s="10" t="str">
        <f>IF((E33&lt;='Alternative 2'!$B$12),F32+1,"x")</f>
        <v>x</v>
      </c>
      <c r="G33" s="1">
        <f>IF(E33&lt;='Alternative 2'!$B$12,G32+1,0)</f>
        <v>0</v>
      </c>
      <c r="H33" s="62">
        <f t="shared" si="2"/>
        <v>1.36</v>
      </c>
      <c r="I33" s="66" t="e">
        <f t="shared" si="3"/>
        <v>#VALUE!</v>
      </c>
      <c r="J33" s="60" t="e">
        <f t="shared" si="4"/>
        <v>#VALUE!</v>
      </c>
      <c r="K33" s="14" t="e">
        <f t="shared" si="5"/>
        <v>#VALUE!</v>
      </c>
      <c r="L33" s="10" t="e">
        <f t="shared" si="0"/>
        <v>#VALUE!</v>
      </c>
      <c r="M33" s="10" t="e">
        <f t="shared" si="6"/>
        <v>#VALUE!</v>
      </c>
      <c r="N33" s="10" t="e">
        <f t="shared" si="7"/>
        <v>#VALUE!</v>
      </c>
      <c r="O33" s="10" t="e">
        <f t="shared" si="8"/>
        <v>#VALUE!</v>
      </c>
      <c r="P33" s="10" t="e">
        <f t="shared" si="9"/>
        <v>#VALUE!</v>
      </c>
    </row>
    <row r="34" spans="1:16" ht="18" x14ac:dyDescent="0.35">
      <c r="A34" s="36" t="s">
        <v>75</v>
      </c>
      <c r="B34" s="70">
        <v>1</v>
      </c>
      <c r="C34" s="238" t="s">
        <v>56</v>
      </c>
      <c r="D34" s="242"/>
      <c r="E34" s="64">
        <f t="shared" si="1"/>
        <v>31</v>
      </c>
      <c r="F34" s="10" t="str">
        <f>IF((E34&lt;='Alternative 2'!$B$12),F33+1,"x")</f>
        <v>x</v>
      </c>
      <c r="G34" s="1">
        <f>IF(E34&lt;='Alternative 2'!$B$12,G33+1,0)</f>
        <v>0</v>
      </c>
      <c r="H34" s="62">
        <f t="shared" si="2"/>
        <v>1.36</v>
      </c>
      <c r="I34" s="66" t="e">
        <f t="shared" si="3"/>
        <v>#VALUE!</v>
      </c>
      <c r="J34" s="60" t="e">
        <f t="shared" si="4"/>
        <v>#VALUE!</v>
      </c>
      <c r="K34" s="14" t="e">
        <f t="shared" si="5"/>
        <v>#VALUE!</v>
      </c>
      <c r="L34" s="10" t="e">
        <f t="shared" si="0"/>
        <v>#VALUE!</v>
      </c>
      <c r="M34" s="10" t="e">
        <f t="shared" si="6"/>
        <v>#VALUE!</v>
      </c>
      <c r="N34" s="10" t="e">
        <f t="shared" si="7"/>
        <v>#VALUE!</v>
      </c>
      <c r="O34" s="10" t="e">
        <f t="shared" si="8"/>
        <v>#VALUE!</v>
      </c>
      <c r="P34" s="10" t="e">
        <f t="shared" si="9"/>
        <v>#VALUE!</v>
      </c>
    </row>
    <row r="35" spans="1:16" ht="18" x14ac:dyDescent="0.35">
      <c r="A35" s="36" t="s">
        <v>76</v>
      </c>
      <c r="B35" s="70">
        <v>0.95</v>
      </c>
      <c r="C35" s="238" t="s">
        <v>56</v>
      </c>
      <c r="D35" s="242"/>
      <c r="E35" s="64">
        <f t="shared" si="1"/>
        <v>32</v>
      </c>
      <c r="F35" s="10" t="str">
        <f>IF((E35&lt;='Alternative 2'!$B$12),F34+1,"x")</f>
        <v>x</v>
      </c>
      <c r="G35" s="1">
        <f>IF(E35&lt;='Alternative 2'!$B$12,G34+1,0)</f>
        <v>0</v>
      </c>
      <c r="H35" s="62">
        <f t="shared" si="2"/>
        <v>1.36</v>
      </c>
      <c r="I35" s="66" t="e">
        <f t="shared" si="3"/>
        <v>#VALUE!</v>
      </c>
      <c r="J35" s="60" t="e">
        <f t="shared" si="4"/>
        <v>#VALUE!</v>
      </c>
      <c r="K35" s="14" t="e">
        <f t="shared" si="5"/>
        <v>#VALUE!</v>
      </c>
      <c r="L35" s="10" t="e">
        <f t="shared" si="0"/>
        <v>#VALUE!</v>
      </c>
      <c r="M35" s="10" t="e">
        <f t="shared" si="6"/>
        <v>#VALUE!</v>
      </c>
      <c r="N35" s="10" t="e">
        <f t="shared" si="7"/>
        <v>#VALUE!</v>
      </c>
      <c r="O35" s="10" t="e">
        <f t="shared" si="8"/>
        <v>#VALUE!</v>
      </c>
      <c r="P35" s="10" t="e">
        <f t="shared" si="9"/>
        <v>#VALUE!</v>
      </c>
    </row>
    <row r="36" spans="1:16" ht="17.25" x14ac:dyDescent="0.25">
      <c r="A36" s="42" t="s">
        <v>77</v>
      </c>
      <c r="B36" s="135">
        <f>44.704^2</f>
        <v>1998.4476160000002</v>
      </c>
      <c r="C36" s="238" t="s">
        <v>56</v>
      </c>
      <c r="D36" s="242"/>
      <c r="E36" s="64">
        <f t="shared" si="1"/>
        <v>33</v>
      </c>
      <c r="F36" s="10" t="str">
        <f>IF((E36&lt;='Alternative 2'!$B$12),F35+1,"x")</f>
        <v>x</v>
      </c>
      <c r="G36" s="1">
        <f>IF(E36&lt;='Alternative 2'!$B$12,G35+1,0)</f>
        <v>0</v>
      </c>
      <c r="H36" s="62">
        <f t="shared" si="2"/>
        <v>1.36</v>
      </c>
      <c r="I36" s="66" t="e">
        <f t="shared" si="3"/>
        <v>#VALUE!</v>
      </c>
      <c r="J36" s="60" t="e">
        <f t="shared" si="4"/>
        <v>#VALUE!</v>
      </c>
      <c r="K36" s="14" t="e">
        <f t="shared" si="5"/>
        <v>#VALUE!</v>
      </c>
      <c r="L36" s="10" t="e">
        <f t="shared" si="0"/>
        <v>#VALUE!</v>
      </c>
      <c r="M36" s="10" t="e">
        <f t="shared" si="6"/>
        <v>#VALUE!</v>
      </c>
      <c r="N36" s="10" t="e">
        <f t="shared" si="7"/>
        <v>#VALUE!</v>
      </c>
      <c r="O36" s="10" t="e">
        <f t="shared" si="8"/>
        <v>#VALUE!</v>
      </c>
      <c r="P36" s="10" t="e">
        <f t="shared" si="9"/>
        <v>#VALUE!</v>
      </c>
    </row>
    <row r="37" spans="1:16" x14ac:dyDescent="0.25">
      <c r="A37" s="177" t="s">
        <v>79</v>
      </c>
      <c r="B37" s="177"/>
      <c r="C37" s="234"/>
      <c r="D37" s="242"/>
      <c r="E37" s="64">
        <f t="shared" si="1"/>
        <v>34</v>
      </c>
      <c r="F37" s="10" t="str">
        <f>IF((E37&lt;='Alternative 2'!$B$12),F36+1,"x")</f>
        <v>x</v>
      </c>
      <c r="G37" s="1">
        <f>IF(E37&lt;='Alternative 2'!$B$12,G36+1,0)</f>
        <v>0</v>
      </c>
      <c r="H37" s="62">
        <f t="shared" si="2"/>
        <v>1.36</v>
      </c>
      <c r="I37" s="66" t="e">
        <f t="shared" si="3"/>
        <v>#VALUE!</v>
      </c>
      <c r="J37" s="60" t="e">
        <f t="shared" si="4"/>
        <v>#VALUE!</v>
      </c>
      <c r="K37" s="14" t="e">
        <f t="shared" si="5"/>
        <v>#VALUE!</v>
      </c>
      <c r="L37" s="10" t="e">
        <f t="shared" si="0"/>
        <v>#VALUE!</v>
      </c>
      <c r="M37" s="10" t="e">
        <f t="shared" si="6"/>
        <v>#VALUE!</v>
      </c>
      <c r="N37" s="10" t="e">
        <f t="shared" si="7"/>
        <v>#VALUE!</v>
      </c>
      <c r="O37" s="10" t="e">
        <f t="shared" si="8"/>
        <v>#VALUE!</v>
      </c>
      <c r="P37" s="10" t="e">
        <f t="shared" si="9"/>
        <v>#VALUE!</v>
      </c>
    </row>
    <row r="38" spans="1:16" x14ac:dyDescent="0.25">
      <c r="A38" s="42" t="s">
        <v>80</v>
      </c>
      <c r="B38" s="133">
        <f>B13/B12</f>
        <v>277.44190122014862</v>
      </c>
      <c r="C38" s="239" t="s">
        <v>81</v>
      </c>
      <c r="D38" s="242"/>
      <c r="E38" s="64">
        <f t="shared" si="1"/>
        <v>35</v>
      </c>
      <c r="F38" s="10" t="str">
        <f>IF((E38&lt;='Alternative 2'!$B$12),F37+1,"x")</f>
        <v>x</v>
      </c>
      <c r="G38" s="1">
        <f>IF(E38&lt;='Alternative 2'!$B$12,G37+1,0)</f>
        <v>0</v>
      </c>
      <c r="H38" s="62">
        <f t="shared" si="2"/>
        <v>1.36</v>
      </c>
      <c r="I38" s="66" t="e">
        <f t="shared" si="3"/>
        <v>#VALUE!</v>
      </c>
      <c r="J38" s="60" t="e">
        <f t="shared" si="4"/>
        <v>#VALUE!</v>
      </c>
      <c r="K38" s="14" t="e">
        <f t="shared" si="5"/>
        <v>#VALUE!</v>
      </c>
      <c r="L38" s="10" t="e">
        <f t="shared" si="0"/>
        <v>#VALUE!</v>
      </c>
      <c r="M38" s="10" t="e">
        <f t="shared" si="6"/>
        <v>#VALUE!</v>
      </c>
      <c r="N38" s="10" t="e">
        <f t="shared" si="7"/>
        <v>#VALUE!</v>
      </c>
      <c r="O38" s="10" t="e">
        <f t="shared" si="8"/>
        <v>#VALUE!</v>
      </c>
      <c r="P38" s="10" t="e">
        <f t="shared" si="9"/>
        <v>#VALUE!</v>
      </c>
    </row>
    <row r="39" spans="1:16" x14ac:dyDescent="0.25">
      <c r="A39" s="42" t="s">
        <v>80</v>
      </c>
      <c r="B39" s="133">
        <f>B14/B12</f>
        <v>2720.7756206005697</v>
      </c>
      <c r="C39" s="239" t="s">
        <v>186</v>
      </c>
      <c r="D39" s="242"/>
      <c r="E39" s="64">
        <f t="shared" si="1"/>
        <v>36</v>
      </c>
      <c r="F39" s="10" t="str">
        <f>IF((E39&lt;='Alternative 2'!$B$12),F38+1,"x")</f>
        <v>x</v>
      </c>
      <c r="G39" s="1">
        <f>IF(E39&lt;='Alternative 2'!$B$12,G38+1,0)</f>
        <v>0</v>
      </c>
      <c r="H39" s="62">
        <f t="shared" si="2"/>
        <v>1.36</v>
      </c>
      <c r="I39" s="66" t="e">
        <f t="shared" si="3"/>
        <v>#VALUE!</v>
      </c>
      <c r="J39" s="60" t="e">
        <f t="shared" si="4"/>
        <v>#VALUE!</v>
      </c>
      <c r="K39" s="14" t="e">
        <f t="shared" si="5"/>
        <v>#VALUE!</v>
      </c>
      <c r="L39" s="10" t="e">
        <f t="shared" si="0"/>
        <v>#VALUE!</v>
      </c>
      <c r="M39" s="10" t="e">
        <f t="shared" si="6"/>
        <v>#VALUE!</v>
      </c>
      <c r="N39" s="10" t="e">
        <f t="shared" si="7"/>
        <v>#VALUE!</v>
      </c>
      <c r="O39" s="10" t="e">
        <f t="shared" si="8"/>
        <v>#VALUE!</v>
      </c>
      <c r="P39" s="10" t="e">
        <f t="shared" si="9"/>
        <v>#VALUE!</v>
      </c>
    </row>
    <row r="40" spans="1:16" x14ac:dyDescent="0.25">
      <c r="A40" s="42" t="s">
        <v>83</v>
      </c>
      <c r="B40" s="81">
        <v>1.1000000000000001</v>
      </c>
      <c r="C40" s="238" t="s">
        <v>56</v>
      </c>
      <c r="D40" s="242"/>
      <c r="E40" s="64">
        <f t="shared" si="1"/>
        <v>37</v>
      </c>
      <c r="F40" s="10" t="str">
        <f>IF((E40&lt;='Alternative 2'!$B$12),F39+1,"x")</f>
        <v>x</v>
      </c>
      <c r="G40" s="1">
        <f>IF(E40&lt;='Alternative 2'!$B$12,G39+1,0)</f>
        <v>0</v>
      </c>
      <c r="H40" s="62">
        <f t="shared" si="2"/>
        <v>1.36</v>
      </c>
      <c r="I40" s="66" t="e">
        <f t="shared" si="3"/>
        <v>#VALUE!</v>
      </c>
      <c r="J40" s="60" t="e">
        <f t="shared" si="4"/>
        <v>#VALUE!</v>
      </c>
      <c r="K40" s="14" t="e">
        <f t="shared" si="5"/>
        <v>#VALUE!</v>
      </c>
      <c r="L40" s="10" t="e">
        <f t="shared" si="0"/>
        <v>#VALUE!</v>
      </c>
      <c r="M40" s="10" t="e">
        <f t="shared" si="6"/>
        <v>#VALUE!</v>
      </c>
      <c r="N40" s="10" t="e">
        <f t="shared" si="7"/>
        <v>#VALUE!</v>
      </c>
      <c r="O40" s="10" t="e">
        <f t="shared" si="8"/>
        <v>#VALUE!</v>
      </c>
      <c r="P40" s="10" t="e">
        <f t="shared" si="9"/>
        <v>#VALUE!</v>
      </c>
    </row>
    <row r="41" spans="1:16" ht="30" x14ac:dyDescent="0.25">
      <c r="A41" s="54" t="s">
        <v>112</v>
      </c>
      <c r="B41" s="133">
        <f>'Dynamic Loading'!Y3</f>
        <v>23465.23309894092</v>
      </c>
      <c r="C41" s="240" t="s">
        <v>41</v>
      </c>
      <c r="D41" s="242"/>
      <c r="E41" s="64">
        <f t="shared" si="1"/>
        <v>38</v>
      </c>
      <c r="F41" s="10" t="str">
        <f>IF((E41&lt;='Alternative 2'!$B$12),F40+1,"x")</f>
        <v>x</v>
      </c>
      <c r="G41" s="1">
        <f>IF(E41&lt;='Alternative 2'!$B$12,G40+1,0)</f>
        <v>0</v>
      </c>
      <c r="H41" s="62">
        <f t="shared" si="2"/>
        <v>1.36</v>
      </c>
      <c r="I41" s="66" t="e">
        <f t="shared" si="3"/>
        <v>#VALUE!</v>
      </c>
      <c r="J41" s="60" t="e">
        <f t="shared" si="4"/>
        <v>#VALUE!</v>
      </c>
      <c r="K41" s="14" t="e">
        <f t="shared" si="5"/>
        <v>#VALUE!</v>
      </c>
      <c r="L41" s="10" t="e">
        <f t="shared" si="0"/>
        <v>#VALUE!</v>
      </c>
      <c r="M41" s="10" t="e">
        <f t="shared" si="6"/>
        <v>#VALUE!</v>
      </c>
      <c r="N41" s="10" t="e">
        <f t="shared" si="7"/>
        <v>#VALUE!</v>
      </c>
      <c r="O41" s="10" t="e">
        <f t="shared" si="8"/>
        <v>#VALUE!</v>
      </c>
      <c r="P41" s="10" t="e">
        <f t="shared" si="9"/>
        <v>#VALUE!</v>
      </c>
    </row>
    <row r="42" spans="1:16" x14ac:dyDescent="0.25">
      <c r="A42" s="42" t="s">
        <v>84</v>
      </c>
      <c r="B42" s="70">
        <v>13.4</v>
      </c>
      <c r="C42" s="240" t="s">
        <v>27</v>
      </c>
      <c r="D42" s="242"/>
      <c r="E42" s="64">
        <f t="shared" si="1"/>
        <v>39</v>
      </c>
      <c r="F42" s="10" t="str">
        <f>IF((E42&lt;='Alternative 2'!$B$12),F41+1,"x")</f>
        <v>x</v>
      </c>
      <c r="G42" s="1">
        <f>IF(E42&lt;='Alternative 2'!$B$12,G41+1,0)</f>
        <v>0</v>
      </c>
      <c r="H42" s="62">
        <f t="shared" si="2"/>
        <v>1.36</v>
      </c>
      <c r="I42" s="66" t="e">
        <f t="shared" si="3"/>
        <v>#VALUE!</v>
      </c>
      <c r="J42" s="60" t="e">
        <f t="shared" si="4"/>
        <v>#VALUE!</v>
      </c>
      <c r="K42" s="14" t="e">
        <f t="shared" si="5"/>
        <v>#VALUE!</v>
      </c>
      <c r="L42" s="10" t="e">
        <f t="shared" si="0"/>
        <v>#VALUE!</v>
      </c>
      <c r="M42" s="10" t="e">
        <f t="shared" si="6"/>
        <v>#VALUE!</v>
      </c>
      <c r="N42" s="10" t="e">
        <f t="shared" si="7"/>
        <v>#VALUE!</v>
      </c>
      <c r="O42" s="10" t="e">
        <f t="shared" si="8"/>
        <v>#VALUE!</v>
      </c>
      <c r="P42" s="10" t="e">
        <f t="shared" si="9"/>
        <v>#VALUE!</v>
      </c>
    </row>
    <row r="43" spans="1:16" x14ac:dyDescent="0.25">
      <c r="A43" s="42" t="s">
        <v>85</v>
      </c>
      <c r="B43" s="70">
        <v>12</v>
      </c>
      <c r="C43" s="240" t="s">
        <v>27</v>
      </c>
      <c r="D43" s="242"/>
      <c r="E43" s="64">
        <f t="shared" si="1"/>
        <v>40</v>
      </c>
      <c r="F43" s="10" t="str">
        <f>IF((E43&lt;='Alternative 2'!$B$12),F42+1,"x")</f>
        <v>x</v>
      </c>
      <c r="G43" s="1">
        <f>IF(E43&lt;='Alternative 2'!$B$12,G42+1,0)</f>
        <v>0</v>
      </c>
      <c r="H43" s="62">
        <f t="shared" si="2"/>
        <v>1.36</v>
      </c>
      <c r="I43" s="66" t="e">
        <f t="shared" si="3"/>
        <v>#VALUE!</v>
      </c>
      <c r="J43" s="60" t="e">
        <f t="shared" si="4"/>
        <v>#VALUE!</v>
      </c>
      <c r="K43" s="14" t="e">
        <f t="shared" si="5"/>
        <v>#VALUE!</v>
      </c>
      <c r="L43" s="10" t="e">
        <f t="shared" si="0"/>
        <v>#VALUE!</v>
      </c>
      <c r="M43" s="10" t="e">
        <f t="shared" si="6"/>
        <v>#VALUE!</v>
      </c>
      <c r="N43" s="10" t="e">
        <f t="shared" si="7"/>
        <v>#VALUE!</v>
      </c>
      <c r="O43" s="10" t="e">
        <f t="shared" si="8"/>
        <v>#VALUE!</v>
      </c>
      <c r="P43" s="10" t="e">
        <f t="shared" si="9"/>
        <v>#VALUE!</v>
      </c>
    </row>
    <row r="44" spans="1:16" x14ac:dyDescent="0.25">
      <c r="A44" s="42" t="s">
        <v>86</v>
      </c>
      <c r="B44" s="70">
        <v>7.5</v>
      </c>
      <c r="C44" s="240" t="s">
        <v>27</v>
      </c>
      <c r="D44" s="242"/>
      <c r="E44" s="64">
        <f t="shared" si="1"/>
        <v>41</v>
      </c>
      <c r="F44" s="10" t="str">
        <f>IF((E44&lt;='Alternative 2'!$B$12),F43+1,"x")</f>
        <v>x</v>
      </c>
      <c r="G44" s="1">
        <f>IF(E44&lt;='Alternative 2'!$B$12,G43+1,0)</f>
        <v>0</v>
      </c>
      <c r="H44" s="62">
        <f t="shared" si="2"/>
        <v>1.36</v>
      </c>
      <c r="I44" s="66" t="e">
        <f t="shared" si="3"/>
        <v>#VALUE!</v>
      </c>
      <c r="J44" s="60" t="e">
        <f t="shared" si="4"/>
        <v>#VALUE!</v>
      </c>
      <c r="K44" s="14" t="e">
        <f t="shared" si="5"/>
        <v>#VALUE!</v>
      </c>
      <c r="L44" s="10" t="e">
        <f t="shared" si="0"/>
        <v>#VALUE!</v>
      </c>
      <c r="M44" s="10" t="e">
        <f t="shared" si="6"/>
        <v>#VALUE!</v>
      </c>
      <c r="N44" s="10" t="e">
        <f t="shared" si="7"/>
        <v>#VALUE!</v>
      </c>
      <c r="O44" s="10" t="e">
        <f t="shared" si="8"/>
        <v>#VALUE!</v>
      </c>
      <c r="P44" s="10" t="e">
        <f t="shared" si="9"/>
        <v>#VALUE!</v>
      </c>
    </row>
    <row r="45" spans="1:16" x14ac:dyDescent="0.25">
      <c r="A45" s="42" t="s">
        <v>87</v>
      </c>
      <c r="B45" s="70">
        <v>3</v>
      </c>
      <c r="C45" s="240" t="s">
        <v>27</v>
      </c>
      <c r="D45" s="242"/>
      <c r="E45" s="64">
        <f t="shared" si="1"/>
        <v>42</v>
      </c>
      <c r="F45" s="10" t="str">
        <f>IF((E45&lt;='Alternative 2'!$B$12),F44+1,"x")</f>
        <v>x</v>
      </c>
      <c r="G45" s="1">
        <f>IF(E45&lt;='Alternative 2'!$B$12,G44+1,0)</f>
        <v>0</v>
      </c>
      <c r="H45" s="62">
        <f t="shared" si="2"/>
        <v>1.36</v>
      </c>
      <c r="I45" s="66" t="e">
        <f t="shared" si="3"/>
        <v>#VALUE!</v>
      </c>
      <c r="J45" s="60" t="e">
        <f t="shared" si="4"/>
        <v>#VALUE!</v>
      </c>
      <c r="K45" s="14" t="e">
        <f t="shared" si="5"/>
        <v>#VALUE!</v>
      </c>
      <c r="L45" s="10" t="e">
        <f t="shared" si="0"/>
        <v>#VALUE!</v>
      </c>
      <c r="M45" s="10" t="e">
        <f t="shared" si="6"/>
        <v>#VALUE!</v>
      </c>
      <c r="N45" s="10" t="e">
        <f t="shared" si="7"/>
        <v>#VALUE!</v>
      </c>
      <c r="O45" s="10" t="e">
        <f t="shared" si="8"/>
        <v>#VALUE!</v>
      </c>
      <c r="P45" s="10" t="e">
        <f t="shared" si="9"/>
        <v>#VALUE!</v>
      </c>
    </row>
    <row r="46" spans="1:16" x14ac:dyDescent="0.25">
      <c r="A46" s="42" t="s">
        <v>88</v>
      </c>
      <c r="B46" s="81">
        <v>4.2</v>
      </c>
      <c r="C46" s="238" t="s">
        <v>56</v>
      </c>
      <c r="D46" s="242"/>
      <c r="E46" s="64">
        <f t="shared" si="1"/>
        <v>43</v>
      </c>
      <c r="F46" s="10" t="str">
        <f>IF((E46&lt;='Alternative 2'!$B$12),F45+1,"x")</f>
        <v>x</v>
      </c>
      <c r="G46" s="1">
        <f>IF(E46&lt;='Alternative 2'!$B$12,G45+1,0)</f>
        <v>0</v>
      </c>
      <c r="H46" s="62">
        <f t="shared" si="2"/>
        <v>1.36</v>
      </c>
      <c r="I46" s="66" t="e">
        <f t="shared" si="3"/>
        <v>#VALUE!</v>
      </c>
      <c r="J46" s="60" t="e">
        <f t="shared" si="4"/>
        <v>#VALUE!</v>
      </c>
      <c r="K46" s="14" t="e">
        <f t="shared" si="5"/>
        <v>#VALUE!</v>
      </c>
      <c r="L46" s="10" t="e">
        <f t="shared" si="0"/>
        <v>#VALUE!</v>
      </c>
      <c r="M46" s="10" t="e">
        <f t="shared" si="6"/>
        <v>#VALUE!</v>
      </c>
      <c r="N46" s="10" t="e">
        <f t="shared" si="7"/>
        <v>#VALUE!</v>
      </c>
      <c r="O46" s="10" t="e">
        <f t="shared" si="8"/>
        <v>#VALUE!</v>
      </c>
      <c r="P46" s="10" t="e">
        <f t="shared" si="9"/>
        <v>#VALUE!</v>
      </c>
    </row>
    <row r="47" spans="1:16" ht="18" x14ac:dyDescent="0.35">
      <c r="A47" s="42" t="s">
        <v>89</v>
      </c>
      <c r="B47" s="81">
        <v>0.56000000000000005</v>
      </c>
      <c r="C47" s="238" t="s">
        <v>56</v>
      </c>
      <c r="D47" s="242"/>
      <c r="E47" s="64">
        <f t="shared" si="1"/>
        <v>44</v>
      </c>
      <c r="F47" s="10" t="str">
        <f>IF((E47&lt;='Alternative 2'!$B$12),F46+1,"x")</f>
        <v>x</v>
      </c>
      <c r="G47" s="1">
        <f>IF(E47&lt;='Alternative 2'!$B$12,G46+1,0)</f>
        <v>0</v>
      </c>
      <c r="H47" s="62">
        <f t="shared" si="2"/>
        <v>1.36</v>
      </c>
      <c r="I47" s="66" t="e">
        <f t="shared" si="3"/>
        <v>#VALUE!</v>
      </c>
      <c r="J47" s="60" t="e">
        <f t="shared" si="4"/>
        <v>#VALUE!</v>
      </c>
      <c r="K47" s="14" t="e">
        <f t="shared" si="5"/>
        <v>#VALUE!</v>
      </c>
      <c r="L47" s="10" t="e">
        <f t="shared" si="0"/>
        <v>#VALUE!</v>
      </c>
      <c r="M47" s="10" t="e">
        <f t="shared" si="6"/>
        <v>#VALUE!</v>
      </c>
      <c r="N47" s="10" t="e">
        <f t="shared" si="7"/>
        <v>#VALUE!</v>
      </c>
      <c r="O47" s="10" t="e">
        <f t="shared" si="8"/>
        <v>#VALUE!</v>
      </c>
      <c r="P47" s="10" t="e">
        <f t="shared" si="9"/>
        <v>#VALUE!</v>
      </c>
    </row>
    <row r="48" spans="1:16" x14ac:dyDescent="0.25">
      <c r="A48" s="42" t="s">
        <v>90</v>
      </c>
      <c r="B48" s="81">
        <v>1.2250000000000001</v>
      </c>
      <c r="C48" s="240" t="s">
        <v>91</v>
      </c>
      <c r="D48" s="242"/>
      <c r="E48" s="64">
        <f t="shared" si="1"/>
        <v>45</v>
      </c>
      <c r="F48" s="10" t="str">
        <f>IF((E48&lt;='Alternative 2'!$B$12),F47+1,"x")</f>
        <v>x</v>
      </c>
      <c r="G48" s="1">
        <f>IF(E48&lt;='Alternative 2'!$B$12,G47+1,0)</f>
        <v>0</v>
      </c>
      <c r="H48" s="62">
        <f t="shared" si="2"/>
        <v>1.36</v>
      </c>
      <c r="I48" s="66" t="e">
        <f t="shared" si="3"/>
        <v>#VALUE!</v>
      </c>
      <c r="J48" s="60" t="e">
        <f t="shared" si="4"/>
        <v>#VALUE!</v>
      </c>
      <c r="K48" s="14" t="e">
        <f t="shared" si="5"/>
        <v>#VALUE!</v>
      </c>
      <c r="L48" s="10" t="e">
        <f t="shared" si="0"/>
        <v>#VALUE!</v>
      </c>
      <c r="M48" s="10" t="e">
        <f t="shared" si="6"/>
        <v>#VALUE!</v>
      </c>
      <c r="N48" s="10" t="e">
        <f t="shared" si="7"/>
        <v>#VALUE!</v>
      </c>
      <c r="O48" s="10" t="e">
        <f t="shared" si="8"/>
        <v>#VALUE!</v>
      </c>
      <c r="P48" s="10" t="e">
        <f t="shared" si="9"/>
        <v>#VALUE!</v>
      </c>
    </row>
    <row r="49" spans="1:16" x14ac:dyDescent="0.25">
      <c r="A49" s="73" t="s">
        <v>92</v>
      </c>
      <c r="B49" s="134">
        <f>PI()*(B9/2)^2</f>
        <v>346.36059005827468</v>
      </c>
      <c r="C49" s="241" t="s">
        <v>93</v>
      </c>
      <c r="D49" s="242"/>
      <c r="E49" s="64">
        <f t="shared" si="1"/>
        <v>46</v>
      </c>
      <c r="F49" s="10" t="str">
        <f>IF((E49&lt;='Alternative 2'!$B$12),F48+1,"x")</f>
        <v>x</v>
      </c>
      <c r="G49" s="1">
        <f>IF(E49&lt;='Alternative 2'!$B$12,G48+1,0)</f>
        <v>0</v>
      </c>
      <c r="H49" s="62">
        <f t="shared" si="2"/>
        <v>1.36</v>
      </c>
      <c r="I49" s="66" t="e">
        <f t="shared" si="3"/>
        <v>#VALUE!</v>
      </c>
      <c r="J49" s="60" t="e">
        <f t="shared" si="4"/>
        <v>#VALUE!</v>
      </c>
      <c r="K49" s="14" t="e">
        <f t="shared" si="5"/>
        <v>#VALUE!</v>
      </c>
      <c r="L49" s="10" t="e">
        <f t="shared" si="0"/>
        <v>#VALUE!</v>
      </c>
      <c r="M49" s="10" t="e">
        <f t="shared" si="6"/>
        <v>#VALUE!</v>
      </c>
      <c r="N49" s="10" t="e">
        <f t="shared" si="7"/>
        <v>#VALUE!</v>
      </c>
      <c r="O49" s="10" t="e">
        <f t="shared" si="8"/>
        <v>#VALUE!</v>
      </c>
      <c r="P49" s="10" t="e">
        <f t="shared" si="9"/>
        <v>#VALUE!</v>
      </c>
    </row>
    <row r="50" spans="1:16" x14ac:dyDescent="0.25">
      <c r="A50" s="75"/>
      <c r="B50" s="76"/>
      <c r="C50" s="76"/>
      <c r="D50" s="242"/>
      <c r="E50" s="64">
        <f t="shared" si="1"/>
        <v>47</v>
      </c>
      <c r="F50" s="10" t="str">
        <f>IF((E50&lt;='Alternative 2'!$B$12),F49+1,"x")</f>
        <v>x</v>
      </c>
      <c r="G50" s="1">
        <f>IF(E50&lt;='Alternative 2'!$B$12,G49+1,0)</f>
        <v>0</v>
      </c>
      <c r="H50" s="62">
        <f t="shared" si="2"/>
        <v>1.36</v>
      </c>
      <c r="I50" s="66" t="e">
        <f t="shared" si="3"/>
        <v>#VALUE!</v>
      </c>
      <c r="J50" s="60" t="e">
        <f t="shared" si="4"/>
        <v>#VALUE!</v>
      </c>
      <c r="K50" s="14" t="e">
        <f t="shared" si="5"/>
        <v>#VALUE!</v>
      </c>
      <c r="L50" s="10" t="e">
        <f t="shared" si="0"/>
        <v>#VALUE!</v>
      </c>
      <c r="M50" s="10" t="e">
        <f t="shared" si="6"/>
        <v>#VALUE!</v>
      </c>
      <c r="N50" s="10" t="e">
        <f t="shared" si="7"/>
        <v>#VALUE!</v>
      </c>
      <c r="O50" s="10" t="e">
        <f t="shared" si="8"/>
        <v>#VALUE!</v>
      </c>
      <c r="P50" s="10" t="e">
        <f t="shared" si="9"/>
        <v>#VALUE!</v>
      </c>
    </row>
    <row r="51" spans="1:16" x14ac:dyDescent="0.25">
      <c r="A51" s="15"/>
      <c r="B51" s="15"/>
      <c r="C51" s="15"/>
      <c r="D51" s="242"/>
      <c r="E51" s="64">
        <f t="shared" si="1"/>
        <v>48</v>
      </c>
      <c r="F51" s="10" t="str">
        <f>IF((E51&lt;='Alternative 2'!$B$12),F50+1,"x")</f>
        <v>x</v>
      </c>
      <c r="G51" s="1">
        <f>IF(E51&lt;='Alternative 2'!$B$12,G50+1,0)</f>
        <v>0</v>
      </c>
      <c r="H51" s="62">
        <f t="shared" si="2"/>
        <v>1.36</v>
      </c>
      <c r="I51" s="66" t="e">
        <f t="shared" si="3"/>
        <v>#VALUE!</v>
      </c>
      <c r="J51" s="60" t="e">
        <f t="shared" si="4"/>
        <v>#VALUE!</v>
      </c>
      <c r="K51" s="14" t="e">
        <f t="shared" si="5"/>
        <v>#VALUE!</v>
      </c>
      <c r="L51" s="10" t="e">
        <f t="shared" si="0"/>
        <v>#VALUE!</v>
      </c>
      <c r="M51" s="10" t="e">
        <f t="shared" si="6"/>
        <v>#VALUE!</v>
      </c>
      <c r="N51" s="10" t="e">
        <f t="shared" si="7"/>
        <v>#VALUE!</v>
      </c>
      <c r="O51" s="10" t="e">
        <f t="shared" si="8"/>
        <v>#VALUE!</v>
      </c>
      <c r="P51" s="10" t="e">
        <f t="shared" si="9"/>
        <v>#VALUE!</v>
      </c>
    </row>
    <row r="52" spans="1:16" x14ac:dyDescent="0.25">
      <c r="A52" s="15"/>
      <c r="B52" s="15"/>
      <c r="C52" s="15"/>
      <c r="D52" s="242"/>
      <c r="E52" s="64">
        <f t="shared" si="1"/>
        <v>49</v>
      </c>
      <c r="F52" s="10" t="str">
        <f>IF((E52&lt;='Alternative 2'!$B$12),F51+1,"x")</f>
        <v>x</v>
      </c>
      <c r="G52" s="1">
        <f>IF(E52&lt;='Alternative 2'!$B$12,G51+1,0)</f>
        <v>0</v>
      </c>
      <c r="H52" s="62">
        <f t="shared" si="2"/>
        <v>1.36</v>
      </c>
      <c r="I52" s="66" t="e">
        <f t="shared" si="3"/>
        <v>#VALUE!</v>
      </c>
      <c r="J52" s="60" t="e">
        <f t="shared" si="4"/>
        <v>#VALUE!</v>
      </c>
      <c r="K52" s="14" t="e">
        <f t="shared" si="5"/>
        <v>#VALUE!</v>
      </c>
      <c r="L52" s="10" t="e">
        <f t="shared" si="0"/>
        <v>#VALUE!</v>
      </c>
      <c r="M52" s="10" t="e">
        <f t="shared" si="6"/>
        <v>#VALUE!</v>
      </c>
      <c r="N52" s="10" t="e">
        <f t="shared" si="7"/>
        <v>#VALUE!</v>
      </c>
      <c r="O52" s="10" t="e">
        <f t="shared" si="8"/>
        <v>#VALUE!</v>
      </c>
      <c r="P52" s="10" t="e">
        <f t="shared" si="9"/>
        <v>#VALUE!</v>
      </c>
    </row>
    <row r="53" spans="1:16" x14ac:dyDescent="0.25">
      <c r="A53" s="15"/>
      <c r="B53" s="15"/>
      <c r="C53" s="15"/>
      <c r="D53" s="242"/>
      <c r="E53" s="64">
        <f t="shared" si="1"/>
        <v>50</v>
      </c>
      <c r="F53" s="10" t="str">
        <f>IF((E53&lt;='Alternative 2'!$B$12),F52+1,"x")</f>
        <v>x</v>
      </c>
      <c r="G53" s="1">
        <f>IF(E53&lt;='Alternative 2'!$B$12,G52+1,0)</f>
        <v>0</v>
      </c>
      <c r="H53" s="62">
        <f t="shared" si="2"/>
        <v>1.36</v>
      </c>
      <c r="I53" s="66" t="e">
        <f t="shared" si="3"/>
        <v>#VALUE!</v>
      </c>
      <c r="J53" s="60" t="e">
        <f t="shared" si="4"/>
        <v>#VALUE!</v>
      </c>
      <c r="K53" s="14" t="e">
        <f t="shared" si="5"/>
        <v>#VALUE!</v>
      </c>
      <c r="L53" s="10" t="e">
        <f t="shared" si="0"/>
        <v>#VALUE!</v>
      </c>
      <c r="M53" s="10" t="e">
        <f t="shared" si="6"/>
        <v>#VALUE!</v>
      </c>
      <c r="N53" s="10" t="e">
        <f t="shared" si="7"/>
        <v>#VALUE!</v>
      </c>
      <c r="O53" s="10" t="e">
        <f t="shared" si="8"/>
        <v>#VALUE!</v>
      </c>
      <c r="P53" s="10" t="e">
        <f t="shared" si="9"/>
        <v>#VALUE!</v>
      </c>
    </row>
    <row r="54" spans="1:16" x14ac:dyDescent="0.25">
      <c r="A54" s="15"/>
      <c r="B54" s="15"/>
      <c r="C54" s="15"/>
      <c r="D54" s="242"/>
      <c r="E54" s="64">
        <f t="shared" si="1"/>
        <v>51</v>
      </c>
      <c r="F54" s="10" t="str">
        <f>IF((E54&lt;='Alternative 2'!$B$12),F53+1,"x")</f>
        <v>x</v>
      </c>
      <c r="G54" s="1">
        <f>IF(E54&lt;='Alternative 2'!$B$12,G53+1,0)</f>
        <v>0</v>
      </c>
      <c r="H54" s="62">
        <f t="shared" si="2"/>
        <v>1.36</v>
      </c>
      <c r="I54" s="66" t="e">
        <f t="shared" si="3"/>
        <v>#VALUE!</v>
      </c>
      <c r="J54" s="60" t="e">
        <f t="shared" si="4"/>
        <v>#VALUE!</v>
      </c>
      <c r="K54" s="14" t="e">
        <f t="shared" si="5"/>
        <v>#VALUE!</v>
      </c>
      <c r="L54" s="10" t="e">
        <f t="shared" si="0"/>
        <v>#VALUE!</v>
      </c>
      <c r="M54" s="10" t="e">
        <f t="shared" si="6"/>
        <v>#VALUE!</v>
      </c>
      <c r="N54" s="10" t="e">
        <f t="shared" si="7"/>
        <v>#VALUE!</v>
      </c>
      <c r="O54" s="10" t="e">
        <f t="shared" si="8"/>
        <v>#VALUE!</v>
      </c>
      <c r="P54" s="10" t="e">
        <f t="shared" si="9"/>
        <v>#VALUE!</v>
      </c>
    </row>
    <row r="55" spans="1:16" x14ac:dyDescent="0.25">
      <c r="A55" s="15"/>
      <c r="B55" s="15"/>
      <c r="C55" s="15"/>
      <c r="D55" s="242"/>
      <c r="E55" s="64">
        <f t="shared" si="1"/>
        <v>52</v>
      </c>
      <c r="F55" s="10" t="str">
        <f>IF((E55&lt;='Alternative 2'!$B$12),F54+1,"x")</f>
        <v>x</v>
      </c>
      <c r="G55" s="1">
        <f>IF(E55&lt;='Alternative 2'!$B$12,G54+1,0)</f>
        <v>0</v>
      </c>
      <c r="H55" s="62">
        <f t="shared" si="2"/>
        <v>1.36</v>
      </c>
      <c r="I55" s="66" t="e">
        <f t="shared" si="3"/>
        <v>#VALUE!</v>
      </c>
      <c r="J55" s="60" t="e">
        <f t="shared" si="4"/>
        <v>#VALUE!</v>
      </c>
      <c r="K55" s="14" t="e">
        <f t="shared" si="5"/>
        <v>#VALUE!</v>
      </c>
      <c r="L55" s="10" t="e">
        <f t="shared" si="0"/>
        <v>#VALUE!</v>
      </c>
      <c r="M55" s="10" t="e">
        <f t="shared" si="6"/>
        <v>#VALUE!</v>
      </c>
      <c r="N55" s="10" t="e">
        <f t="shared" si="7"/>
        <v>#VALUE!</v>
      </c>
      <c r="O55" s="10" t="e">
        <f t="shared" si="8"/>
        <v>#VALUE!</v>
      </c>
      <c r="P55" s="10" t="e">
        <f t="shared" si="9"/>
        <v>#VALUE!</v>
      </c>
    </row>
    <row r="56" spans="1:16" x14ac:dyDescent="0.25">
      <c r="A56" s="15"/>
      <c r="B56" s="15"/>
      <c r="C56" s="15"/>
      <c r="D56" s="242"/>
      <c r="E56" s="64">
        <f t="shared" si="1"/>
        <v>53</v>
      </c>
      <c r="F56" s="10" t="str">
        <f>IF((E56&lt;='Alternative 2'!$B$12),F55+1,"x")</f>
        <v>x</v>
      </c>
      <c r="G56" s="1">
        <f>IF(E56&lt;='Alternative 2'!$B$12,G55+1,0)</f>
        <v>0</v>
      </c>
      <c r="H56" s="62">
        <f t="shared" si="2"/>
        <v>1.36</v>
      </c>
      <c r="I56" s="66" t="e">
        <f t="shared" si="3"/>
        <v>#VALUE!</v>
      </c>
      <c r="J56" s="60" t="e">
        <f t="shared" si="4"/>
        <v>#VALUE!</v>
      </c>
      <c r="K56" s="14" t="e">
        <f t="shared" si="5"/>
        <v>#VALUE!</v>
      </c>
      <c r="L56" s="10" t="e">
        <f t="shared" si="0"/>
        <v>#VALUE!</v>
      </c>
      <c r="M56" s="10" t="e">
        <f t="shared" si="6"/>
        <v>#VALUE!</v>
      </c>
      <c r="N56" s="10" t="e">
        <f t="shared" si="7"/>
        <v>#VALUE!</v>
      </c>
      <c r="O56" s="10" t="e">
        <f t="shared" si="8"/>
        <v>#VALUE!</v>
      </c>
      <c r="P56" s="10" t="e">
        <f t="shared" si="9"/>
        <v>#VALUE!</v>
      </c>
    </row>
    <row r="57" spans="1:16" x14ac:dyDescent="0.25">
      <c r="A57" s="15"/>
      <c r="B57" s="15"/>
      <c r="C57" s="15"/>
      <c r="D57" s="242"/>
      <c r="E57" s="64">
        <f t="shared" si="1"/>
        <v>54</v>
      </c>
      <c r="F57" s="10" t="str">
        <f>IF((E57&lt;='Alternative 2'!$B$12),F56+1,"x")</f>
        <v>x</v>
      </c>
      <c r="G57" s="1">
        <f>IF(E57&lt;='Alternative 2'!$B$12,G56+1,0)</f>
        <v>0</v>
      </c>
      <c r="H57" s="62">
        <f t="shared" si="2"/>
        <v>1.36</v>
      </c>
      <c r="I57" s="66" t="e">
        <f t="shared" si="3"/>
        <v>#VALUE!</v>
      </c>
      <c r="J57" s="60" t="e">
        <f t="shared" si="4"/>
        <v>#VALUE!</v>
      </c>
      <c r="K57" s="14" t="e">
        <f t="shared" si="5"/>
        <v>#VALUE!</v>
      </c>
      <c r="L57" s="10" t="e">
        <f t="shared" si="0"/>
        <v>#VALUE!</v>
      </c>
      <c r="M57" s="10" t="e">
        <f t="shared" si="6"/>
        <v>#VALUE!</v>
      </c>
      <c r="N57" s="10" t="e">
        <f t="shared" si="7"/>
        <v>#VALUE!</v>
      </c>
      <c r="O57" s="10" t="e">
        <f t="shared" si="8"/>
        <v>#VALUE!</v>
      </c>
      <c r="P57" s="10" t="e">
        <f t="shared" si="9"/>
        <v>#VALUE!</v>
      </c>
    </row>
    <row r="58" spans="1:16" x14ac:dyDescent="0.25">
      <c r="A58" s="15"/>
      <c r="B58" s="15"/>
      <c r="C58" s="15"/>
      <c r="D58" s="242"/>
      <c r="E58" s="64">
        <f t="shared" si="1"/>
        <v>55</v>
      </c>
      <c r="F58" s="10" t="str">
        <f>IF((E58&lt;='Alternative 2'!$B$12),F57+1,"x")</f>
        <v>x</v>
      </c>
      <c r="G58" s="1">
        <f>IF(E58&lt;='Alternative 2'!$B$12,G57+1,0)</f>
        <v>0</v>
      </c>
      <c r="H58" s="62">
        <f t="shared" si="2"/>
        <v>1.36</v>
      </c>
      <c r="I58" s="66" t="e">
        <f t="shared" si="3"/>
        <v>#VALUE!</v>
      </c>
      <c r="J58" s="60" t="e">
        <f t="shared" si="4"/>
        <v>#VALUE!</v>
      </c>
      <c r="K58" s="14" t="e">
        <f t="shared" si="5"/>
        <v>#VALUE!</v>
      </c>
      <c r="L58" s="10" t="e">
        <f t="shared" si="0"/>
        <v>#VALUE!</v>
      </c>
      <c r="M58" s="10" t="e">
        <f t="shared" si="6"/>
        <v>#VALUE!</v>
      </c>
      <c r="N58" s="10" t="e">
        <f t="shared" si="7"/>
        <v>#VALUE!</v>
      </c>
      <c r="O58" s="10" t="e">
        <f t="shared" si="8"/>
        <v>#VALUE!</v>
      </c>
      <c r="P58" s="10" t="e">
        <f t="shared" si="9"/>
        <v>#VALUE!</v>
      </c>
    </row>
    <row r="59" spans="1:16" x14ac:dyDescent="0.25">
      <c r="A59" s="15"/>
      <c r="B59" s="15"/>
      <c r="C59" s="15"/>
      <c r="D59" s="242"/>
      <c r="E59" s="64">
        <f t="shared" si="1"/>
        <v>56</v>
      </c>
      <c r="F59" s="10" t="str">
        <f>IF((E59&lt;='Alternative 2'!$B$12),F58+1,"x")</f>
        <v>x</v>
      </c>
      <c r="G59" s="1">
        <f>IF(E59&lt;='Alternative 2'!$B$12,G58+1,0)</f>
        <v>0</v>
      </c>
      <c r="H59" s="62">
        <f t="shared" si="2"/>
        <v>1.36</v>
      </c>
      <c r="I59" s="66" t="e">
        <f t="shared" si="3"/>
        <v>#VALUE!</v>
      </c>
      <c r="J59" s="60" t="e">
        <f t="shared" si="4"/>
        <v>#VALUE!</v>
      </c>
      <c r="K59" s="14" t="e">
        <f t="shared" si="5"/>
        <v>#VALUE!</v>
      </c>
      <c r="L59" s="10" t="e">
        <f t="shared" si="0"/>
        <v>#VALUE!</v>
      </c>
      <c r="M59" s="10" t="e">
        <f t="shared" si="6"/>
        <v>#VALUE!</v>
      </c>
      <c r="N59" s="10" t="e">
        <f t="shared" si="7"/>
        <v>#VALUE!</v>
      </c>
      <c r="O59" s="10" t="e">
        <f t="shared" si="8"/>
        <v>#VALUE!</v>
      </c>
      <c r="P59" s="10" t="e">
        <f t="shared" si="9"/>
        <v>#VALUE!</v>
      </c>
    </row>
    <row r="60" spans="1:16" x14ac:dyDescent="0.25">
      <c r="A60" s="15"/>
      <c r="B60" s="15"/>
      <c r="C60" s="15"/>
      <c r="D60" s="242"/>
      <c r="E60" s="64">
        <f t="shared" si="1"/>
        <v>57</v>
      </c>
      <c r="F60" s="10" t="str">
        <f>IF((E60&lt;='Alternative 2'!$B$12),F59+1,"x")</f>
        <v>x</v>
      </c>
      <c r="G60" s="1">
        <f>IF(E60&lt;='Alternative 2'!$B$12,G59+1,0)</f>
        <v>0</v>
      </c>
      <c r="H60" s="62">
        <f t="shared" si="2"/>
        <v>1.36</v>
      </c>
      <c r="I60" s="66" t="e">
        <f t="shared" si="3"/>
        <v>#VALUE!</v>
      </c>
      <c r="J60" s="60" t="e">
        <f t="shared" si="4"/>
        <v>#VALUE!</v>
      </c>
      <c r="K60" s="14" t="e">
        <f t="shared" si="5"/>
        <v>#VALUE!</v>
      </c>
      <c r="L60" s="10" t="e">
        <f t="shared" si="0"/>
        <v>#VALUE!</v>
      </c>
      <c r="M60" s="10" t="e">
        <f t="shared" si="6"/>
        <v>#VALUE!</v>
      </c>
      <c r="N60" s="10" t="e">
        <f t="shared" si="7"/>
        <v>#VALUE!</v>
      </c>
      <c r="O60" s="10" t="e">
        <f t="shared" si="8"/>
        <v>#VALUE!</v>
      </c>
      <c r="P60" s="10" t="e">
        <f t="shared" si="9"/>
        <v>#VALUE!</v>
      </c>
    </row>
    <row r="61" spans="1:16" x14ac:dyDescent="0.25">
      <c r="A61" s="15"/>
      <c r="B61" s="15"/>
      <c r="C61" s="15"/>
      <c r="D61" s="242"/>
      <c r="E61" s="64">
        <f t="shared" si="1"/>
        <v>58</v>
      </c>
      <c r="F61" s="10" t="str">
        <f>IF((E61&lt;='Alternative 2'!$B$12),F60+1,"x")</f>
        <v>x</v>
      </c>
      <c r="G61" s="1">
        <f>IF(E61&lt;='Alternative 2'!$B$12,G60+1,0)</f>
        <v>0</v>
      </c>
      <c r="H61" s="62">
        <f t="shared" si="2"/>
        <v>1.36</v>
      </c>
      <c r="I61" s="66" t="e">
        <f t="shared" si="3"/>
        <v>#VALUE!</v>
      </c>
      <c r="J61" s="60" t="e">
        <f t="shared" si="4"/>
        <v>#VALUE!</v>
      </c>
      <c r="K61" s="14" t="e">
        <f t="shared" si="5"/>
        <v>#VALUE!</v>
      </c>
      <c r="L61" s="10" t="e">
        <f t="shared" si="0"/>
        <v>#VALUE!</v>
      </c>
      <c r="M61" s="10" t="e">
        <f t="shared" si="6"/>
        <v>#VALUE!</v>
      </c>
      <c r="N61" s="10" t="e">
        <f t="shared" si="7"/>
        <v>#VALUE!</v>
      </c>
      <c r="O61" s="10" t="e">
        <f t="shared" si="8"/>
        <v>#VALUE!</v>
      </c>
      <c r="P61" s="10" t="e">
        <f t="shared" si="9"/>
        <v>#VALUE!</v>
      </c>
    </row>
    <row r="62" spans="1:16" x14ac:dyDescent="0.25">
      <c r="A62" s="15"/>
      <c r="B62" s="15"/>
      <c r="C62" s="15"/>
      <c r="D62" s="242"/>
      <c r="E62" s="64">
        <f t="shared" si="1"/>
        <v>59</v>
      </c>
      <c r="F62" s="10" t="str">
        <f>IF((E62&lt;='Alternative 2'!$B$12),F61+1,"x")</f>
        <v>x</v>
      </c>
      <c r="G62" s="1">
        <f>IF(E62&lt;='Alternative 2'!$B$12,G61+1,0)</f>
        <v>0</v>
      </c>
      <c r="H62" s="62">
        <f t="shared" si="2"/>
        <v>1.36</v>
      </c>
      <c r="I62" s="66" t="e">
        <f t="shared" si="3"/>
        <v>#VALUE!</v>
      </c>
      <c r="J62" s="60" t="e">
        <f t="shared" si="4"/>
        <v>#VALUE!</v>
      </c>
      <c r="K62" s="14" t="e">
        <f t="shared" si="5"/>
        <v>#VALUE!</v>
      </c>
      <c r="L62" s="10" t="e">
        <f t="shared" si="0"/>
        <v>#VALUE!</v>
      </c>
      <c r="M62" s="10" t="e">
        <f t="shared" si="6"/>
        <v>#VALUE!</v>
      </c>
      <c r="N62" s="10" t="e">
        <f t="shared" si="7"/>
        <v>#VALUE!</v>
      </c>
      <c r="O62" s="10" t="e">
        <f t="shared" si="8"/>
        <v>#VALUE!</v>
      </c>
      <c r="P62" s="10" t="e">
        <f t="shared" si="9"/>
        <v>#VALUE!</v>
      </c>
    </row>
    <row r="63" spans="1:16" x14ac:dyDescent="0.25">
      <c r="A63" s="15"/>
      <c r="B63" s="15"/>
      <c r="C63" s="15"/>
      <c r="D63" s="242"/>
      <c r="E63" s="64">
        <f t="shared" si="1"/>
        <v>60</v>
      </c>
      <c r="F63" s="10" t="str">
        <f>IF((E63&lt;='Alternative 2'!$B$12),F62+1,"x")</f>
        <v>x</v>
      </c>
      <c r="G63" s="1">
        <f>IF(E63&lt;='Alternative 2'!$B$12,G62+1,0)</f>
        <v>0</v>
      </c>
      <c r="H63" s="62">
        <f t="shared" si="2"/>
        <v>1.36</v>
      </c>
      <c r="I63" s="66" t="e">
        <f t="shared" si="3"/>
        <v>#VALUE!</v>
      </c>
      <c r="J63" s="60" t="e">
        <f t="shared" si="4"/>
        <v>#VALUE!</v>
      </c>
      <c r="K63" s="14" t="e">
        <f t="shared" si="5"/>
        <v>#VALUE!</v>
      </c>
      <c r="L63" s="10" t="e">
        <f t="shared" si="0"/>
        <v>#VALUE!</v>
      </c>
      <c r="M63" s="10" t="e">
        <f t="shared" si="6"/>
        <v>#VALUE!</v>
      </c>
      <c r="N63" s="10" t="e">
        <f t="shared" si="7"/>
        <v>#VALUE!</v>
      </c>
      <c r="O63" s="10" t="e">
        <f t="shared" si="8"/>
        <v>#VALUE!</v>
      </c>
      <c r="P63" s="10" t="e">
        <f t="shared" si="9"/>
        <v>#VALUE!</v>
      </c>
    </row>
    <row r="64" spans="1:16" x14ac:dyDescent="0.25">
      <c r="A64" s="15"/>
      <c r="B64" s="15"/>
      <c r="C64" s="15"/>
      <c r="D64" s="242"/>
      <c r="E64" s="64">
        <f t="shared" si="1"/>
        <v>61</v>
      </c>
      <c r="F64" s="10" t="str">
        <f>IF((E64&lt;='Alternative 2'!$B$12),F63+1,"x")</f>
        <v>x</v>
      </c>
      <c r="G64" s="1">
        <f>IF(E64&lt;='Alternative 2'!$B$12,G63+1,0)</f>
        <v>0</v>
      </c>
      <c r="H64" s="62">
        <f t="shared" si="2"/>
        <v>1.36</v>
      </c>
      <c r="I64" s="66" t="e">
        <f t="shared" si="3"/>
        <v>#VALUE!</v>
      </c>
      <c r="J64" s="60" t="e">
        <f t="shared" si="4"/>
        <v>#VALUE!</v>
      </c>
      <c r="K64" s="14" t="e">
        <f t="shared" si="5"/>
        <v>#VALUE!</v>
      </c>
      <c r="L64" s="10" t="e">
        <f t="shared" si="0"/>
        <v>#VALUE!</v>
      </c>
      <c r="M64" s="10" t="e">
        <f t="shared" si="6"/>
        <v>#VALUE!</v>
      </c>
      <c r="N64" s="10" t="e">
        <f t="shared" si="7"/>
        <v>#VALUE!</v>
      </c>
      <c r="O64" s="10" t="e">
        <f t="shared" si="8"/>
        <v>#VALUE!</v>
      </c>
      <c r="P64" s="10" t="e">
        <f t="shared" si="9"/>
        <v>#VALUE!</v>
      </c>
    </row>
    <row r="65" spans="1:16" x14ac:dyDescent="0.25">
      <c r="A65" s="15"/>
      <c r="B65" s="15"/>
      <c r="C65" s="15"/>
      <c r="D65" s="242"/>
      <c r="E65" s="64">
        <f t="shared" si="1"/>
        <v>62</v>
      </c>
      <c r="F65" s="10" t="str">
        <f>IF((E65&lt;='Alternative 2'!$B$12),F64+1,"x")</f>
        <v>x</v>
      </c>
      <c r="G65" s="1">
        <f>IF(E65&lt;='Alternative 2'!$B$12,G64+1,0)</f>
        <v>0</v>
      </c>
      <c r="H65" s="62">
        <f t="shared" si="2"/>
        <v>1.36</v>
      </c>
      <c r="I65" s="66" t="e">
        <f t="shared" si="3"/>
        <v>#VALUE!</v>
      </c>
      <c r="J65" s="60" t="e">
        <f t="shared" si="4"/>
        <v>#VALUE!</v>
      </c>
      <c r="K65" s="14" t="e">
        <f t="shared" si="5"/>
        <v>#VALUE!</v>
      </c>
      <c r="L65" s="10" t="e">
        <f t="shared" si="0"/>
        <v>#VALUE!</v>
      </c>
      <c r="M65" s="10" t="e">
        <f t="shared" si="6"/>
        <v>#VALUE!</v>
      </c>
      <c r="N65" s="10" t="e">
        <f t="shared" si="7"/>
        <v>#VALUE!</v>
      </c>
      <c r="O65" s="10" t="e">
        <f t="shared" si="8"/>
        <v>#VALUE!</v>
      </c>
      <c r="P65" s="10" t="e">
        <f t="shared" si="9"/>
        <v>#VALUE!</v>
      </c>
    </row>
    <row r="66" spans="1:16" x14ac:dyDescent="0.25">
      <c r="A66" s="15"/>
      <c r="B66" s="15"/>
      <c r="C66" s="15"/>
      <c r="D66" s="242"/>
      <c r="E66" s="64">
        <f t="shared" si="1"/>
        <v>63</v>
      </c>
      <c r="F66" s="10" t="str">
        <f>IF((E66&lt;='Alternative 2'!$B$12),F65+1,"x")</f>
        <v>x</v>
      </c>
      <c r="G66" s="1">
        <f>IF(E66&lt;='Alternative 2'!$B$12,G65+1,0)</f>
        <v>0</v>
      </c>
      <c r="H66" s="62">
        <f t="shared" si="2"/>
        <v>1.36</v>
      </c>
      <c r="I66" s="66" t="e">
        <f t="shared" si="3"/>
        <v>#VALUE!</v>
      </c>
      <c r="J66" s="60" t="e">
        <f t="shared" si="4"/>
        <v>#VALUE!</v>
      </c>
      <c r="K66" s="14" t="e">
        <f t="shared" si="5"/>
        <v>#VALUE!</v>
      </c>
      <c r="L66" s="10" t="e">
        <f t="shared" si="0"/>
        <v>#VALUE!</v>
      </c>
      <c r="M66" s="10" t="e">
        <f t="shared" si="6"/>
        <v>#VALUE!</v>
      </c>
      <c r="N66" s="10" t="e">
        <f t="shared" si="7"/>
        <v>#VALUE!</v>
      </c>
      <c r="O66" s="10" t="e">
        <f t="shared" si="8"/>
        <v>#VALUE!</v>
      </c>
      <c r="P66" s="10" t="e">
        <f t="shared" si="9"/>
        <v>#VALUE!</v>
      </c>
    </row>
    <row r="67" spans="1:16" x14ac:dyDescent="0.25">
      <c r="A67" s="15"/>
      <c r="B67" s="15"/>
      <c r="C67" s="15"/>
      <c r="D67" s="242"/>
      <c r="E67" s="64">
        <f t="shared" si="1"/>
        <v>64</v>
      </c>
      <c r="F67" s="10" t="str">
        <f>IF((E67&lt;='Alternative 2'!$B$12),F66+1,"x")</f>
        <v>x</v>
      </c>
      <c r="G67" s="1">
        <f>IF(E67&lt;='Alternative 2'!$B$12,G66+1,0)</f>
        <v>0</v>
      </c>
      <c r="H67" s="62">
        <f t="shared" si="2"/>
        <v>1.36</v>
      </c>
      <c r="I67" s="66" t="e">
        <f t="shared" si="3"/>
        <v>#VALUE!</v>
      </c>
      <c r="J67" s="60" t="e">
        <f t="shared" si="4"/>
        <v>#VALUE!</v>
      </c>
      <c r="K67" s="14" t="e">
        <f t="shared" si="5"/>
        <v>#VALUE!</v>
      </c>
      <c r="L67" s="10" t="e">
        <f t="shared" si="0"/>
        <v>#VALUE!</v>
      </c>
      <c r="M67" s="10" t="e">
        <f t="shared" si="6"/>
        <v>#VALUE!</v>
      </c>
      <c r="N67" s="10" t="e">
        <f t="shared" si="7"/>
        <v>#VALUE!</v>
      </c>
      <c r="O67" s="10" t="e">
        <f t="shared" si="8"/>
        <v>#VALUE!</v>
      </c>
      <c r="P67" s="10" t="e">
        <f t="shared" si="9"/>
        <v>#VALUE!</v>
      </c>
    </row>
    <row r="68" spans="1:16" x14ac:dyDescent="0.25">
      <c r="A68" s="15"/>
      <c r="B68" s="15"/>
      <c r="C68" s="15"/>
      <c r="D68" s="242"/>
      <c r="E68" s="64">
        <f t="shared" si="1"/>
        <v>65</v>
      </c>
      <c r="F68" s="10" t="str">
        <f>IF((E68&lt;='Alternative 2'!$B$12),F67+1,"x")</f>
        <v>x</v>
      </c>
      <c r="G68" s="1">
        <f>IF(E68&lt;='Alternative 2'!$B$12,G67+1,0)</f>
        <v>0</v>
      </c>
      <c r="H68" s="62">
        <f t="shared" si="2"/>
        <v>1.36</v>
      </c>
      <c r="I68" s="66" t="e">
        <f t="shared" si="3"/>
        <v>#VALUE!</v>
      </c>
      <c r="J68" s="60" t="e">
        <f t="shared" si="4"/>
        <v>#VALUE!</v>
      </c>
      <c r="K68" s="14" t="e">
        <f t="shared" si="5"/>
        <v>#VALUE!</v>
      </c>
      <c r="L68" s="10" t="e">
        <f t="shared" ref="L68:L93" si="10">2*3.14159*K68*$B$17</f>
        <v>#VALUE!</v>
      </c>
      <c r="M68" s="10" t="e">
        <f t="shared" si="6"/>
        <v>#VALUE!</v>
      </c>
      <c r="N68" s="10" t="e">
        <f t="shared" si="7"/>
        <v>#VALUE!</v>
      </c>
      <c r="O68" s="10" t="e">
        <f t="shared" si="8"/>
        <v>#VALUE!</v>
      </c>
      <c r="P68" s="10" t="e">
        <f t="shared" si="9"/>
        <v>#VALUE!</v>
      </c>
    </row>
    <row r="69" spans="1:16" x14ac:dyDescent="0.25">
      <c r="A69" s="15"/>
      <c r="B69" s="15"/>
      <c r="C69" s="15"/>
      <c r="D69" s="242"/>
      <c r="E69" s="64">
        <f t="shared" ref="E69:E78" si="11">E68+1</f>
        <v>66</v>
      </c>
      <c r="F69" s="10" t="str">
        <f>IF((E69&lt;='Alternative 2'!$B$12),F68+1,"x")</f>
        <v>x</v>
      </c>
      <c r="G69" s="1">
        <f>IF(E69&lt;='Alternative 2'!$B$12,G68+1,0)</f>
        <v>0</v>
      </c>
      <c r="H69" s="62">
        <f t="shared" ref="H69:H93" si="12">IF(F69&gt;0,(($B$16)-((($B$16)-($B$15))/$B$12)*G69),0)</f>
        <v>1.36</v>
      </c>
      <c r="I69" s="66" t="e">
        <f t="shared" ref="I69:I93" si="13">IF(F69&gt;0,(($B$16/2)-((($B$16/2)-($B$15/2))/$B$12)*F69),0)</f>
        <v>#VALUE!</v>
      </c>
      <c r="J69" s="60" t="e">
        <f t="shared" ref="J69:J93" si="14">IF(F69&gt;0,I69-$B$17,0)</f>
        <v>#VALUE!</v>
      </c>
      <c r="K69" s="14" t="e">
        <f t="shared" ref="K69:K93" si="15">AVERAGE(I69:J69)</f>
        <v>#VALUE!</v>
      </c>
      <c r="L69" s="10" t="e">
        <f t="shared" si="10"/>
        <v>#VALUE!</v>
      </c>
      <c r="M69" s="10" t="e">
        <f t="shared" ref="M69:M93" si="16">(3.141593)*(K69^2)</f>
        <v>#VALUE!</v>
      </c>
      <c r="N69" s="10" t="e">
        <f t="shared" ref="N69:N93" si="17">SQRT(L69/M69)</f>
        <v>#VALUE!</v>
      </c>
      <c r="O69" s="10" t="e">
        <f t="shared" ref="O69:O93" si="18">($I$10*F69)/N69</f>
        <v>#VALUE!</v>
      </c>
      <c r="P69" s="10" t="e">
        <f t="shared" ref="P69:P93" si="19">($I$10*F69)/K69</f>
        <v>#VALUE!</v>
      </c>
    </row>
    <row r="70" spans="1:16" x14ac:dyDescent="0.25">
      <c r="A70" s="15"/>
      <c r="B70" s="15"/>
      <c r="C70" s="15"/>
      <c r="D70" s="242"/>
      <c r="E70" s="64">
        <f t="shared" si="11"/>
        <v>67</v>
      </c>
      <c r="F70" s="10" t="str">
        <f>IF((E70&lt;='Alternative 2'!$B$12),F69+1,"x")</f>
        <v>x</v>
      </c>
      <c r="G70" s="1">
        <f>IF(E70&lt;='Alternative 2'!$B$12,G69+1,0)</f>
        <v>0</v>
      </c>
      <c r="H70" s="62">
        <f t="shared" si="12"/>
        <v>1.36</v>
      </c>
      <c r="I70" s="66" t="e">
        <f t="shared" si="13"/>
        <v>#VALUE!</v>
      </c>
      <c r="J70" s="60" t="e">
        <f t="shared" si="14"/>
        <v>#VALUE!</v>
      </c>
      <c r="K70" s="14" t="e">
        <f t="shared" si="15"/>
        <v>#VALUE!</v>
      </c>
      <c r="L70" s="10" t="e">
        <f t="shared" si="10"/>
        <v>#VALUE!</v>
      </c>
      <c r="M70" s="10" t="e">
        <f t="shared" si="16"/>
        <v>#VALUE!</v>
      </c>
      <c r="N70" s="10" t="e">
        <f t="shared" si="17"/>
        <v>#VALUE!</v>
      </c>
      <c r="O70" s="10" t="e">
        <f t="shared" si="18"/>
        <v>#VALUE!</v>
      </c>
      <c r="P70" s="10" t="e">
        <f t="shared" si="19"/>
        <v>#VALUE!</v>
      </c>
    </row>
    <row r="71" spans="1:16" x14ac:dyDescent="0.25">
      <c r="A71" s="15"/>
      <c r="B71" s="15"/>
      <c r="C71" s="15"/>
      <c r="D71" s="242"/>
      <c r="E71" s="64">
        <f t="shared" si="11"/>
        <v>68</v>
      </c>
      <c r="F71" s="10" t="str">
        <f>IF((E71&lt;='Alternative 2'!$B$12),F70+1,"x")</f>
        <v>x</v>
      </c>
      <c r="G71" s="1">
        <f>IF(E71&lt;='Alternative 2'!$B$12,G70+1,0)</f>
        <v>0</v>
      </c>
      <c r="H71" s="62">
        <f t="shared" si="12"/>
        <v>1.36</v>
      </c>
      <c r="I71" s="66" t="e">
        <f t="shared" si="13"/>
        <v>#VALUE!</v>
      </c>
      <c r="J71" s="60" t="e">
        <f t="shared" si="14"/>
        <v>#VALUE!</v>
      </c>
      <c r="K71" s="14" t="e">
        <f t="shared" si="15"/>
        <v>#VALUE!</v>
      </c>
      <c r="L71" s="10" t="e">
        <f t="shared" si="10"/>
        <v>#VALUE!</v>
      </c>
      <c r="M71" s="10" t="e">
        <f t="shared" si="16"/>
        <v>#VALUE!</v>
      </c>
      <c r="N71" s="10" t="e">
        <f t="shared" si="17"/>
        <v>#VALUE!</v>
      </c>
      <c r="O71" s="10" t="e">
        <f t="shared" si="18"/>
        <v>#VALUE!</v>
      </c>
      <c r="P71" s="10" t="e">
        <f t="shared" si="19"/>
        <v>#VALUE!</v>
      </c>
    </row>
    <row r="72" spans="1:16" x14ac:dyDescent="0.25">
      <c r="A72" s="15"/>
      <c r="B72" s="15"/>
      <c r="C72" s="15"/>
      <c r="D72" s="242"/>
      <c r="E72" s="64">
        <f t="shared" si="11"/>
        <v>69</v>
      </c>
      <c r="F72" s="10" t="str">
        <f>IF((E72&lt;='Alternative 2'!$B$12),F71+1,"x")</f>
        <v>x</v>
      </c>
      <c r="G72" s="1">
        <f>IF(E72&lt;='Alternative 2'!$B$12,G71+1,0)</f>
        <v>0</v>
      </c>
      <c r="H72" s="62">
        <f t="shared" si="12"/>
        <v>1.36</v>
      </c>
      <c r="I72" s="66" t="e">
        <f t="shared" si="13"/>
        <v>#VALUE!</v>
      </c>
      <c r="J72" s="60" t="e">
        <f t="shared" si="14"/>
        <v>#VALUE!</v>
      </c>
      <c r="K72" s="14" t="e">
        <f t="shared" si="15"/>
        <v>#VALUE!</v>
      </c>
      <c r="L72" s="10" t="e">
        <f t="shared" si="10"/>
        <v>#VALUE!</v>
      </c>
      <c r="M72" s="10" t="e">
        <f t="shared" si="16"/>
        <v>#VALUE!</v>
      </c>
      <c r="N72" s="10" t="e">
        <f t="shared" si="17"/>
        <v>#VALUE!</v>
      </c>
      <c r="O72" s="10" t="e">
        <f t="shared" si="18"/>
        <v>#VALUE!</v>
      </c>
      <c r="P72" s="10" t="e">
        <f t="shared" si="19"/>
        <v>#VALUE!</v>
      </c>
    </row>
    <row r="73" spans="1:16" x14ac:dyDescent="0.25">
      <c r="A73" s="15"/>
      <c r="B73" s="15"/>
      <c r="C73" s="15"/>
      <c r="D73" s="242"/>
      <c r="E73" s="64">
        <f t="shared" si="11"/>
        <v>70</v>
      </c>
      <c r="F73" s="10" t="str">
        <f>IF((E73&lt;='Alternative 2'!$B$12),F72+1,"x")</f>
        <v>x</v>
      </c>
      <c r="G73" s="1">
        <f>IF(E73&lt;='Alternative 2'!$B$12,G72+1,0)</f>
        <v>0</v>
      </c>
      <c r="H73" s="62">
        <f t="shared" si="12"/>
        <v>1.36</v>
      </c>
      <c r="I73" s="66" t="e">
        <f t="shared" si="13"/>
        <v>#VALUE!</v>
      </c>
      <c r="J73" s="60" t="e">
        <f t="shared" si="14"/>
        <v>#VALUE!</v>
      </c>
      <c r="K73" s="14" t="e">
        <f t="shared" si="15"/>
        <v>#VALUE!</v>
      </c>
      <c r="L73" s="10" t="e">
        <f t="shared" si="10"/>
        <v>#VALUE!</v>
      </c>
      <c r="M73" s="10" t="e">
        <f t="shared" si="16"/>
        <v>#VALUE!</v>
      </c>
      <c r="N73" s="10" t="e">
        <f t="shared" si="17"/>
        <v>#VALUE!</v>
      </c>
      <c r="O73" s="10" t="e">
        <f t="shared" si="18"/>
        <v>#VALUE!</v>
      </c>
      <c r="P73" s="10" t="e">
        <f t="shared" si="19"/>
        <v>#VALUE!</v>
      </c>
    </row>
    <row r="74" spans="1:16" x14ac:dyDescent="0.25">
      <c r="A74" s="15"/>
      <c r="B74" s="15"/>
      <c r="C74" s="15"/>
      <c r="D74" s="242"/>
      <c r="E74" s="64">
        <f t="shared" si="11"/>
        <v>71</v>
      </c>
      <c r="F74" s="10" t="str">
        <f>IF((E74&lt;='Alternative 2'!$B$12),F73+1,"x")</f>
        <v>x</v>
      </c>
      <c r="G74" s="1">
        <f>IF(E74&lt;='Alternative 2'!$B$12,G73+1,0)</f>
        <v>0</v>
      </c>
      <c r="H74" s="62">
        <f t="shared" si="12"/>
        <v>1.36</v>
      </c>
      <c r="I74" s="66" t="e">
        <f t="shared" si="13"/>
        <v>#VALUE!</v>
      </c>
      <c r="J74" s="60" t="e">
        <f t="shared" si="14"/>
        <v>#VALUE!</v>
      </c>
      <c r="K74" s="14" t="e">
        <f t="shared" si="15"/>
        <v>#VALUE!</v>
      </c>
      <c r="L74" s="10" t="e">
        <f t="shared" si="10"/>
        <v>#VALUE!</v>
      </c>
      <c r="M74" s="10" t="e">
        <f t="shared" si="16"/>
        <v>#VALUE!</v>
      </c>
      <c r="N74" s="10" t="e">
        <f t="shared" si="17"/>
        <v>#VALUE!</v>
      </c>
      <c r="O74" s="10" t="e">
        <f t="shared" si="18"/>
        <v>#VALUE!</v>
      </c>
      <c r="P74" s="10" t="e">
        <f t="shared" si="19"/>
        <v>#VALUE!</v>
      </c>
    </row>
    <row r="75" spans="1:16" x14ac:dyDescent="0.25">
      <c r="A75" s="15"/>
      <c r="B75" s="15"/>
      <c r="C75" s="15"/>
      <c r="D75" s="242"/>
      <c r="E75" s="64">
        <f t="shared" si="11"/>
        <v>72</v>
      </c>
      <c r="F75" s="10" t="str">
        <f>IF((E75&lt;='Alternative 2'!$B$12),F74+1,"x")</f>
        <v>x</v>
      </c>
      <c r="G75" s="1">
        <f>IF(E75&lt;='Alternative 2'!$B$12,G74+1,0)</f>
        <v>0</v>
      </c>
      <c r="H75" s="62">
        <f t="shared" si="12"/>
        <v>1.36</v>
      </c>
      <c r="I75" s="66" t="e">
        <f t="shared" si="13"/>
        <v>#VALUE!</v>
      </c>
      <c r="J75" s="60" t="e">
        <f t="shared" si="14"/>
        <v>#VALUE!</v>
      </c>
      <c r="K75" s="14" t="e">
        <f t="shared" si="15"/>
        <v>#VALUE!</v>
      </c>
      <c r="L75" s="10" t="e">
        <f t="shared" si="10"/>
        <v>#VALUE!</v>
      </c>
      <c r="M75" s="10" t="e">
        <f t="shared" si="16"/>
        <v>#VALUE!</v>
      </c>
      <c r="N75" s="10" t="e">
        <f t="shared" si="17"/>
        <v>#VALUE!</v>
      </c>
      <c r="O75" s="10" t="e">
        <f t="shared" si="18"/>
        <v>#VALUE!</v>
      </c>
      <c r="P75" s="10" t="e">
        <f t="shared" si="19"/>
        <v>#VALUE!</v>
      </c>
    </row>
    <row r="76" spans="1:16" x14ac:dyDescent="0.25">
      <c r="A76" s="15"/>
      <c r="B76" s="15"/>
      <c r="C76" s="15"/>
      <c r="D76" s="242"/>
      <c r="E76" s="64">
        <f t="shared" si="11"/>
        <v>73</v>
      </c>
      <c r="F76" s="10" t="str">
        <f>IF((E76&lt;='Alternative 2'!$B$12),F75+1,"x")</f>
        <v>x</v>
      </c>
      <c r="G76" s="1">
        <f>IF(E76&lt;='Alternative 2'!$B$12,G75+1,0)</f>
        <v>0</v>
      </c>
      <c r="H76" s="62">
        <f t="shared" si="12"/>
        <v>1.36</v>
      </c>
      <c r="I76" s="66" t="e">
        <f t="shared" si="13"/>
        <v>#VALUE!</v>
      </c>
      <c r="J76" s="60" t="e">
        <f t="shared" si="14"/>
        <v>#VALUE!</v>
      </c>
      <c r="K76" s="14" t="e">
        <f t="shared" si="15"/>
        <v>#VALUE!</v>
      </c>
      <c r="L76" s="10" t="e">
        <f t="shared" si="10"/>
        <v>#VALUE!</v>
      </c>
      <c r="M76" s="10" t="e">
        <f t="shared" si="16"/>
        <v>#VALUE!</v>
      </c>
      <c r="N76" s="10" t="e">
        <f t="shared" si="17"/>
        <v>#VALUE!</v>
      </c>
      <c r="O76" s="10" t="e">
        <f t="shared" si="18"/>
        <v>#VALUE!</v>
      </c>
      <c r="P76" s="10" t="e">
        <f t="shared" si="19"/>
        <v>#VALUE!</v>
      </c>
    </row>
    <row r="77" spans="1:16" x14ac:dyDescent="0.25">
      <c r="A77" s="15"/>
      <c r="B77" s="15"/>
      <c r="C77" s="15"/>
      <c r="D77" s="242"/>
      <c r="E77" s="64">
        <f t="shared" si="11"/>
        <v>74</v>
      </c>
      <c r="F77" s="10" t="str">
        <f>IF((E77&lt;='Alternative 2'!$B$12),F76+1,"x")</f>
        <v>x</v>
      </c>
      <c r="G77" s="1">
        <f>IF(E77&lt;='Alternative 2'!$B$12,G76+1,0)</f>
        <v>0</v>
      </c>
      <c r="H77" s="62">
        <f t="shared" si="12"/>
        <v>1.36</v>
      </c>
      <c r="I77" s="66" t="e">
        <f t="shared" si="13"/>
        <v>#VALUE!</v>
      </c>
      <c r="J77" s="60" t="e">
        <f t="shared" si="14"/>
        <v>#VALUE!</v>
      </c>
      <c r="K77" s="14" t="e">
        <f t="shared" si="15"/>
        <v>#VALUE!</v>
      </c>
      <c r="L77" s="10" t="e">
        <f t="shared" si="10"/>
        <v>#VALUE!</v>
      </c>
      <c r="M77" s="10" t="e">
        <f t="shared" si="16"/>
        <v>#VALUE!</v>
      </c>
      <c r="N77" s="10" t="e">
        <f t="shared" si="17"/>
        <v>#VALUE!</v>
      </c>
      <c r="O77" s="10" t="e">
        <f t="shared" si="18"/>
        <v>#VALUE!</v>
      </c>
      <c r="P77" s="10" t="e">
        <f t="shared" si="19"/>
        <v>#VALUE!</v>
      </c>
    </row>
    <row r="78" spans="1:16" x14ac:dyDescent="0.25">
      <c r="A78" s="15"/>
      <c r="B78" s="15"/>
      <c r="C78" s="15"/>
      <c r="D78" s="242"/>
      <c r="E78" s="64">
        <f t="shared" si="11"/>
        <v>75</v>
      </c>
      <c r="F78" s="10" t="str">
        <f>IF((E78&lt;='Alternative 2'!$B$12),F77+1,"x")</f>
        <v>x</v>
      </c>
      <c r="G78" s="1">
        <f>IF(E78&lt;='Alternative 2'!$B$12,G77+1,0)</f>
        <v>0</v>
      </c>
      <c r="H78" s="62">
        <f t="shared" si="12"/>
        <v>1.36</v>
      </c>
      <c r="I78" s="66" t="e">
        <f t="shared" si="13"/>
        <v>#VALUE!</v>
      </c>
      <c r="J78" s="60" t="e">
        <f t="shared" si="14"/>
        <v>#VALUE!</v>
      </c>
      <c r="K78" s="14" t="e">
        <f t="shared" si="15"/>
        <v>#VALUE!</v>
      </c>
      <c r="L78" s="10" t="e">
        <f t="shared" si="10"/>
        <v>#VALUE!</v>
      </c>
      <c r="M78" s="10" t="e">
        <f t="shared" si="16"/>
        <v>#VALUE!</v>
      </c>
      <c r="N78" s="10" t="e">
        <f t="shared" si="17"/>
        <v>#VALUE!</v>
      </c>
      <c r="O78" s="10" t="e">
        <f t="shared" si="18"/>
        <v>#VALUE!</v>
      </c>
      <c r="P78" s="10" t="e">
        <f t="shared" si="19"/>
        <v>#VALUE!</v>
      </c>
    </row>
    <row r="79" spans="1:16" x14ac:dyDescent="0.25">
      <c r="A79" s="15"/>
      <c r="B79" s="15"/>
      <c r="C79" s="15"/>
      <c r="D79" s="242"/>
      <c r="E79" s="64">
        <f>E78+1</f>
        <v>76</v>
      </c>
      <c r="F79" s="10" t="str">
        <f>IF((E79&lt;='Alternative 2'!$B$12),F78+1,"x")</f>
        <v>x</v>
      </c>
      <c r="G79" s="1">
        <f>IF(E79&lt;='Alternative 2'!$B$12,G78+1,0)</f>
        <v>0</v>
      </c>
      <c r="H79" s="62">
        <f t="shared" si="12"/>
        <v>1.36</v>
      </c>
      <c r="I79" s="66" t="e">
        <f t="shared" si="13"/>
        <v>#VALUE!</v>
      </c>
      <c r="J79" s="60" t="e">
        <f t="shared" si="14"/>
        <v>#VALUE!</v>
      </c>
      <c r="K79" s="14" t="e">
        <f t="shared" si="15"/>
        <v>#VALUE!</v>
      </c>
      <c r="L79" s="10" t="e">
        <f t="shared" si="10"/>
        <v>#VALUE!</v>
      </c>
      <c r="M79" s="10" t="e">
        <f t="shared" si="16"/>
        <v>#VALUE!</v>
      </c>
      <c r="N79" s="10" t="e">
        <f t="shared" si="17"/>
        <v>#VALUE!</v>
      </c>
      <c r="O79" s="10" t="e">
        <f t="shared" si="18"/>
        <v>#VALUE!</v>
      </c>
      <c r="P79" s="10" t="e">
        <f t="shared" si="19"/>
        <v>#VALUE!</v>
      </c>
    </row>
    <row r="80" spans="1:16" x14ac:dyDescent="0.25">
      <c r="D80" s="242"/>
      <c r="E80" s="64">
        <f t="shared" ref="E80:E86" si="20">E79+1</f>
        <v>77</v>
      </c>
      <c r="F80" s="10" t="str">
        <f>IF((E80&lt;='Alternative 2'!$B$12),F79+1,"x")</f>
        <v>x</v>
      </c>
      <c r="G80" s="1">
        <f>IF(E80&lt;='Alternative 2'!$B$12,G79+1,0)</f>
        <v>0</v>
      </c>
      <c r="H80" s="62">
        <f t="shared" si="12"/>
        <v>1.36</v>
      </c>
      <c r="I80" s="66" t="e">
        <f t="shared" si="13"/>
        <v>#VALUE!</v>
      </c>
      <c r="J80" s="60" t="e">
        <f t="shared" si="14"/>
        <v>#VALUE!</v>
      </c>
      <c r="K80" s="14" t="e">
        <f t="shared" si="15"/>
        <v>#VALUE!</v>
      </c>
      <c r="L80" s="10" t="e">
        <f t="shared" si="10"/>
        <v>#VALUE!</v>
      </c>
      <c r="M80" s="10" t="e">
        <f t="shared" si="16"/>
        <v>#VALUE!</v>
      </c>
      <c r="N80" s="10" t="e">
        <f t="shared" si="17"/>
        <v>#VALUE!</v>
      </c>
      <c r="O80" s="10" t="e">
        <f t="shared" si="18"/>
        <v>#VALUE!</v>
      </c>
      <c r="P80" s="10" t="e">
        <f t="shared" si="19"/>
        <v>#VALUE!</v>
      </c>
    </row>
    <row r="81" spans="4:16" x14ac:dyDescent="0.25">
      <c r="D81" s="242"/>
      <c r="E81" s="64">
        <f t="shared" si="20"/>
        <v>78</v>
      </c>
      <c r="F81" s="10" t="str">
        <f>IF((E81&lt;='Alternative 2'!$B$12),F80+1,"x")</f>
        <v>x</v>
      </c>
      <c r="G81" s="1">
        <f>IF(E81&lt;='Alternative 2'!$B$12,G80+1,0)</f>
        <v>0</v>
      </c>
      <c r="H81" s="62">
        <f t="shared" si="12"/>
        <v>1.36</v>
      </c>
      <c r="I81" s="66" t="e">
        <f t="shared" si="13"/>
        <v>#VALUE!</v>
      </c>
      <c r="J81" s="60" t="e">
        <f t="shared" si="14"/>
        <v>#VALUE!</v>
      </c>
      <c r="K81" s="14" t="e">
        <f t="shared" si="15"/>
        <v>#VALUE!</v>
      </c>
      <c r="L81" s="10" t="e">
        <f t="shared" si="10"/>
        <v>#VALUE!</v>
      </c>
      <c r="M81" s="10" t="e">
        <f t="shared" si="16"/>
        <v>#VALUE!</v>
      </c>
      <c r="N81" s="10" t="e">
        <f t="shared" si="17"/>
        <v>#VALUE!</v>
      </c>
      <c r="O81" s="10" t="e">
        <f t="shared" si="18"/>
        <v>#VALUE!</v>
      </c>
      <c r="P81" s="10" t="e">
        <f t="shared" si="19"/>
        <v>#VALUE!</v>
      </c>
    </row>
    <row r="82" spans="4:16" x14ac:dyDescent="0.25">
      <c r="D82" s="242"/>
      <c r="E82" s="64">
        <f t="shared" si="20"/>
        <v>79</v>
      </c>
      <c r="F82" s="10" t="str">
        <f>IF((E82&lt;='Alternative 2'!$B$12),F81+1,"x")</f>
        <v>x</v>
      </c>
      <c r="G82" s="1">
        <f>IF(E82&lt;='Alternative 2'!$B$12,G81+1,0)</f>
        <v>0</v>
      </c>
      <c r="H82" s="62">
        <f t="shared" si="12"/>
        <v>1.36</v>
      </c>
      <c r="I82" s="66" t="e">
        <f t="shared" si="13"/>
        <v>#VALUE!</v>
      </c>
      <c r="J82" s="60" t="e">
        <f t="shared" si="14"/>
        <v>#VALUE!</v>
      </c>
      <c r="K82" s="14" t="e">
        <f t="shared" si="15"/>
        <v>#VALUE!</v>
      </c>
      <c r="L82" s="10" t="e">
        <f t="shared" si="10"/>
        <v>#VALUE!</v>
      </c>
      <c r="M82" s="10" t="e">
        <f t="shared" si="16"/>
        <v>#VALUE!</v>
      </c>
      <c r="N82" s="10" t="e">
        <f t="shared" si="17"/>
        <v>#VALUE!</v>
      </c>
      <c r="O82" s="10" t="e">
        <f t="shared" si="18"/>
        <v>#VALUE!</v>
      </c>
      <c r="P82" s="10" t="e">
        <f t="shared" si="19"/>
        <v>#VALUE!</v>
      </c>
    </row>
    <row r="83" spans="4:16" x14ac:dyDescent="0.25">
      <c r="D83" s="242"/>
      <c r="E83" s="64">
        <f t="shared" si="20"/>
        <v>80</v>
      </c>
      <c r="F83" s="10" t="str">
        <f>IF((E83&lt;='Alternative 2'!$B$12),F82+1,"x")</f>
        <v>x</v>
      </c>
      <c r="G83" s="1">
        <f>IF(E83&lt;='Alternative 2'!$B$12,G82+1,0)</f>
        <v>0</v>
      </c>
      <c r="H83" s="62">
        <f t="shared" si="12"/>
        <v>1.36</v>
      </c>
      <c r="I83" s="66" t="e">
        <f t="shared" si="13"/>
        <v>#VALUE!</v>
      </c>
      <c r="J83" s="60" t="e">
        <f t="shared" si="14"/>
        <v>#VALUE!</v>
      </c>
      <c r="K83" s="14" t="e">
        <f t="shared" si="15"/>
        <v>#VALUE!</v>
      </c>
      <c r="L83" s="10" t="e">
        <f t="shared" si="10"/>
        <v>#VALUE!</v>
      </c>
      <c r="M83" s="10" t="e">
        <f t="shared" si="16"/>
        <v>#VALUE!</v>
      </c>
      <c r="N83" s="10" t="e">
        <f t="shared" si="17"/>
        <v>#VALUE!</v>
      </c>
      <c r="O83" s="10" t="e">
        <f t="shared" si="18"/>
        <v>#VALUE!</v>
      </c>
      <c r="P83" s="10" t="e">
        <f t="shared" si="19"/>
        <v>#VALUE!</v>
      </c>
    </row>
    <row r="84" spans="4:16" x14ac:dyDescent="0.25">
      <c r="D84" s="242"/>
      <c r="E84" s="64">
        <f t="shared" si="20"/>
        <v>81</v>
      </c>
      <c r="F84" s="10" t="str">
        <f>IF((E84&lt;='Alternative 2'!$B$12),F83+1,"x")</f>
        <v>x</v>
      </c>
      <c r="G84" s="1">
        <f>IF(E84&lt;='Alternative 2'!$B$12,G83+1,0)</f>
        <v>0</v>
      </c>
      <c r="H84" s="62">
        <f t="shared" si="12"/>
        <v>1.36</v>
      </c>
      <c r="I84" s="66" t="e">
        <f t="shared" si="13"/>
        <v>#VALUE!</v>
      </c>
      <c r="J84" s="60" t="e">
        <f t="shared" si="14"/>
        <v>#VALUE!</v>
      </c>
      <c r="K84" s="14" t="e">
        <f t="shared" si="15"/>
        <v>#VALUE!</v>
      </c>
      <c r="L84" s="10" t="e">
        <f t="shared" si="10"/>
        <v>#VALUE!</v>
      </c>
      <c r="M84" s="10" t="e">
        <f t="shared" si="16"/>
        <v>#VALUE!</v>
      </c>
      <c r="N84" s="10" t="e">
        <f t="shared" si="17"/>
        <v>#VALUE!</v>
      </c>
      <c r="O84" s="10" t="e">
        <f t="shared" si="18"/>
        <v>#VALUE!</v>
      </c>
      <c r="P84" s="10" t="e">
        <f t="shared" si="19"/>
        <v>#VALUE!</v>
      </c>
    </row>
    <row r="85" spans="4:16" x14ac:dyDescent="0.25">
      <c r="D85" s="242"/>
      <c r="E85" s="64">
        <f t="shared" si="20"/>
        <v>82</v>
      </c>
      <c r="F85" s="10" t="str">
        <f>IF((E85&lt;='Alternative 2'!$B$12),F84+1,"x")</f>
        <v>x</v>
      </c>
      <c r="G85" s="1">
        <f>IF(E85&lt;='Alternative 2'!$B$12,G84+1,0)</f>
        <v>0</v>
      </c>
      <c r="H85" s="62">
        <f t="shared" si="12"/>
        <v>1.36</v>
      </c>
      <c r="I85" s="66" t="e">
        <f t="shared" si="13"/>
        <v>#VALUE!</v>
      </c>
      <c r="J85" s="60" t="e">
        <f t="shared" si="14"/>
        <v>#VALUE!</v>
      </c>
      <c r="K85" s="14" t="e">
        <f t="shared" si="15"/>
        <v>#VALUE!</v>
      </c>
      <c r="L85" s="10" t="e">
        <f t="shared" si="10"/>
        <v>#VALUE!</v>
      </c>
      <c r="M85" s="10" t="e">
        <f t="shared" si="16"/>
        <v>#VALUE!</v>
      </c>
      <c r="N85" s="10" t="e">
        <f t="shared" si="17"/>
        <v>#VALUE!</v>
      </c>
      <c r="O85" s="10" t="e">
        <f t="shared" si="18"/>
        <v>#VALUE!</v>
      </c>
      <c r="P85" s="10" t="e">
        <f t="shared" si="19"/>
        <v>#VALUE!</v>
      </c>
    </row>
    <row r="86" spans="4:16" x14ac:dyDescent="0.25">
      <c r="D86" s="242"/>
      <c r="E86" s="64">
        <f t="shared" si="20"/>
        <v>83</v>
      </c>
      <c r="F86" s="10" t="str">
        <f>IF((E86&lt;='Alternative 2'!$B$12),F85+1,"x")</f>
        <v>x</v>
      </c>
      <c r="G86" s="1">
        <f>IF(E86&lt;='Alternative 2'!$B$12,G85+1,0)</f>
        <v>0</v>
      </c>
      <c r="H86" s="62">
        <f t="shared" si="12"/>
        <v>1.36</v>
      </c>
      <c r="I86" s="66" t="e">
        <f t="shared" si="13"/>
        <v>#VALUE!</v>
      </c>
      <c r="J86" s="60" t="e">
        <f t="shared" si="14"/>
        <v>#VALUE!</v>
      </c>
      <c r="K86" s="14" t="e">
        <f t="shared" si="15"/>
        <v>#VALUE!</v>
      </c>
      <c r="L86" s="10" t="e">
        <f t="shared" si="10"/>
        <v>#VALUE!</v>
      </c>
      <c r="M86" s="10" t="e">
        <f t="shared" si="16"/>
        <v>#VALUE!</v>
      </c>
      <c r="N86" s="10" t="e">
        <f t="shared" si="17"/>
        <v>#VALUE!</v>
      </c>
      <c r="O86" s="10" t="e">
        <f t="shared" si="18"/>
        <v>#VALUE!</v>
      </c>
      <c r="P86" s="10" t="e">
        <f t="shared" si="19"/>
        <v>#VALUE!</v>
      </c>
    </row>
    <row r="87" spans="4:16" x14ac:dyDescent="0.25">
      <c r="D87" s="242"/>
      <c r="E87" s="64">
        <f t="shared" ref="E87:E93" si="21">E86+1</f>
        <v>84</v>
      </c>
      <c r="F87" s="10" t="str">
        <f>IF((E87&lt;='Alternative 2'!$B$12),F86+1,"x")</f>
        <v>x</v>
      </c>
      <c r="G87" s="1">
        <f>IF(E87&lt;='Alternative 2'!$B$12,G86+1,0)</f>
        <v>0</v>
      </c>
      <c r="H87" s="62">
        <f t="shared" si="12"/>
        <v>1.36</v>
      </c>
      <c r="I87" s="66" t="e">
        <f t="shared" si="13"/>
        <v>#VALUE!</v>
      </c>
      <c r="J87" s="60" t="e">
        <f t="shared" si="14"/>
        <v>#VALUE!</v>
      </c>
      <c r="K87" s="14" t="e">
        <f t="shared" si="15"/>
        <v>#VALUE!</v>
      </c>
      <c r="L87" s="10" t="e">
        <f t="shared" si="10"/>
        <v>#VALUE!</v>
      </c>
      <c r="M87" s="10" t="e">
        <f t="shared" si="16"/>
        <v>#VALUE!</v>
      </c>
      <c r="N87" s="10" t="e">
        <f t="shared" si="17"/>
        <v>#VALUE!</v>
      </c>
      <c r="O87" s="10" t="e">
        <f t="shared" si="18"/>
        <v>#VALUE!</v>
      </c>
      <c r="P87" s="10" t="e">
        <f t="shared" si="19"/>
        <v>#VALUE!</v>
      </c>
    </row>
    <row r="88" spans="4:16" x14ac:dyDescent="0.25">
      <c r="D88" s="242"/>
      <c r="E88" s="64">
        <f t="shared" si="21"/>
        <v>85</v>
      </c>
      <c r="F88" s="10" t="str">
        <f>IF((E88&lt;='Alternative 2'!$B$12),F87+1,"x")</f>
        <v>x</v>
      </c>
      <c r="G88" s="1">
        <f>IF(E88&lt;='Alternative 2'!$B$12,G87+1,0)</f>
        <v>0</v>
      </c>
      <c r="H88" s="62">
        <f t="shared" si="12"/>
        <v>1.36</v>
      </c>
      <c r="I88" s="66" t="e">
        <f t="shared" si="13"/>
        <v>#VALUE!</v>
      </c>
      <c r="J88" s="60" t="e">
        <f t="shared" si="14"/>
        <v>#VALUE!</v>
      </c>
      <c r="K88" s="14" t="e">
        <f t="shared" si="15"/>
        <v>#VALUE!</v>
      </c>
      <c r="L88" s="10" t="e">
        <f t="shared" si="10"/>
        <v>#VALUE!</v>
      </c>
      <c r="M88" s="10" t="e">
        <f t="shared" si="16"/>
        <v>#VALUE!</v>
      </c>
      <c r="N88" s="10" t="e">
        <f t="shared" si="17"/>
        <v>#VALUE!</v>
      </c>
      <c r="O88" s="10" t="e">
        <f t="shared" si="18"/>
        <v>#VALUE!</v>
      </c>
      <c r="P88" s="10" t="e">
        <f t="shared" si="19"/>
        <v>#VALUE!</v>
      </c>
    </row>
    <row r="89" spans="4:16" x14ac:dyDescent="0.25">
      <c r="D89" s="242"/>
      <c r="E89" s="64">
        <f t="shared" si="21"/>
        <v>86</v>
      </c>
      <c r="F89" s="10" t="str">
        <f>IF((E89&lt;='Alternative 2'!$B$12),F88+1,"x")</f>
        <v>x</v>
      </c>
      <c r="G89" s="1">
        <f>IF(E89&lt;='Alternative 2'!$B$12,G88+1,0)</f>
        <v>0</v>
      </c>
      <c r="H89" s="62">
        <f t="shared" si="12"/>
        <v>1.36</v>
      </c>
      <c r="I89" s="66" t="e">
        <f t="shared" si="13"/>
        <v>#VALUE!</v>
      </c>
      <c r="J89" s="60" t="e">
        <f t="shared" si="14"/>
        <v>#VALUE!</v>
      </c>
      <c r="K89" s="14" t="e">
        <f t="shared" si="15"/>
        <v>#VALUE!</v>
      </c>
      <c r="L89" s="10" t="e">
        <f t="shared" si="10"/>
        <v>#VALUE!</v>
      </c>
      <c r="M89" s="10" t="e">
        <f t="shared" si="16"/>
        <v>#VALUE!</v>
      </c>
      <c r="N89" s="10" t="e">
        <f t="shared" si="17"/>
        <v>#VALUE!</v>
      </c>
      <c r="O89" s="10" t="e">
        <f t="shared" si="18"/>
        <v>#VALUE!</v>
      </c>
      <c r="P89" s="10" t="e">
        <f t="shared" si="19"/>
        <v>#VALUE!</v>
      </c>
    </row>
    <row r="90" spans="4:16" x14ac:dyDescent="0.25">
      <c r="D90" s="242"/>
      <c r="E90" s="64">
        <f t="shared" si="21"/>
        <v>87</v>
      </c>
      <c r="F90" s="10" t="str">
        <f>IF((E90&lt;='Alternative 2'!$B$12),F89+1,"x")</f>
        <v>x</v>
      </c>
      <c r="G90" s="1">
        <f>IF(E90&lt;='Alternative 2'!$B$12,G89+1,0)</f>
        <v>0</v>
      </c>
      <c r="H90" s="62">
        <f t="shared" si="12"/>
        <v>1.36</v>
      </c>
      <c r="I90" s="66" t="e">
        <f t="shared" si="13"/>
        <v>#VALUE!</v>
      </c>
      <c r="J90" s="60" t="e">
        <f t="shared" si="14"/>
        <v>#VALUE!</v>
      </c>
      <c r="K90" s="14" t="e">
        <f t="shared" si="15"/>
        <v>#VALUE!</v>
      </c>
      <c r="L90" s="10" t="e">
        <f t="shared" si="10"/>
        <v>#VALUE!</v>
      </c>
      <c r="M90" s="10" t="e">
        <f t="shared" si="16"/>
        <v>#VALUE!</v>
      </c>
      <c r="N90" s="10" t="e">
        <f t="shared" si="17"/>
        <v>#VALUE!</v>
      </c>
      <c r="O90" s="10" t="e">
        <f t="shared" si="18"/>
        <v>#VALUE!</v>
      </c>
      <c r="P90" s="10" t="e">
        <f t="shared" si="19"/>
        <v>#VALUE!</v>
      </c>
    </row>
    <row r="91" spans="4:16" x14ac:dyDescent="0.25">
      <c r="D91" s="242"/>
      <c r="E91" s="64">
        <f t="shared" si="21"/>
        <v>88</v>
      </c>
      <c r="F91" s="10" t="str">
        <f>IF((E91&lt;='Alternative 2'!$B$12),F90+1,"x")</f>
        <v>x</v>
      </c>
      <c r="G91" s="1">
        <f>IF(E91&lt;='Alternative 2'!$B$12,G90+1,0)</f>
        <v>0</v>
      </c>
      <c r="H91" s="62">
        <f t="shared" si="12"/>
        <v>1.36</v>
      </c>
      <c r="I91" s="66" t="e">
        <f t="shared" si="13"/>
        <v>#VALUE!</v>
      </c>
      <c r="J91" s="60" t="e">
        <f t="shared" si="14"/>
        <v>#VALUE!</v>
      </c>
      <c r="K91" s="14" t="e">
        <f t="shared" si="15"/>
        <v>#VALUE!</v>
      </c>
      <c r="L91" s="10" t="e">
        <f t="shared" si="10"/>
        <v>#VALUE!</v>
      </c>
      <c r="M91" s="10" t="e">
        <f t="shared" si="16"/>
        <v>#VALUE!</v>
      </c>
      <c r="N91" s="10" t="e">
        <f t="shared" si="17"/>
        <v>#VALUE!</v>
      </c>
      <c r="O91" s="10" t="e">
        <f t="shared" si="18"/>
        <v>#VALUE!</v>
      </c>
      <c r="P91" s="10" t="e">
        <f t="shared" si="19"/>
        <v>#VALUE!</v>
      </c>
    </row>
    <row r="92" spans="4:16" x14ac:dyDescent="0.25">
      <c r="D92" s="242"/>
      <c r="E92" s="64">
        <f t="shared" si="21"/>
        <v>89</v>
      </c>
      <c r="F92" s="10" t="str">
        <f>IF((E92&lt;='Alternative 2'!$B$12),F91+1,"x")</f>
        <v>x</v>
      </c>
      <c r="G92" s="1">
        <f>IF(E92&lt;='Alternative 2'!$B$12,G91+1,0)</f>
        <v>0</v>
      </c>
      <c r="H92" s="62">
        <f t="shared" si="12"/>
        <v>1.36</v>
      </c>
      <c r="I92" s="66" t="e">
        <f t="shared" si="13"/>
        <v>#VALUE!</v>
      </c>
      <c r="J92" s="60" t="e">
        <f t="shared" si="14"/>
        <v>#VALUE!</v>
      </c>
      <c r="K92" s="14" t="e">
        <f t="shared" si="15"/>
        <v>#VALUE!</v>
      </c>
      <c r="L92" s="10" t="e">
        <f t="shared" si="10"/>
        <v>#VALUE!</v>
      </c>
      <c r="M92" s="10" t="e">
        <f t="shared" si="16"/>
        <v>#VALUE!</v>
      </c>
      <c r="N92" s="10" t="e">
        <f t="shared" si="17"/>
        <v>#VALUE!</v>
      </c>
      <c r="O92" s="10" t="e">
        <f t="shared" si="18"/>
        <v>#VALUE!</v>
      </c>
      <c r="P92" s="10" t="e">
        <f t="shared" si="19"/>
        <v>#VALUE!</v>
      </c>
    </row>
    <row r="93" spans="4:16" x14ac:dyDescent="0.25">
      <c r="D93" s="242"/>
      <c r="E93" s="64">
        <f t="shared" si="21"/>
        <v>90</v>
      </c>
      <c r="F93" s="10" t="str">
        <f>IF((E93&lt;='Alternative 2'!$B$12),F92+1,"x")</f>
        <v>x</v>
      </c>
      <c r="G93" s="1">
        <f>IF(E93&lt;='Alternative 2'!$B$12,G92+1,0)</f>
        <v>0</v>
      </c>
      <c r="H93" s="62">
        <f t="shared" si="12"/>
        <v>1.36</v>
      </c>
      <c r="I93" s="66" t="e">
        <f t="shared" si="13"/>
        <v>#VALUE!</v>
      </c>
      <c r="J93" s="60" t="e">
        <f t="shared" si="14"/>
        <v>#VALUE!</v>
      </c>
      <c r="K93" s="14" t="e">
        <f t="shared" si="15"/>
        <v>#VALUE!</v>
      </c>
      <c r="L93" s="10" t="e">
        <f t="shared" si="10"/>
        <v>#VALUE!</v>
      </c>
      <c r="M93" s="10" t="e">
        <f t="shared" si="16"/>
        <v>#VALUE!</v>
      </c>
      <c r="N93" s="10" t="e">
        <f t="shared" si="17"/>
        <v>#VALUE!</v>
      </c>
      <c r="O93" s="10" t="e">
        <f t="shared" si="18"/>
        <v>#VALUE!</v>
      </c>
      <c r="P93" s="10" t="e">
        <f t="shared" si="19"/>
        <v>#VALUE!</v>
      </c>
    </row>
  </sheetData>
  <customSheetViews>
    <customSheetView guid="{73608749-DAD6-470A-871E-DA0A326E9E7B}" scale="80" topLeftCell="A24">
      <selection activeCell="P24" sqref="P24:P27"/>
      <pageMargins left="0.7" right="0.7" top="0.75" bottom="0.75" header="0.3" footer="0.3"/>
    </customSheetView>
  </customSheetViews>
  <mergeCells count="8">
    <mergeCell ref="A31:C31"/>
    <mergeCell ref="A37:C37"/>
    <mergeCell ref="D1:D93"/>
    <mergeCell ref="A1:C1"/>
    <mergeCell ref="F1:P1"/>
    <mergeCell ref="A11:C11"/>
    <mergeCell ref="A18:C18"/>
    <mergeCell ref="A24:C24"/>
  </mergeCells>
  <conditionalFormatting sqref="F4:F93">
    <cfRule type="cellIs" dxfId="19" priority="1" operator="equal">
      <formula>$B$12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P93"/>
  <sheetViews>
    <sheetView zoomScale="70" zoomScaleNormal="70" workbookViewId="0">
      <selection activeCell="I17" sqref="I17"/>
    </sheetView>
  </sheetViews>
  <sheetFormatPr defaultRowHeight="15" x14ac:dyDescent="0.25"/>
  <cols>
    <col min="1" max="1" width="18.7109375" bestFit="1" customWidth="1"/>
    <col min="2" max="2" width="15.140625" style="15" bestFit="1" customWidth="1"/>
    <col min="3" max="3" width="5.42578125" bestFit="1" customWidth="1"/>
    <col min="4" max="4" width="2.7109375" customWidth="1"/>
    <col min="5" max="5" width="3.42578125" style="63" hidden="1" customWidth="1"/>
    <col min="7" max="8" width="9.140625" style="2"/>
    <col min="9" max="9" width="9.140625" style="67"/>
    <col min="12" max="12" width="13.85546875" customWidth="1"/>
    <col min="13" max="13" width="13.140625" customWidth="1"/>
    <col min="14" max="14" width="14.140625" customWidth="1"/>
    <col min="15" max="15" width="14.28515625" customWidth="1"/>
    <col min="16" max="16" width="12.5703125" customWidth="1"/>
  </cols>
  <sheetData>
    <row r="1" spans="1:16" x14ac:dyDescent="0.25">
      <c r="A1" s="177" t="s">
        <v>14</v>
      </c>
      <c r="B1" s="177"/>
      <c r="C1" s="234"/>
      <c r="D1" s="242"/>
      <c r="E1" s="64"/>
      <c r="F1" s="177" t="s">
        <v>58</v>
      </c>
      <c r="G1" s="177"/>
      <c r="H1" s="177"/>
      <c r="I1" s="182"/>
      <c r="J1" s="182"/>
      <c r="K1" s="182"/>
      <c r="L1" s="182"/>
      <c r="M1" s="182"/>
      <c r="N1" s="182"/>
      <c r="O1" s="182"/>
      <c r="P1" s="182"/>
    </row>
    <row r="2" spans="1:16" ht="45" x14ac:dyDescent="0.25">
      <c r="A2" s="25" t="s">
        <v>19</v>
      </c>
      <c r="B2" s="129">
        <v>9071.85</v>
      </c>
      <c r="C2" s="235" t="s">
        <v>2</v>
      </c>
      <c r="D2" s="242"/>
      <c r="E2" s="64" t="s">
        <v>49</v>
      </c>
      <c r="F2" s="29" t="s">
        <v>5</v>
      </c>
      <c r="G2" s="29" t="s">
        <v>71</v>
      </c>
      <c r="H2" s="29" t="s">
        <v>74</v>
      </c>
      <c r="I2" s="65" t="s">
        <v>36</v>
      </c>
      <c r="J2" s="29" t="s">
        <v>37</v>
      </c>
      <c r="K2" s="29" t="s">
        <v>59</v>
      </c>
      <c r="L2" s="29" t="s">
        <v>9</v>
      </c>
      <c r="M2" s="29" t="s">
        <v>10</v>
      </c>
      <c r="N2" s="29" t="s">
        <v>60</v>
      </c>
      <c r="O2" s="29" t="s">
        <v>11</v>
      </c>
      <c r="P2" s="29" t="s">
        <v>35</v>
      </c>
    </row>
    <row r="3" spans="1:16" x14ac:dyDescent="0.25">
      <c r="A3" s="25" t="s">
        <v>19</v>
      </c>
      <c r="B3" s="130">
        <f>B2*9.80665</f>
        <v>88964.457802499994</v>
      </c>
      <c r="C3" s="235" t="s">
        <v>41</v>
      </c>
      <c r="D3" s="242"/>
      <c r="E3" s="64">
        <v>0</v>
      </c>
      <c r="F3" s="13">
        <v>0</v>
      </c>
      <c r="G3" s="40" t="s">
        <v>56</v>
      </c>
      <c r="H3" s="62">
        <f>B16</f>
        <v>2.08</v>
      </c>
      <c r="I3" s="66">
        <f>B16/2</f>
        <v>1.04</v>
      </c>
      <c r="J3" s="60">
        <f>I3-$B$17</f>
        <v>1.03</v>
      </c>
      <c r="K3" s="14">
        <f>AVERAGE(I3:J3)</f>
        <v>1.0350000000000001</v>
      </c>
      <c r="L3" s="10">
        <f>2*3.14159*K3*$B$17</f>
        <v>6.503091300000001E-2</v>
      </c>
      <c r="M3" s="10">
        <f>(3.141593)*(K3^2)</f>
        <v>3.3653529614250006</v>
      </c>
      <c r="N3" s="10">
        <f>SQRT(L3/M3)</f>
        <v>0.13900954299917523</v>
      </c>
      <c r="O3" s="10">
        <f>($I$9*F3)/N3</f>
        <v>0</v>
      </c>
      <c r="P3" s="10">
        <f>($I$9*F3)/K3</f>
        <v>0</v>
      </c>
    </row>
    <row r="4" spans="1:16" x14ac:dyDescent="0.25">
      <c r="A4" s="25" t="s">
        <v>20</v>
      </c>
      <c r="B4" s="71">
        <v>5757</v>
      </c>
      <c r="C4" s="235" t="s">
        <v>2</v>
      </c>
      <c r="D4" s="242"/>
      <c r="E4" s="64">
        <f>E3+1</f>
        <v>1</v>
      </c>
      <c r="F4" s="10">
        <f>IF((E4&lt;='Alternative 3'!$B$12),F3+1,"x")</f>
        <v>1</v>
      </c>
      <c r="G4" s="1">
        <v>0.5</v>
      </c>
      <c r="H4" s="62">
        <f t="shared" ref="H4:H35" si="0">IF(F4&gt;0,(($B$16)-((($B$16)-($B$15))/$B$12)*G4),0)</f>
        <v>2.0701428571428573</v>
      </c>
      <c r="I4" s="66">
        <f t="shared" ref="I4:I35" si="1">IF(F4&gt;0,(($B$16/2)-((($B$16/2)-($B$15/2))/$B$12)*F4),0)</f>
        <v>1.0301428571428572</v>
      </c>
      <c r="J4" s="60">
        <f t="shared" ref="J4:J35" si="2">IF(F4&gt;0,I4-$B$17,0)</f>
        <v>1.0201428571428572</v>
      </c>
      <c r="K4" s="14">
        <f>AVERAGE(I4:J4)</f>
        <v>1.0251428571428574</v>
      </c>
      <c r="L4" s="10">
        <f t="shared" ref="L4:L67" si="3">2*3.14159*K4*$B$17</f>
        <v>6.4411570971428592E-2</v>
      </c>
      <c r="M4" s="10">
        <f>(3.141593)*(K4^2)</f>
        <v>3.301556247689144</v>
      </c>
      <c r="N4" s="10">
        <f>SQRT(L4/M4)</f>
        <v>0.13967625926061999</v>
      </c>
      <c r="O4" s="10">
        <f>($I$9*F4)/N4</f>
        <v>7.0223611947322784</v>
      </c>
      <c r="P4" s="10">
        <f>($I$9*F4)/K4</f>
        <v>0.95680044593088054</v>
      </c>
    </row>
    <row r="5" spans="1:16" x14ac:dyDescent="0.25">
      <c r="A5" s="25" t="s">
        <v>20</v>
      </c>
      <c r="B5" s="130">
        <f>B4*9.80665</f>
        <v>56456.884049999993</v>
      </c>
      <c r="C5" s="235" t="s">
        <v>41</v>
      </c>
      <c r="D5" s="242"/>
      <c r="E5" s="64">
        <f t="shared" ref="E5:E68" si="4">E4+1</f>
        <v>2</v>
      </c>
      <c r="F5" s="10">
        <f>IF((E5&lt;='Alternative 3'!$B$12),F4+1,"x")</f>
        <v>2</v>
      </c>
      <c r="G5" s="1">
        <f>IF(E5&lt;='Alternative 3'!$B$12,G4+1,0)</f>
        <v>1.5</v>
      </c>
      <c r="H5" s="62">
        <f t="shared" si="0"/>
        <v>2.0504285714285717</v>
      </c>
      <c r="I5" s="66">
        <f t="shared" si="1"/>
        <v>1.0202857142857142</v>
      </c>
      <c r="J5" s="60">
        <f t="shared" si="2"/>
        <v>1.0102857142857142</v>
      </c>
      <c r="K5" s="14">
        <f t="shared" ref="K5:K68" si="5">AVERAGE(I5:J5)</f>
        <v>1.0152857142857141</v>
      </c>
      <c r="L5" s="10">
        <f t="shared" si="3"/>
        <v>6.3792228942857132E-2</v>
      </c>
      <c r="M5" s="10">
        <f t="shared" ref="M5:M68" si="6">(3.141593)*(K5^2)</f>
        <v>3.2383700288215707</v>
      </c>
      <c r="N5" s="10">
        <f t="shared" ref="N5:N68" si="7">SQRT(L5/M5)</f>
        <v>0.1403526615665589</v>
      </c>
      <c r="O5" s="10">
        <f t="shared" ref="O5:O68" si="8">($I$9*F5)/N5</f>
        <v>13.977036586399109</v>
      </c>
      <c r="P5" s="10">
        <f t="shared" ref="P5:P68" si="9">($I$9*F5)/K5</f>
        <v>1.9321795412973128</v>
      </c>
    </row>
    <row r="6" spans="1:16" x14ac:dyDescent="0.25">
      <c r="A6" s="25" t="s">
        <v>23</v>
      </c>
      <c r="B6" s="71">
        <v>35</v>
      </c>
      <c r="C6" s="235" t="s">
        <v>1</v>
      </c>
      <c r="D6" s="242"/>
      <c r="E6" s="64">
        <f t="shared" si="4"/>
        <v>3</v>
      </c>
      <c r="F6" s="10">
        <f>IF((E6&lt;='Alternative 3'!$B$12),F5+1,"x")</f>
        <v>3</v>
      </c>
      <c r="G6" s="1">
        <f>IF(E6&lt;='Alternative 3'!$B$12,G5+1,0)</f>
        <v>2.5</v>
      </c>
      <c r="H6" s="62">
        <f t="shared" si="0"/>
        <v>2.0307142857142857</v>
      </c>
      <c r="I6" s="66">
        <f t="shared" si="1"/>
        <v>1.0104285714285715</v>
      </c>
      <c r="J6" s="60">
        <f t="shared" si="2"/>
        <v>1.0004285714285714</v>
      </c>
      <c r="K6" s="14">
        <f t="shared" si="5"/>
        <v>1.0054285714285713</v>
      </c>
      <c r="L6" s="10">
        <f t="shared" si="3"/>
        <v>6.3172886914285714E-2</v>
      </c>
      <c r="M6" s="10">
        <f t="shared" si="6"/>
        <v>3.1757943048222854</v>
      </c>
      <c r="N6" s="10">
        <f t="shared" si="7"/>
        <v>0.14103898674285945</v>
      </c>
      <c r="O6" s="10">
        <f t="shared" si="8"/>
        <v>20.863532109290382</v>
      </c>
      <c r="P6" s="10">
        <f t="shared" si="9"/>
        <v>2.926683716965047</v>
      </c>
    </row>
    <row r="7" spans="1:16" x14ac:dyDescent="0.25">
      <c r="A7" s="25" t="s">
        <v>24</v>
      </c>
      <c r="B7" s="71">
        <v>14</v>
      </c>
      <c r="C7" s="235" t="s">
        <v>27</v>
      </c>
      <c r="D7" s="242"/>
      <c r="E7" s="64">
        <f t="shared" si="4"/>
        <v>4</v>
      </c>
      <c r="F7" s="10">
        <f>IF((E7&lt;='Alternative 3'!$B$12),F6+1,"x")</f>
        <v>4</v>
      </c>
      <c r="G7" s="1">
        <f>IF(E7&lt;='Alternative 3'!$B$12,G6+1,0)</f>
        <v>3.5</v>
      </c>
      <c r="H7" s="62">
        <f t="shared" si="0"/>
        <v>2.0110000000000001</v>
      </c>
      <c r="I7" s="66">
        <f t="shared" si="1"/>
        <v>1.0005714285714287</v>
      </c>
      <c r="J7" s="60">
        <f t="shared" si="2"/>
        <v>0.99057142857142866</v>
      </c>
      <c r="K7" s="14">
        <f t="shared" si="5"/>
        <v>0.99557142857142866</v>
      </c>
      <c r="L7" s="10">
        <f t="shared" si="3"/>
        <v>6.2553544885714296E-2</v>
      </c>
      <c r="M7" s="10">
        <f t="shared" si="6"/>
        <v>3.1138290756912861</v>
      </c>
      <c r="N7" s="10">
        <f t="shared" si="7"/>
        <v>0.14173547980210949</v>
      </c>
      <c r="O7" s="10">
        <f t="shared" si="8"/>
        <v>27.681343986039675</v>
      </c>
      <c r="P7" s="10">
        <f t="shared" si="9"/>
        <v>3.9408810446262015</v>
      </c>
    </row>
    <row r="8" spans="1:16" x14ac:dyDescent="0.25">
      <c r="A8" s="25" t="s">
        <v>21</v>
      </c>
      <c r="B8" s="71">
        <v>3</v>
      </c>
      <c r="C8" s="235" t="s">
        <v>3</v>
      </c>
      <c r="D8" s="242"/>
      <c r="E8" s="64">
        <f t="shared" si="4"/>
        <v>5</v>
      </c>
      <c r="F8" s="10">
        <f>IF((E8&lt;='Alternative 3'!$B$12),F7+1,"x")</f>
        <v>5</v>
      </c>
      <c r="G8" s="1">
        <f>IF(E8&lt;='Alternative 3'!$B$12,G7+1,0)</f>
        <v>4.5</v>
      </c>
      <c r="H8" s="62">
        <f t="shared" si="0"/>
        <v>1.9912857142857143</v>
      </c>
      <c r="I8" s="66">
        <f t="shared" si="1"/>
        <v>0.99071428571428577</v>
      </c>
      <c r="J8" s="60">
        <f t="shared" si="2"/>
        <v>0.98071428571428576</v>
      </c>
      <c r="K8" s="14">
        <f t="shared" si="5"/>
        <v>0.98571428571428577</v>
      </c>
      <c r="L8" s="10">
        <f t="shared" si="3"/>
        <v>6.1934202857142857E-2</v>
      </c>
      <c r="M8" s="10">
        <f t="shared" si="6"/>
        <v>3.0524743414285718</v>
      </c>
      <c r="N8" s="10">
        <f t="shared" si="7"/>
        <v>0.14244239431110925</v>
      </c>
      <c r="O8" s="10">
        <f t="shared" si="8"/>
        <v>34.429958426381376</v>
      </c>
      <c r="P8" s="10">
        <f t="shared" si="9"/>
        <v>4.9753623188405802</v>
      </c>
    </row>
    <row r="9" spans="1:16" x14ac:dyDescent="0.25">
      <c r="A9" s="25" t="s">
        <v>22</v>
      </c>
      <c r="B9" s="71">
        <v>51.5</v>
      </c>
      <c r="C9" s="235" t="s">
        <v>1</v>
      </c>
      <c r="D9" s="242"/>
      <c r="E9" s="64">
        <f t="shared" si="4"/>
        <v>6</v>
      </c>
      <c r="F9" s="10">
        <f>IF((E9&lt;='Alternative 3'!$B$12),F8+1,"x")</f>
        <v>6</v>
      </c>
      <c r="G9" s="1">
        <f>IF(E9&lt;='Alternative 3'!$B$12,G8+1,0)</f>
        <v>5.5</v>
      </c>
      <c r="H9" s="62">
        <f t="shared" si="0"/>
        <v>1.9715714285714285</v>
      </c>
      <c r="I9" s="66">
        <f t="shared" si="1"/>
        <v>0.98085714285714287</v>
      </c>
      <c r="J9" s="60">
        <f t="shared" si="2"/>
        <v>0.97085714285714286</v>
      </c>
      <c r="K9" s="14">
        <f t="shared" si="5"/>
        <v>0.97585714285714287</v>
      </c>
      <c r="L9" s="10">
        <f t="shared" si="3"/>
        <v>6.1314860828571426E-2</v>
      </c>
      <c r="M9" s="10">
        <f t="shared" si="6"/>
        <v>2.9917301020341425</v>
      </c>
      <c r="N9" s="10">
        <f t="shared" si="7"/>
        <v>0.14315999277872846</v>
      </c>
      <c r="O9" s="10">
        <f t="shared" si="8"/>
        <v>41.108851313223212</v>
      </c>
      <c r="P9" s="10">
        <f t="shared" si="9"/>
        <v>6.0307422046552484</v>
      </c>
    </row>
    <row r="10" spans="1:16" x14ac:dyDescent="0.25">
      <c r="A10" s="25" t="s">
        <v>25</v>
      </c>
      <c r="B10" s="71">
        <v>0.9</v>
      </c>
      <c r="C10" s="235" t="s">
        <v>26</v>
      </c>
      <c r="D10" s="242"/>
      <c r="E10" s="64">
        <f t="shared" si="4"/>
        <v>7</v>
      </c>
      <c r="F10" s="10">
        <f>IF((E10&lt;='Alternative 3'!$B$12),F9+1,"x")</f>
        <v>7</v>
      </c>
      <c r="G10" s="1">
        <f>IF(E10&lt;='Alternative 3'!$B$12,G9+1,0)</f>
        <v>6.5</v>
      </c>
      <c r="H10" s="62">
        <f t="shared" si="0"/>
        <v>1.951857142857143</v>
      </c>
      <c r="I10" s="66">
        <f t="shared" si="1"/>
        <v>0.97099999999999997</v>
      </c>
      <c r="J10" s="60">
        <f t="shared" si="2"/>
        <v>0.96099999999999997</v>
      </c>
      <c r="K10" s="14">
        <f t="shared" si="5"/>
        <v>0.96599999999999997</v>
      </c>
      <c r="L10" s="10">
        <f t="shared" si="3"/>
        <v>6.0695518800000001E-2</v>
      </c>
      <c r="M10" s="10">
        <f t="shared" si="6"/>
        <v>2.931596357508</v>
      </c>
      <c r="N10" s="10">
        <f t="shared" si="7"/>
        <v>0.14388854706547635</v>
      </c>
      <c r="O10" s="10">
        <f t="shared" si="8"/>
        <v>47.717487875359758</v>
      </c>
      <c r="P10" s="10">
        <f t="shared" si="9"/>
        <v>7.1076604554865419</v>
      </c>
    </row>
    <row r="11" spans="1:16" x14ac:dyDescent="0.25">
      <c r="A11" s="177" t="s">
        <v>15</v>
      </c>
      <c r="B11" s="177"/>
      <c r="C11" s="234"/>
      <c r="D11" s="242"/>
      <c r="E11" s="64">
        <f t="shared" si="4"/>
        <v>8</v>
      </c>
      <c r="F11" s="10">
        <f>IF((E11&lt;='Alternative 3'!$B$12),F10+1,"x")</f>
        <v>8</v>
      </c>
      <c r="G11" s="1">
        <f>IF(E11&lt;='Alternative 3'!$B$12,G10+1,0)</f>
        <v>7.5</v>
      </c>
      <c r="H11" s="62">
        <f t="shared" si="0"/>
        <v>1.9321428571428572</v>
      </c>
      <c r="I11" s="66">
        <f t="shared" si="1"/>
        <v>0.96114285714285719</v>
      </c>
      <c r="J11" s="60">
        <f t="shared" si="2"/>
        <v>0.95114285714285718</v>
      </c>
      <c r="K11" s="14">
        <f t="shared" si="5"/>
        <v>0.95614285714285718</v>
      </c>
      <c r="L11" s="10">
        <f t="shared" si="3"/>
        <v>6.0076176771428569E-2</v>
      </c>
      <c r="M11" s="10">
        <f t="shared" si="6"/>
        <v>2.8720731078501429</v>
      </c>
      <c r="N11" s="10">
        <f t="shared" si="7"/>
        <v>0.1446283388162356</v>
      </c>
      <c r="O11" s="10">
        <f t="shared" si="8"/>
        <v>54.255322346109082</v>
      </c>
      <c r="P11" s="10">
        <f t="shared" si="9"/>
        <v>8.2067832063349773</v>
      </c>
    </row>
    <row r="12" spans="1:16" x14ac:dyDescent="0.25">
      <c r="A12" s="25" t="s">
        <v>16</v>
      </c>
      <c r="B12" s="71">
        <v>35</v>
      </c>
      <c r="C12" s="235" t="s">
        <v>1</v>
      </c>
      <c r="D12" s="242"/>
      <c r="E12" s="64">
        <f t="shared" si="4"/>
        <v>9</v>
      </c>
      <c r="F12" s="10">
        <f>IF((E12&lt;='Alternative 3'!$B$12),F11+1,"x")</f>
        <v>9</v>
      </c>
      <c r="G12" s="1">
        <f>IF(E12&lt;='Alternative 3'!$B$12,G11+1,0)</f>
        <v>8.5</v>
      </c>
      <c r="H12" s="62">
        <f t="shared" si="0"/>
        <v>1.9124285714285714</v>
      </c>
      <c r="I12" s="66">
        <f t="shared" si="1"/>
        <v>0.95128571428571429</v>
      </c>
      <c r="J12" s="60">
        <f t="shared" si="2"/>
        <v>0.94128571428571428</v>
      </c>
      <c r="K12" s="14">
        <f t="shared" si="5"/>
        <v>0.94628571428571429</v>
      </c>
      <c r="L12" s="10">
        <f t="shared" si="3"/>
        <v>5.9456834742857137E-2</v>
      </c>
      <c r="M12" s="10">
        <f t="shared" si="6"/>
        <v>2.8131603530605713</v>
      </c>
      <c r="N12" s="10">
        <f t="shared" si="7"/>
        <v>0.14537965991772459</v>
      </c>
      <c r="O12" s="10">
        <f t="shared" si="8"/>
        <v>60.721797607108158</v>
      </c>
      <c r="P12" s="10">
        <f t="shared" si="9"/>
        <v>9.3288043478260878</v>
      </c>
    </row>
    <row r="13" spans="1:16" x14ac:dyDescent="0.25">
      <c r="A13" s="25" t="s">
        <v>17</v>
      </c>
      <c r="B13" s="130">
        <f>'Center of Gravity'!BF6</f>
        <v>14889.382032148003</v>
      </c>
      <c r="C13" s="235" t="s">
        <v>2</v>
      </c>
      <c r="D13" s="242"/>
      <c r="E13" s="64">
        <f t="shared" si="4"/>
        <v>10</v>
      </c>
      <c r="F13" s="10">
        <f>IF((E13&lt;='Alternative 3'!$B$12),F12+1,"x")</f>
        <v>10</v>
      </c>
      <c r="G13" s="1">
        <f>IF(E13&lt;='Alternative 3'!$B$12,G12+1,0)</f>
        <v>9.5</v>
      </c>
      <c r="H13" s="62">
        <f t="shared" si="0"/>
        <v>1.8927142857142858</v>
      </c>
      <c r="I13" s="66">
        <f t="shared" si="1"/>
        <v>0.9414285714285715</v>
      </c>
      <c r="J13" s="60">
        <f t="shared" si="2"/>
        <v>0.93142857142857149</v>
      </c>
      <c r="K13" s="14">
        <f t="shared" si="5"/>
        <v>0.9364285714285715</v>
      </c>
      <c r="L13" s="10">
        <f t="shared" si="3"/>
        <v>5.8837492714285719E-2</v>
      </c>
      <c r="M13" s="10">
        <f t="shared" si="6"/>
        <v>2.7548580931392861</v>
      </c>
      <c r="N13" s="10">
        <f t="shared" si="7"/>
        <v>0.14614281298237558</v>
      </c>
      <c r="O13" s="10">
        <f t="shared" si="8"/>
        <v>67.116344816452354</v>
      </c>
      <c r="P13" s="10">
        <f t="shared" si="9"/>
        <v>10.474446987032799</v>
      </c>
    </row>
    <row r="14" spans="1:16" x14ac:dyDescent="0.25">
      <c r="A14" s="25" t="s">
        <v>17</v>
      </c>
      <c r="B14" s="130">
        <f>B13*9.80665</f>
        <v>146014.95830556421</v>
      </c>
      <c r="C14" s="235" t="s">
        <v>41</v>
      </c>
      <c r="D14" s="242"/>
      <c r="E14" s="64">
        <f t="shared" si="4"/>
        <v>11</v>
      </c>
      <c r="F14" s="10">
        <f>IF((E14&lt;='Alternative 3'!$B$12),F13+1,"x")</f>
        <v>11</v>
      </c>
      <c r="G14" s="1">
        <f>IF(E14&lt;='Alternative 3'!$B$12,G13+1,0)</f>
        <v>10.5</v>
      </c>
      <c r="H14" s="62">
        <f t="shared" si="0"/>
        <v>1.873</v>
      </c>
      <c r="I14" s="66">
        <f t="shared" si="1"/>
        <v>0.93157142857142861</v>
      </c>
      <c r="J14" s="60">
        <f t="shared" si="2"/>
        <v>0.9215714285714286</v>
      </c>
      <c r="K14" s="14">
        <f t="shared" si="5"/>
        <v>0.9265714285714286</v>
      </c>
      <c r="L14" s="10">
        <f t="shared" si="3"/>
        <v>5.8218150685714287E-2</v>
      </c>
      <c r="M14" s="10">
        <f t="shared" si="6"/>
        <v>2.6971663280862859</v>
      </c>
      <c r="N14" s="10">
        <f t="shared" si="7"/>
        <v>0.14691811186045076</v>
      </c>
      <c r="O14" s="10">
        <f t="shared" si="8"/>
        <v>73.438383020310269</v>
      </c>
      <c r="P14" s="10">
        <f t="shared" si="9"/>
        <v>11.644465001541782</v>
      </c>
    </row>
    <row r="15" spans="1:16" x14ac:dyDescent="0.25">
      <c r="A15" s="25" t="s">
        <v>144</v>
      </c>
      <c r="B15" s="71">
        <v>1.39</v>
      </c>
      <c r="C15" s="235" t="s">
        <v>1</v>
      </c>
      <c r="D15" s="242"/>
      <c r="E15" s="64">
        <f t="shared" si="4"/>
        <v>12</v>
      </c>
      <c r="F15" s="10">
        <f>IF((E15&lt;='Alternative 3'!$B$12),F14+1,"x")</f>
        <v>12</v>
      </c>
      <c r="G15" s="1">
        <f>IF(E15&lt;='Alternative 3'!$B$12,G14+1,0)</f>
        <v>11.5</v>
      </c>
      <c r="H15" s="62">
        <f t="shared" si="0"/>
        <v>1.8532857142857142</v>
      </c>
      <c r="I15" s="66">
        <f t="shared" si="1"/>
        <v>0.92171428571428571</v>
      </c>
      <c r="J15" s="60">
        <f t="shared" si="2"/>
        <v>0.9117142857142857</v>
      </c>
      <c r="K15" s="14">
        <f t="shared" si="5"/>
        <v>0.9167142857142857</v>
      </c>
      <c r="L15" s="10">
        <f t="shared" si="3"/>
        <v>5.7598808657142848E-2</v>
      </c>
      <c r="M15" s="10">
        <f t="shared" si="6"/>
        <v>2.6400850579015711</v>
      </c>
      <c r="N15" s="10">
        <f t="shared" si="7"/>
        <v>0.14770588218236422</v>
      </c>
      <c r="O15" s="10">
        <f t="shared" si="8"/>
        <v>79.687318747086849</v>
      </c>
      <c r="P15" s="10">
        <f t="shared" si="9"/>
        <v>12.839644693782141</v>
      </c>
    </row>
    <row r="16" spans="1:16" x14ac:dyDescent="0.25">
      <c r="A16" s="25" t="s">
        <v>145</v>
      </c>
      <c r="B16" s="71">
        <v>2.08</v>
      </c>
      <c r="C16" s="235" t="s">
        <v>1</v>
      </c>
      <c r="D16" s="242"/>
      <c r="E16" s="64">
        <f t="shared" si="4"/>
        <v>13</v>
      </c>
      <c r="F16" s="10">
        <f>IF((E16&lt;='Alternative 3'!$B$12),F15+1,"x")</f>
        <v>13</v>
      </c>
      <c r="G16" s="1">
        <f>IF(E16&lt;='Alternative 3'!$B$12,G15+1,0)</f>
        <v>12.5</v>
      </c>
      <c r="H16" s="62">
        <f t="shared" si="0"/>
        <v>1.8335714285714286</v>
      </c>
      <c r="I16" s="66">
        <f t="shared" si="1"/>
        <v>0.91185714285714292</v>
      </c>
      <c r="J16" s="60">
        <f t="shared" si="2"/>
        <v>0.90185714285714291</v>
      </c>
      <c r="K16" s="14">
        <f t="shared" si="5"/>
        <v>0.90685714285714292</v>
      </c>
      <c r="L16" s="10">
        <f t="shared" si="3"/>
        <v>5.6979466628571437E-2</v>
      </c>
      <c r="M16" s="10">
        <f t="shared" si="6"/>
        <v>2.5836142825851431</v>
      </c>
      <c r="N16" s="10">
        <f t="shared" si="7"/>
        <v>0.14850646193333872</v>
      </c>
      <c r="O16" s="10">
        <f t="shared" si="8"/>
        <v>85.862545583144822</v>
      </c>
      <c r="P16" s="10">
        <f t="shared" si="9"/>
        <v>14.060806553245117</v>
      </c>
    </row>
    <row r="17" spans="1:16" x14ac:dyDescent="0.25">
      <c r="A17" s="25" t="s">
        <v>146</v>
      </c>
      <c r="B17" s="71">
        <v>0.01</v>
      </c>
      <c r="C17" s="235" t="s">
        <v>1</v>
      </c>
      <c r="D17" s="242"/>
      <c r="E17" s="64">
        <f t="shared" si="4"/>
        <v>14</v>
      </c>
      <c r="F17" s="10">
        <f>IF((E17&lt;='Alternative 3'!$B$12),F16+1,"x")</f>
        <v>14</v>
      </c>
      <c r="G17" s="1">
        <f>IF(E17&lt;='Alternative 3'!$B$12,G16+1,0)</f>
        <v>13.5</v>
      </c>
      <c r="H17" s="62">
        <f t="shared" si="0"/>
        <v>1.8138571428571428</v>
      </c>
      <c r="I17" s="66">
        <f t="shared" si="1"/>
        <v>0.90200000000000002</v>
      </c>
      <c r="J17" s="60">
        <f t="shared" si="2"/>
        <v>0.89200000000000002</v>
      </c>
      <c r="K17" s="14">
        <f t="shared" si="5"/>
        <v>0.89700000000000002</v>
      </c>
      <c r="L17" s="10">
        <f t="shared" si="3"/>
        <v>5.6360124599999999E-2</v>
      </c>
      <c r="M17" s="10">
        <f t="shared" si="6"/>
        <v>2.5277540021369997</v>
      </c>
      <c r="N17" s="10">
        <f t="shared" si="7"/>
        <v>0.14932020206270027</v>
      </c>
      <c r="O17" s="10">
        <f t="shared" si="8"/>
        <v>91.963443729026466</v>
      </c>
      <c r="P17" s="10">
        <f t="shared" si="9"/>
        <v>15.30880713489409</v>
      </c>
    </row>
    <row r="18" spans="1:16" x14ac:dyDescent="0.25">
      <c r="A18" s="177" t="s">
        <v>50</v>
      </c>
      <c r="B18" s="177"/>
      <c r="C18" s="234"/>
      <c r="D18" s="242"/>
      <c r="E18" s="64">
        <f t="shared" si="4"/>
        <v>15</v>
      </c>
      <c r="F18" s="10">
        <f>IF((E18&lt;='Alternative 3'!$B$12),F17+1,"x")</f>
        <v>15</v>
      </c>
      <c r="G18" s="1">
        <f>IF(E18&lt;='Alternative 3'!$B$12,G17+1,0)</f>
        <v>14.5</v>
      </c>
      <c r="H18" s="62">
        <f t="shared" si="0"/>
        <v>1.794142857142857</v>
      </c>
      <c r="I18" s="66">
        <f t="shared" si="1"/>
        <v>0.89214285714285713</v>
      </c>
      <c r="J18" s="60">
        <f t="shared" si="2"/>
        <v>0.88214285714285712</v>
      </c>
      <c r="K18" s="14">
        <f t="shared" si="5"/>
        <v>0.88714285714285712</v>
      </c>
      <c r="L18" s="10">
        <f t="shared" si="3"/>
        <v>5.5740782571428567E-2</v>
      </c>
      <c r="M18" s="10">
        <f t="shared" si="6"/>
        <v>2.4725042165571427</v>
      </c>
      <c r="N18" s="10">
        <f t="shared" si="7"/>
        <v>0.15014746713030541</v>
      </c>
      <c r="O18" s="10">
        <f t="shared" si="8"/>
        <v>97.989379535044677</v>
      </c>
      <c r="P18" s="10">
        <f t="shared" si="9"/>
        <v>16.584541062801932</v>
      </c>
    </row>
    <row r="19" spans="1:16" x14ac:dyDescent="0.25">
      <c r="A19" s="22" t="s">
        <v>51</v>
      </c>
      <c r="B19" s="131">
        <f>'Column Buckling'!Y18</f>
        <v>2.1070739335506223</v>
      </c>
      <c r="C19" s="236" t="s">
        <v>56</v>
      </c>
      <c r="D19" s="242"/>
      <c r="E19" s="64">
        <f t="shared" si="4"/>
        <v>16</v>
      </c>
      <c r="F19" s="10">
        <f>IF((E19&lt;='Alternative 3'!$B$12),F18+1,"x")</f>
        <v>16</v>
      </c>
      <c r="G19" s="1">
        <f>IF(E19&lt;='Alternative 3'!$B$12,G18+1,0)</f>
        <v>15.5</v>
      </c>
      <c r="H19" s="62">
        <f t="shared" si="0"/>
        <v>1.7744285714285715</v>
      </c>
      <c r="I19" s="66">
        <f t="shared" si="1"/>
        <v>0.88228571428571434</v>
      </c>
      <c r="J19" s="60">
        <f t="shared" si="2"/>
        <v>0.87228571428571433</v>
      </c>
      <c r="K19" s="14">
        <f t="shared" si="5"/>
        <v>0.87728571428571434</v>
      </c>
      <c r="L19" s="10">
        <f t="shared" si="3"/>
        <v>5.5121440542857149E-2</v>
      </c>
      <c r="M19" s="10">
        <f t="shared" si="6"/>
        <v>2.4178649258455716</v>
      </c>
      <c r="N19" s="10">
        <f t="shared" si="7"/>
        <v>0.15098863599280579</v>
      </c>
      <c r="O19" s="10">
        <f t="shared" si="8"/>
        <v>103.93970501503206</v>
      </c>
      <c r="P19" s="10">
        <f t="shared" si="9"/>
        <v>17.888943168865005</v>
      </c>
    </row>
    <row r="20" spans="1:16" x14ac:dyDescent="0.25">
      <c r="A20" s="22" t="s">
        <v>52</v>
      </c>
      <c r="B20" s="82">
        <v>250</v>
      </c>
      <c r="C20" s="235" t="s">
        <v>0</v>
      </c>
      <c r="D20" s="242"/>
      <c r="E20" s="64">
        <f t="shared" si="4"/>
        <v>17</v>
      </c>
      <c r="F20" s="10">
        <f>IF((E20&lt;='Alternative 3'!$B$12),F19+1,"x")</f>
        <v>17</v>
      </c>
      <c r="G20" s="1">
        <f>IF(E20&lt;='Alternative 3'!$B$12,G19+1,0)</f>
        <v>16.5</v>
      </c>
      <c r="H20" s="62">
        <f t="shared" si="0"/>
        <v>1.7547142857142857</v>
      </c>
      <c r="I20" s="66">
        <f t="shared" si="1"/>
        <v>0.87242857142857144</v>
      </c>
      <c r="J20" s="60">
        <f t="shared" si="2"/>
        <v>0.86242857142857143</v>
      </c>
      <c r="K20" s="14">
        <f t="shared" si="5"/>
        <v>0.86742857142857144</v>
      </c>
      <c r="L20" s="10">
        <f t="shared" si="3"/>
        <v>5.4502098514285717E-2</v>
      </c>
      <c r="M20" s="10">
        <f t="shared" si="6"/>
        <v>2.3638361300022854</v>
      </c>
      <c r="N20" s="10">
        <f t="shared" si="7"/>
        <v>0.1518441025326841</v>
      </c>
      <c r="O20" s="10">
        <f t="shared" si="8"/>
        <v>109.81375733695199</v>
      </c>
      <c r="P20" s="10">
        <f t="shared" si="9"/>
        <v>19.222990777338605</v>
      </c>
    </row>
    <row r="21" spans="1:16" x14ac:dyDescent="0.25">
      <c r="A21" s="22" t="s">
        <v>52</v>
      </c>
      <c r="B21" s="82">
        <v>50</v>
      </c>
      <c r="C21" s="235" t="s">
        <v>53</v>
      </c>
      <c r="D21" s="242"/>
      <c r="E21" s="64">
        <f t="shared" si="4"/>
        <v>18</v>
      </c>
      <c r="F21" s="10">
        <f>IF((E21&lt;='Alternative 3'!$B$12),F20+1,"x")</f>
        <v>18</v>
      </c>
      <c r="G21" s="1">
        <f>IF(E21&lt;='Alternative 3'!$B$12,G20+1,0)</f>
        <v>17.5</v>
      </c>
      <c r="H21" s="62">
        <f t="shared" si="0"/>
        <v>1.7349999999999999</v>
      </c>
      <c r="I21" s="66">
        <f t="shared" si="1"/>
        <v>0.86257142857142854</v>
      </c>
      <c r="J21" s="60">
        <f t="shared" si="2"/>
        <v>0.85257142857142854</v>
      </c>
      <c r="K21" s="14">
        <f t="shared" si="5"/>
        <v>0.85757142857142854</v>
      </c>
      <c r="L21" s="10">
        <f t="shared" si="3"/>
        <v>5.3882756485714278E-2</v>
      </c>
      <c r="M21" s="10">
        <f t="shared" si="6"/>
        <v>2.3104178290272852</v>
      </c>
      <c r="N21" s="10">
        <f t="shared" si="7"/>
        <v>0.15271427643324803</v>
      </c>
      <c r="O21" s="10">
        <f t="shared" si="8"/>
        <v>115.61085828898142</v>
      </c>
      <c r="P21" s="10">
        <f t="shared" si="9"/>
        <v>20.587706146926539</v>
      </c>
    </row>
    <row r="22" spans="1:16" x14ac:dyDescent="0.25">
      <c r="A22" s="22" t="s">
        <v>54</v>
      </c>
      <c r="B22" s="82">
        <v>200000</v>
      </c>
      <c r="C22" s="235" t="s">
        <v>0</v>
      </c>
      <c r="D22" s="242"/>
      <c r="E22" s="64">
        <f t="shared" si="4"/>
        <v>19</v>
      </c>
      <c r="F22" s="10">
        <f>IF((E22&lt;='Alternative 3'!$B$12),F21+1,"x")</f>
        <v>19</v>
      </c>
      <c r="G22" s="1">
        <f>IF(E22&lt;='Alternative 3'!$B$12,G21+1,0)</f>
        <v>18.5</v>
      </c>
      <c r="H22" s="62">
        <f t="shared" si="0"/>
        <v>1.7152857142857143</v>
      </c>
      <c r="I22" s="66">
        <f t="shared" si="1"/>
        <v>0.85271428571428576</v>
      </c>
      <c r="J22" s="60">
        <f t="shared" si="2"/>
        <v>0.84271428571428575</v>
      </c>
      <c r="K22" s="14">
        <f t="shared" si="5"/>
        <v>0.84771428571428575</v>
      </c>
      <c r="L22" s="10">
        <f t="shared" si="3"/>
        <v>5.326341445714286E-2</v>
      </c>
      <c r="M22" s="10">
        <f t="shared" si="6"/>
        <v>2.2576100229205713</v>
      </c>
      <c r="N22" s="10">
        <f t="shared" si="7"/>
        <v>0.15359958400304591</v>
      </c>
      <c r="O22" s="10">
        <f t="shared" si="8"/>
        <v>121.33031371957462</v>
      </c>
      <c r="P22" s="10">
        <f t="shared" si="9"/>
        <v>21.984159083249075</v>
      </c>
    </row>
    <row r="23" spans="1:16" x14ac:dyDescent="0.25">
      <c r="A23" s="22" t="s">
        <v>55</v>
      </c>
      <c r="B23" s="82">
        <v>1.67</v>
      </c>
      <c r="C23" s="236" t="s">
        <v>56</v>
      </c>
      <c r="D23" s="242"/>
      <c r="E23" s="64">
        <f t="shared" si="4"/>
        <v>20</v>
      </c>
      <c r="F23" s="10">
        <f>IF((E23&lt;='Alternative 3'!$B$12),F22+1,"x")</f>
        <v>20</v>
      </c>
      <c r="G23" s="1">
        <f>IF(E23&lt;='Alternative 3'!$B$12,G22+1,0)</f>
        <v>19.5</v>
      </c>
      <c r="H23" s="62">
        <f t="shared" si="0"/>
        <v>1.6955714285714285</v>
      </c>
      <c r="I23" s="66">
        <f t="shared" si="1"/>
        <v>0.84285714285714286</v>
      </c>
      <c r="J23" s="60">
        <f t="shared" si="2"/>
        <v>0.83285714285714285</v>
      </c>
      <c r="K23" s="14">
        <f t="shared" si="5"/>
        <v>0.83785714285714286</v>
      </c>
      <c r="L23" s="10">
        <f t="shared" si="3"/>
        <v>5.2644072428571428E-2</v>
      </c>
      <c r="M23" s="10">
        <f t="shared" si="6"/>
        <v>2.2054127116821429</v>
      </c>
      <c r="N23" s="10">
        <f t="shared" si="7"/>
        <v>0.15450046905347237</v>
      </c>
      <c r="O23" s="10">
        <f t="shared" si="8"/>
        <v>126.9714129499076</v>
      </c>
      <c r="P23" s="10">
        <f t="shared" si="9"/>
        <v>23.413469735720376</v>
      </c>
    </row>
    <row r="24" spans="1:16" x14ac:dyDescent="0.25">
      <c r="A24" s="177" t="s">
        <v>64</v>
      </c>
      <c r="B24" s="177"/>
      <c r="C24" s="234"/>
      <c r="D24" s="242"/>
      <c r="E24" s="64">
        <f t="shared" si="4"/>
        <v>21</v>
      </c>
      <c r="F24" s="10">
        <f>IF((E24&lt;='Alternative 3'!$B$12),F23+1,"x")</f>
        <v>21</v>
      </c>
      <c r="G24" s="1">
        <f>IF(E24&lt;='Alternative 3'!$B$12,G23+1,0)</f>
        <v>20.5</v>
      </c>
      <c r="H24" s="62">
        <f t="shared" si="0"/>
        <v>1.6758571428571427</v>
      </c>
      <c r="I24" s="66">
        <f t="shared" si="1"/>
        <v>0.83299999999999996</v>
      </c>
      <c r="J24" s="60">
        <f t="shared" si="2"/>
        <v>0.82299999999999995</v>
      </c>
      <c r="K24" s="14">
        <f t="shared" si="5"/>
        <v>0.82799999999999996</v>
      </c>
      <c r="L24" s="10">
        <f t="shared" si="3"/>
        <v>5.2024730399999997E-2</v>
      </c>
      <c r="M24" s="10">
        <f t="shared" si="6"/>
        <v>2.153825895312</v>
      </c>
      <c r="N24" s="10">
        <f t="shared" si="7"/>
        <v>0.15541739383366793</v>
      </c>
      <c r="O24" s="10">
        <f t="shared" si="8"/>
        <v>132.53342815698323</v>
      </c>
      <c r="P24" s="10">
        <f t="shared" si="9"/>
        <v>24.876811594202898</v>
      </c>
    </row>
    <row r="25" spans="1:16" x14ac:dyDescent="0.25">
      <c r="A25" s="22" t="s">
        <v>65</v>
      </c>
      <c r="B25" s="130">
        <f>B13</f>
        <v>14889.382032148003</v>
      </c>
      <c r="C25" s="237" t="s">
        <v>2</v>
      </c>
      <c r="D25" s="242"/>
      <c r="E25" s="64">
        <f t="shared" si="4"/>
        <v>22</v>
      </c>
      <c r="F25" s="10">
        <f>IF((E25&lt;='Alternative 3'!$B$12),F24+1,"x")</f>
        <v>22</v>
      </c>
      <c r="G25" s="1">
        <f>IF(E25&lt;='Alternative 3'!$B$12,G24+1,0)</f>
        <v>21.5</v>
      </c>
      <c r="H25" s="62">
        <f t="shared" si="0"/>
        <v>1.6561428571428571</v>
      </c>
      <c r="I25" s="66">
        <f t="shared" si="1"/>
        <v>0.82314285714285718</v>
      </c>
      <c r="J25" s="60">
        <f t="shared" si="2"/>
        <v>0.81314285714285717</v>
      </c>
      <c r="K25" s="14">
        <f t="shared" si="5"/>
        <v>0.81814285714285717</v>
      </c>
      <c r="L25" s="10">
        <f t="shared" si="3"/>
        <v>5.1405388371428579E-2</v>
      </c>
      <c r="M25" s="10">
        <f t="shared" si="6"/>
        <v>2.1028495738101429</v>
      </c>
      <c r="N25" s="10">
        <f t="shared" si="7"/>
        <v>0.15635084002718586</v>
      </c>
      <c r="O25" s="10">
        <f t="shared" si="8"/>
        <v>138.01561372554872</v>
      </c>
      <c r="P25" s="10">
        <f t="shared" si="9"/>
        <v>26.375414702287408</v>
      </c>
    </row>
    <row r="26" spans="1:16" s="15" customFormat="1" x14ac:dyDescent="0.25">
      <c r="A26" s="22" t="s">
        <v>66</v>
      </c>
      <c r="B26" s="77">
        <f>B12</f>
        <v>35</v>
      </c>
      <c r="C26" s="237" t="s">
        <v>1</v>
      </c>
      <c r="D26" s="242"/>
      <c r="E26" s="64">
        <f t="shared" si="4"/>
        <v>23</v>
      </c>
      <c r="F26" s="10">
        <f>IF((E26&lt;='Alternative 3'!$B$12),F25+1,"x")</f>
        <v>23</v>
      </c>
      <c r="G26" s="1">
        <f>IF(E26&lt;='Alternative 3'!$B$12,G25+1,0)</f>
        <v>22.5</v>
      </c>
      <c r="H26" s="62">
        <f t="shared" si="0"/>
        <v>1.6364285714285713</v>
      </c>
      <c r="I26" s="66">
        <f t="shared" si="1"/>
        <v>0.81328571428571428</v>
      </c>
      <c r="J26" s="60">
        <f t="shared" si="2"/>
        <v>0.80328571428571427</v>
      </c>
      <c r="K26" s="14">
        <f t="shared" si="5"/>
        <v>0.80828571428571427</v>
      </c>
      <c r="L26" s="10">
        <f t="shared" si="3"/>
        <v>5.078604634285714E-2</v>
      </c>
      <c r="M26" s="10">
        <f t="shared" si="6"/>
        <v>2.0524837471765713</v>
      </c>
      <c r="N26" s="10">
        <f t="shared" si="7"/>
        <v>0.15730130981530832</v>
      </c>
      <c r="O26" s="10">
        <f t="shared" si="8"/>
        <v>143.41720556683381</v>
      </c>
      <c r="P26" s="10">
        <f t="shared" si="9"/>
        <v>27.910569105691057</v>
      </c>
    </row>
    <row r="27" spans="1:16" x14ac:dyDescent="0.25">
      <c r="A27" s="22" t="s">
        <v>172</v>
      </c>
      <c r="B27" s="77">
        <f>'Center of Gravity'!BF4</f>
        <v>16</v>
      </c>
      <c r="C27" s="237" t="s">
        <v>1</v>
      </c>
      <c r="D27" s="242"/>
      <c r="E27" s="64">
        <f t="shared" si="4"/>
        <v>24</v>
      </c>
      <c r="F27" s="10">
        <f>IF((E27&lt;='Alternative 3'!$B$12),F26+1,"x")</f>
        <v>24</v>
      </c>
      <c r="G27" s="1">
        <f>IF(E27&lt;='Alternative 3'!$B$12,G26+1,0)</f>
        <v>23.5</v>
      </c>
      <c r="H27" s="62">
        <f t="shared" si="0"/>
        <v>1.6167142857142855</v>
      </c>
      <c r="I27" s="66">
        <f t="shared" si="1"/>
        <v>0.80342857142857138</v>
      </c>
      <c r="J27" s="60">
        <f t="shared" si="2"/>
        <v>0.79342857142857137</v>
      </c>
      <c r="K27" s="14">
        <f t="shared" si="5"/>
        <v>0.79842857142857138</v>
      </c>
      <c r="L27" s="10">
        <f t="shared" si="3"/>
        <v>5.0166704314285708E-2</v>
      </c>
      <c r="M27" s="10">
        <f t="shared" si="6"/>
        <v>2.0027284154112852</v>
      </c>
      <c r="N27" s="10">
        <f t="shared" si="7"/>
        <v>0.15826932701234361</v>
      </c>
      <c r="O27" s="10">
        <f t="shared" si="8"/>
        <v>148.73742040196754</v>
      </c>
      <c r="P27" s="10">
        <f t="shared" si="9"/>
        <v>29.483628556092327</v>
      </c>
    </row>
    <row r="28" spans="1:16" x14ac:dyDescent="0.25">
      <c r="A28" s="22" t="s">
        <v>177</v>
      </c>
      <c r="B28" s="78">
        <f>ROUND((B26-B27)/3+B27,2)</f>
        <v>22.33</v>
      </c>
      <c r="C28" s="237"/>
      <c r="D28" s="242"/>
      <c r="E28" s="64">
        <f t="shared" si="4"/>
        <v>25</v>
      </c>
      <c r="F28" s="10">
        <f>IF((E28&lt;='Alternative 3'!$B$12),F27+1,"x")</f>
        <v>25</v>
      </c>
      <c r="G28" s="1">
        <f>IF(E28&lt;='Alternative 3'!$B$12,G27+1,0)</f>
        <v>24.5</v>
      </c>
      <c r="H28" s="62">
        <f t="shared" si="0"/>
        <v>1.597</v>
      </c>
      <c r="I28" s="66">
        <f t="shared" si="1"/>
        <v>0.79357142857142859</v>
      </c>
      <c r="J28" s="60">
        <f t="shared" si="2"/>
        <v>0.78357142857142859</v>
      </c>
      <c r="K28" s="14">
        <f t="shared" si="5"/>
        <v>0.78857142857142859</v>
      </c>
      <c r="L28" s="10">
        <f t="shared" si="3"/>
        <v>4.954736228571429E-2</v>
      </c>
      <c r="M28" s="10">
        <f t="shared" si="6"/>
        <v>1.9535835785142859</v>
      </c>
      <c r="N28" s="10">
        <f t="shared" si="7"/>
        <v>0.15925543827873481</v>
      </c>
      <c r="O28" s="10">
        <f t="shared" si="8"/>
        <v>153.97545500776087</v>
      </c>
      <c r="P28" s="10">
        <f t="shared" si="9"/>
        <v>31.096014492753625</v>
      </c>
    </row>
    <row r="29" spans="1:16" x14ac:dyDescent="0.25">
      <c r="A29" s="22" t="s">
        <v>178</v>
      </c>
      <c r="B29" s="79">
        <f>ROUNDDOWN(2*(B26-B27)/3+B27,2)</f>
        <v>28.66</v>
      </c>
      <c r="C29" s="237"/>
      <c r="D29" s="242"/>
      <c r="E29" s="64">
        <f t="shared" si="4"/>
        <v>26</v>
      </c>
      <c r="F29" s="10">
        <f>IF((E29&lt;='Alternative 3'!$B$12),F28+1,"x")</f>
        <v>26</v>
      </c>
      <c r="G29" s="1">
        <f>IF(E29&lt;='Alternative 3'!$B$12,G28+1,0)</f>
        <v>25.5</v>
      </c>
      <c r="H29" s="62">
        <f t="shared" si="0"/>
        <v>1.5772857142857144</v>
      </c>
      <c r="I29" s="66">
        <f t="shared" si="1"/>
        <v>0.7837142857142857</v>
      </c>
      <c r="J29" s="60">
        <f t="shared" si="2"/>
        <v>0.77371428571428569</v>
      </c>
      <c r="K29" s="14">
        <f t="shared" si="5"/>
        <v>0.77871428571428569</v>
      </c>
      <c r="L29" s="10">
        <f t="shared" si="3"/>
        <v>4.8928020257142858E-2</v>
      </c>
      <c r="M29" s="10">
        <f t="shared" si="6"/>
        <v>1.9050492364855711</v>
      </c>
      <c r="N29" s="10">
        <f t="shared" si="7"/>
        <v>0.16026021441836294</v>
      </c>
      <c r="O29" s="10">
        <f t="shared" si="8"/>
        <v>159.13048542236078</v>
      </c>
      <c r="P29" s="10">
        <f t="shared" si="9"/>
        <v>32.74922032654559</v>
      </c>
    </row>
    <row r="30" spans="1:16" x14ac:dyDescent="0.25">
      <c r="A30" s="22" t="s">
        <v>184</v>
      </c>
      <c r="B30" s="132">
        <f>'Alternative 3-Tilt Up (3pt)'!N5</f>
        <v>2882286.2628976549</v>
      </c>
      <c r="C30" s="237" t="s">
        <v>41</v>
      </c>
      <c r="D30" s="242"/>
      <c r="E30" s="64">
        <f t="shared" si="4"/>
        <v>27</v>
      </c>
      <c r="F30" s="10">
        <f>IF((E30&lt;='Alternative 3'!$B$12),F29+1,"x")</f>
        <v>27</v>
      </c>
      <c r="G30" s="1">
        <f>IF(E30&lt;='Alternative 3'!$B$12,G29+1,0)</f>
        <v>26.5</v>
      </c>
      <c r="H30" s="62">
        <f t="shared" si="0"/>
        <v>1.5575714285714284</v>
      </c>
      <c r="I30" s="66">
        <f t="shared" si="1"/>
        <v>0.7738571428571428</v>
      </c>
      <c r="J30" s="60">
        <f t="shared" si="2"/>
        <v>0.76385714285714279</v>
      </c>
      <c r="K30" s="14">
        <f t="shared" si="5"/>
        <v>0.76885714285714279</v>
      </c>
      <c r="L30" s="10">
        <f t="shared" si="3"/>
        <v>4.8308678228571419E-2</v>
      </c>
      <c r="M30" s="10">
        <f t="shared" si="6"/>
        <v>1.8571253893251425</v>
      </c>
      <c r="N30" s="10">
        <f t="shared" si="7"/>
        <v>0.16128425176703781</v>
      </c>
      <c r="O30" s="10">
        <f t="shared" si="8"/>
        <v>164.20166610808127</v>
      </c>
      <c r="P30" s="10">
        <f t="shared" si="9"/>
        <v>34.444816053511708</v>
      </c>
    </row>
    <row r="31" spans="1:16" x14ac:dyDescent="0.25">
      <c r="A31" s="177" t="s">
        <v>72</v>
      </c>
      <c r="B31" s="177"/>
      <c r="C31" s="234"/>
      <c r="D31" s="242"/>
      <c r="E31" s="64">
        <f t="shared" si="4"/>
        <v>28</v>
      </c>
      <c r="F31" s="10">
        <f>IF((E31&lt;='Alternative 3'!$B$12),F30+1,"x")</f>
        <v>28</v>
      </c>
      <c r="G31" s="1">
        <f>IF(E31&lt;='Alternative 3'!$B$12,G30+1,0)</f>
        <v>27.5</v>
      </c>
      <c r="H31" s="62">
        <f t="shared" si="0"/>
        <v>1.5378571428571428</v>
      </c>
      <c r="I31" s="66">
        <f t="shared" si="1"/>
        <v>0.76400000000000001</v>
      </c>
      <c r="J31" s="60">
        <f t="shared" si="2"/>
        <v>0.754</v>
      </c>
      <c r="K31" s="14">
        <f t="shared" si="5"/>
        <v>0.75900000000000001</v>
      </c>
      <c r="L31" s="10">
        <f t="shared" si="3"/>
        <v>4.7689336199999995E-2</v>
      </c>
      <c r="M31" s="10">
        <f t="shared" si="6"/>
        <v>1.8098120370330002</v>
      </c>
      <c r="N31" s="10">
        <f t="shared" si="7"/>
        <v>0.16232817367985061</v>
      </c>
      <c r="O31" s="10">
        <f t="shared" si="8"/>
        <v>169.18812906849723</v>
      </c>
      <c r="P31" s="10">
        <f t="shared" si="9"/>
        <v>36.184453227931485</v>
      </c>
    </row>
    <row r="32" spans="1:16" x14ac:dyDescent="0.25">
      <c r="A32" s="36" t="s">
        <v>46</v>
      </c>
      <c r="B32" s="70">
        <v>0.85</v>
      </c>
      <c r="C32" s="238" t="s">
        <v>56</v>
      </c>
      <c r="D32" s="242"/>
      <c r="E32" s="64">
        <f t="shared" si="4"/>
        <v>29</v>
      </c>
      <c r="F32" s="10">
        <f>IF((E32&lt;='Alternative 3'!$B$12),F31+1,"x")</f>
        <v>29</v>
      </c>
      <c r="G32" s="1">
        <f>IF(E32&lt;='Alternative 3'!$B$12,G31+1,0)</f>
        <v>28.5</v>
      </c>
      <c r="H32" s="62">
        <f t="shared" si="0"/>
        <v>1.5181428571428572</v>
      </c>
      <c r="I32" s="66">
        <f t="shared" si="1"/>
        <v>0.75414285714285711</v>
      </c>
      <c r="J32" s="60">
        <f t="shared" si="2"/>
        <v>0.74414285714285711</v>
      </c>
      <c r="K32" s="14">
        <f t="shared" si="5"/>
        <v>0.74914285714285711</v>
      </c>
      <c r="L32" s="10">
        <f t="shared" si="3"/>
        <v>4.706999417142857E-2</v>
      </c>
      <c r="M32" s="10">
        <f t="shared" si="6"/>
        <v>1.7631091796091425</v>
      </c>
      <c r="N32" s="10">
        <f t="shared" si="7"/>
        <v>0.16339263212581531</v>
      </c>
      <c r="O32" s="10">
        <f t="shared" si="8"/>
        <v>174.08898291664755</v>
      </c>
      <c r="P32" s="10">
        <f t="shared" si="9"/>
        <v>37.969870327993895</v>
      </c>
    </row>
    <row r="33" spans="1:16" ht="18" x14ac:dyDescent="0.35">
      <c r="A33" s="36" t="s">
        <v>73</v>
      </c>
      <c r="B33" s="70">
        <v>0.7</v>
      </c>
      <c r="C33" s="238" t="s">
        <v>56</v>
      </c>
      <c r="D33" s="242"/>
      <c r="E33" s="64">
        <f t="shared" si="4"/>
        <v>30</v>
      </c>
      <c r="F33" s="10">
        <f>IF((E33&lt;='Alternative 3'!$B$12),F32+1,"x")</f>
        <v>30</v>
      </c>
      <c r="G33" s="1">
        <f>IF(E33&lt;='Alternative 3'!$B$12,G32+1,0)</f>
        <v>29.5</v>
      </c>
      <c r="H33" s="62">
        <f t="shared" si="0"/>
        <v>1.4984285714285712</v>
      </c>
      <c r="I33" s="66">
        <f t="shared" si="1"/>
        <v>0.74428571428571422</v>
      </c>
      <c r="J33" s="60">
        <f t="shared" si="2"/>
        <v>0.73428571428571421</v>
      </c>
      <c r="K33" s="14">
        <f t="shared" si="5"/>
        <v>0.73928571428571421</v>
      </c>
      <c r="L33" s="10">
        <f t="shared" si="3"/>
        <v>4.6450652142857138E-2</v>
      </c>
      <c r="M33" s="10">
        <f t="shared" si="6"/>
        <v>1.7170168170535709</v>
      </c>
      <c r="N33" s="10">
        <f t="shared" si="7"/>
        <v>0.16447830939906749</v>
      </c>
      <c r="O33" s="10">
        <f t="shared" si="8"/>
        <v>178.90331189093018</v>
      </c>
      <c r="P33" s="10">
        <f t="shared" si="9"/>
        <v>39.802898550724642</v>
      </c>
    </row>
    <row r="34" spans="1:16" ht="18" x14ac:dyDescent="0.35">
      <c r="A34" s="36" t="s">
        <v>75</v>
      </c>
      <c r="B34" s="70">
        <v>1</v>
      </c>
      <c r="C34" s="238" t="s">
        <v>56</v>
      </c>
      <c r="D34" s="242"/>
      <c r="E34" s="64">
        <f t="shared" si="4"/>
        <v>31</v>
      </c>
      <c r="F34" s="10">
        <f>IF((E34&lt;='Alternative 3'!$B$12),F33+1,"x")</f>
        <v>31</v>
      </c>
      <c r="G34" s="1">
        <f>IF(E34&lt;='Alternative 3'!$B$12,G33+1,0)</f>
        <v>30.5</v>
      </c>
      <c r="H34" s="62">
        <f t="shared" si="0"/>
        <v>1.4787142857142856</v>
      </c>
      <c r="I34" s="66">
        <f t="shared" si="1"/>
        <v>0.73442857142857143</v>
      </c>
      <c r="J34" s="60">
        <f t="shared" si="2"/>
        <v>0.72442857142857142</v>
      </c>
      <c r="K34" s="14">
        <f t="shared" si="5"/>
        <v>0.72942857142857143</v>
      </c>
      <c r="L34" s="10">
        <f t="shared" si="3"/>
        <v>4.5831310114285706E-2</v>
      </c>
      <c r="M34" s="10">
        <f t="shared" si="6"/>
        <v>1.6715349493662859</v>
      </c>
      <c r="N34" s="10">
        <f t="shared" si="7"/>
        <v>0.16558591995682484</v>
      </c>
      <c r="O34" s="10">
        <f t="shared" si="8"/>
        <v>183.63017481498241</v>
      </c>
      <c r="P34" s="10">
        <f t="shared" si="9"/>
        <v>41.685468076772423</v>
      </c>
    </row>
    <row r="35" spans="1:16" ht="18" x14ac:dyDescent="0.35">
      <c r="A35" s="36" t="s">
        <v>76</v>
      </c>
      <c r="B35" s="70">
        <v>0.95</v>
      </c>
      <c r="C35" s="238" t="s">
        <v>56</v>
      </c>
      <c r="D35" s="242"/>
      <c r="E35" s="64">
        <f t="shared" si="4"/>
        <v>32</v>
      </c>
      <c r="F35" s="10">
        <f>IF((E35&lt;='Alternative 3'!$B$12),F34+1,"x")</f>
        <v>32</v>
      </c>
      <c r="G35" s="1">
        <f>IF(E35&lt;='Alternative 3'!$B$12,G34+1,0)</f>
        <v>31.5</v>
      </c>
      <c r="H35" s="62">
        <f t="shared" si="0"/>
        <v>1.4590000000000001</v>
      </c>
      <c r="I35" s="66">
        <f t="shared" si="1"/>
        <v>0.72457142857142853</v>
      </c>
      <c r="J35" s="60">
        <f t="shared" si="2"/>
        <v>0.71457142857142852</v>
      </c>
      <c r="K35" s="14">
        <f t="shared" si="5"/>
        <v>0.71957142857142853</v>
      </c>
      <c r="L35" s="10">
        <f t="shared" si="3"/>
        <v>4.5211968085714281E-2</v>
      </c>
      <c r="M35" s="10">
        <f t="shared" si="6"/>
        <v>1.6266635765472852</v>
      </c>
      <c r="N35" s="10">
        <f t="shared" si="7"/>
        <v>0.16671621239535811</v>
      </c>
      <c r="O35" s="10">
        <f t="shared" si="8"/>
        <v>188.26860399752277</v>
      </c>
      <c r="P35" s="10">
        <f t="shared" si="9"/>
        <v>43.619614850109194</v>
      </c>
    </row>
    <row r="36" spans="1:16" ht="17.25" x14ac:dyDescent="0.25">
      <c r="A36" s="42" t="s">
        <v>77</v>
      </c>
      <c r="B36" s="70">
        <f>44.704^2</f>
        <v>1998.4476160000002</v>
      </c>
      <c r="C36" s="238" t="s">
        <v>56</v>
      </c>
      <c r="D36" s="242"/>
      <c r="E36" s="64">
        <f t="shared" si="4"/>
        <v>33</v>
      </c>
      <c r="F36" s="10">
        <f>IF((E36&lt;='Alternative 3'!$B$12),F35+1,"x")</f>
        <v>33</v>
      </c>
      <c r="G36" s="1">
        <f>IF(E36&lt;='Alternative 3'!$B$12,G35+1,0)</f>
        <v>32.5</v>
      </c>
      <c r="H36" s="62">
        <f t="shared" ref="H36:H67" si="10">IF(F36&gt;0,(($B$16)-((($B$16)-($B$15))/$B$12)*G36),0)</f>
        <v>1.4392857142857141</v>
      </c>
      <c r="I36" s="66">
        <f t="shared" ref="I36:I67" si="11">IF(F36&gt;0,(($B$16/2)-((($B$16/2)-($B$15/2))/$B$12)*F36),0)</f>
        <v>0.71471428571428564</v>
      </c>
      <c r="J36" s="60">
        <f t="shared" ref="J36:J67" si="12">IF(F36&gt;0,I36-$B$17,0)</f>
        <v>0.70471428571428563</v>
      </c>
      <c r="K36" s="14">
        <f t="shared" si="5"/>
        <v>0.70971428571428563</v>
      </c>
      <c r="L36" s="10">
        <f t="shared" si="3"/>
        <v>4.4592626057142849E-2</v>
      </c>
      <c r="M36" s="10">
        <f t="shared" si="6"/>
        <v>1.5824026985965709</v>
      </c>
      <c r="N36" s="10">
        <f t="shared" si="7"/>
        <v>0.16786997157638911</v>
      </c>
      <c r="O36" s="10">
        <f t="shared" si="8"/>
        <v>192.8176040677802</v>
      </c>
      <c r="P36" s="10">
        <f t="shared" si="9"/>
        <v>45.607487922705317</v>
      </c>
    </row>
    <row r="37" spans="1:16" x14ac:dyDescent="0.25">
      <c r="A37" s="177" t="s">
        <v>79</v>
      </c>
      <c r="B37" s="177"/>
      <c r="C37" s="234"/>
      <c r="D37" s="242"/>
      <c r="E37" s="64">
        <f t="shared" si="4"/>
        <v>34</v>
      </c>
      <c r="F37" s="10">
        <f>IF((E37&lt;='Alternative 3'!$B$12),F36+1,"x")</f>
        <v>34</v>
      </c>
      <c r="G37" s="1">
        <f>IF(E37&lt;='Alternative 3'!$B$12,G36+1,0)</f>
        <v>33.5</v>
      </c>
      <c r="H37" s="62">
        <f t="shared" si="10"/>
        <v>1.4195714285714285</v>
      </c>
      <c r="I37" s="66">
        <f t="shared" si="11"/>
        <v>0.70485714285714285</v>
      </c>
      <c r="J37" s="60">
        <f t="shared" si="12"/>
        <v>0.69485714285714284</v>
      </c>
      <c r="K37" s="14">
        <f t="shared" si="5"/>
        <v>0.69985714285714284</v>
      </c>
      <c r="L37" s="10">
        <f t="shared" si="3"/>
        <v>4.3973284028571424E-2</v>
      </c>
      <c r="M37" s="10">
        <f t="shared" si="6"/>
        <v>1.5387523155141427</v>
      </c>
      <c r="N37" s="10">
        <f t="shared" si="7"/>
        <v>0.16904802091764093</v>
      </c>
      <c r="O37" s="10">
        <f t="shared" si="8"/>
        <v>197.27615074174892</v>
      </c>
      <c r="P37" s="10">
        <f t="shared" si="9"/>
        <v>47.651357419881613</v>
      </c>
    </row>
    <row r="38" spans="1:16" x14ac:dyDescent="0.25">
      <c r="A38" s="42" t="s">
        <v>80</v>
      </c>
      <c r="B38" s="133">
        <f>B13/B12</f>
        <v>425.41091520422867</v>
      </c>
      <c r="C38" s="239" t="s">
        <v>81</v>
      </c>
      <c r="D38" s="242"/>
      <c r="E38" s="64">
        <f t="shared" si="4"/>
        <v>35</v>
      </c>
      <c r="F38" s="10">
        <f>IF((E38&lt;='Alternative 3'!$B$12),F37+1,"x")</f>
        <v>35</v>
      </c>
      <c r="G38" s="1">
        <f>IF(E38&lt;='Alternative 3'!$B$12,G37+1,0)</f>
        <v>34.5</v>
      </c>
      <c r="H38" s="62">
        <f t="shared" si="10"/>
        <v>1.3998571428571429</v>
      </c>
      <c r="I38" s="66">
        <f t="shared" si="11"/>
        <v>0.69499999999999995</v>
      </c>
      <c r="J38" s="60">
        <f t="shared" si="12"/>
        <v>0.68499999999999994</v>
      </c>
      <c r="K38" s="14">
        <f t="shared" si="5"/>
        <v>0.69</v>
      </c>
      <c r="L38" s="10">
        <f t="shared" si="3"/>
        <v>4.3353941999999999E-2</v>
      </c>
      <c r="M38" s="10">
        <f t="shared" si="6"/>
        <v>1.4957124272999998</v>
      </c>
      <c r="N38" s="10">
        <f t="shared" si="7"/>
        <v>0.17025122486272848</v>
      </c>
      <c r="O38" s="10">
        <f t="shared" si="8"/>
        <v>201.64318951408347</v>
      </c>
      <c r="P38" s="10">
        <f t="shared" si="9"/>
        <v>49.753623188405797</v>
      </c>
    </row>
    <row r="39" spans="1:16" x14ac:dyDescent="0.25">
      <c r="A39" s="42" t="s">
        <v>80</v>
      </c>
      <c r="B39" s="133">
        <f>B14/B12</f>
        <v>4171.8559515875486</v>
      </c>
      <c r="C39" s="239" t="s">
        <v>41</v>
      </c>
      <c r="D39" s="242"/>
      <c r="E39" s="64">
        <f t="shared" si="4"/>
        <v>36</v>
      </c>
      <c r="F39" s="10" t="str">
        <f>IF((E39&lt;='Alternative 3'!$B$12),F38+1,"x")</f>
        <v>x</v>
      </c>
      <c r="G39" s="1">
        <f>IF(E39&lt;='Alternative 3'!$B$12,G38+1,0)</f>
        <v>0</v>
      </c>
      <c r="H39" s="62">
        <f t="shared" si="10"/>
        <v>2.08</v>
      </c>
      <c r="I39" s="66" t="e">
        <f t="shared" si="11"/>
        <v>#VALUE!</v>
      </c>
      <c r="J39" s="60" t="e">
        <f t="shared" si="12"/>
        <v>#VALUE!</v>
      </c>
      <c r="K39" s="14" t="e">
        <f t="shared" si="5"/>
        <v>#VALUE!</v>
      </c>
      <c r="L39" s="10" t="e">
        <f t="shared" si="3"/>
        <v>#VALUE!</v>
      </c>
      <c r="M39" s="10" t="e">
        <f t="shared" si="6"/>
        <v>#VALUE!</v>
      </c>
      <c r="N39" s="10" t="e">
        <f t="shared" si="7"/>
        <v>#VALUE!</v>
      </c>
      <c r="O39" s="10" t="e">
        <f t="shared" si="8"/>
        <v>#VALUE!</v>
      </c>
      <c r="P39" s="10" t="e">
        <f t="shared" si="9"/>
        <v>#VALUE!</v>
      </c>
    </row>
    <row r="40" spans="1:16" x14ac:dyDescent="0.25">
      <c r="A40" s="42" t="s">
        <v>83</v>
      </c>
      <c r="B40" s="81">
        <v>1.1000000000000001</v>
      </c>
      <c r="C40" s="238" t="s">
        <v>56</v>
      </c>
      <c r="D40" s="242"/>
      <c r="E40" s="64">
        <f t="shared" si="4"/>
        <v>37</v>
      </c>
      <c r="F40" s="10" t="str">
        <f>IF((E40&lt;='Alternative 3'!$B$12),F39+1,"x")</f>
        <v>x</v>
      </c>
      <c r="G40" s="1">
        <f>IF(E40&lt;='Alternative 3'!$B$12,G39+1,0)</f>
        <v>0</v>
      </c>
      <c r="H40" s="62">
        <f t="shared" si="10"/>
        <v>2.08</v>
      </c>
      <c r="I40" s="66" t="e">
        <f t="shared" si="11"/>
        <v>#VALUE!</v>
      </c>
      <c r="J40" s="60" t="e">
        <f t="shared" si="12"/>
        <v>#VALUE!</v>
      </c>
      <c r="K40" s="14" t="e">
        <f t="shared" si="5"/>
        <v>#VALUE!</v>
      </c>
      <c r="L40" s="10" t="e">
        <f t="shared" si="3"/>
        <v>#VALUE!</v>
      </c>
      <c r="M40" s="10" t="e">
        <f t="shared" si="6"/>
        <v>#VALUE!</v>
      </c>
      <c r="N40" s="10" t="e">
        <f t="shared" si="7"/>
        <v>#VALUE!</v>
      </c>
      <c r="O40" s="10" t="e">
        <f t="shared" si="8"/>
        <v>#VALUE!</v>
      </c>
      <c r="P40" s="10" t="e">
        <f t="shared" si="9"/>
        <v>#VALUE!</v>
      </c>
    </row>
    <row r="41" spans="1:16" ht="30" x14ac:dyDescent="0.25">
      <c r="A41" s="54" t="s">
        <v>112</v>
      </c>
      <c r="B41" s="133">
        <f>'Dynamic Loading'!AG3</f>
        <v>141123.95575207722</v>
      </c>
      <c r="C41" s="240" t="s">
        <v>41</v>
      </c>
      <c r="D41" s="242"/>
      <c r="E41" s="64">
        <f t="shared" si="4"/>
        <v>38</v>
      </c>
      <c r="F41" s="10" t="str">
        <f>IF((E41&lt;='Alternative 3'!$B$12),F40+1,"x")</f>
        <v>x</v>
      </c>
      <c r="G41" s="1">
        <f>IF(E41&lt;='Alternative 3'!$B$12,G40+1,0)</f>
        <v>0</v>
      </c>
      <c r="H41" s="62">
        <f t="shared" si="10"/>
        <v>2.08</v>
      </c>
      <c r="I41" s="66" t="e">
        <f t="shared" si="11"/>
        <v>#VALUE!</v>
      </c>
      <c r="J41" s="60" t="e">
        <f t="shared" si="12"/>
        <v>#VALUE!</v>
      </c>
      <c r="K41" s="14" t="e">
        <f t="shared" si="5"/>
        <v>#VALUE!</v>
      </c>
      <c r="L41" s="10" t="e">
        <f t="shared" si="3"/>
        <v>#VALUE!</v>
      </c>
      <c r="M41" s="10" t="e">
        <f t="shared" si="6"/>
        <v>#VALUE!</v>
      </c>
      <c r="N41" s="10" t="e">
        <f t="shared" si="7"/>
        <v>#VALUE!</v>
      </c>
      <c r="O41" s="10" t="e">
        <f t="shared" si="8"/>
        <v>#VALUE!</v>
      </c>
      <c r="P41" s="10" t="e">
        <f t="shared" si="9"/>
        <v>#VALUE!</v>
      </c>
    </row>
    <row r="42" spans="1:16" x14ac:dyDescent="0.25">
      <c r="A42" s="42" t="s">
        <v>84</v>
      </c>
      <c r="B42" s="70">
        <v>13.4</v>
      </c>
      <c r="C42" s="240" t="s">
        <v>27</v>
      </c>
      <c r="D42" s="242"/>
      <c r="E42" s="64">
        <f t="shared" si="4"/>
        <v>39</v>
      </c>
      <c r="F42" s="10" t="str">
        <f>IF((E42&lt;='Alternative 3'!$B$12),F41+1,"x")</f>
        <v>x</v>
      </c>
      <c r="G42" s="1">
        <f>IF(E42&lt;='Alternative 3'!$B$12,G41+1,0)</f>
        <v>0</v>
      </c>
      <c r="H42" s="62">
        <f t="shared" si="10"/>
        <v>2.08</v>
      </c>
      <c r="I42" s="66" t="e">
        <f t="shared" si="11"/>
        <v>#VALUE!</v>
      </c>
      <c r="J42" s="60" t="e">
        <f t="shared" si="12"/>
        <v>#VALUE!</v>
      </c>
      <c r="K42" s="14" t="e">
        <f t="shared" si="5"/>
        <v>#VALUE!</v>
      </c>
      <c r="L42" s="10" t="e">
        <f t="shared" si="3"/>
        <v>#VALUE!</v>
      </c>
      <c r="M42" s="10" t="e">
        <f t="shared" si="6"/>
        <v>#VALUE!</v>
      </c>
      <c r="N42" s="10" t="e">
        <f t="shared" si="7"/>
        <v>#VALUE!</v>
      </c>
      <c r="O42" s="10" t="e">
        <f t="shared" si="8"/>
        <v>#VALUE!</v>
      </c>
      <c r="P42" s="10" t="e">
        <f t="shared" si="9"/>
        <v>#VALUE!</v>
      </c>
    </row>
    <row r="43" spans="1:16" x14ac:dyDescent="0.25">
      <c r="A43" s="42" t="s">
        <v>85</v>
      </c>
      <c r="B43" s="70">
        <v>12</v>
      </c>
      <c r="C43" s="240" t="s">
        <v>27</v>
      </c>
      <c r="D43" s="242"/>
      <c r="E43" s="64">
        <f t="shared" si="4"/>
        <v>40</v>
      </c>
      <c r="F43" s="10" t="str">
        <f>IF((E43&lt;='Alternative 3'!$B$12),F42+1,"x")</f>
        <v>x</v>
      </c>
      <c r="G43" s="1">
        <f>IF(E43&lt;='Alternative 3'!$B$12,G42+1,0)</f>
        <v>0</v>
      </c>
      <c r="H43" s="62">
        <f t="shared" si="10"/>
        <v>2.08</v>
      </c>
      <c r="I43" s="66" t="e">
        <f t="shared" si="11"/>
        <v>#VALUE!</v>
      </c>
      <c r="J43" s="60" t="e">
        <f t="shared" si="12"/>
        <v>#VALUE!</v>
      </c>
      <c r="K43" s="14" t="e">
        <f t="shared" si="5"/>
        <v>#VALUE!</v>
      </c>
      <c r="L43" s="10" t="e">
        <f t="shared" si="3"/>
        <v>#VALUE!</v>
      </c>
      <c r="M43" s="10" t="e">
        <f t="shared" si="6"/>
        <v>#VALUE!</v>
      </c>
      <c r="N43" s="10" t="e">
        <f t="shared" si="7"/>
        <v>#VALUE!</v>
      </c>
      <c r="O43" s="10" t="e">
        <f t="shared" si="8"/>
        <v>#VALUE!</v>
      </c>
      <c r="P43" s="10" t="e">
        <f t="shared" si="9"/>
        <v>#VALUE!</v>
      </c>
    </row>
    <row r="44" spans="1:16" x14ac:dyDescent="0.25">
      <c r="A44" s="42" t="s">
        <v>86</v>
      </c>
      <c r="B44" s="70">
        <v>7.5</v>
      </c>
      <c r="C44" s="240" t="s">
        <v>27</v>
      </c>
      <c r="D44" s="242"/>
      <c r="E44" s="64">
        <f t="shared" si="4"/>
        <v>41</v>
      </c>
      <c r="F44" s="10" t="str">
        <f>IF((E44&lt;='Alternative 3'!$B$12),F43+1,"x")</f>
        <v>x</v>
      </c>
      <c r="G44" s="1">
        <f>IF(E44&lt;='Alternative 3'!$B$12,G43+1,0)</f>
        <v>0</v>
      </c>
      <c r="H44" s="62">
        <f t="shared" si="10"/>
        <v>2.08</v>
      </c>
      <c r="I44" s="66" t="e">
        <f t="shared" si="11"/>
        <v>#VALUE!</v>
      </c>
      <c r="J44" s="60" t="e">
        <f t="shared" si="12"/>
        <v>#VALUE!</v>
      </c>
      <c r="K44" s="14" t="e">
        <f t="shared" si="5"/>
        <v>#VALUE!</v>
      </c>
      <c r="L44" s="10" t="e">
        <f t="shared" si="3"/>
        <v>#VALUE!</v>
      </c>
      <c r="M44" s="10" t="e">
        <f t="shared" si="6"/>
        <v>#VALUE!</v>
      </c>
      <c r="N44" s="10" t="e">
        <f t="shared" si="7"/>
        <v>#VALUE!</v>
      </c>
      <c r="O44" s="10" t="e">
        <f t="shared" si="8"/>
        <v>#VALUE!</v>
      </c>
      <c r="P44" s="10" t="e">
        <f t="shared" si="9"/>
        <v>#VALUE!</v>
      </c>
    </row>
    <row r="45" spans="1:16" x14ac:dyDescent="0.25">
      <c r="A45" s="42" t="s">
        <v>87</v>
      </c>
      <c r="B45" s="70">
        <v>3</v>
      </c>
      <c r="C45" s="240" t="s">
        <v>27</v>
      </c>
      <c r="D45" s="242"/>
      <c r="E45" s="64">
        <f t="shared" si="4"/>
        <v>42</v>
      </c>
      <c r="F45" s="10" t="str">
        <f>IF((E45&lt;='Alternative 3'!$B$12),F44+1,"x")</f>
        <v>x</v>
      </c>
      <c r="G45" s="1">
        <f>IF(E45&lt;='Alternative 3'!$B$12,G44+1,0)</f>
        <v>0</v>
      </c>
      <c r="H45" s="62">
        <f t="shared" si="10"/>
        <v>2.08</v>
      </c>
      <c r="I45" s="66" t="e">
        <f t="shared" si="11"/>
        <v>#VALUE!</v>
      </c>
      <c r="J45" s="60" t="e">
        <f t="shared" si="12"/>
        <v>#VALUE!</v>
      </c>
      <c r="K45" s="14" t="e">
        <f t="shared" si="5"/>
        <v>#VALUE!</v>
      </c>
      <c r="L45" s="10" t="e">
        <f t="shared" si="3"/>
        <v>#VALUE!</v>
      </c>
      <c r="M45" s="10" t="e">
        <f t="shared" si="6"/>
        <v>#VALUE!</v>
      </c>
      <c r="N45" s="10" t="e">
        <f t="shared" si="7"/>
        <v>#VALUE!</v>
      </c>
      <c r="O45" s="10" t="e">
        <f t="shared" si="8"/>
        <v>#VALUE!</v>
      </c>
      <c r="P45" s="10" t="e">
        <f t="shared" si="9"/>
        <v>#VALUE!</v>
      </c>
    </row>
    <row r="46" spans="1:16" x14ac:dyDescent="0.25">
      <c r="A46" s="42" t="s">
        <v>88</v>
      </c>
      <c r="B46" s="81">
        <v>4.2</v>
      </c>
      <c r="C46" s="238" t="s">
        <v>56</v>
      </c>
      <c r="D46" s="242"/>
      <c r="E46" s="64">
        <f t="shared" si="4"/>
        <v>43</v>
      </c>
      <c r="F46" s="10" t="str">
        <f>IF((E46&lt;='Alternative 3'!$B$12),F45+1,"x")</f>
        <v>x</v>
      </c>
      <c r="G46" s="1">
        <f>IF(E46&lt;='Alternative 3'!$B$12,G45+1,0)</f>
        <v>0</v>
      </c>
      <c r="H46" s="62">
        <f t="shared" si="10"/>
        <v>2.08</v>
      </c>
      <c r="I46" s="66" t="e">
        <f t="shared" si="11"/>
        <v>#VALUE!</v>
      </c>
      <c r="J46" s="60" t="e">
        <f t="shared" si="12"/>
        <v>#VALUE!</v>
      </c>
      <c r="K46" s="14" t="e">
        <f t="shared" si="5"/>
        <v>#VALUE!</v>
      </c>
      <c r="L46" s="10" t="e">
        <f t="shared" si="3"/>
        <v>#VALUE!</v>
      </c>
      <c r="M46" s="10" t="e">
        <f t="shared" si="6"/>
        <v>#VALUE!</v>
      </c>
      <c r="N46" s="10" t="e">
        <f t="shared" si="7"/>
        <v>#VALUE!</v>
      </c>
      <c r="O46" s="10" t="e">
        <f t="shared" si="8"/>
        <v>#VALUE!</v>
      </c>
      <c r="P46" s="10" t="e">
        <f t="shared" si="9"/>
        <v>#VALUE!</v>
      </c>
    </row>
    <row r="47" spans="1:16" ht="18" x14ac:dyDescent="0.35">
      <c r="A47" s="42" t="s">
        <v>89</v>
      </c>
      <c r="B47" s="81">
        <v>0.56000000000000005</v>
      </c>
      <c r="C47" s="238" t="s">
        <v>56</v>
      </c>
      <c r="D47" s="242"/>
      <c r="E47" s="64">
        <f t="shared" si="4"/>
        <v>44</v>
      </c>
      <c r="F47" s="10" t="str">
        <f>IF((E47&lt;='Alternative 3'!$B$12),F46+1,"x")</f>
        <v>x</v>
      </c>
      <c r="G47" s="1">
        <f>IF(E47&lt;='Alternative 3'!$B$12,G46+1,0)</f>
        <v>0</v>
      </c>
      <c r="H47" s="62">
        <f t="shared" si="10"/>
        <v>2.08</v>
      </c>
      <c r="I47" s="66" t="e">
        <f t="shared" si="11"/>
        <v>#VALUE!</v>
      </c>
      <c r="J47" s="60" t="e">
        <f t="shared" si="12"/>
        <v>#VALUE!</v>
      </c>
      <c r="K47" s="14" t="e">
        <f t="shared" si="5"/>
        <v>#VALUE!</v>
      </c>
      <c r="L47" s="10" t="e">
        <f t="shared" si="3"/>
        <v>#VALUE!</v>
      </c>
      <c r="M47" s="10" t="e">
        <f t="shared" si="6"/>
        <v>#VALUE!</v>
      </c>
      <c r="N47" s="10" t="e">
        <f t="shared" si="7"/>
        <v>#VALUE!</v>
      </c>
      <c r="O47" s="10" t="e">
        <f t="shared" si="8"/>
        <v>#VALUE!</v>
      </c>
      <c r="P47" s="10" t="e">
        <f t="shared" si="9"/>
        <v>#VALUE!</v>
      </c>
    </row>
    <row r="48" spans="1:16" x14ac:dyDescent="0.25">
      <c r="A48" s="42" t="s">
        <v>90</v>
      </c>
      <c r="B48" s="81">
        <v>1.2250000000000001</v>
      </c>
      <c r="C48" s="240" t="s">
        <v>91</v>
      </c>
      <c r="D48" s="242"/>
      <c r="E48" s="64">
        <f t="shared" si="4"/>
        <v>45</v>
      </c>
      <c r="F48" s="10" t="str">
        <f>IF((E48&lt;='Alternative 3'!$B$12),F47+1,"x")</f>
        <v>x</v>
      </c>
      <c r="G48" s="1">
        <f>IF(E48&lt;='Alternative 3'!$B$12,G47+1,0)</f>
        <v>0</v>
      </c>
      <c r="H48" s="62">
        <f t="shared" si="10"/>
        <v>2.08</v>
      </c>
      <c r="I48" s="66" t="e">
        <f t="shared" si="11"/>
        <v>#VALUE!</v>
      </c>
      <c r="J48" s="60" t="e">
        <f t="shared" si="12"/>
        <v>#VALUE!</v>
      </c>
      <c r="K48" s="14" t="e">
        <f t="shared" si="5"/>
        <v>#VALUE!</v>
      </c>
      <c r="L48" s="10" t="e">
        <f t="shared" si="3"/>
        <v>#VALUE!</v>
      </c>
      <c r="M48" s="10" t="e">
        <f t="shared" si="6"/>
        <v>#VALUE!</v>
      </c>
      <c r="N48" s="10" t="e">
        <f t="shared" si="7"/>
        <v>#VALUE!</v>
      </c>
      <c r="O48" s="10" t="e">
        <f t="shared" si="8"/>
        <v>#VALUE!</v>
      </c>
      <c r="P48" s="10" t="e">
        <f t="shared" si="9"/>
        <v>#VALUE!</v>
      </c>
    </row>
    <row r="49" spans="1:16" x14ac:dyDescent="0.25">
      <c r="A49" s="73" t="s">
        <v>92</v>
      </c>
      <c r="B49" s="134">
        <f>PI()*(B9/2)^2</f>
        <v>2083.0722788708822</v>
      </c>
      <c r="C49" s="241" t="s">
        <v>93</v>
      </c>
      <c r="D49" s="242"/>
      <c r="E49" s="64">
        <f t="shared" si="4"/>
        <v>46</v>
      </c>
      <c r="F49" s="10" t="str">
        <f>IF((E49&lt;='Alternative 3'!$B$12),F48+1,"x")</f>
        <v>x</v>
      </c>
      <c r="G49" s="1">
        <f>IF(E49&lt;='Alternative 3'!$B$12,G48+1,0)</f>
        <v>0</v>
      </c>
      <c r="H49" s="62">
        <f t="shared" si="10"/>
        <v>2.08</v>
      </c>
      <c r="I49" s="66" t="e">
        <f t="shared" si="11"/>
        <v>#VALUE!</v>
      </c>
      <c r="J49" s="60" t="e">
        <f t="shared" si="12"/>
        <v>#VALUE!</v>
      </c>
      <c r="K49" s="14" t="e">
        <f t="shared" si="5"/>
        <v>#VALUE!</v>
      </c>
      <c r="L49" s="10" t="e">
        <f t="shared" si="3"/>
        <v>#VALUE!</v>
      </c>
      <c r="M49" s="10" t="e">
        <f t="shared" si="6"/>
        <v>#VALUE!</v>
      </c>
      <c r="N49" s="10" t="e">
        <f t="shared" si="7"/>
        <v>#VALUE!</v>
      </c>
      <c r="O49" s="10" t="e">
        <f t="shared" si="8"/>
        <v>#VALUE!</v>
      </c>
      <c r="P49" s="10" t="e">
        <f t="shared" si="9"/>
        <v>#VALUE!</v>
      </c>
    </row>
    <row r="50" spans="1:16" x14ac:dyDescent="0.25">
      <c r="A50" s="75"/>
      <c r="B50" s="76"/>
      <c r="C50" s="76"/>
      <c r="D50" s="242"/>
      <c r="E50" s="64">
        <f t="shared" si="4"/>
        <v>47</v>
      </c>
      <c r="F50" s="10" t="str">
        <f>IF((E50&lt;='Alternative 3'!$B$12),F49+1,"x")</f>
        <v>x</v>
      </c>
      <c r="G50" s="1">
        <f>IF(E50&lt;='Alternative 3'!$B$12,G49+1,0)</f>
        <v>0</v>
      </c>
      <c r="H50" s="62">
        <f t="shared" si="10"/>
        <v>2.08</v>
      </c>
      <c r="I50" s="66" t="e">
        <f t="shared" si="11"/>
        <v>#VALUE!</v>
      </c>
      <c r="J50" s="60" t="e">
        <f t="shared" si="12"/>
        <v>#VALUE!</v>
      </c>
      <c r="K50" s="14" t="e">
        <f t="shared" si="5"/>
        <v>#VALUE!</v>
      </c>
      <c r="L50" s="10" t="e">
        <f t="shared" si="3"/>
        <v>#VALUE!</v>
      </c>
      <c r="M50" s="10" t="e">
        <f t="shared" si="6"/>
        <v>#VALUE!</v>
      </c>
      <c r="N50" s="10" t="e">
        <f t="shared" si="7"/>
        <v>#VALUE!</v>
      </c>
      <c r="O50" s="10" t="e">
        <f t="shared" si="8"/>
        <v>#VALUE!</v>
      </c>
      <c r="P50" s="10" t="e">
        <f t="shared" si="9"/>
        <v>#VALUE!</v>
      </c>
    </row>
    <row r="51" spans="1:16" x14ac:dyDescent="0.25">
      <c r="A51" s="15"/>
      <c r="C51" s="15"/>
      <c r="D51" s="242"/>
      <c r="E51" s="64">
        <f t="shared" si="4"/>
        <v>48</v>
      </c>
      <c r="F51" s="10" t="str">
        <f>IF((E51&lt;='Alternative 3'!$B$12),F50+1,"x")</f>
        <v>x</v>
      </c>
      <c r="G51" s="1">
        <f>IF(E51&lt;='Alternative 3'!$B$12,G50+1,0)</f>
        <v>0</v>
      </c>
      <c r="H51" s="62">
        <f t="shared" si="10"/>
        <v>2.08</v>
      </c>
      <c r="I51" s="66" t="e">
        <f t="shared" si="11"/>
        <v>#VALUE!</v>
      </c>
      <c r="J51" s="60" t="e">
        <f t="shared" si="12"/>
        <v>#VALUE!</v>
      </c>
      <c r="K51" s="14" t="e">
        <f t="shared" si="5"/>
        <v>#VALUE!</v>
      </c>
      <c r="L51" s="10" t="e">
        <f t="shared" si="3"/>
        <v>#VALUE!</v>
      </c>
      <c r="M51" s="10" t="e">
        <f t="shared" si="6"/>
        <v>#VALUE!</v>
      </c>
      <c r="N51" s="10" t="e">
        <f t="shared" si="7"/>
        <v>#VALUE!</v>
      </c>
      <c r="O51" s="10" t="e">
        <f t="shared" si="8"/>
        <v>#VALUE!</v>
      </c>
      <c r="P51" s="10" t="e">
        <f t="shared" si="9"/>
        <v>#VALUE!</v>
      </c>
    </row>
    <row r="52" spans="1:16" x14ac:dyDescent="0.25">
      <c r="A52" s="15"/>
      <c r="C52" s="15"/>
      <c r="D52" s="242"/>
      <c r="E52" s="64">
        <f t="shared" si="4"/>
        <v>49</v>
      </c>
      <c r="F52" s="10" t="str">
        <f>IF((E52&lt;='Alternative 3'!$B$12),F51+1,"x")</f>
        <v>x</v>
      </c>
      <c r="G52" s="1">
        <f>IF(E52&lt;='Alternative 3'!$B$12,G51+1,0)</f>
        <v>0</v>
      </c>
      <c r="H52" s="62">
        <f t="shared" si="10"/>
        <v>2.08</v>
      </c>
      <c r="I52" s="66" t="e">
        <f t="shared" si="11"/>
        <v>#VALUE!</v>
      </c>
      <c r="J52" s="60" t="e">
        <f t="shared" si="12"/>
        <v>#VALUE!</v>
      </c>
      <c r="K52" s="14" t="e">
        <f t="shared" si="5"/>
        <v>#VALUE!</v>
      </c>
      <c r="L52" s="10" t="e">
        <f t="shared" si="3"/>
        <v>#VALUE!</v>
      </c>
      <c r="M52" s="10" t="e">
        <f t="shared" si="6"/>
        <v>#VALUE!</v>
      </c>
      <c r="N52" s="10" t="e">
        <f t="shared" si="7"/>
        <v>#VALUE!</v>
      </c>
      <c r="O52" s="10" t="e">
        <f t="shared" si="8"/>
        <v>#VALUE!</v>
      </c>
      <c r="P52" s="10" t="e">
        <f t="shared" si="9"/>
        <v>#VALUE!</v>
      </c>
    </row>
    <row r="53" spans="1:16" x14ac:dyDescent="0.25">
      <c r="A53" s="15"/>
      <c r="C53" s="15"/>
      <c r="D53" s="242"/>
      <c r="E53" s="64">
        <f t="shared" si="4"/>
        <v>50</v>
      </c>
      <c r="F53" s="10" t="str">
        <f>IF((E53&lt;='Alternative 3'!$B$12),F52+1,"x")</f>
        <v>x</v>
      </c>
      <c r="G53" s="1">
        <f>IF(E53&lt;='Alternative 3'!$B$12,G52+1,0)</f>
        <v>0</v>
      </c>
      <c r="H53" s="62">
        <f t="shared" si="10"/>
        <v>2.08</v>
      </c>
      <c r="I53" s="66" t="e">
        <f t="shared" si="11"/>
        <v>#VALUE!</v>
      </c>
      <c r="J53" s="60" t="e">
        <f t="shared" si="12"/>
        <v>#VALUE!</v>
      </c>
      <c r="K53" s="14" t="e">
        <f t="shared" si="5"/>
        <v>#VALUE!</v>
      </c>
      <c r="L53" s="10" t="e">
        <f t="shared" si="3"/>
        <v>#VALUE!</v>
      </c>
      <c r="M53" s="10" t="e">
        <f t="shared" si="6"/>
        <v>#VALUE!</v>
      </c>
      <c r="N53" s="10" t="e">
        <f t="shared" si="7"/>
        <v>#VALUE!</v>
      </c>
      <c r="O53" s="10" t="e">
        <f t="shared" si="8"/>
        <v>#VALUE!</v>
      </c>
      <c r="P53" s="10" t="e">
        <f t="shared" si="9"/>
        <v>#VALUE!</v>
      </c>
    </row>
    <row r="54" spans="1:16" x14ac:dyDescent="0.25">
      <c r="A54" s="15"/>
      <c r="C54" s="15"/>
      <c r="D54" s="242"/>
      <c r="E54" s="64">
        <f t="shared" si="4"/>
        <v>51</v>
      </c>
      <c r="F54" s="10" t="str">
        <f>IF((E54&lt;='Alternative 3'!$B$12),F53+1,"x")</f>
        <v>x</v>
      </c>
      <c r="G54" s="1">
        <f>IF(E54&lt;='Alternative 3'!$B$12,G53+1,0)</f>
        <v>0</v>
      </c>
      <c r="H54" s="62">
        <f t="shared" si="10"/>
        <v>2.08</v>
      </c>
      <c r="I54" s="66" t="e">
        <f t="shared" si="11"/>
        <v>#VALUE!</v>
      </c>
      <c r="J54" s="60" t="e">
        <f t="shared" si="12"/>
        <v>#VALUE!</v>
      </c>
      <c r="K54" s="14" t="e">
        <f t="shared" si="5"/>
        <v>#VALUE!</v>
      </c>
      <c r="L54" s="10" t="e">
        <f t="shared" si="3"/>
        <v>#VALUE!</v>
      </c>
      <c r="M54" s="10" t="e">
        <f t="shared" si="6"/>
        <v>#VALUE!</v>
      </c>
      <c r="N54" s="10" t="e">
        <f t="shared" si="7"/>
        <v>#VALUE!</v>
      </c>
      <c r="O54" s="10" t="e">
        <f t="shared" si="8"/>
        <v>#VALUE!</v>
      </c>
      <c r="P54" s="10" t="e">
        <f t="shared" si="9"/>
        <v>#VALUE!</v>
      </c>
    </row>
    <row r="55" spans="1:16" x14ac:dyDescent="0.25">
      <c r="A55" s="15"/>
      <c r="C55" s="15"/>
      <c r="D55" s="242"/>
      <c r="E55" s="64">
        <f t="shared" si="4"/>
        <v>52</v>
      </c>
      <c r="F55" s="10" t="str">
        <f>IF((E55&lt;='Alternative 3'!$B$12),F54+1,"x")</f>
        <v>x</v>
      </c>
      <c r="G55" s="1">
        <f>IF(E55&lt;='Alternative 3'!$B$12,G54+1,0)</f>
        <v>0</v>
      </c>
      <c r="H55" s="62">
        <f t="shared" si="10"/>
        <v>2.08</v>
      </c>
      <c r="I55" s="66" t="e">
        <f t="shared" si="11"/>
        <v>#VALUE!</v>
      </c>
      <c r="J55" s="60" t="e">
        <f t="shared" si="12"/>
        <v>#VALUE!</v>
      </c>
      <c r="K55" s="14" t="e">
        <f t="shared" si="5"/>
        <v>#VALUE!</v>
      </c>
      <c r="L55" s="10" t="e">
        <f t="shared" si="3"/>
        <v>#VALUE!</v>
      </c>
      <c r="M55" s="10" t="e">
        <f t="shared" si="6"/>
        <v>#VALUE!</v>
      </c>
      <c r="N55" s="10" t="e">
        <f t="shared" si="7"/>
        <v>#VALUE!</v>
      </c>
      <c r="O55" s="10" t="e">
        <f t="shared" si="8"/>
        <v>#VALUE!</v>
      </c>
      <c r="P55" s="10" t="e">
        <f t="shared" si="9"/>
        <v>#VALUE!</v>
      </c>
    </row>
    <row r="56" spans="1:16" x14ac:dyDescent="0.25">
      <c r="A56" s="15"/>
      <c r="C56" s="15"/>
      <c r="D56" s="242"/>
      <c r="E56" s="64">
        <f t="shared" si="4"/>
        <v>53</v>
      </c>
      <c r="F56" s="10" t="str">
        <f>IF((E56&lt;='Alternative 3'!$B$12),F55+1,"x")</f>
        <v>x</v>
      </c>
      <c r="G56" s="1">
        <f>IF(E56&lt;='Alternative 3'!$B$12,G55+1,0)</f>
        <v>0</v>
      </c>
      <c r="H56" s="62">
        <f t="shared" si="10"/>
        <v>2.08</v>
      </c>
      <c r="I56" s="66" t="e">
        <f t="shared" si="11"/>
        <v>#VALUE!</v>
      </c>
      <c r="J56" s="60" t="e">
        <f t="shared" si="12"/>
        <v>#VALUE!</v>
      </c>
      <c r="K56" s="14" t="e">
        <f t="shared" si="5"/>
        <v>#VALUE!</v>
      </c>
      <c r="L56" s="10" t="e">
        <f t="shared" si="3"/>
        <v>#VALUE!</v>
      </c>
      <c r="M56" s="10" t="e">
        <f t="shared" si="6"/>
        <v>#VALUE!</v>
      </c>
      <c r="N56" s="10" t="e">
        <f t="shared" si="7"/>
        <v>#VALUE!</v>
      </c>
      <c r="O56" s="10" t="e">
        <f t="shared" si="8"/>
        <v>#VALUE!</v>
      </c>
      <c r="P56" s="10" t="e">
        <f t="shared" si="9"/>
        <v>#VALUE!</v>
      </c>
    </row>
    <row r="57" spans="1:16" x14ac:dyDescent="0.25">
      <c r="A57" s="15"/>
      <c r="C57" s="15"/>
      <c r="D57" s="242"/>
      <c r="E57" s="64">
        <f t="shared" si="4"/>
        <v>54</v>
      </c>
      <c r="F57" s="10" t="str">
        <f>IF((E57&lt;='Alternative 3'!$B$12),F56+1,"x")</f>
        <v>x</v>
      </c>
      <c r="G57" s="1">
        <f>IF(E57&lt;='Alternative 3'!$B$12,G56+1,0)</f>
        <v>0</v>
      </c>
      <c r="H57" s="62">
        <f t="shared" si="10"/>
        <v>2.08</v>
      </c>
      <c r="I57" s="66" t="e">
        <f t="shared" si="11"/>
        <v>#VALUE!</v>
      </c>
      <c r="J57" s="60" t="e">
        <f t="shared" si="12"/>
        <v>#VALUE!</v>
      </c>
      <c r="K57" s="14" t="e">
        <f t="shared" si="5"/>
        <v>#VALUE!</v>
      </c>
      <c r="L57" s="10" t="e">
        <f t="shared" si="3"/>
        <v>#VALUE!</v>
      </c>
      <c r="M57" s="10" t="e">
        <f t="shared" si="6"/>
        <v>#VALUE!</v>
      </c>
      <c r="N57" s="10" t="e">
        <f t="shared" si="7"/>
        <v>#VALUE!</v>
      </c>
      <c r="O57" s="10" t="e">
        <f t="shared" si="8"/>
        <v>#VALUE!</v>
      </c>
      <c r="P57" s="10" t="e">
        <f t="shared" si="9"/>
        <v>#VALUE!</v>
      </c>
    </row>
    <row r="58" spans="1:16" x14ac:dyDescent="0.25">
      <c r="A58" s="15"/>
      <c r="C58" s="15"/>
      <c r="D58" s="242"/>
      <c r="E58" s="64">
        <f t="shared" si="4"/>
        <v>55</v>
      </c>
      <c r="F58" s="10" t="str">
        <f>IF((E58&lt;='Alternative 3'!$B$12),F57+1,"x")</f>
        <v>x</v>
      </c>
      <c r="G58" s="1">
        <f>IF(E58&lt;='Alternative 3'!$B$12,G57+1,0)</f>
        <v>0</v>
      </c>
      <c r="H58" s="62">
        <f t="shared" si="10"/>
        <v>2.08</v>
      </c>
      <c r="I58" s="66" t="e">
        <f t="shared" si="11"/>
        <v>#VALUE!</v>
      </c>
      <c r="J58" s="60" t="e">
        <f t="shared" si="12"/>
        <v>#VALUE!</v>
      </c>
      <c r="K58" s="14" t="e">
        <f t="shared" si="5"/>
        <v>#VALUE!</v>
      </c>
      <c r="L58" s="10" t="e">
        <f t="shared" si="3"/>
        <v>#VALUE!</v>
      </c>
      <c r="M58" s="10" t="e">
        <f t="shared" si="6"/>
        <v>#VALUE!</v>
      </c>
      <c r="N58" s="10" t="e">
        <f t="shared" si="7"/>
        <v>#VALUE!</v>
      </c>
      <c r="O58" s="10" t="e">
        <f t="shared" si="8"/>
        <v>#VALUE!</v>
      </c>
      <c r="P58" s="10" t="e">
        <f t="shared" si="9"/>
        <v>#VALUE!</v>
      </c>
    </row>
    <row r="59" spans="1:16" x14ac:dyDescent="0.25">
      <c r="A59" s="15"/>
      <c r="C59" s="15"/>
      <c r="D59" s="242"/>
      <c r="E59" s="64">
        <f t="shared" si="4"/>
        <v>56</v>
      </c>
      <c r="F59" s="10" t="str">
        <f>IF((E59&lt;='Alternative 3'!$B$12),F58+1,"x")</f>
        <v>x</v>
      </c>
      <c r="G59" s="1">
        <f>IF(E59&lt;='Alternative 3'!$B$12,G58+1,0)</f>
        <v>0</v>
      </c>
      <c r="H59" s="62">
        <f t="shared" si="10"/>
        <v>2.08</v>
      </c>
      <c r="I59" s="66" t="e">
        <f t="shared" si="11"/>
        <v>#VALUE!</v>
      </c>
      <c r="J59" s="60" t="e">
        <f t="shared" si="12"/>
        <v>#VALUE!</v>
      </c>
      <c r="K59" s="14" t="e">
        <f t="shared" si="5"/>
        <v>#VALUE!</v>
      </c>
      <c r="L59" s="10" t="e">
        <f t="shared" si="3"/>
        <v>#VALUE!</v>
      </c>
      <c r="M59" s="10" t="e">
        <f t="shared" si="6"/>
        <v>#VALUE!</v>
      </c>
      <c r="N59" s="10" t="e">
        <f t="shared" si="7"/>
        <v>#VALUE!</v>
      </c>
      <c r="O59" s="10" t="e">
        <f t="shared" si="8"/>
        <v>#VALUE!</v>
      </c>
      <c r="P59" s="10" t="e">
        <f t="shared" si="9"/>
        <v>#VALUE!</v>
      </c>
    </row>
    <row r="60" spans="1:16" x14ac:dyDescent="0.25">
      <c r="A60" s="15"/>
      <c r="C60" s="15"/>
      <c r="D60" s="242"/>
      <c r="E60" s="64">
        <f t="shared" si="4"/>
        <v>57</v>
      </c>
      <c r="F60" s="10" t="str">
        <f>IF((E60&lt;='Alternative 3'!$B$12),F59+1,"x")</f>
        <v>x</v>
      </c>
      <c r="G60" s="1">
        <f>IF(E60&lt;='Alternative 3'!$B$12,G59+1,0)</f>
        <v>0</v>
      </c>
      <c r="H60" s="62">
        <f t="shared" si="10"/>
        <v>2.08</v>
      </c>
      <c r="I60" s="66" t="e">
        <f t="shared" si="11"/>
        <v>#VALUE!</v>
      </c>
      <c r="J60" s="60" t="e">
        <f t="shared" si="12"/>
        <v>#VALUE!</v>
      </c>
      <c r="K60" s="14" t="e">
        <f t="shared" si="5"/>
        <v>#VALUE!</v>
      </c>
      <c r="L60" s="10" t="e">
        <f t="shared" si="3"/>
        <v>#VALUE!</v>
      </c>
      <c r="M60" s="10" t="e">
        <f t="shared" si="6"/>
        <v>#VALUE!</v>
      </c>
      <c r="N60" s="10" t="e">
        <f t="shared" si="7"/>
        <v>#VALUE!</v>
      </c>
      <c r="O60" s="10" t="e">
        <f t="shared" si="8"/>
        <v>#VALUE!</v>
      </c>
      <c r="P60" s="10" t="e">
        <f t="shared" si="9"/>
        <v>#VALUE!</v>
      </c>
    </row>
    <row r="61" spans="1:16" x14ac:dyDescent="0.25">
      <c r="A61" s="15"/>
      <c r="C61" s="15"/>
      <c r="D61" s="242"/>
      <c r="E61" s="64">
        <f t="shared" si="4"/>
        <v>58</v>
      </c>
      <c r="F61" s="10" t="str">
        <f>IF((E61&lt;='Alternative 3'!$B$12),F60+1,"x")</f>
        <v>x</v>
      </c>
      <c r="G61" s="1">
        <f>IF(E61&lt;='Alternative 3'!$B$12,G60+1,0)</f>
        <v>0</v>
      </c>
      <c r="H61" s="62">
        <f t="shared" si="10"/>
        <v>2.08</v>
      </c>
      <c r="I61" s="66" t="e">
        <f t="shared" si="11"/>
        <v>#VALUE!</v>
      </c>
      <c r="J61" s="60" t="e">
        <f t="shared" si="12"/>
        <v>#VALUE!</v>
      </c>
      <c r="K61" s="14" t="e">
        <f t="shared" si="5"/>
        <v>#VALUE!</v>
      </c>
      <c r="L61" s="10" t="e">
        <f t="shared" si="3"/>
        <v>#VALUE!</v>
      </c>
      <c r="M61" s="10" t="e">
        <f t="shared" si="6"/>
        <v>#VALUE!</v>
      </c>
      <c r="N61" s="10" t="e">
        <f t="shared" si="7"/>
        <v>#VALUE!</v>
      </c>
      <c r="O61" s="10" t="e">
        <f t="shared" si="8"/>
        <v>#VALUE!</v>
      </c>
      <c r="P61" s="10" t="e">
        <f t="shared" si="9"/>
        <v>#VALUE!</v>
      </c>
    </row>
    <row r="62" spans="1:16" x14ac:dyDescent="0.25">
      <c r="A62" s="15"/>
      <c r="C62" s="15"/>
      <c r="D62" s="242"/>
      <c r="E62" s="64">
        <f t="shared" si="4"/>
        <v>59</v>
      </c>
      <c r="F62" s="10" t="str">
        <f>IF((E62&lt;='Alternative 3'!$B$12),F61+1,"x")</f>
        <v>x</v>
      </c>
      <c r="G62" s="1">
        <f>IF(E62&lt;='Alternative 3'!$B$12,G61+1,0)</f>
        <v>0</v>
      </c>
      <c r="H62" s="62">
        <f t="shared" si="10"/>
        <v>2.08</v>
      </c>
      <c r="I62" s="66" t="e">
        <f t="shared" si="11"/>
        <v>#VALUE!</v>
      </c>
      <c r="J62" s="60" t="e">
        <f t="shared" si="12"/>
        <v>#VALUE!</v>
      </c>
      <c r="K62" s="14" t="e">
        <f t="shared" si="5"/>
        <v>#VALUE!</v>
      </c>
      <c r="L62" s="10" t="e">
        <f t="shared" si="3"/>
        <v>#VALUE!</v>
      </c>
      <c r="M62" s="10" t="e">
        <f t="shared" si="6"/>
        <v>#VALUE!</v>
      </c>
      <c r="N62" s="10" t="e">
        <f t="shared" si="7"/>
        <v>#VALUE!</v>
      </c>
      <c r="O62" s="10" t="e">
        <f t="shared" si="8"/>
        <v>#VALUE!</v>
      </c>
      <c r="P62" s="10" t="e">
        <f t="shared" si="9"/>
        <v>#VALUE!</v>
      </c>
    </row>
    <row r="63" spans="1:16" x14ac:dyDescent="0.25">
      <c r="A63" s="15"/>
      <c r="C63" s="15"/>
      <c r="D63" s="242"/>
      <c r="E63" s="64">
        <f t="shared" si="4"/>
        <v>60</v>
      </c>
      <c r="F63" s="10" t="str">
        <f>IF((E63&lt;='Alternative 3'!$B$12),F62+1,"x")</f>
        <v>x</v>
      </c>
      <c r="G63" s="1">
        <f>IF(E63&lt;='Alternative 3'!$B$12,G62+1,0)</f>
        <v>0</v>
      </c>
      <c r="H63" s="62">
        <f t="shared" si="10"/>
        <v>2.08</v>
      </c>
      <c r="I63" s="66" t="e">
        <f t="shared" si="11"/>
        <v>#VALUE!</v>
      </c>
      <c r="J63" s="60" t="e">
        <f t="shared" si="12"/>
        <v>#VALUE!</v>
      </c>
      <c r="K63" s="14" t="e">
        <f t="shared" si="5"/>
        <v>#VALUE!</v>
      </c>
      <c r="L63" s="10" t="e">
        <f t="shared" si="3"/>
        <v>#VALUE!</v>
      </c>
      <c r="M63" s="10" t="e">
        <f t="shared" si="6"/>
        <v>#VALUE!</v>
      </c>
      <c r="N63" s="10" t="e">
        <f t="shared" si="7"/>
        <v>#VALUE!</v>
      </c>
      <c r="O63" s="10" t="e">
        <f t="shared" si="8"/>
        <v>#VALUE!</v>
      </c>
      <c r="P63" s="10" t="e">
        <f t="shared" si="9"/>
        <v>#VALUE!</v>
      </c>
    </row>
    <row r="64" spans="1:16" x14ac:dyDescent="0.25">
      <c r="A64" s="15"/>
      <c r="C64" s="15"/>
      <c r="D64" s="242"/>
      <c r="E64" s="64">
        <f t="shared" si="4"/>
        <v>61</v>
      </c>
      <c r="F64" s="10" t="str">
        <f>IF((E64&lt;='Alternative 3'!$B$12),F63+1,"x")</f>
        <v>x</v>
      </c>
      <c r="G64" s="1">
        <f>IF(E64&lt;='Alternative 3'!$B$12,G63+1,0)</f>
        <v>0</v>
      </c>
      <c r="H64" s="62">
        <f t="shared" si="10"/>
        <v>2.08</v>
      </c>
      <c r="I64" s="66" t="e">
        <f t="shared" si="11"/>
        <v>#VALUE!</v>
      </c>
      <c r="J64" s="60" t="e">
        <f t="shared" si="12"/>
        <v>#VALUE!</v>
      </c>
      <c r="K64" s="14" t="e">
        <f t="shared" si="5"/>
        <v>#VALUE!</v>
      </c>
      <c r="L64" s="10" t="e">
        <f t="shared" si="3"/>
        <v>#VALUE!</v>
      </c>
      <c r="M64" s="10" t="e">
        <f t="shared" si="6"/>
        <v>#VALUE!</v>
      </c>
      <c r="N64" s="10" t="e">
        <f t="shared" si="7"/>
        <v>#VALUE!</v>
      </c>
      <c r="O64" s="10" t="e">
        <f t="shared" si="8"/>
        <v>#VALUE!</v>
      </c>
      <c r="P64" s="10" t="e">
        <f t="shared" si="9"/>
        <v>#VALUE!</v>
      </c>
    </row>
    <row r="65" spans="1:16" x14ac:dyDescent="0.25">
      <c r="A65" s="15"/>
      <c r="C65" s="15"/>
      <c r="D65" s="242"/>
      <c r="E65" s="64">
        <f t="shared" si="4"/>
        <v>62</v>
      </c>
      <c r="F65" s="10" t="str">
        <f>IF((E65&lt;='Alternative 3'!$B$12),F64+1,"x")</f>
        <v>x</v>
      </c>
      <c r="G65" s="1">
        <f>IF(E65&lt;='Alternative 3'!$B$12,G64+1,0)</f>
        <v>0</v>
      </c>
      <c r="H65" s="62">
        <f t="shared" si="10"/>
        <v>2.08</v>
      </c>
      <c r="I65" s="66" t="e">
        <f t="shared" si="11"/>
        <v>#VALUE!</v>
      </c>
      <c r="J65" s="60" t="e">
        <f t="shared" si="12"/>
        <v>#VALUE!</v>
      </c>
      <c r="K65" s="14" t="e">
        <f t="shared" si="5"/>
        <v>#VALUE!</v>
      </c>
      <c r="L65" s="10" t="e">
        <f t="shared" si="3"/>
        <v>#VALUE!</v>
      </c>
      <c r="M65" s="10" t="e">
        <f t="shared" si="6"/>
        <v>#VALUE!</v>
      </c>
      <c r="N65" s="10" t="e">
        <f t="shared" si="7"/>
        <v>#VALUE!</v>
      </c>
      <c r="O65" s="10" t="e">
        <f t="shared" si="8"/>
        <v>#VALUE!</v>
      </c>
      <c r="P65" s="10" t="e">
        <f t="shared" si="9"/>
        <v>#VALUE!</v>
      </c>
    </row>
    <row r="66" spans="1:16" x14ac:dyDescent="0.25">
      <c r="A66" s="15"/>
      <c r="C66" s="15"/>
      <c r="D66" s="242"/>
      <c r="E66" s="64">
        <f t="shared" si="4"/>
        <v>63</v>
      </c>
      <c r="F66" s="10" t="str">
        <f>IF((E66&lt;='Alternative 3'!$B$12),F65+1,"x")</f>
        <v>x</v>
      </c>
      <c r="G66" s="1">
        <f>IF(E66&lt;='Alternative 3'!$B$12,G65+1,0)</f>
        <v>0</v>
      </c>
      <c r="H66" s="62">
        <f t="shared" si="10"/>
        <v>2.08</v>
      </c>
      <c r="I66" s="66" t="e">
        <f t="shared" si="11"/>
        <v>#VALUE!</v>
      </c>
      <c r="J66" s="60" t="e">
        <f t="shared" si="12"/>
        <v>#VALUE!</v>
      </c>
      <c r="K66" s="14" t="e">
        <f t="shared" si="5"/>
        <v>#VALUE!</v>
      </c>
      <c r="L66" s="10" t="e">
        <f t="shared" si="3"/>
        <v>#VALUE!</v>
      </c>
      <c r="M66" s="10" t="e">
        <f t="shared" si="6"/>
        <v>#VALUE!</v>
      </c>
      <c r="N66" s="10" t="e">
        <f t="shared" si="7"/>
        <v>#VALUE!</v>
      </c>
      <c r="O66" s="10" t="e">
        <f t="shared" si="8"/>
        <v>#VALUE!</v>
      </c>
      <c r="P66" s="10" t="e">
        <f t="shared" si="9"/>
        <v>#VALUE!</v>
      </c>
    </row>
    <row r="67" spans="1:16" x14ac:dyDescent="0.25">
      <c r="A67" s="15"/>
      <c r="C67" s="15"/>
      <c r="D67" s="242"/>
      <c r="E67" s="64">
        <f t="shared" si="4"/>
        <v>64</v>
      </c>
      <c r="F67" s="10" t="str">
        <f>IF((E67&lt;='Alternative 3'!$B$12),F66+1,"x")</f>
        <v>x</v>
      </c>
      <c r="G67" s="1">
        <f>IF(E67&lt;='Alternative 3'!$B$12,G66+1,0)</f>
        <v>0</v>
      </c>
      <c r="H67" s="62">
        <f t="shared" si="10"/>
        <v>2.08</v>
      </c>
      <c r="I67" s="66" t="e">
        <f t="shared" si="11"/>
        <v>#VALUE!</v>
      </c>
      <c r="J67" s="60" t="e">
        <f t="shared" si="12"/>
        <v>#VALUE!</v>
      </c>
      <c r="K67" s="14" t="e">
        <f t="shared" si="5"/>
        <v>#VALUE!</v>
      </c>
      <c r="L67" s="10" t="e">
        <f t="shared" si="3"/>
        <v>#VALUE!</v>
      </c>
      <c r="M67" s="10" t="e">
        <f t="shared" si="6"/>
        <v>#VALUE!</v>
      </c>
      <c r="N67" s="10" t="e">
        <f t="shared" si="7"/>
        <v>#VALUE!</v>
      </c>
      <c r="O67" s="10" t="e">
        <f t="shared" si="8"/>
        <v>#VALUE!</v>
      </c>
      <c r="P67" s="10" t="e">
        <f t="shared" si="9"/>
        <v>#VALUE!</v>
      </c>
    </row>
    <row r="68" spans="1:16" x14ac:dyDescent="0.25">
      <c r="A68" s="15"/>
      <c r="C68" s="15"/>
      <c r="D68" s="242"/>
      <c r="E68" s="64">
        <f t="shared" si="4"/>
        <v>65</v>
      </c>
      <c r="F68" s="10" t="str">
        <f>IF((E68&lt;='Alternative 3'!$B$12),F67+1,"x")</f>
        <v>x</v>
      </c>
      <c r="G68" s="1">
        <f>IF(E68&lt;='Alternative 3'!$B$12,G67+1,0)</f>
        <v>0</v>
      </c>
      <c r="H68" s="62">
        <f t="shared" ref="H68:H93" si="13">IF(F68&gt;0,(($B$16)-((($B$16)-($B$15))/$B$12)*G68),0)</f>
        <v>2.08</v>
      </c>
      <c r="I68" s="66" t="e">
        <f t="shared" ref="I68:I93" si="14">IF(F68&gt;0,(($B$16/2)-((($B$16/2)-($B$15/2))/$B$12)*F68),0)</f>
        <v>#VALUE!</v>
      </c>
      <c r="J68" s="60" t="e">
        <f t="shared" ref="J68:J93" si="15">IF(F68&gt;0,I68-$B$17,0)</f>
        <v>#VALUE!</v>
      </c>
      <c r="K68" s="14" t="e">
        <f t="shared" si="5"/>
        <v>#VALUE!</v>
      </c>
      <c r="L68" s="10" t="e">
        <f t="shared" ref="L68:L93" si="16">2*3.14159*K68*$B$17</f>
        <v>#VALUE!</v>
      </c>
      <c r="M68" s="10" t="e">
        <f t="shared" si="6"/>
        <v>#VALUE!</v>
      </c>
      <c r="N68" s="10" t="e">
        <f t="shared" si="7"/>
        <v>#VALUE!</v>
      </c>
      <c r="O68" s="10" t="e">
        <f t="shared" si="8"/>
        <v>#VALUE!</v>
      </c>
      <c r="P68" s="10" t="e">
        <f t="shared" si="9"/>
        <v>#VALUE!</v>
      </c>
    </row>
    <row r="69" spans="1:16" x14ac:dyDescent="0.25">
      <c r="A69" s="15"/>
      <c r="C69" s="15"/>
      <c r="D69" s="242"/>
      <c r="E69" s="64">
        <f t="shared" ref="E69:E92" si="17">E68+1</f>
        <v>66</v>
      </c>
      <c r="F69" s="10" t="str">
        <f>IF((E69&lt;='Alternative 3'!$B$12),F68+1,"x")</f>
        <v>x</v>
      </c>
      <c r="G69" s="1">
        <f>IF(E69&lt;='Alternative 3'!$B$12,G68+1,0)</f>
        <v>0</v>
      </c>
      <c r="H69" s="62">
        <f t="shared" si="13"/>
        <v>2.08</v>
      </c>
      <c r="I69" s="66" t="e">
        <f t="shared" si="14"/>
        <v>#VALUE!</v>
      </c>
      <c r="J69" s="60" t="e">
        <f t="shared" si="15"/>
        <v>#VALUE!</v>
      </c>
      <c r="K69" s="14" t="e">
        <f t="shared" ref="K69:K93" si="18">AVERAGE(I69:J69)</f>
        <v>#VALUE!</v>
      </c>
      <c r="L69" s="10" t="e">
        <f t="shared" si="16"/>
        <v>#VALUE!</v>
      </c>
      <c r="M69" s="10" t="e">
        <f t="shared" ref="M69:M93" si="19">(3.141593)*(K69^2)</f>
        <v>#VALUE!</v>
      </c>
      <c r="N69" s="10" t="e">
        <f t="shared" ref="N69:N93" si="20">SQRT(L69/M69)</f>
        <v>#VALUE!</v>
      </c>
      <c r="O69" s="10" t="e">
        <f t="shared" ref="O69:O93" si="21">($I$9*F69)/N69</f>
        <v>#VALUE!</v>
      </c>
      <c r="P69" s="10" t="e">
        <f t="shared" ref="P69:P93" si="22">($I$9*F69)/K69</f>
        <v>#VALUE!</v>
      </c>
    </row>
    <row r="70" spans="1:16" x14ac:dyDescent="0.25">
      <c r="A70" s="15"/>
      <c r="C70" s="15"/>
      <c r="D70" s="242"/>
      <c r="E70" s="64">
        <f t="shared" si="17"/>
        <v>67</v>
      </c>
      <c r="F70" s="10" t="str">
        <f>IF((E70&lt;='Alternative 3'!$B$12),F69+1,"x")</f>
        <v>x</v>
      </c>
      <c r="G70" s="1">
        <f>IF(E70&lt;='Alternative 3'!$B$12,G69+1,0)</f>
        <v>0</v>
      </c>
      <c r="H70" s="62">
        <f t="shared" si="13"/>
        <v>2.08</v>
      </c>
      <c r="I70" s="66" t="e">
        <f t="shared" si="14"/>
        <v>#VALUE!</v>
      </c>
      <c r="J70" s="60" t="e">
        <f t="shared" si="15"/>
        <v>#VALUE!</v>
      </c>
      <c r="K70" s="14" t="e">
        <f t="shared" si="18"/>
        <v>#VALUE!</v>
      </c>
      <c r="L70" s="10" t="e">
        <f t="shared" si="16"/>
        <v>#VALUE!</v>
      </c>
      <c r="M70" s="10" t="e">
        <f t="shared" si="19"/>
        <v>#VALUE!</v>
      </c>
      <c r="N70" s="10" t="e">
        <f t="shared" si="20"/>
        <v>#VALUE!</v>
      </c>
      <c r="O70" s="10" t="e">
        <f t="shared" si="21"/>
        <v>#VALUE!</v>
      </c>
      <c r="P70" s="10" t="e">
        <f t="shared" si="22"/>
        <v>#VALUE!</v>
      </c>
    </row>
    <row r="71" spans="1:16" x14ac:dyDescent="0.25">
      <c r="A71" s="15"/>
      <c r="C71" s="15"/>
      <c r="D71" s="242"/>
      <c r="E71" s="64">
        <f t="shared" si="17"/>
        <v>68</v>
      </c>
      <c r="F71" s="10" t="str">
        <f>IF((E71&lt;='Alternative 3'!$B$12),F70+1,"x")</f>
        <v>x</v>
      </c>
      <c r="G71" s="1">
        <f>IF(E71&lt;='Alternative 3'!$B$12,G70+1,0)</f>
        <v>0</v>
      </c>
      <c r="H71" s="62">
        <f t="shared" si="13"/>
        <v>2.08</v>
      </c>
      <c r="I71" s="66" t="e">
        <f t="shared" si="14"/>
        <v>#VALUE!</v>
      </c>
      <c r="J71" s="60" t="e">
        <f t="shared" si="15"/>
        <v>#VALUE!</v>
      </c>
      <c r="K71" s="14" t="e">
        <f t="shared" si="18"/>
        <v>#VALUE!</v>
      </c>
      <c r="L71" s="10" t="e">
        <f t="shared" si="16"/>
        <v>#VALUE!</v>
      </c>
      <c r="M71" s="10" t="e">
        <f t="shared" si="19"/>
        <v>#VALUE!</v>
      </c>
      <c r="N71" s="10" t="e">
        <f t="shared" si="20"/>
        <v>#VALUE!</v>
      </c>
      <c r="O71" s="10" t="e">
        <f t="shared" si="21"/>
        <v>#VALUE!</v>
      </c>
      <c r="P71" s="10" t="e">
        <f t="shared" si="22"/>
        <v>#VALUE!</v>
      </c>
    </row>
    <row r="72" spans="1:16" x14ac:dyDescent="0.25">
      <c r="A72" s="15"/>
      <c r="C72" s="15"/>
      <c r="D72" s="242"/>
      <c r="E72" s="64">
        <f t="shared" si="17"/>
        <v>69</v>
      </c>
      <c r="F72" s="10" t="str">
        <f>IF((E72&lt;='Alternative 3'!$B$12),F71+1,"x")</f>
        <v>x</v>
      </c>
      <c r="G72" s="1">
        <f>IF(E72&lt;='Alternative 3'!$B$12,G71+1,0)</f>
        <v>0</v>
      </c>
      <c r="H72" s="62">
        <f t="shared" si="13"/>
        <v>2.08</v>
      </c>
      <c r="I72" s="66" t="e">
        <f t="shared" si="14"/>
        <v>#VALUE!</v>
      </c>
      <c r="J72" s="60" t="e">
        <f t="shared" si="15"/>
        <v>#VALUE!</v>
      </c>
      <c r="K72" s="14" t="e">
        <f t="shared" si="18"/>
        <v>#VALUE!</v>
      </c>
      <c r="L72" s="10" t="e">
        <f t="shared" si="16"/>
        <v>#VALUE!</v>
      </c>
      <c r="M72" s="10" t="e">
        <f t="shared" si="19"/>
        <v>#VALUE!</v>
      </c>
      <c r="N72" s="10" t="e">
        <f t="shared" si="20"/>
        <v>#VALUE!</v>
      </c>
      <c r="O72" s="10" t="e">
        <f t="shared" si="21"/>
        <v>#VALUE!</v>
      </c>
      <c r="P72" s="10" t="e">
        <f t="shared" si="22"/>
        <v>#VALUE!</v>
      </c>
    </row>
    <row r="73" spans="1:16" x14ac:dyDescent="0.25">
      <c r="A73" s="15"/>
      <c r="C73" s="15"/>
      <c r="D73" s="242"/>
      <c r="E73" s="64">
        <f t="shared" si="17"/>
        <v>70</v>
      </c>
      <c r="F73" s="10" t="str">
        <f>IF((E73&lt;='Alternative 3'!$B$12),F72+1,"x")</f>
        <v>x</v>
      </c>
      <c r="G73" s="1">
        <f>IF(E73&lt;='Alternative 3'!$B$12,G72+1,0)</f>
        <v>0</v>
      </c>
      <c r="H73" s="62">
        <f t="shared" si="13"/>
        <v>2.08</v>
      </c>
      <c r="I73" s="66" t="e">
        <f t="shared" si="14"/>
        <v>#VALUE!</v>
      </c>
      <c r="J73" s="60" t="e">
        <f t="shared" si="15"/>
        <v>#VALUE!</v>
      </c>
      <c r="K73" s="14" t="e">
        <f t="shared" si="18"/>
        <v>#VALUE!</v>
      </c>
      <c r="L73" s="10" t="e">
        <f t="shared" si="16"/>
        <v>#VALUE!</v>
      </c>
      <c r="M73" s="10" t="e">
        <f t="shared" si="19"/>
        <v>#VALUE!</v>
      </c>
      <c r="N73" s="10" t="e">
        <f t="shared" si="20"/>
        <v>#VALUE!</v>
      </c>
      <c r="O73" s="10" t="e">
        <f t="shared" si="21"/>
        <v>#VALUE!</v>
      </c>
      <c r="P73" s="10" t="e">
        <f t="shared" si="22"/>
        <v>#VALUE!</v>
      </c>
    </row>
    <row r="74" spans="1:16" x14ac:dyDescent="0.25">
      <c r="A74" s="15"/>
      <c r="C74" s="15"/>
      <c r="D74" s="242"/>
      <c r="E74" s="64">
        <f t="shared" si="17"/>
        <v>71</v>
      </c>
      <c r="F74" s="10" t="str">
        <f>IF((E74&lt;='Alternative 3'!$B$12),F73+1,"x")</f>
        <v>x</v>
      </c>
      <c r="G74" s="1">
        <f>IF(E74&lt;='Alternative 3'!$B$12,G73+1,0)</f>
        <v>0</v>
      </c>
      <c r="H74" s="62">
        <f t="shared" si="13"/>
        <v>2.08</v>
      </c>
      <c r="I74" s="66" t="e">
        <f t="shared" si="14"/>
        <v>#VALUE!</v>
      </c>
      <c r="J74" s="60" t="e">
        <f t="shared" si="15"/>
        <v>#VALUE!</v>
      </c>
      <c r="K74" s="14" t="e">
        <f t="shared" si="18"/>
        <v>#VALUE!</v>
      </c>
      <c r="L74" s="10" t="e">
        <f t="shared" si="16"/>
        <v>#VALUE!</v>
      </c>
      <c r="M74" s="10" t="e">
        <f t="shared" si="19"/>
        <v>#VALUE!</v>
      </c>
      <c r="N74" s="10" t="e">
        <f t="shared" si="20"/>
        <v>#VALUE!</v>
      </c>
      <c r="O74" s="10" t="e">
        <f t="shared" si="21"/>
        <v>#VALUE!</v>
      </c>
      <c r="P74" s="10" t="e">
        <f t="shared" si="22"/>
        <v>#VALUE!</v>
      </c>
    </row>
    <row r="75" spans="1:16" x14ac:dyDescent="0.25">
      <c r="A75" s="15"/>
      <c r="C75" s="15"/>
      <c r="D75" s="242"/>
      <c r="E75" s="64">
        <f t="shared" si="17"/>
        <v>72</v>
      </c>
      <c r="F75" s="10" t="str">
        <f>IF((E75&lt;='Alternative 3'!$B$12),F74+1,"x")</f>
        <v>x</v>
      </c>
      <c r="G75" s="1">
        <f>IF(E75&lt;='Alternative 3'!$B$12,G74+1,0)</f>
        <v>0</v>
      </c>
      <c r="H75" s="62">
        <f t="shared" si="13"/>
        <v>2.08</v>
      </c>
      <c r="I75" s="66" t="e">
        <f t="shared" si="14"/>
        <v>#VALUE!</v>
      </c>
      <c r="J75" s="60" t="e">
        <f t="shared" si="15"/>
        <v>#VALUE!</v>
      </c>
      <c r="K75" s="14" t="e">
        <f t="shared" si="18"/>
        <v>#VALUE!</v>
      </c>
      <c r="L75" s="10" t="e">
        <f t="shared" si="16"/>
        <v>#VALUE!</v>
      </c>
      <c r="M75" s="10" t="e">
        <f t="shared" si="19"/>
        <v>#VALUE!</v>
      </c>
      <c r="N75" s="10" t="e">
        <f t="shared" si="20"/>
        <v>#VALUE!</v>
      </c>
      <c r="O75" s="10" t="e">
        <f t="shared" si="21"/>
        <v>#VALUE!</v>
      </c>
      <c r="P75" s="10" t="e">
        <f t="shared" si="22"/>
        <v>#VALUE!</v>
      </c>
    </row>
    <row r="76" spans="1:16" x14ac:dyDescent="0.25">
      <c r="A76" s="15"/>
      <c r="C76" s="15"/>
      <c r="D76" s="242"/>
      <c r="E76" s="64">
        <f t="shared" si="17"/>
        <v>73</v>
      </c>
      <c r="F76" s="10" t="str">
        <f>IF((E76&lt;='Alternative 3'!$B$12),F75+1,"x")</f>
        <v>x</v>
      </c>
      <c r="G76" s="1">
        <f>IF(E76&lt;='Alternative 3'!$B$12,G75+1,0)</f>
        <v>0</v>
      </c>
      <c r="H76" s="62">
        <f t="shared" si="13"/>
        <v>2.08</v>
      </c>
      <c r="I76" s="66" t="e">
        <f t="shared" si="14"/>
        <v>#VALUE!</v>
      </c>
      <c r="J76" s="60" t="e">
        <f t="shared" si="15"/>
        <v>#VALUE!</v>
      </c>
      <c r="K76" s="14" t="e">
        <f t="shared" si="18"/>
        <v>#VALUE!</v>
      </c>
      <c r="L76" s="10" t="e">
        <f t="shared" si="16"/>
        <v>#VALUE!</v>
      </c>
      <c r="M76" s="10" t="e">
        <f t="shared" si="19"/>
        <v>#VALUE!</v>
      </c>
      <c r="N76" s="10" t="e">
        <f t="shared" si="20"/>
        <v>#VALUE!</v>
      </c>
      <c r="O76" s="10" t="e">
        <f t="shared" si="21"/>
        <v>#VALUE!</v>
      </c>
      <c r="P76" s="10" t="e">
        <f t="shared" si="22"/>
        <v>#VALUE!</v>
      </c>
    </row>
    <row r="77" spans="1:16" x14ac:dyDescent="0.25">
      <c r="A77" s="15"/>
      <c r="C77" s="15"/>
      <c r="D77" s="242"/>
      <c r="E77" s="64">
        <f t="shared" si="17"/>
        <v>74</v>
      </c>
      <c r="F77" s="10" t="str">
        <f>IF((E77&lt;='Alternative 3'!$B$12),F76+1,"x")</f>
        <v>x</v>
      </c>
      <c r="G77" s="1">
        <f>IF(E77&lt;='Alternative 3'!$B$12,G76+1,0)</f>
        <v>0</v>
      </c>
      <c r="H77" s="62">
        <f t="shared" si="13"/>
        <v>2.08</v>
      </c>
      <c r="I77" s="66" t="e">
        <f t="shared" si="14"/>
        <v>#VALUE!</v>
      </c>
      <c r="J77" s="60" t="e">
        <f t="shared" si="15"/>
        <v>#VALUE!</v>
      </c>
      <c r="K77" s="14" t="e">
        <f t="shared" si="18"/>
        <v>#VALUE!</v>
      </c>
      <c r="L77" s="10" t="e">
        <f t="shared" si="16"/>
        <v>#VALUE!</v>
      </c>
      <c r="M77" s="10" t="e">
        <f t="shared" si="19"/>
        <v>#VALUE!</v>
      </c>
      <c r="N77" s="10" t="e">
        <f t="shared" si="20"/>
        <v>#VALUE!</v>
      </c>
      <c r="O77" s="10" t="e">
        <f t="shared" si="21"/>
        <v>#VALUE!</v>
      </c>
      <c r="P77" s="10" t="e">
        <f t="shared" si="22"/>
        <v>#VALUE!</v>
      </c>
    </row>
    <row r="78" spans="1:16" x14ac:dyDescent="0.25">
      <c r="A78" s="15"/>
      <c r="C78" s="15"/>
      <c r="D78" s="242"/>
      <c r="E78" s="64">
        <f t="shared" si="17"/>
        <v>75</v>
      </c>
      <c r="F78" s="10" t="str">
        <f>IF((E78&lt;='Alternative 3'!$B$12),F77+1,"x")</f>
        <v>x</v>
      </c>
      <c r="G78" s="1">
        <f>IF(E78&lt;='Alternative 3'!$B$12,G77+1,0)</f>
        <v>0</v>
      </c>
      <c r="H78" s="62">
        <f t="shared" si="13"/>
        <v>2.08</v>
      </c>
      <c r="I78" s="66" t="e">
        <f t="shared" si="14"/>
        <v>#VALUE!</v>
      </c>
      <c r="J78" s="60" t="e">
        <f t="shared" si="15"/>
        <v>#VALUE!</v>
      </c>
      <c r="K78" s="14" t="e">
        <f t="shared" si="18"/>
        <v>#VALUE!</v>
      </c>
      <c r="L78" s="10" t="e">
        <f t="shared" si="16"/>
        <v>#VALUE!</v>
      </c>
      <c r="M78" s="10" t="e">
        <f t="shared" si="19"/>
        <v>#VALUE!</v>
      </c>
      <c r="N78" s="10" t="e">
        <f t="shared" si="20"/>
        <v>#VALUE!</v>
      </c>
      <c r="O78" s="10" t="e">
        <f t="shared" si="21"/>
        <v>#VALUE!</v>
      </c>
      <c r="P78" s="10" t="e">
        <f t="shared" si="22"/>
        <v>#VALUE!</v>
      </c>
    </row>
    <row r="79" spans="1:16" x14ac:dyDescent="0.25">
      <c r="D79" s="242"/>
      <c r="E79" s="64">
        <f t="shared" si="17"/>
        <v>76</v>
      </c>
      <c r="F79" s="10" t="str">
        <f>IF((E79&lt;='Alternative 3'!$B$12),F78+1,"x")</f>
        <v>x</v>
      </c>
      <c r="G79" s="1">
        <f>IF(E79&lt;='Alternative 3'!$B$12,G78+1,0)</f>
        <v>0</v>
      </c>
      <c r="H79" s="62">
        <f t="shared" si="13"/>
        <v>2.08</v>
      </c>
      <c r="I79" s="66" t="e">
        <f t="shared" si="14"/>
        <v>#VALUE!</v>
      </c>
      <c r="J79" s="60" t="e">
        <f t="shared" si="15"/>
        <v>#VALUE!</v>
      </c>
      <c r="K79" s="14" t="e">
        <f t="shared" si="18"/>
        <v>#VALUE!</v>
      </c>
      <c r="L79" s="10" t="e">
        <f t="shared" si="16"/>
        <v>#VALUE!</v>
      </c>
      <c r="M79" s="10" t="e">
        <f t="shared" si="19"/>
        <v>#VALUE!</v>
      </c>
      <c r="N79" s="10" t="e">
        <f t="shared" si="20"/>
        <v>#VALUE!</v>
      </c>
      <c r="O79" s="10" t="e">
        <f t="shared" si="21"/>
        <v>#VALUE!</v>
      </c>
      <c r="P79" s="10" t="e">
        <f t="shared" si="22"/>
        <v>#VALUE!</v>
      </c>
    </row>
    <row r="80" spans="1:16" x14ac:dyDescent="0.25">
      <c r="D80" s="242"/>
      <c r="E80" s="64">
        <f t="shared" si="17"/>
        <v>77</v>
      </c>
      <c r="F80" s="10" t="str">
        <f>IF((E80&lt;='Alternative 3'!$B$12),F79+1,"x")</f>
        <v>x</v>
      </c>
      <c r="G80" s="1">
        <f>IF(E80&lt;='Alternative 3'!$B$12,G79+1,0)</f>
        <v>0</v>
      </c>
      <c r="H80" s="62">
        <f t="shared" si="13"/>
        <v>2.08</v>
      </c>
      <c r="I80" s="66" t="e">
        <f t="shared" si="14"/>
        <v>#VALUE!</v>
      </c>
      <c r="J80" s="60" t="e">
        <f t="shared" si="15"/>
        <v>#VALUE!</v>
      </c>
      <c r="K80" s="14" t="e">
        <f t="shared" si="18"/>
        <v>#VALUE!</v>
      </c>
      <c r="L80" s="10" t="e">
        <f t="shared" si="16"/>
        <v>#VALUE!</v>
      </c>
      <c r="M80" s="10" t="e">
        <f t="shared" si="19"/>
        <v>#VALUE!</v>
      </c>
      <c r="N80" s="10" t="e">
        <f t="shared" si="20"/>
        <v>#VALUE!</v>
      </c>
      <c r="O80" s="10" t="e">
        <f t="shared" si="21"/>
        <v>#VALUE!</v>
      </c>
      <c r="P80" s="10" t="e">
        <f t="shared" si="22"/>
        <v>#VALUE!</v>
      </c>
    </row>
    <row r="81" spans="4:16" x14ac:dyDescent="0.25">
      <c r="D81" s="242"/>
      <c r="E81" s="64">
        <f t="shared" si="17"/>
        <v>78</v>
      </c>
      <c r="F81" s="10" t="str">
        <f>IF((E81&lt;='Alternative 3'!$B$12),F80+1,"x")</f>
        <v>x</v>
      </c>
      <c r="G81" s="1">
        <f>IF(E81&lt;='Alternative 3'!$B$12,G80+1,0)</f>
        <v>0</v>
      </c>
      <c r="H81" s="62">
        <f t="shared" si="13"/>
        <v>2.08</v>
      </c>
      <c r="I81" s="66" t="e">
        <f t="shared" si="14"/>
        <v>#VALUE!</v>
      </c>
      <c r="J81" s="60" t="e">
        <f t="shared" si="15"/>
        <v>#VALUE!</v>
      </c>
      <c r="K81" s="14" t="e">
        <f t="shared" si="18"/>
        <v>#VALUE!</v>
      </c>
      <c r="L81" s="10" t="e">
        <f t="shared" si="16"/>
        <v>#VALUE!</v>
      </c>
      <c r="M81" s="10" t="e">
        <f t="shared" si="19"/>
        <v>#VALUE!</v>
      </c>
      <c r="N81" s="10" t="e">
        <f t="shared" si="20"/>
        <v>#VALUE!</v>
      </c>
      <c r="O81" s="10" t="e">
        <f t="shared" si="21"/>
        <v>#VALUE!</v>
      </c>
      <c r="P81" s="10" t="e">
        <f t="shared" si="22"/>
        <v>#VALUE!</v>
      </c>
    </row>
    <row r="82" spans="4:16" x14ac:dyDescent="0.25">
      <c r="D82" s="242"/>
      <c r="E82" s="64">
        <f t="shared" si="17"/>
        <v>79</v>
      </c>
      <c r="F82" s="10" t="str">
        <f>IF((E82&lt;='Alternative 3'!$B$12),F81+1,"x")</f>
        <v>x</v>
      </c>
      <c r="G82" s="1">
        <f>IF(E82&lt;='Alternative 3'!$B$12,G81+1,0)</f>
        <v>0</v>
      </c>
      <c r="H82" s="62">
        <f t="shared" si="13"/>
        <v>2.08</v>
      </c>
      <c r="I82" s="66" t="e">
        <f t="shared" si="14"/>
        <v>#VALUE!</v>
      </c>
      <c r="J82" s="60" t="e">
        <f t="shared" si="15"/>
        <v>#VALUE!</v>
      </c>
      <c r="K82" s="14" t="e">
        <f t="shared" si="18"/>
        <v>#VALUE!</v>
      </c>
      <c r="L82" s="10" t="e">
        <f t="shared" si="16"/>
        <v>#VALUE!</v>
      </c>
      <c r="M82" s="10" t="e">
        <f t="shared" si="19"/>
        <v>#VALUE!</v>
      </c>
      <c r="N82" s="10" t="e">
        <f t="shared" si="20"/>
        <v>#VALUE!</v>
      </c>
      <c r="O82" s="10" t="e">
        <f t="shared" si="21"/>
        <v>#VALUE!</v>
      </c>
      <c r="P82" s="10" t="e">
        <f t="shared" si="22"/>
        <v>#VALUE!</v>
      </c>
    </row>
    <row r="83" spans="4:16" x14ac:dyDescent="0.25">
      <c r="D83" s="242"/>
      <c r="E83" s="64">
        <f t="shared" si="17"/>
        <v>80</v>
      </c>
      <c r="F83" s="10" t="str">
        <f>IF((E83&lt;='Alternative 3'!$B$12),F82+1,"x")</f>
        <v>x</v>
      </c>
      <c r="G83" s="1">
        <f>IF(E83&lt;='Alternative 3'!$B$12,G82+1,0)</f>
        <v>0</v>
      </c>
      <c r="H83" s="62">
        <f t="shared" si="13"/>
        <v>2.08</v>
      </c>
      <c r="I83" s="66" t="e">
        <f t="shared" si="14"/>
        <v>#VALUE!</v>
      </c>
      <c r="J83" s="60" t="e">
        <f t="shared" si="15"/>
        <v>#VALUE!</v>
      </c>
      <c r="K83" s="14" t="e">
        <f t="shared" si="18"/>
        <v>#VALUE!</v>
      </c>
      <c r="L83" s="10" t="e">
        <f t="shared" si="16"/>
        <v>#VALUE!</v>
      </c>
      <c r="M83" s="10" t="e">
        <f t="shared" si="19"/>
        <v>#VALUE!</v>
      </c>
      <c r="N83" s="10" t="e">
        <f t="shared" si="20"/>
        <v>#VALUE!</v>
      </c>
      <c r="O83" s="10" t="e">
        <f t="shared" si="21"/>
        <v>#VALUE!</v>
      </c>
      <c r="P83" s="10" t="e">
        <f t="shared" si="22"/>
        <v>#VALUE!</v>
      </c>
    </row>
    <row r="84" spans="4:16" x14ac:dyDescent="0.25">
      <c r="D84" s="242"/>
      <c r="E84" s="64">
        <f t="shared" si="17"/>
        <v>81</v>
      </c>
      <c r="F84" s="10" t="str">
        <f>IF((E84&lt;='Alternative 3'!$B$12),F83+1,"x")</f>
        <v>x</v>
      </c>
      <c r="G84" s="1">
        <f>IF(E84&lt;='Alternative 3'!$B$12,G83+1,0)</f>
        <v>0</v>
      </c>
      <c r="H84" s="62">
        <f t="shared" si="13"/>
        <v>2.08</v>
      </c>
      <c r="I84" s="66" t="e">
        <f t="shared" si="14"/>
        <v>#VALUE!</v>
      </c>
      <c r="J84" s="60" t="e">
        <f t="shared" si="15"/>
        <v>#VALUE!</v>
      </c>
      <c r="K84" s="14" t="e">
        <f t="shared" si="18"/>
        <v>#VALUE!</v>
      </c>
      <c r="L84" s="10" t="e">
        <f t="shared" si="16"/>
        <v>#VALUE!</v>
      </c>
      <c r="M84" s="10" t="e">
        <f t="shared" si="19"/>
        <v>#VALUE!</v>
      </c>
      <c r="N84" s="10" t="e">
        <f t="shared" si="20"/>
        <v>#VALUE!</v>
      </c>
      <c r="O84" s="10" t="e">
        <f t="shared" si="21"/>
        <v>#VALUE!</v>
      </c>
      <c r="P84" s="10" t="e">
        <f t="shared" si="22"/>
        <v>#VALUE!</v>
      </c>
    </row>
    <row r="85" spans="4:16" x14ac:dyDescent="0.25">
      <c r="D85" s="242"/>
      <c r="E85" s="64">
        <f t="shared" si="17"/>
        <v>82</v>
      </c>
      <c r="F85" s="10" t="str">
        <f>IF((E85&lt;='Alternative 3'!$B$12),F84+1,"x")</f>
        <v>x</v>
      </c>
      <c r="G85" s="1">
        <f>IF(E85&lt;='Alternative 3'!$B$12,G84+1,0)</f>
        <v>0</v>
      </c>
      <c r="H85" s="62">
        <f t="shared" si="13"/>
        <v>2.08</v>
      </c>
      <c r="I85" s="66" t="e">
        <f t="shared" si="14"/>
        <v>#VALUE!</v>
      </c>
      <c r="J85" s="60" t="e">
        <f t="shared" si="15"/>
        <v>#VALUE!</v>
      </c>
      <c r="K85" s="14" t="e">
        <f t="shared" si="18"/>
        <v>#VALUE!</v>
      </c>
      <c r="L85" s="10" t="e">
        <f t="shared" si="16"/>
        <v>#VALUE!</v>
      </c>
      <c r="M85" s="10" t="e">
        <f t="shared" si="19"/>
        <v>#VALUE!</v>
      </c>
      <c r="N85" s="10" t="e">
        <f t="shared" si="20"/>
        <v>#VALUE!</v>
      </c>
      <c r="O85" s="10" t="e">
        <f t="shared" si="21"/>
        <v>#VALUE!</v>
      </c>
      <c r="P85" s="10" t="e">
        <f t="shared" si="22"/>
        <v>#VALUE!</v>
      </c>
    </row>
    <row r="86" spans="4:16" x14ac:dyDescent="0.25">
      <c r="D86" s="242"/>
      <c r="E86" s="64">
        <f t="shared" si="17"/>
        <v>83</v>
      </c>
      <c r="F86" s="10" t="str">
        <f>IF((E86&lt;='Alternative 3'!$B$12),F85+1,"x")</f>
        <v>x</v>
      </c>
      <c r="G86" s="1">
        <f>IF(E86&lt;='Alternative 3'!$B$12,G85+1,0)</f>
        <v>0</v>
      </c>
      <c r="H86" s="62">
        <f t="shared" si="13"/>
        <v>2.08</v>
      </c>
      <c r="I86" s="66" t="e">
        <f t="shared" si="14"/>
        <v>#VALUE!</v>
      </c>
      <c r="J86" s="60" t="e">
        <f t="shared" si="15"/>
        <v>#VALUE!</v>
      </c>
      <c r="K86" s="14" t="e">
        <f t="shared" si="18"/>
        <v>#VALUE!</v>
      </c>
      <c r="L86" s="10" t="e">
        <f t="shared" si="16"/>
        <v>#VALUE!</v>
      </c>
      <c r="M86" s="10" t="e">
        <f t="shared" si="19"/>
        <v>#VALUE!</v>
      </c>
      <c r="N86" s="10" t="e">
        <f t="shared" si="20"/>
        <v>#VALUE!</v>
      </c>
      <c r="O86" s="10" t="e">
        <f t="shared" si="21"/>
        <v>#VALUE!</v>
      </c>
      <c r="P86" s="10" t="e">
        <f t="shared" si="22"/>
        <v>#VALUE!</v>
      </c>
    </row>
    <row r="87" spans="4:16" x14ac:dyDescent="0.25">
      <c r="D87" s="242"/>
      <c r="E87" s="64">
        <f t="shared" si="17"/>
        <v>84</v>
      </c>
      <c r="F87" s="10" t="str">
        <f>IF((E87&lt;='Alternative 3'!$B$12),F86+1,"x")</f>
        <v>x</v>
      </c>
      <c r="G87" s="1">
        <f>IF(E87&lt;='Alternative 3'!$B$12,G86+1,0)</f>
        <v>0</v>
      </c>
      <c r="H87" s="62">
        <f t="shared" si="13"/>
        <v>2.08</v>
      </c>
      <c r="I87" s="66" t="e">
        <f t="shared" si="14"/>
        <v>#VALUE!</v>
      </c>
      <c r="J87" s="60" t="e">
        <f t="shared" si="15"/>
        <v>#VALUE!</v>
      </c>
      <c r="K87" s="14" t="e">
        <f t="shared" si="18"/>
        <v>#VALUE!</v>
      </c>
      <c r="L87" s="10" t="e">
        <f t="shared" si="16"/>
        <v>#VALUE!</v>
      </c>
      <c r="M87" s="10" t="e">
        <f t="shared" si="19"/>
        <v>#VALUE!</v>
      </c>
      <c r="N87" s="10" t="e">
        <f t="shared" si="20"/>
        <v>#VALUE!</v>
      </c>
      <c r="O87" s="10" t="e">
        <f t="shared" si="21"/>
        <v>#VALUE!</v>
      </c>
      <c r="P87" s="10" t="e">
        <f t="shared" si="22"/>
        <v>#VALUE!</v>
      </c>
    </row>
    <row r="88" spans="4:16" x14ac:dyDescent="0.25">
      <c r="D88" s="242"/>
      <c r="E88" s="64">
        <f t="shared" si="17"/>
        <v>85</v>
      </c>
      <c r="F88" s="10" t="str">
        <f>IF((E88&lt;='Alternative 3'!$B$12),F87+1,"x")</f>
        <v>x</v>
      </c>
      <c r="G88" s="1">
        <f>IF(E88&lt;='Alternative 3'!$B$12,G87+1,0)</f>
        <v>0</v>
      </c>
      <c r="H88" s="62">
        <f t="shared" si="13"/>
        <v>2.08</v>
      </c>
      <c r="I88" s="66" t="e">
        <f t="shared" si="14"/>
        <v>#VALUE!</v>
      </c>
      <c r="J88" s="60" t="e">
        <f t="shared" si="15"/>
        <v>#VALUE!</v>
      </c>
      <c r="K88" s="14" t="e">
        <f t="shared" si="18"/>
        <v>#VALUE!</v>
      </c>
      <c r="L88" s="10" t="e">
        <f t="shared" si="16"/>
        <v>#VALUE!</v>
      </c>
      <c r="M88" s="10" t="e">
        <f t="shared" si="19"/>
        <v>#VALUE!</v>
      </c>
      <c r="N88" s="10" t="e">
        <f t="shared" si="20"/>
        <v>#VALUE!</v>
      </c>
      <c r="O88" s="10" t="e">
        <f t="shared" si="21"/>
        <v>#VALUE!</v>
      </c>
      <c r="P88" s="10" t="e">
        <f t="shared" si="22"/>
        <v>#VALUE!</v>
      </c>
    </row>
    <row r="89" spans="4:16" x14ac:dyDescent="0.25">
      <c r="D89" s="242"/>
      <c r="E89" s="64">
        <f t="shared" si="17"/>
        <v>86</v>
      </c>
      <c r="F89" s="10" t="str">
        <f>IF((E89&lt;='Alternative 3'!$B$12),F88+1,"x")</f>
        <v>x</v>
      </c>
      <c r="G89" s="1">
        <f>IF(E89&lt;='Alternative 3'!$B$12,G88+1,0)</f>
        <v>0</v>
      </c>
      <c r="H89" s="62">
        <f t="shared" si="13"/>
        <v>2.08</v>
      </c>
      <c r="I89" s="66" t="e">
        <f t="shared" si="14"/>
        <v>#VALUE!</v>
      </c>
      <c r="J89" s="60" t="e">
        <f t="shared" si="15"/>
        <v>#VALUE!</v>
      </c>
      <c r="K89" s="14" t="e">
        <f t="shared" si="18"/>
        <v>#VALUE!</v>
      </c>
      <c r="L89" s="10" t="e">
        <f t="shared" si="16"/>
        <v>#VALUE!</v>
      </c>
      <c r="M89" s="10" t="e">
        <f t="shared" si="19"/>
        <v>#VALUE!</v>
      </c>
      <c r="N89" s="10" t="e">
        <f t="shared" si="20"/>
        <v>#VALUE!</v>
      </c>
      <c r="O89" s="10" t="e">
        <f t="shared" si="21"/>
        <v>#VALUE!</v>
      </c>
      <c r="P89" s="10" t="e">
        <f t="shared" si="22"/>
        <v>#VALUE!</v>
      </c>
    </row>
    <row r="90" spans="4:16" x14ac:dyDescent="0.25">
      <c r="D90" s="242"/>
      <c r="E90" s="64">
        <f t="shared" si="17"/>
        <v>87</v>
      </c>
      <c r="F90" s="10" t="str">
        <f>IF((E90&lt;='Alternative 3'!$B$12),F89+1,"x")</f>
        <v>x</v>
      </c>
      <c r="G90" s="1">
        <f>IF(E90&lt;='Alternative 3'!$B$12,G89+1,0)</f>
        <v>0</v>
      </c>
      <c r="H90" s="62">
        <f t="shared" si="13"/>
        <v>2.08</v>
      </c>
      <c r="I90" s="66" t="e">
        <f t="shared" si="14"/>
        <v>#VALUE!</v>
      </c>
      <c r="J90" s="60" t="e">
        <f t="shared" si="15"/>
        <v>#VALUE!</v>
      </c>
      <c r="K90" s="14" t="e">
        <f t="shared" si="18"/>
        <v>#VALUE!</v>
      </c>
      <c r="L90" s="10" t="e">
        <f t="shared" si="16"/>
        <v>#VALUE!</v>
      </c>
      <c r="M90" s="10" t="e">
        <f t="shared" si="19"/>
        <v>#VALUE!</v>
      </c>
      <c r="N90" s="10" t="e">
        <f t="shared" si="20"/>
        <v>#VALUE!</v>
      </c>
      <c r="O90" s="10" t="e">
        <f t="shared" si="21"/>
        <v>#VALUE!</v>
      </c>
      <c r="P90" s="10" t="e">
        <f t="shared" si="22"/>
        <v>#VALUE!</v>
      </c>
    </row>
    <row r="91" spans="4:16" x14ac:dyDescent="0.25">
      <c r="D91" s="242"/>
      <c r="E91" s="64">
        <f t="shared" si="17"/>
        <v>88</v>
      </c>
      <c r="F91" s="10" t="str">
        <f>IF((E91&lt;='Alternative 3'!$B$12),F90+1,"x")</f>
        <v>x</v>
      </c>
      <c r="G91" s="1">
        <f>IF(E91&lt;='Alternative 3'!$B$12,G90+1,0)</f>
        <v>0</v>
      </c>
      <c r="H91" s="62">
        <f t="shared" si="13"/>
        <v>2.08</v>
      </c>
      <c r="I91" s="66" t="e">
        <f t="shared" si="14"/>
        <v>#VALUE!</v>
      </c>
      <c r="J91" s="60" t="e">
        <f t="shared" si="15"/>
        <v>#VALUE!</v>
      </c>
      <c r="K91" s="14" t="e">
        <f t="shared" si="18"/>
        <v>#VALUE!</v>
      </c>
      <c r="L91" s="10" t="e">
        <f t="shared" si="16"/>
        <v>#VALUE!</v>
      </c>
      <c r="M91" s="10" t="e">
        <f t="shared" si="19"/>
        <v>#VALUE!</v>
      </c>
      <c r="N91" s="10" t="e">
        <f t="shared" si="20"/>
        <v>#VALUE!</v>
      </c>
      <c r="O91" s="10" t="e">
        <f t="shared" si="21"/>
        <v>#VALUE!</v>
      </c>
      <c r="P91" s="10" t="e">
        <f t="shared" si="22"/>
        <v>#VALUE!</v>
      </c>
    </row>
    <row r="92" spans="4:16" x14ac:dyDescent="0.25">
      <c r="D92" s="242"/>
      <c r="E92" s="64">
        <f t="shared" si="17"/>
        <v>89</v>
      </c>
      <c r="F92" s="10" t="str">
        <f>IF((E92&lt;='Alternative 3'!$B$12),F91+1,"x")</f>
        <v>x</v>
      </c>
      <c r="G92" s="1">
        <f>IF(E92&lt;='Alternative 3'!$B$12,G91+1,0)</f>
        <v>0</v>
      </c>
      <c r="H92" s="62">
        <f t="shared" si="13"/>
        <v>2.08</v>
      </c>
      <c r="I92" s="66" t="e">
        <f t="shared" si="14"/>
        <v>#VALUE!</v>
      </c>
      <c r="J92" s="60" t="e">
        <f t="shared" si="15"/>
        <v>#VALUE!</v>
      </c>
      <c r="K92" s="14" t="e">
        <f t="shared" si="18"/>
        <v>#VALUE!</v>
      </c>
      <c r="L92" s="10" t="e">
        <f t="shared" si="16"/>
        <v>#VALUE!</v>
      </c>
      <c r="M92" s="10" t="e">
        <f t="shared" si="19"/>
        <v>#VALUE!</v>
      </c>
      <c r="N92" s="10" t="e">
        <f t="shared" si="20"/>
        <v>#VALUE!</v>
      </c>
      <c r="O92" s="10" t="e">
        <f t="shared" si="21"/>
        <v>#VALUE!</v>
      </c>
      <c r="P92" s="10" t="e">
        <f t="shared" si="22"/>
        <v>#VALUE!</v>
      </c>
    </row>
    <row r="93" spans="4:16" x14ac:dyDescent="0.25">
      <c r="D93" s="242"/>
      <c r="E93" s="64">
        <f>E92+1</f>
        <v>90</v>
      </c>
      <c r="F93" s="10" t="str">
        <f>IF((E93&lt;='Alternative 3'!$B$12),F92+1,"x")</f>
        <v>x</v>
      </c>
      <c r="G93" s="1">
        <f>IF(E93&lt;='Alternative 3'!$B$12,G92+1,0)</f>
        <v>0</v>
      </c>
      <c r="H93" s="62">
        <f t="shared" si="13"/>
        <v>2.08</v>
      </c>
      <c r="I93" s="66" t="e">
        <f t="shared" si="14"/>
        <v>#VALUE!</v>
      </c>
      <c r="J93" s="60" t="e">
        <f t="shared" si="15"/>
        <v>#VALUE!</v>
      </c>
      <c r="K93" s="14" t="e">
        <f t="shared" si="18"/>
        <v>#VALUE!</v>
      </c>
      <c r="L93" s="10" t="e">
        <f t="shared" si="16"/>
        <v>#VALUE!</v>
      </c>
      <c r="M93" s="10" t="e">
        <f t="shared" si="19"/>
        <v>#VALUE!</v>
      </c>
      <c r="N93" s="10" t="e">
        <f t="shared" si="20"/>
        <v>#VALUE!</v>
      </c>
      <c r="O93" s="10" t="e">
        <f t="shared" si="21"/>
        <v>#VALUE!</v>
      </c>
      <c r="P93" s="10" t="e">
        <f t="shared" si="22"/>
        <v>#VALUE!</v>
      </c>
    </row>
  </sheetData>
  <customSheetViews>
    <customSheetView guid="{73608749-DAD6-470A-871E-DA0A326E9E7B}" scale="80" topLeftCell="A16">
      <selection activeCell="P22" sqref="P22:P28"/>
      <pageMargins left="0.7" right="0.7" top="0.75" bottom="0.75" header="0.3" footer="0.3"/>
    </customSheetView>
  </customSheetViews>
  <mergeCells count="8">
    <mergeCell ref="A31:C31"/>
    <mergeCell ref="A37:C37"/>
    <mergeCell ref="D1:D93"/>
    <mergeCell ref="A1:C1"/>
    <mergeCell ref="F1:P1"/>
    <mergeCell ref="A11:C11"/>
    <mergeCell ref="A18:C18"/>
    <mergeCell ref="A24:C24"/>
  </mergeCells>
  <conditionalFormatting sqref="F4:F93">
    <cfRule type="cellIs" dxfId="18" priority="1" operator="equal">
      <formula>$B$12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F94"/>
  <sheetViews>
    <sheetView topLeftCell="AO2" zoomScale="70" zoomScaleNormal="70" workbookViewId="0">
      <selection activeCell="AT12" sqref="AT12"/>
    </sheetView>
  </sheetViews>
  <sheetFormatPr defaultColWidth="9.140625" defaultRowHeight="15" x14ac:dyDescent="0.25"/>
  <cols>
    <col min="1" max="1" width="14.85546875" style="18" hidden="1" customWidth="1"/>
    <col min="2" max="2" width="13.5703125" style="18" bestFit="1" customWidth="1"/>
    <col min="3" max="3" width="15.28515625" style="18" bestFit="1" customWidth="1"/>
    <col min="4" max="5" width="14.85546875" style="18" bestFit="1" customWidth="1"/>
    <col min="6" max="6" width="18.7109375" style="18" bestFit="1" customWidth="1"/>
    <col min="7" max="7" width="17.42578125" style="18" bestFit="1" customWidth="1"/>
    <col min="8" max="8" width="23.5703125" style="18" bestFit="1" customWidth="1"/>
    <col min="9" max="9" width="14.85546875" style="18" bestFit="1" customWidth="1"/>
    <col min="10" max="10" width="16.42578125" style="18" bestFit="1" customWidth="1"/>
    <col min="11" max="11" width="7.42578125" style="18" bestFit="1" customWidth="1"/>
    <col min="12" max="12" width="14.85546875" style="18" bestFit="1" customWidth="1"/>
    <col min="13" max="13" width="17.140625" style="18" bestFit="1" customWidth="1"/>
    <col min="14" max="14" width="3" style="186" customWidth="1"/>
    <col min="15" max="15" width="22.140625" style="10" bestFit="1" customWidth="1"/>
    <col min="16" max="16" width="11" style="18" bestFit="1" customWidth="1"/>
    <col min="17" max="17" width="15.85546875" style="18" bestFit="1" customWidth="1"/>
    <col min="18" max="18" width="13" style="18" bestFit="1" customWidth="1"/>
    <col min="19" max="25" width="14.85546875" style="18" bestFit="1" customWidth="1"/>
    <col min="26" max="26" width="7.140625" style="18" bestFit="1" customWidth="1"/>
    <col min="27" max="27" width="14.85546875" style="18" bestFit="1" customWidth="1"/>
    <col min="28" max="28" width="17.140625" style="18" bestFit="1" customWidth="1"/>
    <col min="29" max="29" width="2.7109375" style="97" customWidth="1"/>
    <col min="30" max="30" width="8.7109375" style="18" bestFit="1" customWidth="1"/>
    <col min="31" max="31" width="11" style="18" bestFit="1" customWidth="1"/>
    <col min="32" max="32" width="10.140625" style="18" bestFit="1" customWidth="1"/>
    <col min="33" max="33" width="13" style="18" bestFit="1" customWidth="1"/>
    <col min="34" max="40" width="14.85546875" style="18" bestFit="1" customWidth="1"/>
    <col min="41" max="41" width="7.42578125" style="18" bestFit="1" customWidth="1"/>
    <col min="42" max="42" width="14.85546875" style="18" bestFit="1" customWidth="1"/>
    <col min="43" max="43" width="17.140625" style="18" bestFit="1" customWidth="1"/>
    <col min="44" max="44" width="2.7109375" style="97" customWidth="1"/>
    <col min="45" max="45" width="22.140625" style="18" bestFit="1" customWidth="1"/>
    <col min="46" max="46" width="11" style="18" bestFit="1" customWidth="1"/>
    <col min="47" max="47" width="10.140625" style="18" bestFit="1" customWidth="1"/>
    <col min="48" max="48" width="13" style="18" bestFit="1" customWidth="1"/>
    <col min="49" max="55" width="14.85546875" style="18" bestFit="1" customWidth="1"/>
    <col min="56" max="56" width="7.42578125" style="18" bestFit="1" customWidth="1"/>
    <col min="57" max="58" width="14.85546875" style="18" bestFit="1" customWidth="1"/>
    <col min="59" max="16384" width="9.140625" style="20"/>
  </cols>
  <sheetData>
    <row r="1" spans="1:58" ht="15" hidden="1" customHeight="1" x14ac:dyDescent="0.25">
      <c r="A1" s="18" t="s">
        <v>160</v>
      </c>
      <c r="B1" s="18">
        <v>7850</v>
      </c>
    </row>
    <row r="2" spans="1:58" s="96" customFormat="1" ht="30.75" customHeight="1" x14ac:dyDescent="0.25">
      <c r="A2" s="187" t="s">
        <v>70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6"/>
      <c r="O2" s="183" t="s">
        <v>147</v>
      </c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5"/>
      <c r="AC2" s="98"/>
      <c r="AD2" s="188" t="s">
        <v>148</v>
      </c>
      <c r="AE2" s="188"/>
      <c r="AF2" s="188"/>
      <c r="AG2" s="188"/>
      <c r="AH2" s="188"/>
      <c r="AI2" s="188"/>
      <c r="AJ2" s="188"/>
      <c r="AK2" s="188"/>
      <c r="AL2" s="188"/>
      <c r="AM2" s="188"/>
      <c r="AN2" s="188"/>
      <c r="AO2" s="188"/>
      <c r="AP2" s="188"/>
      <c r="AQ2" s="188"/>
      <c r="AR2" s="98"/>
      <c r="AS2" s="183" t="s">
        <v>149</v>
      </c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5"/>
    </row>
    <row r="3" spans="1:58" ht="55.5" customHeight="1" x14ac:dyDescent="0.25">
      <c r="A3" s="99" t="s">
        <v>161</v>
      </c>
      <c r="B3" s="99" t="s">
        <v>162</v>
      </c>
      <c r="C3" s="99" t="s">
        <v>163</v>
      </c>
      <c r="D3" s="99" t="s">
        <v>164</v>
      </c>
      <c r="E3" s="99" t="s">
        <v>165</v>
      </c>
      <c r="F3" s="99" t="s">
        <v>166</v>
      </c>
      <c r="G3" s="99" t="s">
        <v>167</v>
      </c>
      <c r="H3" s="99" t="s">
        <v>168</v>
      </c>
      <c r="I3" s="99" t="s">
        <v>169</v>
      </c>
      <c r="J3" s="99" t="s">
        <v>170</v>
      </c>
      <c r="K3" s="99" t="s">
        <v>16</v>
      </c>
      <c r="L3" s="99" t="s">
        <v>171</v>
      </c>
      <c r="M3" s="99" t="s">
        <v>172</v>
      </c>
      <c r="O3" s="10" t="s">
        <v>49</v>
      </c>
      <c r="P3" s="99" t="s">
        <v>161</v>
      </c>
      <c r="Q3" s="99" t="s">
        <v>162</v>
      </c>
      <c r="R3" s="99" t="s">
        <v>163</v>
      </c>
      <c r="S3" s="99" t="s">
        <v>164</v>
      </c>
      <c r="T3" s="99" t="s">
        <v>165</v>
      </c>
      <c r="U3" s="99" t="s">
        <v>166</v>
      </c>
      <c r="V3" s="99" t="s">
        <v>167</v>
      </c>
      <c r="W3" s="99" t="s">
        <v>168</v>
      </c>
      <c r="X3" s="99" t="s">
        <v>169</v>
      </c>
      <c r="Y3" s="99" t="s">
        <v>170</v>
      </c>
      <c r="Z3" s="99" t="s">
        <v>16</v>
      </c>
      <c r="AA3" s="99" t="s">
        <v>171</v>
      </c>
      <c r="AB3" s="99" t="s">
        <v>172</v>
      </c>
      <c r="AD3" s="100" t="s">
        <v>49</v>
      </c>
      <c r="AE3" s="99" t="s">
        <v>161</v>
      </c>
      <c r="AF3" s="99" t="s">
        <v>162</v>
      </c>
      <c r="AG3" s="99" t="s">
        <v>163</v>
      </c>
      <c r="AH3" s="99" t="s">
        <v>164</v>
      </c>
      <c r="AI3" s="99" t="s">
        <v>165</v>
      </c>
      <c r="AJ3" s="99" t="s">
        <v>166</v>
      </c>
      <c r="AK3" s="99" t="s">
        <v>167</v>
      </c>
      <c r="AL3" s="99" t="s">
        <v>168</v>
      </c>
      <c r="AM3" s="99" t="s">
        <v>169</v>
      </c>
      <c r="AN3" s="99" t="s">
        <v>170</v>
      </c>
      <c r="AO3" s="99" t="s">
        <v>16</v>
      </c>
      <c r="AP3" s="99" t="s">
        <v>171</v>
      </c>
      <c r="AQ3" s="99" t="s">
        <v>172</v>
      </c>
      <c r="AS3" s="243" t="s">
        <v>49</v>
      </c>
      <c r="AT3" s="99" t="s">
        <v>161</v>
      </c>
      <c r="AU3" s="99" t="s">
        <v>162</v>
      </c>
      <c r="AV3" s="99" t="s">
        <v>163</v>
      </c>
      <c r="AW3" s="99" t="s">
        <v>164</v>
      </c>
      <c r="AX3" s="99" t="s">
        <v>165</v>
      </c>
      <c r="AY3" s="99" t="s">
        <v>166</v>
      </c>
      <c r="AZ3" s="99" t="s">
        <v>167</v>
      </c>
      <c r="BA3" s="99" t="s">
        <v>168</v>
      </c>
      <c r="BB3" s="99" t="s">
        <v>169</v>
      </c>
      <c r="BC3" s="99" t="s">
        <v>170</v>
      </c>
      <c r="BD3" s="99" t="s">
        <v>16</v>
      </c>
      <c r="BE3" s="99" t="s">
        <v>171</v>
      </c>
      <c r="BF3" s="99" t="s">
        <v>172</v>
      </c>
    </row>
    <row r="4" spans="1:58" x14ac:dyDescent="0.25">
      <c r="A4" s="18">
        <f>'Baseline Given'!B13-'Baseline Given'!B13</f>
        <v>0</v>
      </c>
      <c r="B4" s="101">
        <f>'Baseline Given'!I3</f>
        <v>2</v>
      </c>
      <c r="C4" s="18">
        <f>'Baseline Given'!J3</f>
        <v>1.972</v>
      </c>
      <c r="D4" s="18">
        <f>(PI()*0*(B4^2+0^2+B4*0)*(1/3))</f>
        <v>0</v>
      </c>
      <c r="E4" s="18">
        <f>(PI()*0*(C4^2+0^2+C4*0)*(1/3))</f>
        <v>0</v>
      </c>
      <c r="F4" s="18">
        <f t="shared" ref="F4:F35" si="0">(D4-E4)</f>
        <v>0</v>
      </c>
      <c r="G4" s="18">
        <f t="shared" ref="G4:G35" si="1">F4*$B$1</f>
        <v>0</v>
      </c>
      <c r="H4" s="18">
        <f>SUM(G4:$G$71)</f>
        <v>122390.49538149069</v>
      </c>
      <c r="I4" s="18">
        <f>SUM($G$4)</f>
        <v>0</v>
      </c>
      <c r="J4" s="18">
        <f t="shared" ref="J4:J35" si="2">ABS(H4-I4)</f>
        <v>122390.49538149069</v>
      </c>
      <c r="K4" s="18">
        <f t="shared" ref="K4:K35" si="3">A4</f>
        <v>0</v>
      </c>
      <c r="L4" s="18">
        <f>MIN(J4:J71)</f>
        <v>129.6979766695149</v>
      </c>
      <c r="M4" s="18">
        <f>VLOOKUP(L4,J4:K71,2,FALSE)</f>
        <v>26</v>
      </c>
      <c r="O4" s="10">
        <v>0</v>
      </c>
      <c r="P4" s="18">
        <v>0</v>
      </c>
      <c r="Q4" s="101">
        <f>'Alternative 1'!I3</f>
        <v>1.0680000000000001</v>
      </c>
      <c r="R4" s="101">
        <f>'Alternative 1'!J3</f>
        <v>1.048</v>
      </c>
      <c r="S4" s="18">
        <f>(PI()*0*(Q4^2+0^2+Q4*0)*(1/3))</f>
        <v>0</v>
      </c>
      <c r="T4" s="18">
        <f>(PI()*0*(R4^2+0^2+R4*0)*(1/3))</f>
        <v>0</v>
      </c>
      <c r="U4" s="18">
        <f t="shared" ref="U4:U35" si="4">(S4-T4)</f>
        <v>0</v>
      </c>
      <c r="V4" s="18">
        <f t="shared" ref="V4:V35" si="5">IF(NOT(P4=9999),U4*$B$1,0)</f>
        <v>0</v>
      </c>
      <c r="W4" s="18">
        <f>SUM(V4:V$94)</f>
        <v>31215.543190081382</v>
      </c>
      <c r="X4" s="18">
        <f>SUM($V$4)</f>
        <v>0</v>
      </c>
      <c r="Y4" s="18">
        <f t="shared" ref="Y4:Y35" si="6">ABS(W4-X4)</f>
        <v>31215.543190081382</v>
      </c>
      <c r="Z4" s="18">
        <f t="shared" ref="Z4:Z35" si="7">P4</f>
        <v>0</v>
      </c>
      <c r="AA4" s="18">
        <f>MIN(Y4:Y71)</f>
        <v>329.25845778385701</v>
      </c>
      <c r="AB4" s="18">
        <f>VLOOKUP(AA4,Y4:Z71,2,FALSE)</f>
        <v>16</v>
      </c>
      <c r="AD4" s="10">
        <v>0</v>
      </c>
      <c r="AE4" s="18">
        <v>0</v>
      </c>
      <c r="AF4" s="101">
        <f>'Alternative 2'!I3</f>
        <v>0.68</v>
      </c>
      <c r="AG4" s="101">
        <f>'Alternative 2'!J3</f>
        <v>0.67</v>
      </c>
      <c r="AH4" s="18">
        <f>(PI()*0*(AF4^2+0^2+AF4*0)*(1/3))</f>
        <v>0</v>
      </c>
      <c r="AI4" s="18">
        <f>(PI()*0*(AG4^2+0^2+AG4*0)*(1/3))</f>
        <v>0</v>
      </c>
      <c r="AJ4" s="18">
        <f t="shared" ref="AJ4:AJ35" si="8">(AH4-AI4)</f>
        <v>0</v>
      </c>
      <c r="AK4" s="18">
        <f t="shared" ref="AK4:AK35" si="9">IF(NOT(AE4=9999),AJ4*$B$1,0)</f>
        <v>0</v>
      </c>
      <c r="AL4" s="18">
        <f>SUM(AK4:AK$94)</f>
        <v>6381.1637280634177</v>
      </c>
      <c r="AM4" s="18">
        <f>SUM($AK$4)</f>
        <v>0</v>
      </c>
      <c r="AN4" s="18">
        <f t="shared" ref="AN4:AN35" si="10">ABS(AL4-AM4)</f>
        <v>6381.1637280634177</v>
      </c>
      <c r="AO4" s="18">
        <f t="shared" ref="AO4:AO35" si="11">AE4</f>
        <v>0</v>
      </c>
      <c r="AP4" s="18">
        <f>MIN(AN4:AN71)</f>
        <v>205.06575307576668</v>
      </c>
      <c r="AQ4" s="18">
        <f>VLOOKUP(AP4,AN4:AO71,2,FALSE)</f>
        <v>10</v>
      </c>
      <c r="AS4" s="10">
        <v>0</v>
      </c>
      <c r="AT4" s="18">
        <v>0</v>
      </c>
      <c r="AU4" s="101">
        <f>'Alternative 3'!I3</f>
        <v>1.04</v>
      </c>
      <c r="AV4" s="101">
        <f>'Alternative 3'!J3</f>
        <v>1.03</v>
      </c>
      <c r="AW4" s="18">
        <f>(PI()*0*(AU4^2+0^2+AU4*0)*(1/3))</f>
        <v>0</v>
      </c>
      <c r="AX4" s="18">
        <f>(PI()*0*(AV4^2+0^2+AV4*0)*(1/3))</f>
        <v>0</v>
      </c>
      <c r="AY4" s="18">
        <f t="shared" ref="AY4:AY35" si="12">(AW4-AX4)</f>
        <v>0</v>
      </c>
      <c r="AZ4" s="18">
        <f t="shared" ref="AZ4:AZ35" si="13">IF(NOT(AT4=9999),AY4*$B$1,0)</f>
        <v>0</v>
      </c>
      <c r="BA4" s="18">
        <f>SUM(AZ4:AZ$94)</f>
        <v>14889.382032148003</v>
      </c>
      <c r="BB4" s="18">
        <f>SUM($AZ$4)</f>
        <v>0</v>
      </c>
      <c r="BC4" s="18">
        <f t="shared" ref="BC4:BC35" si="14">ABS(BA4-BB4)</f>
        <v>14889.382032148003</v>
      </c>
      <c r="BD4" s="18">
        <f t="shared" ref="BD4:BD35" si="15">AT4</f>
        <v>0</v>
      </c>
      <c r="BE4" s="18">
        <f>MIN(BC4:BC71)</f>
        <v>201.76631978259047</v>
      </c>
      <c r="BF4" s="18">
        <f>VLOOKUP(BE4,BC4:BD71,2,FALSE)</f>
        <v>16</v>
      </c>
    </row>
    <row r="5" spans="1:58" x14ac:dyDescent="0.25">
      <c r="A5" s="18">
        <f t="shared" ref="A5:A36" si="16">A4+1</f>
        <v>1</v>
      </c>
      <c r="B5" s="101">
        <f>'Baseline Given'!I4</f>
        <v>1.9900447761194029</v>
      </c>
      <c r="C5" s="18">
        <f>'Baseline Given'!J4</f>
        <v>1.9622247761194029</v>
      </c>
      <c r="D5" s="18">
        <f t="shared" ref="D5:D36" si="17">(PI()*1*(B4^2+B5^2+B4*B5)*(1/3))</f>
        <v>12.503923882008715</v>
      </c>
      <c r="E5" s="18">
        <f t="shared" ref="E5:E36" si="18">(PI()*1*(C4^2+C5^2+C4*C5)*(1/3))</f>
        <v>12.156515641303436</v>
      </c>
      <c r="F5" s="18">
        <f t="shared" si="0"/>
        <v>0.34740824070527943</v>
      </c>
      <c r="G5" s="18">
        <f t="shared" si="1"/>
        <v>2727.1546895364436</v>
      </c>
      <c r="H5" s="18">
        <f>SUM(G6:$G$71)</f>
        <v>119663.34069195423</v>
      </c>
      <c r="I5" s="18">
        <f>SUM($G$4:G5)</f>
        <v>2727.1546895364436</v>
      </c>
      <c r="J5" s="18">
        <f t="shared" si="2"/>
        <v>116936.18600241779</v>
      </c>
      <c r="K5" s="18">
        <f t="shared" si="3"/>
        <v>1</v>
      </c>
      <c r="M5" s="18" t="s">
        <v>179</v>
      </c>
      <c r="O5" s="10">
        <f t="shared" ref="O5:O36" si="19">O4+1</f>
        <v>1</v>
      </c>
      <c r="P5" s="18">
        <f>IF((O5&lt;='Alternative 1'!$B$12),P4+1,9999)</f>
        <v>1</v>
      </c>
      <c r="Q5" s="101">
        <f>'Alternative 1'!I4</f>
        <v>1.0580555555555555</v>
      </c>
      <c r="R5" s="101">
        <f>'Alternative 1'!J4</f>
        <v>1.0380555555555555</v>
      </c>
      <c r="S5" s="18">
        <f t="shared" ref="S5:S36" si="20">(PI()*1*(Q4^2+Q5^2+Q4*Q5)*(1/3))</f>
        <v>3.5501137299663545</v>
      </c>
      <c r="T5" s="18">
        <f t="shared" ref="T5:T36" si="21">(PI()*1*(R4^2+R5^2+R4*R5)*(1/3))</f>
        <v>3.4177863567386479</v>
      </c>
      <c r="U5" s="18">
        <f t="shared" si="4"/>
        <v>0.1323273732277066</v>
      </c>
      <c r="V5" s="18">
        <f t="shared" si="5"/>
        <v>1038.7698798374968</v>
      </c>
      <c r="W5" s="18">
        <f>SUM(V6:V$94)</f>
        <v>30176.773310243876</v>
      </c>
      <c r="X5" s="18">
        <f>SUM($V$4:V5)</f>
        <v>1038.7698798374968</v>
      </c>
      <c r="Y5" s="18">
        <f t="shared" si="6"/>
        <v>29138.003430406381</v>
      </c>
      <c r="Z5" s="18">
        <f t="shared" si="7"/>
        <v>1</v>
      </c>
      <c r="AB5" s="18" t="s">
        <v>179</v>
      </c>
      <c r="AD5" s="10">
        <f t="shared" ref="AD5:AD36" si="22">AD4+1</f>
        <v>1</v>
      </c>
      <c r="AE5" s="18">
        <f>IF((AD5&lt;='Alternative 2'!$B$12),AE4+1,9999)</f>
        <v>1</v>
      </c>
      <c r="AF5" s="101">
        <f>'Alternative 2'!I4</f>
        <v>0.67021739130434788</v>
      </c>
      <c r="AG5" s="101">
        <f>'Alternative 2'!J4</f>
        <v>0.66021739130434787</v>
      </c>
      <c r="AH5" s="18">
        <f t="shared" ref="AH5:AH36" si="23">(PI()*1*(AF4^2+AF5^2+AF4*AF5)*(1/3))</f>
        <v>1.431874238536077</v>
      </c>
      <c r="AI5" s="18">
        <f t="shared" ref="AI5:AI36" si="24">(PI()*1*(AG4^2+AG5^2+AG4*AG5)*(1/3))</f>
        <v>1.389770067428727</v>
      </c>
      <c r="AJ5" s="18">
        <f t="shared" si="8"/>
        <v>4.2104171107349986E-2</v>
      </c>
      <c r="AK5" s="18">
        <f t="shared" si="9"/>
        <v>330.51774319269737</v>
      </c>
      <c r="AL5" s="18">
        <f>SUM(AK6:AK$94)</f>
        <v>6050.64598487072</v>
      </c>
      <c r="AM5" s="18">
        <f>SUM($AK$4:AK5)</f>
        <v>330.51774319269737</v>
      </c>
      <c r="AN5" s="18">
        <f t="shared" si="10"/>
        <v>5720.1282416780223</v>
      </c>
      <c r="AO5" s="18">
        <f t="shared" si="11"/>
        <v>1</v>
      </c>
      <c r="AQ5" s="18" t="s">
        <v>180</v>
      </c>
      <c r="AS5" s="10">
        <f t="shared" ref="AS5:AS36" si="25">AS4+1</f>
        <v>1</v>
      </c>
      <c r="AT5" s="18">
        <f>IF((AS5&lt;='Alternative 3'!$B$12),AT4+1,9999)</f>
        <v>1</v>
      </c>
      <c r="AU5" s="101">
        <f>'Alternative 3'!I4</f>
        <v>1.0301428571428572</v>
      </c>
      <c r="AV5" s="101">
        <f>'Alternative 3'!J4</f>
        <v>1.0201428571428572</v>
      </c>
      <c r="AW5" s="18">
        <f t="shared" ref="AW5:AW36" si="26">(PI()*1*(AU4^2+AU5^2+AU4*AU5)*(1/3))</f>
        <v>3.365842550567415</v>
      </c>
      <c r="AX5" s="18">
        <f t="shared" ref="AX5:AX36" si="27">(PI()*1*(AV4^2+AV5^2+AV4*AV5)*(1/3))</f>
        <v>3.3011212539139603</v>
      </c>
      <c r="AY5" s="18">
        <f t="shared" si="12"/>
        <v>6.4721296653454718E-2</v>
      </c>
      <c r="AZ5" s="18">
        <f t="shared" si="13"/>
        <v>508.06217872961952</v>
      </c>
      <c r="BA5" s="18">
        <f>SUM(AZ6:AZ$94)</f>
        <v>14381.319853418381</v>
      </c>
      <c r="BB5" s="18">
        <f>SUM($AZ$4:AZ5)</f>
        <v>508.06217872961952</v>
      </c>
      <c r="BC5" s="18">
        <f t="shared" si="14"/>
        <v>13873.257674688761</v>
      </c>
      <c r="BD5" s="18">
        <f t="shared" si="15"/>
        <v>1</v>
      </c>
      <c r="BF5" s="18" t="s">
        <v>180</v>
      </c>
    </row>
    <row r="6" spans="1:58" x14ac:dyDescent="0.25">
      <c r="A6" s="18">
        <f t="shared" si="16"/>
        <v>2</v>
      </c>
      <c r="B6" s="101">
        <f>'Baseline Given'!I5</f>
        <v>1.980089552238806</v>
      </c>
      <c r="C6" s="18">
        <f>'Baseline Given'!J5</f>
        <v>1.9524495522388059</v>
      </c>
      <c r="D6" s="18">
        <f t="shared" si="17"/>
        <v>12.379445553570985</v>
      </c>
      <c r="E6" s="18">
        <f t="shared" si="18"/>
        <v>12.03599669217129</v>
      </c>
      <c r="F6" s="18">
        <f t="shared" si="0"/>
        <v>0.3434488613996951</v>
      </c>
      <c r="G6" s="18">
        <f t="shared" si="1"/>
        <v>2696.0735619876064</v>
      </c>
      <c r="H6" s="18">
        <f>SUM(G7:$G$71)</f>
        <v>116967.26712996664</v>
      </c>
      <c r="I6" s="18">
        <f>SUM($G$4:G6)</f>
        <v>5423.2282515240495</v>
      </c>
      <c r="J6" s="18">
        <f t="shared" si="2"/>
        <v>111544.03887844259</v>
      </c>
      <c r="K6" s="18">
        <f t="shared" si="3"/>
        <v>2</v>
      </c>
      <c r="M6" s="18">
        <f>SUM(G4:G71)</f>
        <v>122390.49538149069</v>
      </c>
      <c r="O6" s="10">
        <f t="shared" si="19"/>
        <v>2</v>
      </c>
      <c r="P6" s="18">
        <f>IF((O6&lt;='Alternative 1'!$B$12),P5+1,9999)</f>
        <v>2</v>
      </c>
      <c r="Q6" s="101">
        <f>'Alternative 1'!I5</f>
        <v>1.0481111111111112</v>
      </c>
      <c r="R6" s="101">
        <f>'Alternative 1'!J5</f>
        <v>1.0281111111111112</v>
      </c>
      <c r="S6" s="18">
        <f t="shared" si="20"/>
        <v>3.4840034698201596</v>
      </c>
      <c r="T6" s="18">
        <f t="shared" si="21"/>
        <v>3.3529257523368816</v>
      </c>
      <c r="U6" s="18">
        <f t="shared" si="4"/>
        <v>0.13107771748327801</v>
      </c>
      <c r="V6" s="18">
        <f t="shared" si="5"/>
        <v>1028.9600822437324</v>
      </c>
      <c r="W6" s="18">
        <f>SUM(V7:V$94)</f>
        <v>29147.813228000148</v>
      </c>
      <c r="X6" s="18">
        <f>SUM($V$4:V6)</f>
        <v>2067.7299620812291</v>
      </c>
      <c r="Y6" s="18">
        <f t="shared" si="6"/>
        <v>27080.083265918918</v>
      </c>
      <c r="Z6" s="18">
        <f t="shared" si="7"/>
        <v>2</v>
      </c>
      <c r="AB6" s="102">
        <f>SUM(V4:V94)</f>
        <v>31215.543190081382</v>
      </c>
      <c r="AD6" s="10">
        <f t="shared" si="22"/>
        <v>2</v>
      </c>
      <c r="AE6" s="18">
        <f>IF((AD6&lt;='Alternative 2'!$B$12),AE5+1,9999)</f>
        <v>2</v>
      </c>
      <c r="AF6" s="101">
        <f>'Alternative 2'!I5</f>
        <v>0.6604347826086957</v>
      </c>
      <c r="AG6" s="101">
        <f>'Alternative 2'!J5</f>
        <v>0.65043478260869569</v>
      </c>
      <c r="AH6" s="18">
        <f t="shared" si="23"/>
        <v>1.390678694415493</v>
      </c>
      <c r="AI6" s="18">
        <f t="shared" si="24"/>
        <v>1.3491891827403668</v>
      </c>
      <c r="AJ6" s="18">
        <f t="shared" si="8"/>
        <v>4.1489511675126156E-2</v>
      </c>
      <c r="AK6" s="18">
        <f t="shared" si="9"/>
        <v>325.69266664974032</v>
      </c>
      <c r="AL6" s="18">
        <f>SUM(AK7:AK$94)</f>
        <v>5724.9533182209798</v>
      </c>
      <c r="AM6" s="18">
        <f>SUM($AK$4:AK6)</f>
        <v>656.21040984243768</v>
      </c>
      <c r="AN6" s="18">
        <f t="shared" si="10"/>
        <v>5068.7429083785419</v>
      </c>
      <c r="AO6" s="18">
        <f t="shared" si="11"/>
        <v>2</v>
      </c>
      <c r="AQ6" s="102">
        <f>SUM(AK4:AK94)</f>
        <v>6381.1637280634177</v>
      </c>
      <c r="AS6" s="10">
        <f t="shared" si="25"/>
        <v>2</v>
      </c>
      <c r="AT6" s="18">
        <f>IF((AS6&lt;='Alternative 3'!$B$12),AT5+1,9999)</f>
        <v>2</v>
      </c>
      <c r="AU6" s="101">
        <f>'Alternative 3'!I5</f>
        <v>1.0202857142857142</v>
      </c>
      <c r="AV6" s="101">
        <f>'Alternative 3'!J5</f>
        <v>1.0102857142857142</v>
      </c>
      <c r="AW6" s="18">
        <f t="shared" si="26"/>
        <v>3.3020414199907826</v>
      </c>
      <c r="AX6" s="18">
        <f t="shared" si="27"/>
        <v>3.2379394658890353</v>
      </c>
      <c r="AY6" s="18">
        <f t="shared" si="12"/>
        <v>6.4101954101747349E-2</v>
      </c>
      <c r="AZ6" s="18">
        <f t="shared" si="13"/>
        <v>503.20033969871668</v>
      </c>
      <c r="BA6" s="18">
        <f>SUM(AZ7:AZ$94)</f>
        <v>13878.119513719665</v>
      </c>
      <c r="BB6" s="18">
        <f>SUM($AZ$4:AZ6)</f>
        <v>1011.2625184283362</v>
      </c>
      <c r="BC6" s="18">
        <f t="shared" si="14"/>
        <v>12866.856995291328</v>
      </c>
      <c r="BD6" s="18">
        <f t="shared" si="15"/>
        <v>2</v>
      </c>
      <c r="BF6" s="18">
        <f>SUM(AZ4:AZ494)</f>
        <v>14889.382032148003</v>
      </c>
    </row>
    <row r="7" spans="1:58" x14ac:dyDescent="0.25">
      <c r="A7" s="18">
        <f t="shared" si="16"/>
        <v>3</v>
      </c>
      <c r="B7" s="101">
        <f>'Baseline Given'!I6</f>
        <v>1.9701343283582089</v>
      </c>
      <c r="C7" s="18">
        <f>'Baseline Given'!J6</f>
        <v>1.9426743283582089</v>
      </c>
      <c r="D7" s="18">
        <f t="shared" si="17"/>
        <v>12.255589929528028</v>
      </c>
      <c r="E7" s="18">
        <f t="shared" si="18"/>
        <v>11.916078132823211</v>
      </c>
      <c r="F7" s="18">
        <f t="shared" si="0"/>
        <v>0.33951179670481757</v>
      </c>
      <c r="G7" s="18">
        <f t="shared" si="1"/>
        <v>2665.1676041328178</v>
      </c>
      <c r="H7" s="18">
        <f>SUM(G8:$G$71)</f>
        <v>114302.09952583382</v>
      </c>
      <c r="I7" s="18">
        <f>SUM($G$4:G7)</f>
        <v>8088.3958556568668</v>
      </c>
      <c r="J7" s="18">
        <f t="shared" si="2"/>
        <v>106213.70367017695</v>
      </c>
      <c r="K7" s="18">
        <f t="shared" si="3"/>
        <v>3</v>
      </c>
      <c r="O7" s="10">
        <f t="shared" si="19"/>
        <v>3</v>
      </c>
      <c r="P7" s="18">
        <f>IF((O7&lt;='Alternative 1'!$B$12),P6+1,9999)</f>
        <v>3</v>
      </c>
      <c r="Q7" s="101">
        <f>'Alternative 1'!I6</f>
        <v>1.0381666666666667</v>
      </c>
      <c r="R7" s="101">
        <f>'Alternative 1'!J6</f>
        <v>1.0181666666666667</v>
      </c>
      <c r="S7" s="18">
        <f t="shared" si="20"/>
        <v>3.4185145662802219</v>
      </c>
      <c r="T7" s="18">
        <f t="shared" si="21"/>
        <v>3.2886865045413725</v>
      </c>
      <c r="U7" s="18">
        <f t="shared" si="4"/>
        <v>0.12982806173884942</v>
      </c>
      <c r="V7" s="18">
        <f t="shared" si="5"/>
        <v>1019.1502846499679</v>
      </c>
      <c r="W7" s="18">
        <f>SUM(V8:V$94)</f>
        <v>28128.66294335018</v>
      </c>
      <c r="X7" s="18">
        <f>SUM($V$4:V7)</f>
        <v>3086.8802467311971</v>
      </c>
      <c r="Y7" s="18">
        <f t="shared" si="6"/>
        <v>25041.782696618982</v>
      </c>
      <c r="Z7" s="18">
        <f t="shared" si="7"/>
        <v>3</v>
      </c>
      <c r="AD7" s="10">
        <f t="shared" si="22"/>
        <v>3</v>
      </c>
      <c r="AE7" s="18">
        <f>IF((AD7&lt;='Alternative 2'!$B$12),AE6+1,9999)</f>
        <v>3</v>
      </c>
      <c r="AF7" s="101">
        <f>'Alternative 2'!I6</f>
        <v>0.65065217391304353</v>
      </c>
      <c r="AG7" s="101">
        <f>'Alternative 2'!J6</f>
        <v>0.64065217391304352</v>
      </c>
      <c r="AH7" s="18">
        <f t="shared" si="23"/>
        <v>1.3500844475655627</v>
      </c>
      <c r="AI7" s="18">
        <f t="shared" si="24"/>
        <v>1.3092095953226608</v>
      </c>
      <c r="AJ7" s="18">
        <f t="shared" si="8"/>
        <v>4.0874852242901882E-2</v>
      </c>
      <c r="AK7" s="18">
        <f t="shared" si="9"/>
        <v>320.8675901067798</v>
      </c>
      <c r="AL7" s="18">
        <f>SUM(AK8:AK$94)</f>
        <v>5404.0857281141998</v>
      </c>
      <c r="AM7" s="18">
        <f>SUM($AK$4:AK7)</f>
        <v>977.07799994921743</v>
      </c>
      <c r="AN7" s="18">
        <f t="shared" si="10"/>
        <v>4427.0077281649828</v>
      </c>
      <c r="AO7" s="18">
        <f t="shared" si="11"/>
        <v>3</v>
      </c>
      <c r="AS7" s="10">
        <f t="shared" si="25"/>
        <v>3</v>
      </c>
      <c r="AT7" s="18">
        <f>IF((AS7&lt;='Alternative 3'!$B$12),AT6+1,9999)</f>
        <v>3</v>
      </c>
      <c r="AU7" s="101">
        <f>'Alternative 3'!I6</f>
        <v>1.0104285714285715</v>
      </c>
      <c r="AV7" s="101">
        <f>'Alternative 3'!J6</f>
        <v>1.0004285714285714</v>
      </c>
      <c r="AW7" s="18">
        <f t="shared" si="26"/>
        <v>3.2388507842151197</v>
      </c>
      <c r="AX7" s="18">
        <f t="shared" si="27"/>
        <v>3.1753681726650793</v>
      </c>
      <c r="AY7" s="18">
        <f t="shared" si="12"/>
        <v>6.3482611550040424E-2</v>
      </c>
      <c r="AZ7" s="18">
        <f t="shared" si="13"/>
        <v>498.33850066781736</v>
      </c>
      <c r="BA7" s="18">
        <f>SUM(AZ8:AZ$94)</f>
        <v>13379.781013051846</v>
      </c>
      <c r="BB7" s="18">
        <f>SUM($AZ$4:AZ7)</f>
        <v>1509.6010190961535</v>
      </c>
      <c r="BC7" s="18">
        <f t="shared" si="14"/>
        <v>11870.179993955693</v>
      </c>
      <c r="BD7" s="18">
        <f t="shared" si="15"/>
        <v>3</v>
      </c>
    </row>
    <row r="8" spans="1:58" x14ac:dyDescent="0.25">
      <c r="A8" s="18">
        <f t="shared" si="16"/>
        <v>4</v>
      </c>
      <c r="B8" s="101">
        <f>'Baseline Given'!I7</f>
        <v>1.960179104477612</v>
      </c>
      <c r="C8" s="18">
        <f>'Baseline Given'!J7</f>
        <v>1.932899104477612</v>
      </c>
      <c r="D8" s="18">
        <f t="shared" si="17"/>
        <v>12.132357009879836</v>
      </c>
      <c r="E8" s="18">
        <f t="shared" si="18"/>
        <v>11.796759963259195</v>
      </c>
      <c r="F8" s="18">
        <f t="shared" si="0"/>
        <v>0.33559704662064149</v>
      </c>
      <c r="G8" s="18">
        <f t="shared" si="1"/>
        <v>2634.4368159720357</v>
      </c>
      <c r="H8" s="18">
        <f>SUM(G9:$G$71)</f>
        <v>111667.66270986178</v>
      </c>
      <c r="I8" s="18">
        <f>SUM($G$4:G8)</f>
        <v>10722.832671628903</v>
      </c>
      <c r="J8" s="18">
        <f t="shared" si="2"/>
        <v>100944.83003823287</v>
      </c>
      <c r="K8" s="18">
        <f t="shared" si="3"/>
        <v>4</v>
      </c>
      <c r="O8" s="10">
        <f t="shared" si="19"/>
        <v>4</v>
      </c>
      <c r="P8" s="18">
        <f>IF((O8&lt;='Alternative 1'!$B$12),P7+1,9999)</f>
        <v>4</v>
      </c>
      <c r="Q8" s="101">
        <f>'Alternative 1'!I7</f>
        <v>1.0282222222222224</v>
      </c>
      <c r="R8" s="101">
        <f>'Alternative 1'!J7</f>
        <v>1.0082222222222224</v>
      </c>
      <c r="S8" s="18">
        <f t="shared" si="20"/>
        <v>3.3536470193465417</v>
      </c>
      <c r="T8" s="18">
        <f t="shared" si="21"/>
        <v>3.2250686133521196</v>
      </c>
      <c r="U8" s="18">
        <f t="shared" si="4"/>
        <v>0.12857840599442216</v>
      </c>
      <c r="V8" s="18">
        <f t="shared" si="5"/>
        <v>1009.340487056214</v>
      </c>
      <c r="W8" s="18">
        <f>SUM(V9:V$94)</f>
        <v>27119.322456293965</v>
      </c>
      <c r="X8" s="18">
        <f>SUM($V$4:V8)</f>
        <v>4096.2207337874115</v>
      </c>
      <c r="Y8" s="18">
        <f t="shared" si="6"/>
        <v>23023.101722506552</v>
      </c>
      <c r="Z8" s="18">
        <f t="shared" si="7"/>
        <v>4</v>
      </c>
      <c r="AD8" s="10">
        <f t="shared" si="22"/>
        <v>4</v>
      </c>
      <c r="AE8" s="18">
        <f>IF((AD8&lt;='Alternative 2'!$B$12),AE7+1,9999)</f>
        <v>4</v>
      </c>
      <c r="AF8" s="101">
        <f>'Alternative 2'!I7</f>
        <v>0.64086956521739136</v>
      </c>
      <c r="AG8" s="101">
        <f>'Alternative 2'!J7</f>
        <v>0.63086956521739135</v>
      </c>
      <c r="AH8" s="18">
        <f t="shared" si="23"/>
        <v>1.3100914979862865</v>
      </c>
      <c r="AI8" s="18">
        <f t="shared" si="24"/>
        <v>1.2698313051756087</v>
      </c>
      <c r="AJ8" s="18">
        <f t="shared" si="8"/>
        <v>4.0260192810677831E-2</v>
      </c>
      <c r="AK8" s="18">
        <f t="shared" si="9"/>
        <v>316.04251356382099</v>
      </c>
      <c r="AL8" s="18">
        <f>SUM(AK9:AK$94)</f>
        <v>5088.0432145503792</v>
      </c>
      <c r="AM8" s="18">
        <f>SUM($AK$4:AK8)</f>
        <v>1293.1205135130385</v>
      </c>
      <c r="AN8" s="18">
        <f t="shared" si="10"/>
        <v>3794.9227010373406</v>
      </c>
      <c r="AO8" s="18">
        <f t="shared" si="11"/>
        <v>4</v>
      </c>
      <c r="AS8" s="10">
        <f t="shared" si="25"/>
        <v>4</v>
      </c>
      <c r="AT8" s="18">
        <f>IF((AS8&lt;='Alternative 3'!$B$12),AT7+1,9999)</f>
        <v>4</v>
      </c>
      <c r="AU8" s="101">
        <f>'Alternative 3'!I7</f>
        <v>1.0005714285714287</v>
      </c>
      <c r="AV8" s="101">
        <f>'Alternative 3'!J7</f>
        <v>0.99057142857142866</v>
      </c>
      <c r="AW8" s="18">
        <f t="shared" si="26"/>
        <v>3.1762706432404255</v>
      </c>
      <c r="AX8" s="18">
        <f t="shared" si="27"/>
        <v>3.1134073742420942</v>
      </c>
      <c r="AY8" s="18">
        <f t="shared" si="12"/>
        <v>6.2863268998331279E-2</v>
      </c>
      <c r="AZ8" s="18">
        <f t="shared" si="13"/>
        <v>493.47666163690053</v>
      </c>
      <c r="BA8" s="18">
        <f>SUM(AZ9:AZ$94)</f>
        <v>12886.304351414947</v>
      </c>
      <c r="BB8" s="18">
        <f>SUM($AZ$4:AZ8)</f>
        <v>2003.077680733054</v>
      </c>
      <c r="BC8" s="18">
        <f t="shared" si="14"/>
        <v>10883.226670681892</v>
      </c>
      <c r="BD8" s="18">
        <f t="shared" si="15"/>
        <v>4</v>
      </c>
    </row>
    <row r="9" spans="1:58" x14ac:dyDescent="0.25">
      <c r="A9" s="18">
        <f t="shared" si="16"/>
        <v>5</v>
      </c>
      <c r="B9" s="101">
        <f>'Baseline Given'!I8</f>
        <v>1.9502238805970149</v>
      </c>
      <c r="C9" s="18">
        <f>'Baseline Given'!J8</f>
        <v>1.9231238805970148</v>
      </c>
      <c r="D9" s="18">
        <f t="shared" si="17"/>
        <v>12.00974679462642</v>
      </c>
      <c r="E9" s="18">
        <f t="shared" si="18"/>
        <v>11.678042183479246</v>
      </c>
      <c r="F9" s="18">
        <f t="shared" si="0"/>
        <v>0.33170461114717398</v>
      </c>
      <c r="G9" s="18">
        <f t="shared" si="1"/>
        <v>2603.8811975053159</v>
      </c>
      <c r="H9" s="18">
        <f>SUM(G10:$G$71)</f>
        <v>109063.78151235647</v>
      </c>
      <c r="I9" s="18">
        <f>SUM($G$4:G9)</f>
        <v>13326.713869134219</v>
      </c>
      <c r="J9" s="18">
        <f t="shared" si="2"/>
        <v>95737.067643222254</v>
      </c>
      <c r="K9" s="18">
        <f t="shared" si="3"/>
        <v>5</v>
      </c>
      <c r="O9" s="10">
        <f t="shared" si="19"/>
        <v>5</v>
      </c>
      <c r="P9" s="18">
        <f>IF((O9&lt;='Alternative 1'!$B$12),P8+1,9999)</f>
        <v>5</v>
      </c>
      <c r="Q9" s="101">
        <f>'Alternative 1'!I8</f>
        <v>1.0182777777777778</v>
      </c>
      <c r="R9" s="101">
        <f>'Alternative 1'!J8</f>
        <v>0.99827777777777782</v>
      </c>
      <c r="S9" s="18">
        <f t="shared" si="20"/>
        <v>3.2894008290191192</v>
      </c>
      <c r="T9" s="18">
        <f t="shared" si="21"/>
        <v>3.1620720787691248</v>
      </c>
      <c r="U9" s="18">
        <f t="shared" si="4"/>
        <v>0.12732875024999446</v>
      </c>
      <c r="V9" s="18">
        <f t="shared" si="5"/>
        <v>999.53068946245651</v>
      </c>
      <c r="W9" s="18">
        <f>SUM(V10:V$94)</f>
        <v>26119.791766831509</v>
      </c>
      <c r="X9" s="18">
        <f>SUM($V$4:V9)</f>
        <v>5095.7514232498679</v>
      </c>
      <c r="Y9" s="18">
        <f t="shared" si="6"/>
        <v>21024.040343581641</v>
      </c>
      <c r="Z9" s="18">
        <f t="shared" si="7"/>
        <v>5</v>
      </c>
      <c r="AD9" s="10">
        <f t="shared" si="22"/>
        <v>5</v>
      </c>
      <c r="AE9" s="18">
        <f>IF((AD9&lt;='Alternative 2'!$B$12),AE8+1,9999)</f>
        <v>5</v>
      </c>
      <c r="AF9" s="101">
        <f>'Alternative 2'!I8</f>
        <v>0.63108695652173918</v>
      </c>
      <c r="AG9" s="101">
        <f>'Alternative 2'!J8</f>
        <v>0.62108695652173918</v>
      </c>
      <c r="AH9" s="18">
        <f t="shared" si="23"/>
        <v>1.2706998456776644</v>
      </c>
      <c r="AI9" s="18">
        <f t="shared" si="24"/>
        <v>1.2310543122992108</v>
      </c>
      <c r="AJ9" s="18">
        <f t="shared" si="8"/>
        <v>3.9645533378453557E-2</v>
      </c>
      <c r="AK9" s="18">
        <f t="shared" si="9"/>
        <v>311.21743702086042</v>
      </c>
      <c r="AL9" s="18">
        <f>SUM(AK10:AK$94)</f>
        <v>4776.8257775295187</v>
      </c>
      <c r="AM9" s="18">
        <f>SUM($AK$4:AK9)</f>
        <v>1604.3379505338989</v>
      </c>
      <c r="AN9" s="18">
        <f t="shared" si="10"/>
        <v>3172.4878269956198</v>
      </c>
      <c r="AO9" s="18">
        <f t="shared" si="11"/>
        <v>5</v>
      </c>
      <c r="AS9" s="10">
        <f t="shared" si="25"/>
        <v>5</v>
      </c>
      <c r="AT9" s="18">
        <f>IF((AS9&lt;='Alternative 3'!$B$12),AT8+1,9999)</f>
        <v>5</v>
      </c>
      <c r="AU9" s="101">
        <f>'Alternative 3'!I8</f>
        <v>0.99071428571428577</v>
      </c>
      <c r="AV9" s="101">
        <f>'Alternative 3'!J8</f>
        <v>0.98071428571428576</v>
      </c>
      <c r="AW9" s="18">
        <f t="shared" si="26"/>
        <v>3.1143009970667013</v>
      </c>
      <c r="AX9" s="18">
        <f t="shared" si="27"/>
        <v>3.0520570706200769</v>
      </c>
      <c r="AY9" s="18">
        <f t="shared" si="12"/>
        <v>6.2243926446624354E-2</v>
      </c>
      <c r="AZ9" s="18">
        <f t="shared" si="13"/>
        <v>488.61482260600116</v>
      </c>
      <c r="BA9" s="18">
        <f>SUM(AZ10:AZ$94)</f>
        <v>12397.689528808945</v>
      </c>
      <c r="BB9" s="18">
        <f>SUM($AZ$4:AZ9)</f>
        <v>2491.6925033390553</v>
      </c>
      <c r="BC9" s="18">
        <f t="shared" si="14"/>
        <v>9905.9970254698892</v>
      </c>
      <c r="BD9" s="18">
        <f t="shared" si="15"/>
        <v>5</v>
      </c>
    </row>
    <row r="10" spans="1:58" x14ac:dyDescent="0.25">
      <c r="A10" s="18">
        <f t="shared" si="16"/>
        <v>6</v>
      </c>
      <c r="B10" s="101">
        <f>'Baseline Given'!I9</f>
        <v>1.9402686567164178</v>
      </c>
      <c r="C10" s="18">
        <f>'Baseline Given'!J9</f>
        <v>1.9133486567164177</v>
      </c>
      <c r="D10" s="18">
        <f t="shared" si="17"/>
        <v>11.887759283767773</v>
      </c>
      <c r="E10" s="18">
        <f t="shared" si="18"/>
        <v>11.559924793483358</v>
      </c>
      <c r="F10" s="18">
        <f t="shared" si="0"/>
        <v>0.32783449028441503</v>
      </c>
      <c r="G10" s="18">
        <f t="shared" si="1"/>
        <v>2573.5007487326579</v>
      </c>
      <c r="H10" s="18">
        <f>SUM(G11:$G$71)</f>
        <v>106490.2807636238</v>
      </c>
      <c r="I10" s="18">
        <f>SUM($G$4:G10)</f>
        <v>15900.214617866877</v>
      </c>
      <c r="J10" s="18">
        <f t="shared" si="2"/>
        <v>90590.066145756922</v>
      </c>
      <c r="K10" s="18">
        <f t="shared" si="3"/>
        <v>6</v>
      </c>
      <c r="O10" s="10">
        <f t="shared" si="19"/>
        <v>6</v>
      </c>
      <c r="P10" s="18">
        <f>IF((O10&lt;='Alternative 1'!$B$12),P9+1,9999)</f>
        <v>6</v>
      </c>
      <c r="Q10" s="101">
        <f>'Alternative 1'!I9</f>
        <v>1.0083333333333333</v>
      </c>
      <c r="R10" s="101">
        <f>'Alternative 1'!J9</f>
        <v>0.98833333333333329</v>
      </c>
      <c r="S10" s="18">
        <f t="shared" si="20"/>
        <v>3.225775995297953</v>
      </c>
      <c r="T10" s="18">
        <f t="shared" si="21"/>
        <v>3.0996969007923862</v>
      </c>
      <c r="U10" s="18">
        <f t="shared" si="4"/>
        <v>0.12607909450556676</v>
      </c>
      <c r="V10" s="18">
        <f t="shared" si="5"/>
        <v>989.72089186869903</v>
      </c>
      <c r="W10" s="18">
        <f>SUM(V11:V$94)</f>
        <v>25130.07087496281</v>
      </c>
      <c r="X10" s="18">
        <f>SUM($V$4:V10)</f>
        <v>6085.4723151185672</v>
      </c>
      <c r="Y10" s="18">
        <f t="shared" si="6"/>
        <v>19044.598559844242</v>
      </c>
      <c r="Z10" s="18">
        <f t="shared" si="7"/>
        <v>6</v>
      </c>
      <c r="AD10" s="10">
        <f t="shared" si="22"/>
        <v>6</v>
      </c>
      <c r="AE10" s="18">
        <f>IF((AD10&lt;='Alternative 2'!$B$12),AE9+1,9999)</f>
        <v>6</v>
      </c>
      <c r="AF10" s="101">
        <f>'Alternative 2'!I9</f>
        <v>0.62130434782608701</v>
      </c>
      <c r="AG10" s="101">
        <f>'Alternative 2'!J9</f>
        <v>0.611304347826087</v>
      </c>
      <c r="AH10" s="18">
        <f t="shared" si="23"/>
        <v>1.2319094906396966</v>
      </c>
      <c r="AI10" s="18">
        <f t="shared" si="24"/>
        <v>1.1928786166934666</v>
      </c>
      <c r="AJ10" s="18">
        <f t="shared" si="8"/>
        <v>3.9030873946229949E-2</v>
      </c>
      <c r="AK10" s="18">
        <f t="shared" si="9"/>
        <v>306.39236047790513</v>
      </c>
      <c r="AL10" s="18">
        <f>SUM(AK11:AK$94)</f>
        <v>4470.433417051614</v>
      </c>
      <c r="AM10" s="18">
        <f>SUM($AK$4:AK10)</f>
        <v>1910.7303110118041</v>
      </c>
      <c r="AN10" s="18">
        <f t="shared" si="10"/>
        <v>2559.7031060398099</v>
      </c>
      <c r="AO10" s="18">
        <f t="shared" si="11"/>
        <v>6</v>
      </c>
      <c r="AS10" s="10">
        <f t="shared" si="25"/>
        <v>6</v>
      </c>
      <c r="AT10" s="18">
        <f>IF((AS10&lt;='Alternative 3'!$B$12),AT9+1,9999)</f>
        <v>6</v>
      </c>
      <c r="AU10" s="101">
        <f>'Alternative 3'!I9</f>
        <v>0.98085714285714287</v>
      </c>
      <c r="AV10" s="101">
        <f>'Alternative 3'!J9</f>
        <v>0.97085714285714286</v>
      </c>
      <c r="AW10" s="18">
        <f t="shared" si="26"/>
        <v>3.0529418456939448</v>
      </c>
      <c r="AX10" s="18">
        <f t="shared" si="27"/>
        <v>2.9913172617990282</v>
      </c>
      <c r="AY10" s="18">
        <f t="shared" si="12"/>
        <v>6.162458389491654E-2</v>
      </c>
      <c r="AZ10" s="18">
        <f t="shared" si="13"/>
        <v>483.75298357509485</v>
      </c>
      <c r="BA10" s="18">
        <f>SUM(AZ11:AZ$94)</f>
        <v>11913.936545233852</v>
      </c>
      <c r="BB10" s="18">
        <f>SUM($AZ$4:AZ10)</f>
        <v>2975.44548691415</v>
      </c>
      <c r="BC10" s="18">
        <f t="shared" si="14"/>
        <v>8938.4910583197016</v>
      </c>
      <c r="BD10" s="18">
        <f t="shared" si="15"/>
        <v>6</v>
      </c>
    </row>
    <row r="11" spans="1:58" x14ac:dyDescent="0.25">
      <c r="A11" s="18">
        <f t="shared" si="16"/>
        <v>7</v>
      </c>
      <c r="B11" s="101">
        <f>'Baseline Given'!I10</f>
        <v>1.9303134328358209</v>
      </c>
      <c r="C11" s="18">
        <f>'Baseline Given'!J10</f>
        <v>1.9035734328358209</v>
      </c>
      <c r="D11" s="18">
        <f t="shared" si="17"/>
        <v>11.766394477303894</v>
      </c>
      <c r="E11" s="18">
        <f t="shared" si="18"/>
        <v>11.442407793271538</v>
      </c>
      <c r="F11" s="18">
        <f t="shared" si="0"/>
        <v>0.32398668403235575</v>
      </c>
      <c r="G11" s="18">
        <f t="shared" si="1"/>
        <v>2543.2954696539928</v>
      </c>
      <c r="H11" s="18">
        <f>SUM(G12:$G$71)</f>
        <v>103946.98529396982</v>
      </c>
      <c r="I11" s="18">
        <f>SUM($G$4:G11)</f>
        <v>18443.51008752087</v>
      </c>
      <c r="J11" s="18">
        <f t="shared" si="2"/>
        <v>85503.475206448944</v>
      </c>
      <c r="K11" s="18">
        <f t="shared" si="3"/>
        <v>7</v>
      </c>
      <c r="O11" s="10">
        <f t="shared" si="19"/>
        <v>7</v>
      </c>
      <c r="P11" s="18">
        <f>IF((O11&lt;='Alternative 1'!$B$12),P10+1,9999)</f>
        <v>7</v>
      </c>
      <c r="Q11" s="101">
        <f>'Alternative 1'!I10</f>
        <v>0.99838888888888899</v>
      </c>
      <c r="R11" s="101">
        <f>'Alternative 1'!J10</f>
        <v>0.97838888888888897</v>
      </c>
      <c r="S11" s="18">
        <f t="shared" si="20"/>
        <v>3.1627725181830439</v>
      </c>
      <c r="T11" s="18">
        <f t="shared" si="21"/>
        <v>3.0379430794219058</v>
      </c>
      <c r="U11" s="18">
        <f t="shared" si="4"/>
        <v>0.12482943876113817</v>
      </c>
      <c r="V11" s="18">
        <f t="shared" si="5"/>
        <v>979.91109427493461</v>
      </c>
      <c r="W11" s="18">
        <f>SUM(V12:V$94)</f>
        <v>24150.159780687878</v>
      </c>
      <c r="X11" s="18">
        <f>SUM($V$4:V11)</f>
        <v>7065.383409393502</v>
      </c>
      <c r="Y11" s="18">
        <f t="shared" si="6"/>
        <v>17084.776371294378</v>
      </c>
      <c r="Z11" s="18">
        <f t="shared" si="7"/>
        <v>7</v>
      </c>
      <c r="AD11" s="10">
        <f t="shared" si="22"/>
        <v>7</v>
      </c>
      <c r="AE11" s="18">
        <f>IF((AD11&lt;='Alternative 2'!$B$12),AE10+1,9999)</f>
        <v>7</v>
      </c>
      <c r="AF11" s="101">
        <f>'Alternative 2'!I10</f>
        <v>0.61152173913043484</v>
      </c>
      <c r="AG11" s="101">
        <f>'Alternative 2'!J10</f>
        <v>0.60152173913043483</v>
      </c>
      <c r="AH11" s="18">
        <f t="shared" si="23"/>
        <v>1.1937204328723825</v>
      </c>
      <c r="AI11" s="18">
        <f t="shared" si="24"/>
        <v>1.1553042183583768</v>
      </c>
      <c r="AJ11" s="18">
        <f t="shared" si="8"/>
        <v>3.8416214514005675E-2</v>
      </c>
      <c r="AK11" s="18">
        <f t="shared" si="9"/>
        <v>301.56728393494456</v>
      </c>
      <c r="AL11" s="18">
        <f>SUM(AK12:AK$94)</f>
        <v>4168.8661331166695</v>
      </c>
      <c r="AM11" s="18">
        <f>SUM($AK$4:AK11)</f>
        <v>2212.2975949467486</v>
      </c>
      <c r="AN11" s="18">
        <f t="shared" si="10"/>
        <v>1956.5685381699209</v>
      </c>
      <c r="AO11" s="18">
        <f t="shared" si="11"/>
        <v>7</v>
      </c>
      <c r="AS11" s="10">
        <f t="shared" si="25"/>
        <v>7</v>
      </c>
      <c r="AT11" s="18">
        <f>IF((AS11&lt;='Alternative 3'!$B$12),AT10+1,9999)</f>
        <v>7</v>
      </c>
      <c r="AU11" s="101">
        <f>'Alternative 3'!I10</f>
        <v>0.97099999999999997</v>
      </c>
      <c r="AV11" s="101">
        <f>'Alternative 3'!J10</f>
        <v>0.96099999999999997</v>
      </c>
      <c r="AW11" s="18">
        <f t="shared" si="26"/>
        <v>2.9921931891221583</v>
      </c>
      <c r="AX11" s="18">
        <f t="shared" si="27"/>
        <v>2.9311879477789491</v>
      </c>
      <c r="AY11" s="18">
        <f t="shared" si="12"/>
        <v>6.1005241343209171E-2</v>
      </c>
      <c r="AZ11" s="18">
        <f t="shared" si="13"/>
        <v>478.891144544192</v>
      </c>
      <c r="BA11" s="18">
        <f>SUM(AZ12:AZ$94)</f>
        <v>11435.045400689658</v>
      </c>
      <c r="BB11" s="18">
        <f>SUM($AZ$4:AZ11)</f>
        <v>3454.3366314583418</v>
      </c>
      <c r="BC11" s="18">
        <f t="shared" si="14"/>
        <v>7980.7087692313162</v>
      </c>
      <c r="BD11" s="18">
        <f t="shared" si="15"/>
        <v>7</v>
      </c>
    </row>
    <row r="12" spans="1:58" x14ac:dyDescent="0.25">
      <c r="A12" s="18">
        <f t="shared" si="16"/>
        <v>8</v>
      </c>
      <c r="B12" s="101">
        <f>'Baseline Given'!I11</f>
        <v>1.9203582089552238</v>
      </c>
      <c r="C12" s="18">
        <f>'Baseline Given'!J11</f>
        <v>1.8937982089552237</v>
      </c>
      <c r="D12" s="18">
        <f t="shared" si="17"/>
        <v>11.645652375234789</v>
      </c>
      <c r="E12" s="18">
        <f t="shared" si="18"/>
        <v>11.325491182843784</v>
      </c>
      <c r="F12" s="18">
        <f t="shared" si="0"/>
        <v>0.32016119239100505</v>
      </c>
      <c r="G12" s="18">
        <f t="shared" si="1"/>
        <v>2513.2653602693895</v>
      </c>
      <c r="H12" s="18">
        <f>SUM(G13:$G$71)</f>
        <v>101433.71993370043</v>
      </c>
      <c r="I12" s="18">
        <f>SUM($G$4:G12)</f>
        <v>20956.77544779026</v>
      </c>
      <c r="J12" s="18">
        <f t="shared" si="2"/>
        <v>80476.944485910164</v>
      </c>
      <c r="K12" s="18">
        <f t="shared" si="3"/>
        <v>8</v>
      </c>
      <c r="O12" s="10">
        <f t="shared" si="19"/>
        <v>8</v>
      </c>
      <c r="P12" s="18">
        <f>IF((O12&lt;='Alternative 1'!$B$12),P11+1,9999)</f>
        <v>8</v>
      </c>
      <c r="Q12" s="101">
        <f>'Alternative 1'!I11</f>
        <v>0.98844444444444446</v>
      </c>
      <c r="R12" s="101">
        <f>'Alternative 1'!J11</f>
        <v>0.96844444444444444</v>
      </c>
      <c r="S12" s="18">
        <f t="shared" si="20"/>
        <v>3.100390397674393</v>
      </c>
      <c r="T12" s="18">
        <f t="shared" si="21"/>
        <v>2.9768106146576825</v>
      </c>
      <c r="U12" s="18">
        <f t="shared" si="4"/>
        <v>0.12357978301671046</v>
      </c>
      <c r="V12" s="18">
        <f t="shared" si="5"/>
        <v>970.10129668117713</v>
      </c>
      <c r="W12" s="18">
        <f>SUM(V13:V$94)</f>
        <v>23180.058484006699</v>
      </c>
      <c r="X12" s="18">
        <f>SUM($V$4:V12)</f>
        <v>8035.4847060746788</v>
      </c>
      <c r="Y12" s="18">
        <f t="shared" si="6"/>
        <v>15144.573777932019</v>
      </c>
      <c r="Z12" s="18">
        <f t="shared" si="7"/>
        <v>8</v>
      </c>
      <c r="AD12" s="10">
        <f t="shared" si="22"/>
        <v>8</v>
      </c>
      <c r="AE12" s="18">
        <f>IF((AD12&lt;='Alternative 2'!$B$12),AE11+1,9999)</f>
        <v>8</v>
      </c>
      <c r="AF12" s="101">
        <f>'Alternative 2'!I11</f>
        <v>0.60173913043478267</v>
      </c>
      <c r="AG12" s="101">
        <f>'Alternative 2'!J11</f>
        <v>0.59173913043478266</v>
      </c>
      <c r="AH12" s="18">
        <f t="shared" si="23"/>
        <v>1.1561326723757224</v>
      </c>
      <c r="AI12" s="18">
        <f t="shared" si="24"/>
        <v>1.1183311172939407</v>
      </c>
      <c r="AJ12" s="18">
        <f t="shared" si="8"/>
        <v>3.7801555081781624E-2</v>
      </c>
      <c r="AK12" s="18">
        <f t="shared" si="9"/>
        <v>296.74220739198574</v>
      </c>
      <c r="AL12" s="18">
        <f>SUM(AK13:AK$94)</f>
        <v>3872.1239257246839</v>
      </c>
      <c r="AM12" s="18">
        <f>SUM($AK$4:AK12)</f>
        <v>2509.0398023387343</v>
      </c>
      <c r="AN12" s="18">
        <f t="shared" si="10"/>
        <v>1363.0841233859496</v>
      </c>
      <c r="AO12" s="18">
        <f t="shared" si="11"/>
        <v>8</v>
      </c>
      <c r="AS12" s="10">
        <f t="shared" si="25"/>
        <v>8</v>
      </c>
      <c r="AT12" s="18">
        <f>IF((AS12&lt;='Alternative 3'!$B$12),AT11+1,9999)</f>
        <v>8</v>
      </c>
      <c r="AU12" s="101">
        <f>'Alternative 3'!I11</f>
        <v>0.96114285714285719</v>
      </c>
      <c r="AV12" s="101">
        <f>'Alternative 3'!J11</f>
        <v>0.95114285714285718</v>
      </c>
      <c r="AW12" s="18">
        <f t="shared" si="26"/>
        <v>2.9320550273513399</v>
      </c>
      <c r="AX12" s="18">
        <f t="shared" si="27"/>
        <v>2.871669128559839</v>
      </c>
      <c r="AY12" s="18">
        <f t="shared" si="12"/>
        <v>6.0385898791500914E-2</v>
      </c>
      <c r="AZ12" s="18">
        <f t="shared" si="13"/>
        <v>474.02930551328217</v>
      </c>
      <c r="BA12" s="18">
        <f>SUM(AZ13:AZ$94)</f>
        <v>10961.016095176376</v>
      </c>
      <c r="BB12" s="18">
        <f>SUM($AZ$4:AZ12)</f>
        <v>3928.3659369716238</v>
      </c>
      <c r="BC12" s="18">
        <f t="shared" si="14"/>
        <v>7032.6501582047513</v>
      </c>
      <c r="BD12" s="18">
        <f t="shared" si="15"/>
        <v>8</v>
      </c>
    </row>
    <row r="13" spans="1:58" x14ac:dyDescent="0.25">
      <c r="A13" s="18">
        <f t="shared" si="16"/>
        <v>9</v>
      </c>
      <c r="B13" s="101">
        <f>'Baseline Given'!I12</f>
        <v>1.9104029850746269</v>
      </c>
      <c r="C13" s="18">
        <f>'Baseline Given'!J12</f>
        <v>1.8840229850746268</v>
      </c>
      <c r="D13" s="18">
        <f t="shared" si="17"/>
        <v>11.525532977560454</v>
      </c>
      <c r="E13" s="18">
        <f t="shared" si="18"/>
        <v>11.209174962200091</v>
      </c>
      <c r="F13" s="18">
        <f t="shared" si="0"/>
        <v>0.3163580153603629</v>
      </c>
      <c r="G13" s="18">
        <f t="shared" si="1"/>
        <v>2483.410420578849</v>
      </c>
      <c r="H13" s="18">
        <f>SUM(G14:$G$71)</f>
        <v>98950.309513121596</v>
      </c>
      <c r="I13" s="18">
        <f>SUM($G$4:G13)</f>
        <v>23440.18586836911</v>
      </c>
      <c r="J13" s="18">
        <f t="shared" si="2"/>
        <v>75510.123644752486</v>
      </c>
      <c r="K13" s="18">
        <f t="shared" si="3"/>
        <v>9</v>
      </c>
      <c r="O13" s="10">
        <f t="shared" si="19"/>
        <v>9</v>
      </c>
      <c r="P13" s="18">
        <f>IF((O13&lt;='Alternative 1'!$B$12),P12+1,9999)</f>
        <v>9</v>
      </c>
      <c r="Q13" s="101">
        <f>'Alternative 1'!I12</f>
        <v>0.97850000000000004</v>
      </c>
      <c r="R13" s="101">
        <f>'Alternative 1'!J12</f>
        <v>0.95850000000000002</v>
      </c>
      <c r="S13" s="18">
        <f t="shared" si="20"/>
        <v>3.0386296337719987</v>
      </c>
      <c r="T13" s="18">
        <f t="shared" si="21"/>
        <v>2.9162995064997159</v>
      </c>
      <c r="U13" s="18">
        <f t="shared" si="4"/>
        <v>0.12233012727228276</v>
      </c>
      <c r="V13" s="18">
        <f t="shared" si="5"/>
        <v>960.29149908741965</v>
      </c>
      <c r="W13" s="18">
        <f>SUM(V14:V$94)</f>
        <v>22219.766984919279</v>
      </c>
      <c r="X13" s="18">
        <f>SUM($V$4:V13)</f>
        <v>8995.7762051620994</v>
      </c>
      <c r="Y13" s="18">
        <f t="shared" si="6"/>
        <v>13223.99077975718</v>
      </c>
      <c r="Z13" s="18">
        <f t="shared" si="7"/>
        <v>9</v>
      </c>
      <c r="AD13" s="10">
        <f t="shared" si="22"/>
        <v>9</v>
      </c>
      <c r="AE13" s="18">
        <f>IF((AD13&lt;='Alternative 2'!$B$12),AE12+1,9999)</f>
        <v>9</v>
      </c>
      <c r="AF13" s="101">
        <f>'Alternative 2'!I12</f>
        <v>0.59195652173913049</v>
      </c>
      <c r="AG13" s="101">
        <f>'Alternative 2'!J12</f>
        <v>0.58195652173913048</v>
      </c>
      <c r="AH13" s="18">
        <f t="shared" si="23"/>
        <v>1.1191462091497162</v>
      </c>
      <c r="AI13" s="18">
        <f t="shared" si="24"/>
        <v>1.0819593135001586</v>
      </c>
      <c r="AJ13" s="18">
        <f t="shared" si="8"/>
        <v>3.7186895649557572E-2</v>
      </c>
      <c r="AK13" s="18">
        <f t="shared" si="9"/>
        <v>291.91713084902693</v>
      </c>
      <c r="AL13" s="18">
        <f>SUM(AK14:AK$94)</f>
        <v>3580.2067948756567</v>
      </c>
      <c r="AM13" s="18">
        <f>SUM($AK$4:AK13)</f>
        <v>2800.956933187761</v>
      </c>
      <c r="AN13" s="18">
        <f t="shared" si="10"/>
        <v>779.24986168789565</v>
      </c>
      <c r="AO13" s="18">
        <f t="shared" si="11"/>
        <v>9</v>
      </c>
      <c r="AS13" s="10">
        <f t="shared" si="25"/>
        <v>9</v>
      </c>
      <c r="AT13" s="18">
        <f>IF((AS13&lt;='Alternative 3'!$B$12),AT12+1,9999)</f>
        <v>9</v>
      </c>
      <c r="AU13" s="101">
        <f>'Alternative 3'!I12</f>
        <v>0.95128571428571429</v>
      </c>
      <c r="AV13" s="101">
        <f>'Alternative 3'!J12</f>
        <v>0.94128571428571428</v>
      </c>
      <c r="AW13" s="18">
        <f t="shared" si="26"/>
        <v>2.8725273603814916</v>
      </c>
      <c r="AX13" s="18">
        <f t="shared" si="27"/>
        <v>2.812760804141698</v>
      </c>
      <c r="AY13" s="18">
        <f t="shared" si="12"/>
        <v>5.9766556239793545E-2</v>
      </c>
      <c r="AZ13" s="18">
        <f t="shared" si="13"/>
        <v>469.16746648237933</v>
      </c>
      <c r="BA13" s="18">
        <f>SUM(AZ14:AZ$94)</f>
        <v>10491.848628693997</v>
      </c>
      <c r="BB13" s="18">
        <f>SUM($AZ$4:AZ13)</f>
        <v>4397.5334034540028</v>
      </c>
      <c r="BC13" s="18">
        <f t="shared" si="14"/>
        <v>6094.3152252399941</v>
      </c>
      <c r="BD13" s="18">
        <f t="shared" si="15"/>
        <v>9</v>
      </c>
    </row>
    <row r="14" spans="1:58" x14ac:dyDescent="0.25">
      <c r="A14" s="18">
        <f t="shared" si="16"/>
        <v>10</v>
      </c>
      <c r="B14" s="101">
        <f>'Baseline Given'!I13</f>
        <v>1.9004477611940298</v>
      </c>
      <c r="C14" s="18">
        <f>'Baseline Given'!J13</f>
        <v>1.8742477611940298</v>
      </c>
      <c r="D14" s="18">
        <f t="shared" si="17"/>
        <v>11.406036284280889</v>
      </c>
      <c r="E14" s="18">
        <f t="shared" si="18"/>
        <v>11.093459131340467</v>
      </c>
      <c r="F14" s="18">
        <f t="shared" si="0"/>
        <v>0.31257715294042221</v>
      </c>
      <c r="G14" s="18">
        <f t="shared" si="1"/>
        <v>2453.7306505823144</v>
      </c>
      <c r="H14" s="18">
        <f>SUM(G15:$G$71)</f>
        <v>96496.578862539289</v>
      </c>
      <c r="I14" s="18">
        <f>SUM($G$4:G14)</f>
        <v>25893.916518951424</v>
      </c>
      <c r="J14" s="18">
        <f t="shared" si="2"/>
        <v>70602.662343587872</v>
      </c>
      <c r="K14" s="18">
        <f t="shared" si="3"/>
        <v>10</v>
      </c>
      <c r="O14" s="10">
        <f t="shared" si="19"/>
        <v>10</v>
      </c>
      <c r="P14" s="18">
        <f>IF((O14&lt;='Alternative 1'!$B$12),P13+1,9999)</f>
        <v>10</v>
      </c>
      <c r="Q14" s="101">
        <f>'Alternative 1'!I13</f>
        <v>0.96855555555555561</v>
      </c>
      <c r="R14" s="101">
        <f>'Alternative 1'!J13</f>
        <v>0.9485555555555556</v>
      </c>
      <c r="S14" s="18">
        <f t="shared" si="20"/>
        <v>2.9774902264758616</v>
      </c>
      <c r="T14" s="18">
        <f t="shared" si="21"/>
        <v>2.8564097549480074</v>
      </c>
      <c r="U14" s="18">
        <f t="shared" si="4"/>
        <v>0.12108047152785417</v>
      </c>
      <c r="V14" s="18">
        <f t="shared" si="5"/>
        <v>950.48170149365524</v>
      </c>
      <c r="W14" s="18">
        <f>SUM(V15:V$94)</f>
        <v>21269.285283425626</v>
      </c>
      <c r="X14" s="18">
        <f>SUM($V$4:V14)</f>
        <v>9946.2579066557555</v>
      </c>
      <c r="Y14" s="18">
        <f t="shared" si="6"/>
        <v>11323.027376769871</v>
      </c>
      <c r="Z14" s="18">
        <f t="shared" si="7"/>
        <v>10</v>
      </c>
      <c r="AD14" s="10">
        <f t="shared" si="22"/>
        <v>10</v>
      </c>
      <c r="AE14" s="18">
        <f>IF((AD14&lt;='Alternative 2'!$B$12),AE13+1,9999)</f>
        <v>10</v>
      </c>
      <c r="AF14" s="101">
        <f>'Alternative 2'!I13</f>
        <v>0.58217391304347832</v>
      </c>
      <c r="AG14" s="101">
        <f>'Alternative 2'!J13</f>
        <v>0.57217391304347831</v>
      </c>
      <c r="AH14" s="18">
        <f t="shared" si="23"/>
        <v>1.0827610431943639</v>
      </c>
      <c r="AI14" s="18">
        <f t="shared" si="24"/>
        <v>1.0461888069770309</v>
      </c>
      <c r="AJ14" s="18">
        <f t="shared" si="8"/>
        <v>3.6572236217333076E-2</v>
      </c>
      <c r="AK14" s="18">
        <f t="shared" si="9"/>
        <v>287.09205430606465</v>
      </c>
      <c r="AL14" s="18">
        <f>SUM(AK15:AK$94)</f>
        <v>3293.1147405695924</v>
      </c>
      <c r="AM14" s="18">
        <f>SUM($AK$4:AK14)</f>
        <v>3088.0489874938257</v>
      </c>
      <c r="AN14" s="18">
        <f t="shared" si="10"/>
        <v>205.06575307576668</v>
      </c>
      <c r="AO14" s="18">
        <f t="shared" si="11"/>
        <v>10</v>
      </c>
      <c r="AS14" s="10">
        <f t="shared" si="25"/>
        <v>10</v>
      </c>
      <c r="AT14" s="18">
        <f>IF((AS14&lt;='Alternative 3'!$B$12),AT13+1,9999)</f>
        <v>10</v>
      </c>
      <c r="AU14" s="101">
        <f>'Alternative 3'!I13</f>
        <v>0.9414285714285715</v>
      </c>
      <c r="AV14" s="101">
        <f>'Alternative 3'!J13</f>
        <v>0.93142857142857149</v>
      </c>
      <c r="AW14" s="18">
        <f t="shared" si="26"/>
        <v>2.813610188212611</v>
      </c>
      <c r="AX14" s="18">
        <f t="shared" si="27"/>
        <v>2.7544629745245257</v>
      </c>
      <c r="AY14" s="18">
        <f t="shared" si="12"/>
        <v>5.9147213688085287E-2</v>
      </c>
      <c r="AZ14" s="18">
        <f t="shared" si="13"/>
        <v>464.30562745146949</v>
      </c>
      <c r="BA14" s="18">
        <f>SUM(AZ15:AZ$94)</f>
        <v>10027.543001242528</v>
      </c>
      <c r="BB14" s="18">
        <f>SUM($AZ$4:AZ14)</f>
        <v>4861.8390309054721</v>
      </c>
      <c r="BC14" s="18">
        <f t="shared" si="14"/>
        <v>5165.7039703370556</v>
      </c>
      <c r="BD14" s="18">
        <f t="shared" si="15"/>
        <v>10</v>
      </c>
    </row>
    <row r="15" spans="1:58" x14ac:dyDescent="0.25">
      <c r="A15" s="18">
        <f t="shared" si="16"/>
        <v>11</v>
      </c>
      <c r="B15" s="101">
        <f>'Baseline Given'!I14</f>
        <v>1.8904925373134329</v>
      </c>
      <c r="C15" s="18">
        <f>'Baseline Given'!J14</f>
        <v>1.864472537313433</v>
      </c>
      <c r="D15" s="18">
        <f t="shared" si="17"/>
        <v>11.287162295396097</v>
      </c>
      <c r="E15" s="18">
        <f t="shared" si="18"/>
        <v>10.978343690264907</v>
      </c>
      <c r="F15" s="18">
        <f t="shared" si="0"/>
        <v>0.30881860513119008</v>
      </c>
      <c r="G15" s="18">
        <f t="shared" si="1"/>
        <v>2424.2260502798422</v>
      </c>
      <c r="H15" s="18">
        <f>SUM(G16:$G$71)</f>
        <v>94072.352812259443</v>
      </c>
      <c r="I15" s="18">
        <f>SUM($G$4:G15)</f>
        <v>28318.142569231266</v>
      </c>
      <c r="J15" s="18">
        <f t="shared" si="2"/>
        <v>65754.210243028181</v>
      </c>
      <c r="K15" s="18">
        <f t="shared" si="3"/>
        <v>11</v>
      </c>
      <c r="O15" s="10">
        <f t="shared" si="19"/>
        <v>11</v>
      </c>
      <c r="P15" s="18">
        <f>IF((O15&lt;='Alternative 1'!$B$12),P14+1,9999)</f>
        <v>11</v>
      </c>
      <c r="Q15" s="101">
        <f>'Alternative 1'!I14</f>
        <v>0.95861111111111119</v>
      </c>
      <c r="R15" s="101">
        <f>'Alternative 1'!J14</f>
        <v>0.93861111111111117</v>
      </c>
      <c r="S15" s="18">
        <f t="shared" si="20"/>
        <v>2.9169721757859826</v>
      </c>
      <c r="T15" s="18">
        <f t="shared" si="21"/>
        <v>2.7971413600025556</v>
      </c>
      <c r="U15" s="18">
        <f t="shared" si="4"/>
        <v>0.11983081578342691</v>
      </c>
      <c r="V15" s="18">
        <f t="shared" si="5"/>
        <v>940.67190389990128</v>
      </c>
      <c r="W15" s="18">
        <f>SUM(V16:V$94)</f>
        <v>20328.613379525723</v>
      </c>
      <c r="X15" s="18">
        <f>SUM($V$4:V15)</f>
        <v>10886.929810555657</v>
      </c>
      <c r="Y15" s="18">
        <f t="shared" si="6"/>
        <v>9441.6835689700656</v>
      </c>
      <c r="Z15" s="18">
        <f t="shared" si="7"/>
        <v>11</v>
      </c>
      <c r="AD15" s="10">
        <f t="shared" si="22"/>
        <v>11</v>
      </c>
      <c r="AE15" s="18">
        <f>IF((AD15&lt;='Alternative 2'!$B$12),AE14+1,9999)</f>
        <v>11</v>
      </c>
      <c r="AF15" s="101">
        <f>'Alternative 2'!I14</f>
        <v>0.57239130434782615</v>
      </c>
      <c r="AG15" s="101">
        <f>'Alternative 2'!J14</f>
        <v>0.56239130434782614</v>
      </c>
      <c r="AH15" s="18">
        <f t="shared" si="23"/>
        <v>1.0469771745096659</v>
      </c>
      <c r="AI15" s="18">
        <f t="shared" si="24"/>
        <v>1.0110195977245566</v>
      </c>
      <c r="AJ15" s="18">
        <f t="shared" si="8"/>
        <v>3.5957576785109246E-2</v>
      </c>
      <c r="AK15" s="18">
        <f t="shared" si="9"/>
        <v>282.2669777631076</v>
      </c>
      <c r="AL15" s="18">
        <f>SUM(AK16:AK$94)</f>
        <v>3010.8477628064843</v>
      </c>
      <c r="AM15" s="18">
        <f>SUM($AK$4:AK15)</f>
        <v>3370.3159652569334</v>
      </c>
      <c r="AN15" s="18">
        <f t="shared" si="10"/>
        <v>359.4682024504491</v>
      </c>
      <c r="AO15" s="18">
        <f t="shared" si="11"/>
        <v>11</v>
      </c>
      <c r="AS15" s="10">
        <f t="shared" si="25"/>
        <v>11</v>
      </c>
      <c r="AT15" s="18">
        <f>IF((AS15&lt;='Alternative 3'!$B$12),AT14+1,9999)</f>
        <v>11</v>
      </c>
      <c r="AU15" s="101">
        <f>'Alternative 3'!I14</f>
        <v>0.93157142857142861</v>
      </c>
      <c r="AV15" s="101">
        <f>'Alternative 3'!J14</f>
        <v>0.9215714285714286</v>
      </c>
      <c r="AW15" s="18">
        <f t="shared" si="26"/>
        <v>2.7553035108447013</v>
      </c>
      <c r="AX15" s="18">
        <f t="shared" si="27"/>
        <v>2.6967756397083229</v>
      </c>
      <c r="AY15" s="18">
        <f t="shared" si="12"/>
        <v>5.8527871136378362E-2</v>
      </c>
      <c r="AZ15" s="18">
        <f t="shared" si="13"/>
        <v>459.44378842057012</v>
      </c>
      <c r="BA15" s="18">
        <f>SUM(AZ16:AZ$94)</f>
        <v>9568.0992128219568</v>
      </c>
      <c r="BB15" s="18">
        <f>SUM($AZ$4:AZ15)</f>
        <v>5321.282819326042</v>
      </c>
      <c r="BC15" s="18">
        <f t="shared" si="14"/>
        <v>4246.8163934959148</v>
      </c>
      <c r="BD15" s="18">
        <f t="shared" si="15"/>
        <v>11</v>
      </c>
    </row>
    <row r="16" spans="1:58" x14ac:dyDescent="0.25">
      <c r="A16" s="18">
        <f t="shared" si="16"/>
        <v>12</v>
      </c>
      <c r="B16" s="101">
        <f>'Baseline Given'!I15</f>
        <v>1.8805373134328358</v>
      </c>
      <c r="C16" s="18">
        <f>'Baseline Given'!J15</f>
        <v>1.8546973134328357</v>
      </c>
      <c r="D16" s="18">
        <f t="shared" si="17"/>
        <v>11.168911010906074</v>
      </c>
      <c r="E16" s="18">
        <f t="shared" si="18"/>
        <v>10.863828638973411</v>
      </c>
      <c r="F16" s="18">
        <f t="shared" si="0"/>
        <v>0.30508237193266297</v>
      </c>
      <c r="G16" s="18">
        <f t="shared" si="1"/>
        <v>2394.8966196714041</v>
      </c>
      <c r="H16" s="18">
        <f>SUM(G17:$G$71)</f>
        <v>91677.456192588026</v>
      </c>
      <c r="I16" s="18">
        <f>SUM($G$4:G16)</f>
        <v>30713.039188902669</v>
      </c>
      <c r="J16" s="18">
        <f t="shared" si="2"/>
        <v>60964.417003685361</v>
      </c>
      <c r="K16" s="18">
        <f t="shared" si="3"/>
        <v>12</v>
      </c>
      <c r="O16" s="10">
        <f t="shared" si="19"/>
        <v>12</v>
      </c>
      <c r="P16" s="18">
        <f>IF((O16&lt;='Alternative 1'!$B$12),P15+1,9999)</f>
        <v>12</v>
      </c>
      <c r="Q16" s="101">
        <f>'Alternative 1'!I15</f>
        <v>0.94866666666666666</v>
      </c>
      <c r="R16" s="101">
        <f>'Alternative 1'!J15</f>
        <v>0.92866666666666664</v>
      </c>
      <c r="S16" s="18">
        <f t="shared" si="20"/>
        <v>2.8570754817023589</v>
      </c>
      <c r="T16" s="18">
        <f t="shared" si="21"/>
        <v>2.7384943216633606</v>
      </c>
      <c r="U16" s="18">
        <f t="shared" si="4"/>
        <v>0.11858116003899832</v>
      </c>
      <c r="V16" s="18">
        <f t="shared" si="5"/>
        <v>930.86210630613687</v>
      </c>
      <c r="W16" s="18">
        <f>SUM(V17:V$94)</f>
        <v>19397.751273219586</v>
      </c>
      <c r="X16" s="18">
        <f>SUM($V$4:V16)</f>
        <v>11817.791916861794</v>
      </c>
      <c r="Y16" s="18">
        <f t="shared" si="6"/>
        <v>7579.9593563577928</v>
      </c>
      <c r="Z16" s="18">
        <f t="shared" si="7"/>
        <v>12</v>
      </c>
      <c r="AD16" s="10">
        <f t="shared" si="22"/>
        <v>12</v>
      </c>
      <c r="AE16" s="18">
        <f>IF((AD16&lt;='Alternative 2'!$B$12),AE15+1,9999)</f>
        <v>12</v>
      </c>
      <c r="AF16" s="101">
        <f>'Alternative 2'!I15</f>
        <v>0.56260869565217397</v>
      </c>
      <c r="AG16" s="101">
        <f>'Alternative 2'!J15</f>
        <v>0.55260869565217396</v>
      </c>
      <c r="AH16" s="18">
        <f t="shared" si="23"/>
        <v>1.011794603095622</v>
      </c>
      <c r="AI16" s="18">
        <f t="shared" si="24"/>
        <v>0.97645168574273677</v>
      </c>
      <c r="AJ16" s="18">
        <f t="shared" si="8"/>
        <v>3.5342917352885195E-2</v>
      </c>
      <c r="AK16" s="18">
        <f t="shared" si="9"/>
        <v>277.44190122014879</v>
      </c>
      <c r="AL16" s="18">
        <f>SUM(AK17:AK$94)</f>
        <v>2733.405861586336</v>
      </c>
      <c r="AM16" s="18">
        <f>SUM($AK$4:AK16)</f>
        <v>3647.7578664770822</v>
      </c>
      <c r="AN16" s="18">
        <f t="shared" si="10"/>
        <v>914.35200489074623</v>
      </c>
      <c r="AO16" s="18">
        <f t="shared" si="11"/>
        <v>12</v>
      </c>
      <c r="AS16" s="10">
        <f t="shared" si="25"/>
        <v>12</v>
      </c>
      <c r="AT16" s="18">
        <f>IF((AS16&lt;='Alternative 3'!$B$12),AT15+1,9999)</f>
        <v>12</v>
      </c>
      <c r="AU16" s="101">
        <f>'Alternative 3'!I15</f>
        <v>0.92171428571428571</v>
      </c>
      <c r="AV16" s="101">
        <f>'Alternative 3'!J15</f>
        <v>0.9117142857142857</v>
      </c>
      <c r="AW16" s="18">
        <f t="shared" si="26"/>
        <v>2.6976073282777588</v>
      </c>
      <c r="AX16" s="18">
        <f t="shared" si="27"/>
        <v>2.6396987996930883</v>
      </c>
      <c r="AY16" s="18">
        <f t="shared" si="12"/>
        <v>5.7908528584670549E-2</v>
      </c>
      <c r="AZ16" s="18">
        <f t="shared" si="13"/>
        <v>454.58194938966381</v>
      </c>
      <c r="BA16" s="18">
        <f>SUM(AZ17:AZ$94)</f>
        <v>9113.5172634322935</v>
      </c>
      <c r="BB16" s="18">
        <f>SUM($AZ$4:AZ16)</f>
        <v>5775.8647687157063</v>
      </c>
      <c r="BC16" s="18">
        <f t="shared" si="14"/>
        <v>3337.6524947165872</v>
      </c>
      <c r="BD16" s="18">
        <f t="shared" si="15"/>
        <v>12</v>
      </c>
    </row>
    <row r="17" spans="1:56" x14ac:dyDescent="0.25">
      <c r="A17" s="18">
        <f t="shared" si="16"/>
        <v>13</v>
      </c>
      <c r="B17" s="101">
        <f>'Baseline Given'!I16</f>
        <v>1.8705820895522387</v>
      </c>
      <c r="C17" s="18">
        <f>'Baseline Given'!J16</f>
        <v>1.8449220895522387</v>
      </c>
      <c r="D17" s="18">
        <f t="shared" si="17"/>
        <v>11.051282430810822</v>
      </c>
      <c r="E17" s="18">
        <f t="shared" si="18"/>
        <v>10.749913977465976</v>
      </c>
      <c r="F17" s="18">
        <f t="shared" si="0"/>
        <v>0.30136845334484619</v>
      </c>
      <c r="G17" s="18">
        <f t="shared" si="1"/>
        <v>2365.7423587570424</v>
      </c>
      <c r="H17" s="18">
        <f>SUM(G18:$G$71)</f>
        <v>89311.713833830989</v>
      </c>
      <c r="I17" s="18">
        <f>SUM($G$4:G17)</f>
        <v>33078.78154765971</v>
      </c>
      <c r="J17" s="18">
        <f t="shared" si="2"/>
        <v>56232.932286171279</v>
      </c>
      <c r="K17" s="18">
        <f t="shared" si="3"/>
        <v>13</v>
      </c>
      <c r="O17" s="10">
        <f t="shared" si="19"/>
        <v>13</v>
      </c>
      <c r="P17" s="18">
        <f>IF((O17&lt;='Alternative 1'!$B$12),P16+1,9999)</f>
        <v>13</v>
      </c>
      <c r="Q17" s="101">
        <f>'Alternative 1'!I16</f>
        <v>0.93872222222222224</v>
      </c>
      <c r="R17" s="101">
        <f>'Alternative 1'!J16</f>
        <v>0.91872222222222222</v>
      </c>
      <c r="S17" s="18">
        <f t="shared" si="20"/>
        <v>2.7978001442249938</v>
      </c>
      <c r="T17" s="18">
        <f t="shared" si="21"/>
        <v>2.6804686399304227</v>
      </c>
      <c r="U17" s="18">
        <f t="shared" si="4"/>
        <v>0.11733150429457107</v>
      </c>
      <c r="V17" s="18">
        <f t="shared" si="5"/>
        <v>921.05230871238291</v>
      </c>
      <c r="W17" s="18">
        <f>SUM(V18:V$94)</f>
        <v>18476.698964507206</v>
      </c>
      <c r="X17" s="18">
        <f>SUM($V$4:V17)</f>
        <v>12738.844225574176</v>
      </c>
      <c r="Y17" s="18">
        <f t="shared" si="6"/>
        <v>5737.8547389330306</v>
      </c>
      <c r="Z17" s="18">
        <f t="shared" si="7"/>
        <v>13</v>
      </c>
      <c r="AD17" s="10">
        <f t="shared" si="22"/>
        <v>13</v>
      </c>
      <c r="AE17" s="18">
        <f>IF((AD17&lt;='Alternative 2'!$B$12),AE16+1,9999)</f>
        <v>13</v>
      </c>
      <c r="AF17" s="101">
        <f>'Alternative 2'!I16</f>
        <v>0.5528260869565218</v>
      </c>
      <c r="AG17" s="101">
        <f>'Alternative 2'!J16</f>
        <v>0.54282608695652179</v>
      </c>
      <c r="AH17" s="18">
        <f t="shared" si="23"/>
        <v>0.97721332895223167</v>
      </c>
      <c r="AI17" s="18">
        <f t="shared" si="24"/>
        <v>0.94248507103157064</v>
      </c>
      <c r="AJ17" s="18">
        <f t="shared" si="8"/>
        <v>3.4728257920661032E-2</v>
      </c>
      <c r="AK17" s="18">
        <f t="shared" si="9"/>
        <v>272.61682467718913</v>
      </c>
      <c r="AL17" s="18">
        <f>SUM(AK18:AK$94)</f>
        <v>2460.7890369091465</v>
      </c>
      <c r="AM17" s="18">
        <f>SUM($AK$4:AK17)</f>
        <v>3920.3746911542712</v>
      </c>
      <c r="AN17" s="18">
        <f t="shared" si="10"/>
        <v>1459.5856542451247</v>
      </c>
      <c r="AO17" s="18">
        <f t="shared" si="11"/>
        <v>13</v>
      </c>
      <c r="AS17" s="10">
        <f t="shared" si="25"/>
        <v>13</v>
      </c>
      <c r="AT17" s="18">
        <f>IF((AS17&lt;='Alternative 3'!$B$12),AT16+1,9999)</f>
        <v>13</v>
      </c>
      <c r="AU17" s="101">
        <f>'Alternative 3'!I16</f>
        <v>0.91185714285714292</v>
      </c>
      <c r="AV17" s="101">
        <f>'Alternative 3'!J16</f>
        <v>0.90185714285714291</v>
      </c>
      <c r="AW17" s="18">
        <f t="shared" si="26"/>
        <v>2.640521640511786</v>
      </c>
      <c r="AX17" s="18">
        <f t="shared" si="27"/>
        <v>2.5832324544788237</v>
      </c>
      <c r="AY17" s="18">
        <f t="shared" si="12"/>
        <v>5.7289186032962292E-2</v>
      </c>
      <c r="AZ17" s="18">
        <f t="shared" si="13"/>
        <v>449.72011035875397</v>
      </c>
      <c r="BA17" s="18">
        <f>SUM(AZ18:AZ$94)</f>
        <v>8663.7971530735413</v>
      </c>
      <c r="BB17" s="18">
        <f>SUM($AZ$4:AZ17)</f>
        <v>6225.5848790744603</v>
      </c>
      <c r="BC17" s="18">
        <f t="shared" si="14"/>
        <v>2438.2122739990809</v>
      </c>
      <c r="BD17" s="18">
        <f t="shared" si="15"/>
        <v>13</v>
      </c>
    </row>
    <row r="18" spans="1:56" x14ac:dyDescent="0.25">
      <c r="A18" s="18">
        <f t="shared" si="16"/>
        <v>14</v>
      </c>
      <c r="B18" s="101">
        <f>'Baseline Given'!I17</f>
        <v>1.8606268656716418</v>
      </c>
      <c r="C18" s="18">
        <f>'Baseline Given'!J17</f>
        <v>1.8351468656716419</v>
      </c>
      <c r="D18" s="18">
        <f t="shared" si="17"/>
        <v>10.934276555110339</v>
      </c>
      <c r="E18" s="18">
        <f t="shared" si="18"/>
        <v>10.636599705742611</v>
      </c>
      <c r="F18" s="18">
        <f t="shared" si="0"/>
        <v>0.29767684936772731</v>
      </c>
      <c r="G18" s="18">
        <f t="shared" si="1"/>
        <v>2336.7632675366594</v>
      </c>
      <c r="H18" s="18">
        <f>SUM(G19:$G$71)</f>
        <v>86974.950566294312</v>
      </c>
      <c r="I18" s="18">
        <f>SUM($G$4:G18)</f>
        <v>35415.544815196372</v>
      </c>
      <c r="J18" s="18">
        <f t="shared" si="2"/>
        <v>51559.40575109794</v>
      </c>
      <c r="K18" s="18">
        <f t="shared" si="3"/>
        <v>14</v>
      </c>
      <c r="O18" s="10">
        <f t="shared" si="19"/>
        <v>14</v>
      </c>
      <c r="P18" s="18">
        <f>IF((O18&lt;='Alternative 1'!$B$12),P17+1,9999)</f>
        <v>14</v>
      </c>
      <c r="Q18" s="101">
        <f>'Alternative 1'!I17</f>
        <v>0.92877777777777781</v>
      </c>
      <c r="R18" s="101">
        <f>'Alternative 1'!J17</f>
        <v>0.9087777777777778</v>
      </c>
      <c r="S18" s="18">
        <f t="shared" si="20"/>
        <v>2.7391461633538858</v>
      </c>
      <c r="T18" s="18">
        <f t="shared" si="21"/>
        <v>2.6230643148037434</v>
      </c>
      <c r="U18" s="18">
        <f t="shared" si="4"/>
        <v>0.11608184855014247</v>
      </c>
      <c r="V18" s="18">
        <f t="shared" si="5"/>
        <v>911.24251111861838</v>
      </c>
      <c r="W18" s="18">
        <f>SUM(V19:V$94)</f>
        <v>17565.456453388586</v>
      </c>
      <c r="X18" s="18">
        <f>SUM($V$4:V18)</f>
        <v>13650.086736692794</v>
      </c>
      <c r="Y18" s="18">
        <f t="shared" si="6"/>
        <v>3915.3697166957918</v>
      </c>
      <c r="Z18" s="18">
        <f t="shared" si="7"/>
        <v>14</v>
      </c>
      <c r="AD18" s="10">
        <f t="shared" si="22"/>
        <v>14</v>
      </c>
      <c r="AE18" s="18">
        <f>IF((AD18&lt;='Alternative 2'!$B$12),AE17+1,9999)</f>
        <v>14</v>
      </c>
      <c r="AF18" s="101">
        <f>'Alternative 2'!I17</f>
        <v>0.54304347826086963</v>
      </c>
      <c r="AG18" s="101">
        <f>'Alternative 2'!J17</f>
        <v>0.53304347826086962</v>
      </c>
      <c r="AH18" s="18">
        <f t="shared" si="23"/>
        <v>0.94323335207949566</v>
      </c>
      <c r="AI18" s="18">
        <f t="shared" si="24"/>
        <v>0.90911975359105868</v>
      </c>
      <c r="AJ18" s="18">
        <f t="shared" si="8"/>
        <v>3.411359848843698E-2</v>
      </c>
      <c r="AK18" s="18">
        <f t="shared" si="9"/>
        <v>267.79174813423032</v>
      </c>
      <c r="AL18" s="18">
        <f>SUM(AK19:AK$94)</f>
        <v>2192.9972887749159</v>
      </c>
      <c r="AM18" s="18">
        <f>SUM($AK$4:AK18)</f>
        <v>4188.1664392885014</v>
      </c>
      <c r="AN18" s="18">
        <f t="shared" si="10"/>
        <v>1995.1691505135855</v>
      </c>
      <c r="AO18" s="18">
        <f t="shared" si="11"/>
        <v>14</v>
      </c>
      <c r="AS18" s="10">
        <f t="shared" si="25"/>
        <v>14</v>
      </c>
      <c r="AT18" s="18">
        <f>IF((AS18&lt;='Alternative 3'!$B$12),AT17+1,9999)</f>
        <v>14</v>
      </c>
      <c r="AU18" s="101">
        <f>'Alternative 3'!I17</f>
        <v>0.90200000000000002</v>
      </c>
      <c r="AV18" s="101">
        <f>'Alternative 3'!J17</f>
        <v>0.89200000000000002</v>
      </c>
      <c r="AW18" s="18">
        <f t="shared" si="26"/>
        <v>2.5840464475467826</v>
      </c>
      <c r="AX18" s="18">
        <f t="shared" si="27"/>
        <v>2.5273766040655277</v>
      </c>
      <c r="AY18" s="18">
        <f t="shared" si="12"/>
        <v>5.6669843481254922E-2</v>
      </c>
      <c r="AZ18" s="18">
        <f t="shared" si="13"/>
        <v>444.85827132785113</v>
      </c>
      <c r="BA18" s="18">
        <f>SUM(AZ19:AZ$94)</f>
        <v>8218.9388817456893</v>
      </c>
      <c r="BB18" s="18">
        <f>SUM($AZ$4:AZ18)</f>
        <v>6670.4431504023114</v>
      </c>
      <c r="BC18" s="18">
        <f t="shared" si="14"/>
        <v>1548.4957313433779</v>
      </c>
      <c r="BD18" s="18">
        <f t="shared" si="15"/>
        <v>14</v>
      </c>
    </row>
    <row r="19" spans="1:56" x14ac:dyDescent="0.25">
      <c r="A19" s="18">
        <f t="shared" si="16"/>
        <v>15</v>
      </c>
      <c r="B19" s="101">
        <f>'Baseline Given'!I18</f>
        <v>1.8506716417910447</v>
      </c>
      <c r="C19" s="18">
        <f>'Baseline Given'!J18</f>
        <v>1.8253716417910446</v>
      </c>
      <c r="D19" s="18">
        <f t="shared" si="17"/>
        <v>10.817893383804631</v>
      </c>
      <c r="E19" s="18">
        <f t="shared" si="18"/>
        <v>10.523885823803308</v>
      </c>
      <c r="F19" s="18">
        <f t="shared" si="0"/>
        <v>0.29400756000132233</v>
      </c>
      <c r="G19" s="18">
        <f t="shared" si="1"/>
        <v>2307.9593460103802</v>
      </c>
      <c r="H19" s="18">
        <f>SUM(G20:$G$71)</f>
        <v>84666.991220283933</v>
      </c>
      <c r="I19" s="18">
        <f>SUM($G$4:G19)</f>
        <v>37723.504161206751</v>
      </c>
      <c r="J19" s="18">
        <f t="shared" si="2"/>
        <v>46943.487059077182</v>
      </c>
      <c r="K19" s="18">
        <f t="shared" si="3"/>
        <v>15</v>
      </c>
      <c r="O19" s="10">
        <f t="shared" si="19"/>
        <v>15</v>
      </c>
      <c r="P19" s="18">
        <f>IF((O19&lt;='Alternative 1'!$B$12),P18+1,9999)</f>
        <v>15</v>
      </c>
      <c r="Q19" s="101">
        <f>'Alternative 1'!I18</f>
        <v>0.91883333333333339</v>
      </c>
      <c r="R19" s="101">
        <f>'Alternative 1'!J18</f>
        <v>0.89883333333333337</v>
      </c>
      <c r="S19" s="18">
        <f t="shared" si="20"/>
        <v>2.681113539089035</v>
      </c>
      <c r="T19" s="18">
        <f t="shared" si="21"/>
        <v>2.5662813462833203</v>
      </c>
      <c r="U19" s="18">
        <f t="shared" si="4"/>
        <v>0.11483219280571477</v>
      </c>
      <c r="V19" s="18">
        <f t="shared" si="5"/>
        <v>901.43271352486101</v>
      </c>
      <c r="W19" s="18">
        <f>SUM(V20:V$94)</f>
        <v>16664.023739863722</v>
      </c>
      <c r="X19" s="18">
        <f>SUM($V$4:V19)</f>
        <v>14551.519450217655</v>
      </c>
      <c r="Y19" s="18">
        <f t="shared" si="6"/>
        <v>2112.5042896460673</v>
      </c>
      <c r="Z19" s="18">
        <f t="shared" si="7"/>
        <v>15</v>
      </c>
      <c r="AD19" s="10">
        <f t="shared" si="22"/>
        <v>15</v>
      </c>
      <c r="AE19" s="18">
        <f>IF((AD19&lt;='Alternative 2'!$B$12),AE18+1,9999)</f>
        <v>15</v>
      </c>
      <c r="AF19" s="101">
        <f>'Alternative 2'!I18</f>
        <v>0.53326086956521745</v>
      </c>
      <c r="AG19" s="101">
        <f>'Alternative 2'!J18</f>
        <v>0.52326086956521745</v>
      </c>
      <c r="AH19" s="18">
        <f t="shared" si="23"/>
        <v>0.90985467247741358</v>
      </c>
      <c r="AI19" s="18">
        <f t="shared" si="24"/>
        <v>0.87635573342120066</v>
      </c>
      <c r="AJ19" s="18">
        <f t="shared" si="8"/>
        <v>3.3498939056212929E-2</v>
      </c>
      <c r="AK19" s="18">
        <f t="shared" si="9"/>
        <v>262.96667159127151</v>
      </c>
      <c r="AL19" s="18">
        <f>SUM(AK20:AK$94)</f>
        <v>1930.0306171836446</v>
      </c>
      <c r="AM19" s="18">
        <f>SUM($AK$4:AK19)</f>
        <v>4451.1331108797731</v>
      </c>
      <c r="AN19" s="18">
        <f t="shared" si="10"/>
        <v>2521.1024936961285</v>
      </c>
      <c r="AO19" s="18">
        <f t="shared" si="11"/>
        <v>15</v>
      </c>
      <c r="AS19" s="10">
        <f t="shared" si="25"/>
        <v>15</v>
      </c>
      <c r="AT19" s="18">
        <f>IF((AS19&lt;='Alternative 3'!$B$12),AT18+1,9999)</f>
        <v>15</v>
      </c>
      <c r="AU19" s="101">
        <f>'Alternative 3'!I18</f>
        <v>0.89214285714285713</v>
      </c>
      <c r="AV19" s="101">
        <f>'Alternative 3'!J18</f>
        <v>0.88214285714285712</v>
      </c>
      <c r="AW19" s="18">
        <f t="shared" si="26"/>
        <v>2.528181749382747</v>
      </c>
      <c r="AX19" s="18">
        <f t="shared" si="27"/>
        <v>2.4721312484532003</v>
      </c>
      <c r="AY19" s="18">
        <f t="shared" si="12"/>
        <v>5.6050500929546665E-2</v>
      </c>
      <c r="AZ19" s="18">
        <f t="shared" si="13"/>
        <v>439.99643229694129</v>
      </c>
      <c r="BA19" s="18">
        <f>SUM(AZ20:AZ$94)</f>
        <v>7778.9424494487466</v>
      </c>
      <c r="BB19" s="18">
        <f>SUM($AZ$4:AZ19)</f>
        <v>7110.4395826992532</v>
      </c>
      <c r="BC19" s="18">
        <f t="shared" si="14"/>
        <v>668.50286674949348</v>
      </c>
      <c r="BD19" s="18">
        <f t="shared" si="15"/>
        <v>15</v>
      </c>
    </row>
    <row r="20" spans="1:56" x14ac:dyDescent="0.25">
      <c r="A20" s="18">
        <f t="shared" si="16"/>
        <v>16</v>
      </c>
      <c r="B20" s="101">
        <f>'Baseline Given'!I19</f>
        <v>1.8407164179104478</v>
      </c>
      <c r="C20" s="18">
        <f>'Baseline Given'!J19</f>
        <v>1.8155964179104478</v>
      </c>
      <c r="D20" s="18">
        <f t="shared" si="17"/>
        <v>10.702132916893689</v>
      </c>
      <c r="E20" s="18">
        <f t="shared" si="18"/>
        <v>10.411772331648072</v>
      </c>
      <c r="F20" s="18">
        <f t="shared" si="0"/>
        <v>0.29036058524561703</v>
      </c>
      <c r="G20" s="18">
        <f t="shared" si="1"/>
        <v>2279.3305941780936</v>
      </c>
      <c r="H20" s="18">
        <f>SUM(G21:$G$71)</f>
        <v>82387.660626105833</v>
      </c>
      <c r="I20" s="18">
        <f>SUM($G$4:G20)</f>
        <v>40002.834755384843</v>
      </c>
      <c r="J20" s="18">
        <f t="shared" si="2"/>
        <v>42384.82587072099</v>
      </c>
      <c r="K20" s="18">
        <f t="shared" si="3"/>
        <v>16</v>
      </c>
      <c r="O20" s="10">
        <f t="shared" si="19"/>
        <v>16</v>
      </c>
      <c r="P20" s="18">
        <f>IF((O20&lt;='Alternative 1'!$B$12),P19+1,9999)</f>
        <v>16</v>
      </c>
      <c r="Q20" s="101">
        <f>'Alternative 1'!I19</f>
        <v>0.90888888888888886</v>
      </c>
      <c r="R20" s="101">
        <f>'Alternative 1'!J19</f>
        <v>0.88888888888888884</v>
      </c>
      <c r="S20" s="18">
        <f t="shared" si="20"/>
        <v>2.6237022714304419</v>
      </c>
      <c r="T20" s="18">
        <f t="shared" si="21"/>
        <v>2.5101197343691544</v>
      </c>
      <c r="U20" s="18">
        <f t="shared" si="4"/>
        <v>0.11358253706128751</v>
      </c>
      <c r="V20" s="18">
        <f t="shared" si="5"/>
        <v>891.62291593110695</v>
      </c>
      <c r="W20" s="18">
        <f>SUM(V21:V$94)</f>
        <v>15772.400823932618</v>
      </c>
      <c r="X20" s="18">
        <f>SUM($V$4:V20)</f>
        <v>15443.142366148761</v>
      </c>
      <c r="Y20" s="18">
        <f t="shared" si="6"/>
        <v>329.25845778385701</v>
      </c>
      <c r="Z20" s="18">
        <f t="shared" si="7"/>
        <v>16</v>
      </c>
      <c r="AD20" s="10">
        <f t="shared" si="22"/>
        <v>16</v>
      </c>
      <c r="AE20" s="18">
        <f>IF((AD20&lt;='Alternative 2'!$B$12),AE19+1,9999)</f>
        <v>16</v>
      </c>
      <c r="AF20" s="101">
        <f>'Alternative 2'!I19</f>
        <v>0.52347826086956528</v>
      </c>
      <c r="AG20" s="101">
        <f>'Alternative 2'!J19</f>
        <v>0.51347826086956527</v>
      </c>
      <c r="AH20" s="18">
        <f t="shared" si="23"/>
        <v>0.87707729014598546</v>
      </c>
      <c r="AI20" s="18">
        <f t="shared" si="24"/>
        <v>0.84419301052199658</v>
      </c>
      <c r="AJ20" s="18">
        <f t="shared" si="8"/>
        <v>3.2884279623988877E-2</v>
      </c>
      <c r="AK20" s="18">
        <f t="shared" si="9"/>
        <v>258.14159504831269</v>
      </c>
      <c r="AL20" s="18">
        <f>SUM(AK21:AK$94)</f>
        <v>1671.889022135332</v>
      </c>
      <c r="AM20" s="18">
        <f>SUM($AK$4:AK20)</f>
        <v>4709.2747059280855</v>
      </c>
      <c r="AN20" s="18">
        <f t="shared" si="10"/>
        <v>3037.3856837927533</v>
      </c>
      <c r="AO20" s="18">
        <f t="shared" si="11"/>
        <v>16</v>
      </c>
      <c r="AS20" s="10">
        <f t="shared" si="25"/>
        <v>16</v>
      </c>
      <c r="AT20" s="18">
        <f>IF((AS20&lt;='Alternative 3'!$B$12),AT19+1,9999)</f>
        <v>16</v>
      </c>
      <c r="AU20" s="101">
        <f>'Alternative 3'!I19</f>
        <v>0.88228571428571434</v>
      </c>
      <c r="AV20" s="101">
        <f>'Alternative 3'!J19</f>
        <v>0.87228571428571433</v>
      </c>
      <c r="AW20" s="18">
        <f t="shared" si="26"/>
        <v>2.4729275460196822</v>
      </c>
      <c r="AX20" s="18">
        <f t="shared" si="27"/>
        <v>2.4174963876418425</v>
      </c>
      <c r="AY20" s="18">
        <f t="shared" si="12"/>
        <v>5.543115837783974E-2</v>
      </c>
      <c r="AZ20" s="18">
        <f t="shared" si="13"/>
        <v>435.13459326604197</v>
      </c>
      <c r="BA20" s="18">
        <f>SUM(AZ21:AZ$94)</f>
        <v>7343.8078561827051</v>
      </c>
      <c r="BB20" s="18">
        <f>SUM($AZ$4:AZ20)</f>
        <v>7545.5741759652956</v>
      </c>
      <c r="BC20" s="18">
        <f t="shared" si="14"/>
        <v>201.76631978259047</v>
      </c>
      <c r="BD20" s="18">
        <f t="shared" si="15"/>
        <v>16</v>
      </c>
    </row>
    <row r="21" spans="1:56" x14ac:dyDescent="0.25">
      <c r="A21" s="18">
        <f t="shared" si="16"/>
        <v>17</v>
      </c>
      <c r="B21" s="101">
        <f>'Baseline Given'!I20</f>
        <v>1.8307611940298507</v>
      </c>
      <c r="C21" s="18">
        <f>'Baseline Given'!J20</f>
        <v>1.8058211940298508</v>
      </c>
      <c r="D21" s="18">
        <f t="shared" si="17"/>
        <v>10.58699515437752</v>
      </c>
      <c r="E21" s="18">
        <f t="shared" si="18"/>
        <v>10.3002592292769</v>
      </c>
      <c r="F21" s="18">
        <f t="shared" si="0"/>
        <v>0.28673592510062029</v>
      </c>
      <c r="G21" s="18">
        <f t="shared" si="1"/>
        <v>2250.8770120398694</v>
      </c>
      <c r="H21" s="18">
        <f>SUM(G22:$G$71)</f>
        <v>80136.783614065964</v>
      </c>
      <c r="I21" s="18">
        <f>SUM($G$4:G21)</f>
        <v>42253.711767424713</v>
      </c>
      <c r="J21" s="18">
        <f t="shared" si="2"/>
        <v>37883.071846641251</v>
      </c>
      <c r="K21" s="18">
        <f t="shared" si="3"/>
        <v>17</v>
      </c>
      <c r="O21" s="10">
        <f t="shared" si="19"/>
        <v>17</v>
      </c>
      <c r="P21" s="18">
        <f>IF((O21&lt;='Alternative 1'!$B$12),P20+1,9999)</f>
        <v>17</v>
      </c>
      <c r="Q21" s="101">
        <f>'Alternative 1'!I20</f>
        <v>0.89894444444444443</v>
      </c>
      <c r="R21" s="101">
        <f>'Alternative 1'!J20</f>
        <v>0.87894444444444442</v>
      </c>
      <c r="S21" s="18">
        <f t="shared" si="20"/>
        <v>2.566912360378105</v>
      </c>
      <c r="T21" s="18">
        <f t="shared" si="21"/>
        <v>2.4545794790612456</v>
      </c>
      <c r="U21" s="18">
        <f t="shared" si="4"/>
        <v>0.11233288131685937</v>
      </c>
      <c r="V21" s="18">
        <f t="shared" si="5"/>
        <v>881.81311833734605</v>
      </c>
      <c r="W21" s="18">
        <f>SUM(V22:V$94)</f>
        <v>14890.587705595271</v>
      </c>
      <c r="X21" s="18">
        <f>SUM($V$4:V21)</f>
        <v>16324.955484486107</v>
      </c>
      <c r="Y21" s="18">
        <f t="shared" si="6"/>
        <v>1434.3677788908353</v>
      </c>
      <c r="Z21" s="18">
        <f t="shared" si="7"/>
        <v>17</v>
      </c>
      <c r="AD21" s="10">
        <f t="shared" si="22"/>
        <v>17</v>
      </c>
      <c r="AE21" s="18">
        <f>IF((AD21&lt;='Alternative 2'!$B$12),AE20+1,9999)</f>
        <v>17</v>
      </c>
      <c r="AF21" s="101">
        <f>'Alternative 2'!I20</f>
        <v>0.51369565217391311</v>
      </c>
      <c r="AG21" s="101">
        <f>'Alternative 2'!J20</f>
        <v>0.5036956521739131</v>
      </c>
      <c r="AH21" s="18">
        <f t="shared" si="23"/>
        <v>0.84490120508521138</v>
      </c>
      <c r="AI21" s="18">
        <f t="shared" si="24"/>
        <v>0.81263158489344667</v>
      </c>
      <c r="AJ21" s="18">
        <f t="shared" si="8"/>
        <v>3.2269620191764714E-2</v>
      </c>
      <c r="AK21" s="18">
        <f t="shared" si="9"/>
        <v>253.316518505353</v>
      </c>
      <c r="AL21" s="18">
        <f>SUM(AK22:AK$94)</f>
        <v>1418.5725036299789</v>
      </c>
      <c r="AM21" s="18">
        <f>SUM($AK$4:AK21)</f>
        <v>4962.5912244334386</v>
      </c>
      <c r="AN21" s="18">
        <f t="shared" si="10"/>
        <v>3544.0187208034595</v>
      </c>
      <c r="AO21" s="18">
        <f t="shared" si="11"/>
        <v>17</v>
      </c>
      <c r="AS21" s="10">
        <f t="shared" si="25"/>
        <v>17</v>
      </c>
      <c r="AT21" s="18">
        <f>IF((AS21&lt;='Alternative 3'!$B$12),AT20+1,9999)</f>
        <v>17</v>
      </c>
      <c r="AU21" s="101">
        <f>'Alternative 3'!I20</f>
        <v>0.87242857142857144</v>
      </c>
      <c r="AV21" s="101">
        <f>'Alternative 3'!J20</f>
        <v>0.86242857142857143</v>
      </c>
      <c r="AW21" s="18">
        <f t="shared" si="26"/>
        <v>2.4182838374575852</v>
      </c>
      <c r="AX21" s="18">
        <f t="shared" si="27"/>
        <v>2.3634720216314533</v>
      </c>
      <c r="AY21" s="18">
        <f t="shared" si="12"/>
        <v>5.4811815826131927E-2</v>
      </c>
      <c r="AZ21" s="18">
        <f t="shared" si="13"/>
        <v>430.27275423513561</v>
      </c>
      <c r="BA21" s="18">
        <f>SUM(AZ22:AZ$94)</f>
        <v>6913.5351019475693</v>
      </c>
      <c r="BB21" s="18">
        <f>SUM($AZ$4:AZ21)</f>
        <v>7975.8469302004314</v>
      </c>
      <c r="BC21" s="18">
        <f t="shared" si="14"/>
        <v>1062.3118282528621</v>
      </c>
      <c r="BD21" s="18">
        <f t="shared" si="15"/>
        <v>17</v>
      </c>
    </row>
    <row r="22" spans="1:56" x14ac:dyDescent="0.25">
      <c r="A22" s="18">
        <f t="shared" si="16"/>
        <v>18</v>
      </c>
      <c r="B22" s="101">
        <f>'Baseline Given'!I21</f>
        <v>1.8208059701492538</v>
      </c>
      <c r="C22" s="18">
        <f>'Baseline Given'!J21</f>
        <v>1.7960459701492537</v>
      </c>
      <c r="D22" s="18">
        <f t="shared" si="17"/>
        <v>10.47248009625612</v>
      </c>
      <c r="E22" s="18">
        <f t="shared" si="18"/>
        <v>10.189346516689792</v>
      </c>
      <c r="F22" s="18">
        <f t="shared" si="0"/>
        <v>0.28313357956632856</v>
      </c>
      <c r="G22" s="18">
        <f t="shared" si="1"/>
        <v>2222.5985995956794</v>
      </c>
      <c r="H22" s="18">
        <f>SUM(G23:$G$71)</f>
        <v>77914.185014470277</v>
      </c>
      <c r="I22" s="18">
        <f>SUM($G$4:G22)</f>
        <v>44476.310367020393</v>
      </c>
      <c r="J22" s="18">
        <f t="shared" si="2"/>
        <v>33437.874647449884</v>
      </c>
      <c r="K22" s="18">
        <f t="shared" si="3"/>
        <v>18</v>
      </c>
      <c r="O22" s="10">
        <f t="shared" si="19"/>
        <v>18</v>
      </c>
      <c r="P22" s="18">
        <f>IF((O22&lt;='Alternative 1'!$B$12),P21+1,9999)</f>
        <v>18</v>
      </c>
      <c r="Q22" s="101">
        <f>'Alternative 1'!I21</f>
        <v>0.88900000000000001</v>
      </c>
      <c r="R22" s="101">
        <f>'Alternative 1'!J21</f>
        <v>0.86899999999999999</v>
      </c>
      <c r="S22" s="18">
        <f t="shared" si="20"/>
        <v>2.5107438059320257</v>
      </c>
      <c r="T22" s="18">
        <f t="shared" si="21"/>
        <v>2.3996605803595945</v>
      </c>
      <c r="U22" s="18">
        <f t="shared" si="4"/>
        <v>0.11108322557243122</v>
      </c>
      <c r="V22" s="18">
        <f t="shared" si="5"/>
        <v>872.00332074358505</v>
      </c>
      <c r="W22" s="18">
        <f>SUM(V23:V$94)</f>
        <v>14018.584384851687</v>
      </c>
      <c r="X22" s="18">
        <f>SUM($V$4:V22)</f>
        <v>17196.958805229693</v>
      </c>
      <c r="Y22" s="18">
        <f t="shared" si="6"/>
        <v>3178.3744203780061</v>
      </c>
      <c r="Z22" s="18">
        <f t="shared" si="7"/>
        <v>18</v>
      </c>
      <c r="AD22" s="10">
        <f t="shared" si="22"/>
        <v>18</v>
      </c>
      <c r="AE22" s="18">
        <f>IF((AD22&lt;='Alternative 2'!$B$12),AE21+1,9999)</f>
        <v>18</v>
      </c>
      <c r="AF22" s="101">
        <f>'Alternative 2'!I21</f>
        <v>0.50391304347826094</v>
      </c>
      <c r="AG22" s="101">
        <f>'Alternative 2'!J21</f>
        <v>0.49391304347826093</v>
      </c>
      <c r="AH22" s="18">
        <f t="shared" si="23"/>
        <v>0.81332641729509114</v>
      </c>
      <c r="AI22" s="18">
        <f t="shared" si="24"/>
        <v>0.78167145653555059</v>
      </c>
      <c r="AJ22" s="18">
        <f t="shared" si="8"/>
        <v>3.1654960759540551E-2</v>
      </c>
      <c r="AK22" s="18">
        <f t="shared" si="9"/>
        <v>248.49144196239334</v>
      </c>
      <c r="AL22" s="18">
        <f>SUM(AK23:AK$94)</f>
        <v>1170.0810616675853</v>
      </c>
      <c r="AM22" s="18">
        <f>SUM($AK$4:AK22)</f>
        <v>5211.0826663958323</v>
      </c>
      <c r="AN22" s="18">
        <f t="shared" si="10"/>
        <v>4041.001604728247</v>
      </c>
      <c r="AO22" s="18">
        <f t="shared" si="11"/>
        <v>18</v>
      </c>
      <c r="AS22" s="10">
        <f t="shared" si="25"/>
        <v>18</v>
      </c>
      <c r="AT22" s="18">
        <f>IF((AS22&lt;='Alternative 3'!$B$12),AT21+1,9999)</f>
        <v>18</v>
      </c>
      <c r="AU22" s="101">
        <f>'Alternative 3'!I21</f>
        <v>0.86257142857142854</v>
      </c>
      <c r="AV22" s="101">
        <f>'Alternative 3'!J21</f>
        <v>0.85257142857142854</v>
      </c>
      <c r="AW22" s="18">
        <f t="shared" si="26"/>
        <v>2.3642506236964573</v>
      </c>
      <c r="AX22" s="18">
        <f t="shared" si="27"/>
        <v>2.3100581504220332</v>
      </c>
      <c r="AY22" s="18">
        <f t="shared" si="12"/>
        <v>5.4192473274424113E-2</v>
      </c>
      <c r="AZ22" s="18">
        <f t="shared" si="13"/>
        <v>425.4109152042293</v>
      </c>
      <c r="BA22" s="18">
        <f>SUM(AZ23:AZ$94)</f>
        <v>6488.12418674334</v>
      </c>
      <c r="BB22" s="18">
        <f>SUM($AZ$4:AZ22)</f>
        <v>8401.2578454046616</v>
      </c>
      <c r="BC22" s="18">
        <f t="shared" si="14"/>
        <v>1913.1336586613215</v>
      </c>
      <c r="BD22" s="18">
        <f t="shared" si="15"/>
        <v>18</v>
      </c>
    </row>
    <row r="23" spans="1:56" x14ac:dyDescent="0.25">
      <c r="A23" s="18">
        <f t="shared" si="16"/>
        <v>19</v>
      </c>
      <c r="B23" s="101">
        <f>'Baseline Given'!I22</f>
        <v>1.8108507462686567</v>
      </c>
      <c r="C23" s="18">
        <f>'Baseline Given'!J22</f>
        <v>1.7862707462686567</v>
      </c>
      <c r="D23" s="18">
        <f t="shared" si="17"/>
        <v>10.358587742529494</v>
      </c>
      <c r="E23" s="18">
        <f t="shared" si="18"/>
        <v>10.079034193886752</v>
      </c>
      <c r="F23" s="18">
        <f t="shared" si="0"/>
        <v>0.27955354864274184</v>
      </c>
      <c r="G23" s="18">
        <f t="shared" si="1"/>
        <v>2194.4953568455235</v>
      </c>
      <c r="H23" s="18">
        <f>SUM(G24:$G$71)</f>
        <v>75719.689657624767</v>
      </c>
      <c r="I23" s="18">
        <f>SUM($G$4:G23)</f>
        <v>46670.805723865917</v>
      </c>
      <c r="J23" s="18">
        <f t="shared" si="2"/>
        <v>29048.883933758851</v>
      </c>
      <c r="K23" s="18">
        <f t="shared" si="3"/>
        <v>19</v>
      </c>
      <c r="O23" s="10">
        <f t="shared" si="19"/>
        <v>19</v>
      </c>
      <c r="P23" s="18">
        <f>IF((O23&lt;='Alternative 1'!$B$12),P22+1,9999)</f>
        <v>19</v>
      </c>
      <c r="Q23" s="101">
        <f>'Alternative 1'!I22</f>
        <v>0.87905555555555559</v>
      </c>
      <c r="R23" s="101">
        <f>'Alternative 1'!J22</f>
        <v>0.85905555555555557</v>
      </c>
      <c r="S23" s="18">
        <f t="shared" si="20"/>
        <v>2.4551966080922041</v>
      </c>
      <c r="T23" s="18">
        <f t="shared" si="21"/>
        <v>2.345363038264201</v>
      </c>
      <c r="U23" s="18">
        <f t="shared" si="4"/>
        <v>0.10983356982800307</v>
      </c>
      <c r="V23" s="18">
        <f t="shared" si="5"/>
        <v>862.19352314982416</v>
      </c>
      <c r="W23" s="18">
        <f>SUM(V24:V$94)</f>
        <v>13156.390861701862</v>
      </c>
      <c r="X23" s="18">
        <f>SUM($V$4:V23)</f>
        <v>18059.152328379518</v>
      </c>
      <c r="Y23" s="18">
        <f t="shared" si="6"/>
        <v>4902.7614666776553</v>
      </c>
      <c r="Z23" s="18">
        <f t="shared" si="7"/>
        <v>19</v>
      </c>
      <c r="AD23" s="10">
        <f t="shared" si="22"/>
        <v>19</v>
      </c>
      <c r="AE23" s="18">
        <f>IF((AD23&lt;='Alternative 2'!$B$12),AE22+1,9999)</f>
        <v>19</v>
      </c>
      <c r="AF23" s="101">
        <f>'Alternative 2'!I22</f>
        <v>0.49413043478260876</v>
      </c>
      <c r="AG23" s="101">
        <f>'Alternative 2'!J22</f>
        <v>0.48413043478260875</v>
      </c>
      <c r="AH23" s="18">
        <f t="shared" si="23"/>
        <v>0.78235292677562518</v>
      </c>
      <c r="AI23" s="18">
        <f t="shared" si="24"/>
        <v>0.75131262544830846</v>
      </c>
      <c r="AJ23" s="18">
        <f t="shared" si="8"/>
        <v>3.1040301327316722E-2</v>
      </c>
      <c r="AK23" s="18">
        <f t="shared" si="9"/>
        <v>243.66636541943626</v>
      </c>
      <c r="AL23" s="18">
        <f>SUM(AK24:AK$94)</f>
        <v>926.41469624814908</v>
      </c>
      <c r="AM23" s="18">
        <f>SUM($AK$4:AK23)</f>
        <v>5454.7490318152686</v>
      </c>
      <c r="AN23" s="18">
        <f t="shared" si="10"/>
        <v>4528.3343355671195</v>
      </c>
      <c r="AO23" s="18">
        <f t="shared" si="11"/>
        <v>19</v>
      </c>
      <c r="AS23" s="10">
        <f t="shared" si="25"/>
        <v>19</v>
      </c>
      <c r="AT23" s="18">
        <f>IF((AS23&lt;='Alternative 3'!$B$12),AT22+1,9999)</f>
        <v>19</v>
      </c>
      <c r="AU23" s="101">
        <f>'Alternative 3'!I22</f>
        <v>0.85271428571428576</v>
      </c>
      <c r="AV23" s="101">
        <f>'Alternative 3'!J22</f>
        <v>0.84271428571428575</v>
      </c>
      <c r="AW23" s="18">
        <f t="shared" si="26"/>
        <v>2.310827904736299</v>
      </c>
      <c r="AX23" s="18">
        <f t="shared" si="27"/>
        <v>2.2572547740135822</v>
      </c>
      <c r="AY23" s="18">
        <f t="shared" si="12"/>
        <v>5.3573130722716744E-2</v>
      </c>
      <c r="AZ23" s="18">
        <f t="shared" si="13"/>
        <v>420.54907617332645</v>
      </c>
      <c r="BA23" s="18">
        <f>SUM(AZ24:AZ$94)</f>
        <v>6067.5751105700137</v>
      </c>
      <c r="BB23" s="18">
        <f>SUM($AZ$4:AZ23)</f>
        <v>8821.8069215779888</v>
      </c>
      <c r="BC23" s="18">
        <f t="shared" si="14"/>
        <v>2754.231811007975</v>
      </c>
      <c r="BD23" s="18">
        <f t="shared" si="15"/>
        <v>19</v>
      </c>
    </row>
    <row r="24" spans="1:56" x14ac:dyDescent="0.25">
      <c r="A24" s="18">
        <f t="shared" si="16"/>
        <v>20</v>
      </c>
      <c r="B24" s="101">
        <f>'Baseline Given'!I23</f>
        <v>1.8008955223880596</v>
      </c>
      <c r="C24" s="18">
        <f>'Baseline Given'!J23</f>
        <v>1.7764955223880596</v>
      </c>
      <c r="D24" s="18">
        <f t="shared" si="17"/>
        <v>10.245318093197636</v>
      </c>
      <c r="E24" s="18">
        <f t="shared" si="18"/>
        <v>9.9693222608677718</v>
      </c>
      <c r="F24" s="18">
        <f t="shared" si="0"/>
        <v>0.27599583232986369</v>
      </c>
      <c r="G24" s="18">
        <f t="shared" si="1"/>
        <v>2166.5672837894299</v>
      </c>
      <c r="H24" s="18">
        <f>SUM(G25:$G$71)</f>
        <v>73553.122373835329</v>
      </c>
      <c r="I24" s="18">
        <f>SUM($G$4:G24)</f>
        <v>48837.373007655347</v>
      </c>
      <c r="J24" s="18">
        <f t="shared" si="2"/>
        <v>24715.749366179982</v>
      </c>
      <c r="K24" s="18">
        <f t="shared" si="3"/>
        <v>20</v>
      </c>
      <c r="O24" s="10">
        <f t="shared" si="19"/>
        <v>20</v>
      </c>
      <c r="P24" s="18">
        <f>IF((O24&lt;='Alternative 1'!$B$12),P23+1,9999)</f>
        <v>20</v>
      </c>
      <c r="Q24" s="101">
        <f>'Alternative 1'!I23</f>
        <v>0.86911111111111117</v>
      </c>
      <c r="R24" s="101">
        <f>'Alternative 1'!J23</f>
        <v>0.84911111111111115</v>
      </c>
      <c r="S24" s="18">
        <f t="shared" si="20"/>
        <v>2.4002707668586396</v>
      </c>
      <c r="T24" s="18">
        <f t="shared" si="21"/>
        <v>2.2916868527750638</v>
      </c>
      <c r="U24" s="18">
        <f t="shared" si="4"/>
        <v>0.10858391408357582</v>
      </c>
      <c r="V24" s="18">
        <f t="shared" si="5"/>
        <v>852.3837255560702</v>
      </c>
      <c r="W24" s="18">
        <f>SUM(V25:V$94)</f>
        <v>12304.007136145792</v>
      </c>
      <c r="X24" s="18">
        <f>SUM($V$4:V24)</f>
        <v>18911.53605393559</v>
      </c>
      <c r="Y24" s="18">
        <f t="shared" si="6"/>
        <v>6607.5289177897976</v>
      </c>
      <c r="Z24" s="18">
        <f t="shared" si="7"/>
        <v>20</v>
      </c>
      <c r="AD24" s="10">
        <f t="shared" si="22"/>
        <v>20</v>
      </c>
      <c r="AE24" s="18">
        <f>IF((AD24&lt;='Alternative 2'!$B$12),AE23+1,9999)</f>
        <v>20</v>
      </c>
      <c r="AF24" s="101">
        <f>'Alternative 2'!I23</f>
        <v>0.48434782608695659</v>
      </c>
      <c r="AG24" s="101">
        <f>'Alternative 2'!J23</f>
        <v>0.47434782608695658</v>
      </c>
      <c r="AH24" s="18">
        <f t="shared" si="23"/>
        <v>0.75198073352681316</v>
      </c>
      <c r="AI24" s="18">
        <f t="shared" si="24"/>
        <v>0.7215550916317206</v>
      </c>
      <c r="AJ24" s="18">
        <f t="shared" si="8"/>
        <v>3.0425641895092559E-2</v>
      </c>
      <c r="AK24" s="18">
        <f t="shared" si="9"/>
        <v>238.8412888764766</v>
      </c>
      <c r="AL24" s="18">
        <f>SUM(AK25:AK$94)</f>
        <v>687.5734073716726</v>
      </c>
      <c r="AM24" s="18">
        <f>SUM($AK$4:AK24)</f>
        <v>5693.5903206917455</v>
      </c>
      <c r="AN24" s="18">
        <f t="shared" si="10"/>
        <v>5006.0169133200725</v>
      </c>
      <c r="AO24" s="18">
        <f t="shared" si="11"/>
        <v>20</v>
      </c>
      <c r="AS24" s="10">
        <f t="shared" si="25"/>
        <v>20</v>
      </c>
      <c r="AT24" s="18">
        <f>IF((AS24&lt;='Alternative 3'!$B$12),AT23+1,9999)</f>
        <v>20</v>
      </c>
      <c r="AU24" s="101">
        <f>'Alternative 3'!I23</f>
        <v>0.84285714285714286</v>
      </c>
      <c r="AV24" s="101">
        <f>'Alternative 3'!J23</f>
        <v>0.83285714285714285</v>
      </c>
      <c r="AW24" s="18">
        <f t="shared" si="26"/>
        <v>2.2580156805771092</v>
      </c>
      <c r="AX24" s="18">
        <f t="shared" si="27"/>
        <v>2.2050618924061003</v>
      </c>
      <c r="AY24" s="18">
        <f t="shared" si="12"/>
        <v>5.2953788171008931E-2</v>
      </c>
      <c r="AZ24" s="18">
        <f t="shared" si="13"/>
        <v>415.68723714242009</v>
      </c>
      <c r="BA24" s="18">
        <f>SUM(AZ25:AZ$94)</f>
        <v>5651.8878734275941</v>
      </c>
      <c r="BB24" s="18">
        <f>SUM($AZ$4:AZ24)</f>
        <v>9237.4941587204084</v>
      </c>
      <c r="BC24" s="18">
        <f t="shared" si="14"/>
        <v>3585.6062852928144</v>
      </c>
      <c r="BD24" s="18">
        <f t="shared" si="15"/>
        <v>20</v>
      </c>
    </row>
    <row r="25" spans="1:56" x14ac:dyDescent="0.25">
      <c r="A25" s="18">
        <f t="shared" si="16"/>
        <v>21</v>
      </c>
      <c r="B25" s="101">
        <f>'Baseline Given'!I24</f>
        <v>1.7909402985074627</v>
      </c>
      <c r="C25" s="18">
        <f>'Baseline Given'!J24</f>
        <v>1.7667202985074626</v>
      </c>
      <c r="D25" s="18">
        <f t="shared" si="17"/>
        <v>10.132671148260552</v>
      </c>
      <c r="E25" s="18">
        <f t="shared" si="18"/>
        <v>9.8602107176328602</v>
      </c>
      <c r="F25" s="18">
        <f t="shared" si="0"/>
        <v>0.27246043062769232</v>
      </c>
      <c r="G25" s="18">
        <f t="shared" si="1"/>
        <v>2138.8143804273845</v>
      </c>
      <c r="H25" s="18">
        <f>SUM(G26:$G$71)</f>
        <v>71414.307993407943</v>
      </c>
      <c r="I25" s="18">
        <f>SUM($G$4:G25)</f>
        <v>50976.187388082733</v>
      </c>
      <c r="J25" s="18">
        <f t="shared" si="2"/>
        <v>20438.12060532521</v>
      </c>
      <c r="K25" s="18">
        <f t="shared" si="3"/>
        <v>21</v>
      </c>
      <c r="O25" s="10">
        <f t="shared" si="19"/>
        <v>21</v>
      </c>
      <c r="P25" s="18">
        <f>IF((O25&lt;='Alternative 1'!$B$12),P24+1,9999)</f>
        <v>21</v>
      </c>
      <c r="Q25" s="101">
        <f>'Alternative 1'!I24</f>
        <v>0.85916666666666663</v>
      </c>
      <c r="R25" s="101">
        <f>'Alternative 1'!J24</f>
        <v>0.83916666666666662</v>
      </c>
      <c r="S25" s="18">
        <f t="shared" si="20"/>
        <v>2.3459662822313319</v>
      </c>
      <c r="T25" s="18">
        <f t="shared" si="21"/>
        <v>2.2386320238921846</v>
      </c>
      <c r="U25" s="18">
        <f t="shared" si="4"/>
        <v>0.10733425833914723</v>
      </c>
      <c r="V25" s="18">
        <f t="shared" si="5"/>
        <v>842.57392796230567</v>
      </c>
      <c r="W25" s="18">
        <f>SUM(V26:V$94)</f>
        <v>11461.433208183485</v>
      </c>
      <c r="X25" s="18">
        <f>SUM($V$4:V25)</f>
        <v>19754.109981897895</v>
      </c>
      <c r="Y25" s="18">
        <f t="shared" si="6"/>
        <v>8292.6767737144091</v>
      </c>
      <c r="Z25" s="18">
        <f t="shared" si="7"/>
        <v>21</v>
      </c>
      <c r="AD25" s="10">
        <f t="shared" si="22"/>
        <v>21</v>
      </c>
      <c r="AE25" s="18">
        <f>IF((AD25&lt;='Alternative 2'!$B$12),AE24+1,9999)</f>
        <v>21</v>
      </c>
      <c r="AF25" s="101">
        <f>'Alternative 2'!I24</f>
        <v>0.47456521739130442</v>
      </c>
      <c r="AG25" s="101">
        <f>'Alternative 2'!J24</f>
        <v>0.46456521739130441</v>
      </c>
      <c r="AH25" s="18">
        <f t="shared" si="23"/>
        <v>0.72220983754865486</v>
      </c>
      <c r="AI25" s="18">
        <f t="shared" si="24"/>
        <v>0.69239885508578658</v>
      </c>
      <c r="AJ25" s="18">
        <f t="shared" si="8"/>
        <v>2.9810982462868285E-2</v>
      </c>
      <c r="AK25" s="18">
        <f t="shared" si="9"/>
        <v>234.01621233351605</v>
      </c>
      <c r="AL25" s="18">
        <f>SUM(AK26:AK$94)</f>
        <v>453.55719503815652</v>
      </c>
      <c r="AM25" s="18">
        <f>SUM($AK$4:AK25)</f>
        <v>5927.6065330252613</v>
      </c>
      <c r="AN25" s="18">
        <f t="shared" si="10"/>
        <v>5474.049337987105</v>
      </c>
      <c r="AO25" s="18">
        <f t="shared" si="11"/>
        <v>21</v>
      </c>
      <c r="AS25" s="10">
        <f t="shared" si="25"/>
        <v>21</v>
      </c>
      <c r="AT25" s="18">
        <f>IF((AS25&lt;='Alternative 3'!$B$12),AT24+1,9999)</f>
        <v>21</v>
      </c>
      <c r="AU25" s="101">
        <f>'Alternative 3'!I24</f>
        <v>0.83299999999999996</v>
      </c>
      <c r="AV25" s="101">
        <f>'Alternative 3'!J24</f>
        <v>0.82299999999999995</v>
      </c>
      <c r="AW25" s="18">
        <f t="shared" si="26"/>
        <v>2.2058139512188886</v>
      </c>
      <c r="AX25" s="18">
        <f t="shared" si="27"/>
        <v>2.1534795055995875</v>
      </c>
      <c r="AY25" s="18">
        <f t="shared" si="12"/>
        <v>5.2334445619301118E-2</v>
      </c>
      <c r="AZ25" s="18">
        <f t="shared" si="13"/>
        <v>410.82539811151378</v>
      </c>
      <c r="BA25" s="18">
        <f>SUM(AZ26:AZ$94)</f>
        <v>5241.0624753160801</v>
      </c>
      <c r="BB25" s="18">
        <f>SUM($AZ$4:AZ25)</f>
        <v>9648.3195568319225</v>
      </c>
      <c r="BC25" s="18">
        <f t="shared" si="14"/>
        <v>4407.2570815158424</v>
      </c>
      <c r="BD25" s="18">
        <f t="shared" si="15"/>
        <v>21</v>
      </c>
    </row>
    <row r="26" spans="1:56" x14ac:dyDescent="0.25">
      <c r="A26" s="18">
        <f t="shared" si="16"/>
        <v>22</v>
      </c>
      <c r="B26" s="101">
        <f>'Baseline Given'!I25</f>
        <v>1.7809850746268656</v>
      </c>
      <c r="C26" s="18">
        <f>'Baseline Given'!J25</f>
        <v>1.7569450746268656</v>
      </c>
      <c r="D26" s="18">
        <f t="shared" si="17"/>
        <v>10.020646907718234</v>
      </c>
      <c r="E26" s="18">
        <f t="shared" si="18"/>
        <v>9.7516995641820117</v>
      </c>
      <c r="F26" s="18">
        <f t="shared" si="0"/>
        <v>0.26894734353622241</v>
      </c>
      <c r="G26" s="18">
        <f t="shared" si="1"/>
        <v>2111.2366467593461</v>
      </c>
      <c r="H26" s="18">
        <f>SUM(G27:$G$71)</f>
        <v>69303.071346648605</v>
      </c>
      <c r="I26" s="18">
        <f>SUM($G$4:G26)</f>
        <v>53087.424034842079</v>
      </c>
      <c r="J26" s="18">
        <f t="shared" si="2"/>
        <v>16215.647311806526</v>
      </c>
      <c r="K26" s="18">
        <f t="shared" si="3"/>
        <v>22</v>
      </c>
      <c r="O26" s="10">
        <f t="shared" si="19"/>
        <v>22</v>
      </c>
      <c r="P26" s="18">
        <f>IF((O26&lt;='Alternative 1'!$B$12),P25+1,9999)</f>
        <v>22</v>
      </c>
      <c r="Q26" s="101">
        <f>'Alternative 1'!I25</f>
        <v>0.84922222222222221</v>
      </c>
      <c r="R26" s="101">
        <f>'Alternative 1'!J25</f>
        <v>0.82922222222222219</v>
      </c>
      <c r="S26" s="18">
        <f t="shared" si="20"/>
        <v>2.2922831542102813</v>
      </c>
      <c r="T26" s="18">
        <f t="shared" si="21"/>
        <v>2.1861985516155622</v>
      </c>
      <c r="U26" s="18">
        <f t="shared" si="4"/>
        <v>0.10608460259471908</v>
      </c>
      <c r="V26" s="18">
        <f t="shared" si="5"/>
        <v>832.76413036854478</v>
      </c>
      <c r="W26" s="18">
        <f>SUM(V27:V$94)</f>
        <v>10628.669077814942</v>
      </c>
      <c r="X26" s="18">
        <f>SUM($V$4:V26)</f>
        <v>20586.87411226644</v>
      </c>
      <c r="Y26" s="18">
        <f t="shared" si="6"/>
        <v>9958.2050344514973</v>
      </c>
      <c r="Z26" s="18">
        <f t="shared" si="7"/>
        <v>22</v>
      </c>
      <c r="AD26" s="10">
        <f t="shared" si="22"/>
        <v>22</v>
      </c>
      <c r="AE26" s="18">
        <f>IF((AD26&lt;='Alternative 2'!$B$12),AE25+1,9999)</f>
        <v>22</v>
      </c>
      <c r="AF26" s="101">
        <f>'Alternative 2'!I25</f>
        <v>0.46478260869565224</v>
      </c>
      <c r="AG26" s="101">
        <f>'Alternative 2'!J25</f>
        <v>0.45478260869565224</v>
      </c>
      <c r="AH26" s="18">
        <f t="shared" si="23"/>
        <v>0.69304023884115085</v>
      </c>
      <c r="AI26" s="18">
        <f t="shared" si="24"/>
        <v>0.6638439158105065</v>
      </c>
      <c r="AJ26" s="18">
        <f t="shared" si="8"/>
        <v>2.9196323030644344E-2</v>
      </c>
      <c r="AK26" s="18">
        <f t="shared" si="9"/>
        <v>229.19113579055809</v>
      </c>
      <c r="AL26" s="18">
        <f>SUM(AK27:AK$94)</f>
        <v>224.36605924759843</v>
      </c>
      <c r="AM26" s="18">
        <f>SUM($AK$4:AK26)</f>
        <v>6156.7976688158196</v>
      </c>
      <c r="AN26" s="18">
        <f t="shared" si="10"/>
        <v>5932.4316095682216</v>
      </c>
      <c r="AO26" s="18">
        <f t="shared" si="11"/>
        <v>22</v>
      </c>
      <c r="AS26" s="10">
        <f t="shared" si="25"/>
        <v>22</v>
      </c>
      <c r="AT26" s="18">
        <f>IF((AS26&lt;='Alternative 3'!$B$12),AT25+1,9999)</f>
        <v>22</v>
      </c>
      <c r="AU26" s="101">
        <f>'Alternative 3'!I25</f>
        <v>0.82314285714285718</v>
      </c>
      <c r="AV26" s="101">
        <f>'Alternative 3'!J25</f>
        <v>0.81314285714285717</v>
      </c>
      <c r="AW26" s="18">
        <f t="shared" si="26"/>
        <v>2.154222716661637</v>
      </c>
      <c r="AX26" s="18">
        <f t="shared" si="27"/>
        <v>2.1025076135940437</v>
      </c>
      <c r="AY26" s="18">
        <f t="shared" si="12"/>
        <v>5.1715103067593304E-2</v>
      </c>
      <c r="AZ26" s="18">
        <f t="shared" si="13"/>
        <v>405.96355908060741</v>
      </c>
      <c r="BA26" s="18">
        <f>SUM(AZ27:AZ$94)</f>
        <v>4835.0989162354717</v>
      </c>
      <c r="BB26" s="18">
        <f>SUM($AZ$4:AZ26)</f>
        <v>10054.283115912531</v>
      </c>
      <c r="BC26" s="18">
        <f t="shared" si="14"/>
        <v>5219.184199677059</v>
      </c>
      <c r="BD26" s="18">
        <f t="shared" si="15"/>
        <v>22</v>
      </c>
    </row>
    <row r="27" spans="1:56" x14ac:dyDescent="0.25">
      <c r="A27" s="18">
        <f t="shared" si="16"/>
        <v>23</v>
      </c>
      <c r="B27" s="101">
        <f>'Baseline Given'!I26</f>
        <v>1.7710298507462685</v>
      </c>
      <c r="C27" s="18">
        <f>'Baseline Given'!J26</f>
        <v>1.7471698507462685</v>
      </c>
      <c r="D27" s="18">
        <f t="shared" si="17"/>
        <v>9.9092453715706892</v>
      </c>
      <c r="E27" s="18">
        <f t="shared" si="18"/>
        <v>9.6437888005152281</v>
      </c>
      <c r="F27" s="18">
        <f t="shared" si="0"/>
        <v>0.26545657105546105</v>
      </c>
      <c r="G27" s="18">
        <f t="shared" si="1"/>
        <v>2083.8340827853694</v>
      </c>
      <c r="H27" s="18">
        <f>SUM(G28:$G$71)</f>
        <v>67219.237263863222</v>
      </c>
      <c r="I27" s="18">
        <f>SUM($G$4:G27)</f>
        <v>55171.258117627447</v>
      </c>
      <c r="J27" s="18">
        <f t="shared" si="2"/>
        <v>12047.979146235775</v>
      </c>
      <c r="K27" s="18">
        <f t="shared" si="3"/>
        <v>23</v>
      </c>
      <c r="O27" s="10">
        <f t="shared" si="19"/>
        <v>23</v>
      </c>
      <c r="P27" s="18">
        <f>IF((O27&lt;='Alternative 1'!$B$12),P26+1,9999)</f>
        <v>23</v>
      </c>
      <c r="Q27" s="101">
        <f>'Alternative 1'!I26</f>
        <v>0.83927777777777779</v>
      </c>
      <c r="R27" s="101">
        <f>'Alternative 1'!J26</f>
        <v>0.81927777777777777</v>
      </c>
      <c r="S27" s="18">
        <f t="shared" si="20"/>
        <v>2.2392213827954883</v>
      </c>
      <c r="T27" s="18">
        <f t="shared" si="21"/>
        <v>2.1343864359451969</v>
      </c>
      <c r="U27" s="18">
        <f t="shared" si="4"/>
        <v>0.10483494685029138</v>
      </c>
      <c r="V27" s="18">
        <f t="shared" si="5"/>
        <v>822.9543327747873</v>
      </c>
      <c r="W27" s="18">
        <f>SUM(V28:V$94)</f>
        <v>9805.7147450401553</v>
      </c>
      <c r="X27" s="18">
        <f>SUM($V$4:V27)</f>
        <v>21409.828445041228</v>
      </c>
      <c r="Y27" s="18">
        <f t="shared" si="6"/>
        <v>11604.113700001073</v>
      </c>
      <c r="Z27" s="18">
        <f t="shared" si="7"/>
        <v>23</v>
      </c>
      <c r="AD27" s="10">
        <f t="shared" si="22"/>
        <v>23</v>
      </c>
      <c r="AE27" s="18">
        <f>IF((AD27&lt;='Alternative 2'!$B$12),AE26+1,9999)</f>
        <v>23</v>
      </c>
      <c r="AF27" s="101">
        <f>'Alternative 2'!I26</f>
        <v>0.45500000000000007</v>
      </c>
      <c r="AG27" s="101">
        <f>'Alternative 2'!J26</f>
        <v>0.44500000000000006</v>
      </c>
      <c r="AH27" s="18">
        <f t="shared" si="23"/>
        <v>0.66447193740430088</v>
      </c>
      <c r="AI27" s="18">
        <f t="shared" si="24"/>
        <v>0.6358902738058807</v>
      </c>
      <c r="AJ27" s="18">
        <f t="shared" si="8"/>
        <v>2.8581663598420182E-2</v>
      </c>
      <c r="AK27" s="18">
        <f t="shared" si="9"/>
        <v>224.36605924759843</v>
      </c>
      <c r="AL27" s="18">
        <f>SUM(AK28:AK$94)</f>
        <v>0</v>
      </c>
      <c r="AM27" s="18">
        <f>SUM($AK$4:AK27)</f>
        <v>6381.1637280634177</v>
      </c>
      <c r="AN27" s="18">
        <f t="shared" si="10"/>
        <v>6381.1637280634177</v>
      </c>
      <c r="AO27" s="18">
        <f t="shared" si="11"/>
        <v>23</v>
      </c>
      <c r="AS27" s="10">
        <f t="shared" si="25"/>
        <v>23</v>
      </c>
      <c r="AT27" s="18">
        <f>IF((AS27&lt;='Alternative 3'!$B$12),AT26+1,9999)</f>
        <v>23</v>
      </c>
      <c r="AU27" s="101">
        <f>'Alternative 3'!I26</f>
        <v>0.81328571428571428</v>
      </c>
      <c r="AV27" s="101">
        <f>'Alternative 3'!J26</f>
        <v>0.80328571428571427</v>
      </c>
      <c r="AW27" s="18">
        <f t="shared" si="26"/>
        <v>2.1032419769053545</v>
      </c>
      <c r="AX27" s="18">
        <f t="shared" si="27"/>
        <v>2.0521462163894686</v>
      </c>
      <c r="AY27" s="18">
        <f t="shared" si="12"/>
        <v>5.1095760515885935E-2</v>
      </c>
      <c r="AZ27" s="18">
        <f t="shared" si="13"/>
        <v>401.10172004970457</v>
      </c>
      <c r="BA27" s="18">
        <f>SUM(AZ28:AZ$94)</f>
        <v>4433.9971961857682</v>
      </c>
      <c r="BB27" s="18">
        <f>SUM($AZ$4:AZ27)</f>
        <v>10455.384835962235</v>
      </c>
      <c r="BC27" s="18">
        <f t="shared" si="14"/>
        <v>6021.387639776467</v>
      </c>
      <c r="BD27" s="18">
        <f t="shared" si="15"/>
        <v>23</v>
      </c>
    </row>
    <row r="28" spans="1:56" x14ac:dyDescent="0.25">
      <c r="A28" s="18">
        <f t="shared" si="16"/>
        <v>24</v>
      </c>
      <c r="B28" s="101">
        <f>'Baseline Given'!I27</f>
        <v>1.7610746268656716</v>
      </c>
      <c r="C28" s="18">
        <f>'Baseline Given'!J27</f>
        <v>1.7373946268656715</v>
      </c>
      <c r="D28" s="18">
        <f t="shared" si="17"/>
        <v>9.7984665398179143</v>
      </c>
      <c r="E28" s="18">
        <f t="shared" si="18"/>
        <v>9.5364784266325096</v>
      </c>
      <c r="F28" s="18">
        <f t="shared" si="0"/>
        <v>0.26198811318540471</v>
      </c>
      <c r="G28" s="18">
        <f t="shared" si="1"/>
        <v>2056.606688505427</v>
      </c>
      <c r="H28" s="18">
        <f>SUM(G29:$G$71)</f>
        <v>65162.630575357798</v>
      </c>
      <c r="I28" s="18">
        <f>SUM($G$4:G28)</f>
        <v>57227.864806132871</v>
      </c>
      <c r="J28" s="18">
        <f t="shared" si="2"/>
        <v>7934.7657692249268</v>
      </c>
      <c r="K28" s="18">
        <f t="shared" si="3"/>
        <v>24</v>
      </c>
      <c r="O28" s="10">
        <f t="shared" si="19"/>
        <v>24</v>
      </c>
      <c r="P28" s="18">
        <f>IF((O28&lt;='Alternative 1'!$B$12),P27+1,9999)</f>
        <v>24</v>
      </c>
      <c r="Q28" s="101">
        <f>'Alternative 1'!I27</f>
        <v>0.82933333333333337</v>
      </c>
      <c r="R28" s="101">
        <f>'Alternative 1'!J27</f>
        <v>0.80933333333333335</v>
      </c>
      <c r="S28" s="18">
        <f t="shared" si="20"/>
        <v>2.186780967986953</v>
      </c>
      <c r="T28" s="18">
        <f t="shared" si="21"/>
        <v>2.0831956768810893</v>
      </c>
      <c r="U28" s="18">
        <f t="shared" si="4"/>
        <v>0.10358529110586367</v>
      </c>
      <c r="V28" s="18">
        <f t="shared" si="5"/>
        <v>813.14453518102982</v>
      </c>
      <c r="W28" s="18">
        <f>SUM(V29:V$94)</f>
        <v>8992.5702098591246</v>
      </c>
      <c r="X28" s="18">
        <f>SUM($V$4:V28)</f>
        <v>22222.972980222257</v>
      </c>
      <c r="Y28" s="18">
        <f t="shared" si="6"/>
        <v>13230.402770363133</v>
      </c>
      <c r="Z28" s="18">
        <f t="shared" si="7"/>
        <v>24</v>
      </c>
      <c r="AD28" s="10">
        <f t="shared" si="22"/>
        <v>24</v>
      </c>
      <c r="AE28" s="18">
        <f>IF((AD28&lt;='Alternative 2'!$B$12),AE27+1,9999)</f>
        <v>9999</v>
      </c>
      <c r="AF28" s="101" t="e">
        <f>'Alternative 2'!I27</f>
        <v>#VALUE!</v>
      </c>
      <c r="AG28" s="101" t="e">
        <f>'Alternative 2'!J27</f>
        <v>#VALUE!</v>
      </c>
      <c r="AH28" s="18" t="e">
        <f t="shared" si="23"/>
        <v>#VALUE!</v>
      </c>
      <c r="AI28" s="18" t="e">
        <f t="shared" si="24"/>
        <v>#VALUE!</v>
      </c>
      <c r="AJ28" s="18" t="e">
        <f t="shared" si="8"/>
        <v>#VALUE!</v>
      </c>
      <c r="AK28" s="18">
        <f t="shared" si="9"/>
        <v>0</v>
      </c>
      <c r="AL28" s="18">
        <f>SUM(AK29:AK$94)</f>
        <v>0</v>
      </c>
      <c r="AM28" s="18">
        <f>SUM($AK$4:AK28)</f>
        <v>6381.1637280634177</v>
      </c>
      <c r="AN28" s="18">
        <f t="shared" si="10"/>
        <v>6381.1637280634177</v>
      </c>
      <c r="AO28" s="18">
        <f t="shared" si="11"/>
        <v>9999</v>
      </c>
      <c r="AS28" s="10">
        <f t="shared" si="25"/>
        <v>24</v>
      </c>
      <c r="AT28" s="18">
        <f>IF((AS28&lt;='Alternative 3'!$B$12),AT27+1,9999)</f>
        <v>24</v>
      </c>
      <c r="AU28" s="101">
        <f>'Alternative 3'!I27</f>
        <v>0.80342857142857138</v>
      </c>
      <c r="AV28" s="101">
        <f>'Alternative 3'!J27</f>
        <v>0.79342857142857137</v>
      </c>
      <c r="AW28" s="18">
        <f t="shared" si="26"/>
        <v>2.0528717319500407</v>
      </c>
      <c r="AX28" s="18">
        <f t="shared" si="27"/>
        <v>2.002395313985863</v>
      </c>
      <c r="AY28" s="18">
        <f t="shared" si="12"/>
        <v>5.0476417964177678E-2</v>
      </c>
      <c r="AZ28" s="18">
        <f t="shared" si="13"/>
        <v>396.23988101879479</v>
      </c>
      <c r="BA28" s="18">
        <f>SUM(AZ29:AZ$94)</f>
        <v>4037.7573151669731</v>
      </c>
      <c r="BB28" s="18">
        <f>SUM($AZ$4:AZ28)</f>
        <v>10851.62471698103</v>
      </c>
      <c r="BC28" s="18">
        <f t="shared" si="14"/>
        <v>6813.8674018140573</v>
      </c>
      <c r="BD28" s="18">
        <f t="shared" si="15"/>
        <v>24</v>
      </c>
    </row>
    <row r="29" spans="1:56" x14ac:dyDescent="0.25">
      <c r="A29" s="18">
        <f t="shared" si="16"/>
        <v>25</v>
      </c>
      <c r="B29" s="101">
        <f>'Baseline Given'!I28</f>
        <v>1.7511194029850745</v>
      </c>
      <c r="C29" s="18">
        <f>'Baseline Given'!J28</f>
        <v>1.7276194029850744</v>
      </c>
      <c r="D29" s="18">
        <f t="shared" si="17"/>
        <v>9.6883104124599111</v>
      </c>
      <c r="E29" s="18">
        <f t="shared" si="18"/>
        <v>9.4297684425338559</v>
      </c>
      <c r="F29" s="18">
        <f t="shared" si="0"/>
        <v>0.25854196992605516</v>
      </c>
      <c r="G29" s="18">
        <f t="shared" si="1"/>
        <v>2029.554463919533</v>
      </c>
      <c r="H29" s="18">
        <f>SUM(G30:$G$71)</f>
        <v>63133.076111438269</v>
      </c>
      <c r="I29" s="18">
        <f>SUM($G$4:G29)</f>
        <v>59257.419270052407</v>
      </c>
      <c r="J29" s="18">
        <f t="shared" si="2"/>
        <v>3875.6568413858622</v>
      </c>
      <c r="K29" s="18">
        <f t="shared" si="3"/>
        <v>25</v>
      </c>
      <c r="O29" s="10">
        <f t="shared" si="19"/>
        <v>25</v>
      </c>
      <c r="P29" s="18">
        <f>IF((O29&lt;='Alternative 1'!$B$12),P28+1,9999)</f>
        <v>25</v>
      </c>
      <c r="Q29" s="101">
        <f>'Alternative 1'!I28</f>
        <v>0.81938888888888894</v>
      </c>
      <c r="R29" s="101">
        <f>'Alternative 1'!J28</f>
        <v>0.79938888888888893</v>
      </c>
      <c r="S29" s="18">
        <f t="shared" si="20"/>
        <v>2.1349619097846744</v>
      </c>
      <c r="T29" s="18">
        <f t="shared" si="21"/>
        <v>2.0326262744232384</v>
      </c>
      <c r="U29" s="18">
        <f t="shared" si="4"/>
        <v>0.10233563536143597</v>
      </c>
      <c r="V29" s="18">
        <f t="shared" si="5"/>
        <v>803.33473758727234</v>
      </c>
      <c r="W29" s="18">
        <f>SUM(V30:V$94)</f>
        <v>8189.2354722718528</v>
      </c>
      <c r="X29" s="18">
        <f>SUM($V$4:V29)</f>
        <v>23026.30771780953</v>
      </c>
      <c r="Y29" s="18">
        <f t="shared" si="6"/>
        <v>14837.072245537678</v>
      </c>
      <c r="Z29" s="18">
        <f t="shared" si="7"/>
        <v>25</v>
      </c>
      <c r="AD29" s="10">
        <f t="shared" si="22"/>
        <v>25</v>
      </c>
      <c r="AE29" s="18">
        <f>IF((AD29&lt;='Alternative 2'!$B$12),AE28+1,9999)</f>
        <v>9999</v>
      </c>
      <c r="AF29" s="101" t="e">
        <f>'Alternative 2'!I28</f>
        <v>#VALUE!</v>
      </c>
      <c r="AG29" s="101" t="e">
        <f>'Alternative 2'!J28</f>
        <v>#VALUE!</v>
      </c>
      <c r="AH29" s="18" t="e">
        <f t="shared" si="23"/>
        <v>#VALUE!</v>
      </c>
      <c r="AI29" s="18" t="e">
        <f t="shared" si="24"/>
        <v>#VALUE!</v>
      </c>
      <c r="AJ29" s="18" t="e">
        <f t="shared" si="8"/>
        <v>#VALUE!</v>
      </c>
      <c r="AK29" s="18">
        <f t="shared" si="9"/>
        <v>0</v>
      </c>
      <c r="AL29" s="18">
        <f>SUM(AK30:AK$94)</f>
        <v>0</v>
      </c>
      <c r="AM29" s="18">
        <f>SUM($AK$4:AK29)</f>
        <v>6381.1637280634177</v>
      </c>
      <c r="AN29" s="18">
        <f t="shared" si="10"/>
        <v>6381.1637280634177</v>
      </c>
      <c r="AO29" s="18">
        <f t="shared" si="11"/>
        <v>9999</v>
      </c>
      <c r="AS29" s="10">
        <f t="shared" si="25"/>
        <v>25</v>
      </c>
      <c r="AT29" s="18">
        <f>IF((AS29&lt;='Alternative 3'!$B$12),AT28+1,9999)</f>
        <v>25</v>
      </c>
      <c r="AU29" s="101">
        <f>'Alternative 3'!I28</f>
        <v>0.79357142857142859</v>
      </c>
      <c r="AV29" s="101">
        <f>'Alternative 3'!J28</f>
        <v>0.78357142857142859</v>
      </c>
      <c r="AW29" s="18">
        <f t="shared" si="26"/>
        <v>2.0031119817956959</v>
      </c>
      <c r="AX29" s="18">
        <f t="shared" si="27"/>
        <v>1.9532549063832261</v>
      </c>
      <c r="AY29" s="18">
        <f t="shared" si="12"/>
        <v>4.9857075412469865E-2</v>
      </c>
      <c r="AZ29" s="18">
        <f t="shared" si="13"/>
        <v>391.37804198788842</v>
      </c>
      <c r="BA29" s="18">
        <f>SUM(AZ30:AZ$94)</f>
        <v>3646.3792731790845</v>
      </c>
      <c r="BB29" s="18">
        <f>SUM($AZ$4:AZ29)</f>
        <v>11243.002758968918</v>
      </c>
      <c r="BC29" s="18">
        <f t="shared" si="14"/>
        <v>7596.6234857898335</v>
      </c>
      <c r="BD29" s="18">
        <f t="shared" si="15"/>
        <v>25</v>
      </c>
    </row>
    <row r="30" spans="1:56" x14ac:dyDescent="0.25">
      <c r="A30" s="18">
        <f t="shared" si="16"/>
        <v>26</v>
      </c>
      <c r="B30" s="101">
        <f>'Baseline Given'!I29</f>
        <v>1.7411641791044776</v>
      </c>
      <c r="C30" s="18">
        <f>'Baseline Given'!J29</f>
        <v>1.7178441791044776</v>
      </c>
      <c r="D30" s="18">
        <f t="shared" si="17"/>
        <v>9.5787769894966797</v>
      </c>
      <c r="E30" s="18">
        <f t="shared" si="18"/>
        <v>9.3236588482192673</v>
      </c>
      <c r="F30" s="18">
        <f t="shared" si="0"/>
        <v>0.25511814127741239</v>
      </c>
      <c r="G30" s="18">
        <f t="shared" si="1"/>
        <v>2002.6774090276872</v>
      </c>
      <c r="H30" s="18">
        <f>SUM(G31:$G$71)</f>
        <v>61130.398702410581</v>
      </c>
      <c r="I30" s="18">
        <f>SUM($G$4:G30)</f>
        <v>61260.096679080096</v>
      </c>
      <c r="J30" s="18">
        <f t="shared" si="2"/>
        <v>129.6979766695149</v>
      </c>
      <c r="K30" s="18">
        <f t="shared" si="3"/>
        <v>26</v>
      </c>
      <c r="O30" s="10">
        <f t="shared" si="19"/>
        <v>26</v>
      </c>
      <c r="P30" s="18">
        <f>IF((O30&lt;='Alternative 1'!$B$12),P29+1,9999)</f>
        <v>26</v>
      </c>
      <c r="Q30" s="101">
        <f>'Alternative 1'!I29</f>
        <v>0.80944444444444441</v>
      </c>
      <c r="R30" s="101">
        <f>'Alternative 1'!J29</f>
        <v>0.78944444444444439</v>
      </c>
      <c r="S30" s="18">
        <f t="shared" si="20"/>
        <v>2.0837642081886529</v>
      </c>
      <c r="T30" s="18">
        <f t="shared" si="21"/>
        <v>1.9826782285716453</v>
      </c>
      <c r="U30" s="18">
        <f t="shared" si="4"/>
        <v>0.1010859796170076</v>
      </c>
      <c r="V30" s="18">
        <f t="shared" si="5"/>
        <v>793.52493999350975</v>
      </c>
      <c r="W30" s="18">
        <f>SUM(V31:V$94)</f>
        <v>7395.7105322783418</v>
      </c>
      <c r="X30" s="18">
        <f>SUM($V$4:V30)</f>
        <v>23819.832657803039</v>
      </c>
      <c r="Y30" s="18">
        <f t="shared" si="6"/>
        <v>16424.122125524696</v>
      </c>
      <c r="Z30" s="18">
        <f t="shared" si="7"/>
        <v>26</v>
      </c>
      <c r="AD30" s="10">
        <f t="shared" si="22"/>
        <v>26</v>
      </c>
      <c r="AE30" s="18">
        <f>IF((AD30&lt;='Alternative 2'!$B$12),AE29+1,9999)</f>
        <v>9999</v>
      </c>
      <c r="AF30" s="101" t="e">
        <f>'Alternative 2'!I29</f>
        <v>#VALUE!</v>
      </c>
      <c r="AG30" s="101" t="e">
        <f>'Alternative 2'!J29</f>
        <v>#VALUE!</v>
      </c>
      <c r="AH30" s="18" t="e">
        <f t="shared" si="23"/>
        <v>#VALUE!</v>
      </c>
      <c r="AI30" s="18" t="e">
        <f t="shared" si="24"/>
        <v>#VALUE!</v>
      </c>
      <c r="AJ30" s="18" t="e">
        <f t="shared" si="8"/>
        <v>#VALUE!</v>
      </c>
      <c r="AK30" s="18">
        <f t="shared" si="9"/>
        <v>0</v>
      </c>
      <c r="AL30" s="18">
        <f>SUM(AK31:AK$94)</f>
        <v>0</v>
      </c>
      <c r="AM30" s="18">
        <f>SUM($AK$4:AK30)</f>
        <v>6381.1637280634177</v>
      </c>
      <c r="AN30" s="18">
        <f t="shared" si="10"/>
        <v>6381.1637280634177</v>
      </c>
      <c r="AO30" s="18">
        <f t="shared" si="11"/>
        <v>9999</v>
      </c>
      <c r="AS30" s="10">
        <f t="shared" si="25"/>
        <v>26</v>
      </c>
      <c r="AT30" s="18">
        <f>IF((AS30&lt;='Alternative 3'!$B$12),AT29+1,9999)</f>
        <v>26</v>
      </c>
      <c r="AU30" s="101">
        <f>'Alternative 3'!I29</f>
        <v>0.7837142857142857</v>
      </c>
      <c r="AV30" s="101">
        <f>'Alternative 3'!J29</f>
        <v>0.77371428571428569</v>
      </c>
      <c r="AW30" s="18">
        <f t="shared" si="26"/>
        <v>1.9539627264423207</v>
      </c>
      <c r="AX30" s="18">
        <f t="shared" si="27"/>
        <v>1.9047249935815584</v>
      </c>
      <c r="AY30" s="18">
        <f t="shared" si="12"/>
        <v>4.9237732860762273E-2</v>
      </c>
      <c r="AZ30" s="18">
        <f t="shared" si="13"/>
        <v>386.51620295698382</v>
      </c>
      <c r="BA30" s="18">
        <f>SUM(AZ31:AZ$94)</f>
        <v>3259.8630702221012</v>
      </c>
      <c r="BB30" s="18">
        <f>SUM($AZ$4:AZ30)</f>
        <v>11629.518961925902</v>
      </c>
      <c r="BC30" s="18">
        <f t="shared" si="14"/>
        <v>8369.6558917038001</v>
      </c>
      <c r="BD30" s="18">
        <f t="shared" si="15"/>
        <v>26</v>
      </c>
    </row>
    <row r="31" spans="1:56" x14ac:dyDescent="0.25">
      <c r="A31" s="18">
        <f t="shared" si="16"/>
        <v>27</v>
      </c>
      <c r="B31" s="101">
        <f>'Baseline Given'!I30</f>
        <v>1.7312089552238805</v>
      </c>
      <c r="C31" s="18">
        <f>'Baseline Given'!J30</f>
        <v>1.7080689552238806</v>
      </c>
      <c r="D31" s="18">
        <f t="shared" si="17"/>
        <v>9.4698662709282164</v>
      </c>
      <c r="E31" s="18">
        <f t="shared" si="18"/>
        <v>9.2181496436887436</v>
      </c>
      <c r="F31" s="18">
        <f t="shared" si="0"/>
        <v>0.25171662723947286</v>
      </c>
      <c r="G31" s="18">
        <f t="shared" si="1"/>
        <v>1975.9755238298619</v>
      </c>
      <c r="H31" s="18">
        <f>SUM(G32:$G$71)</f>
        <v>59154.423178580721</v>
      </c>
      <c r="I31" s="18">
        <f>SUM($G$4:G31)</f>
        <v>63236.072202909956</v>
      </c>
      <c r="J31" s="18">
        <f t="shared" si="2"/>
        <v>4081.6490243292355</v>
      </c>
      <c r="K31" s="18">
        <f t="shared" si="3"/>
        <v>27</v>
      </c>
      <c r="O31" s="10">
        <f t="shared" si="19"/>
        <v>27</v>
      </c>
      <c r="P31" s="18">
        <f>IF((O31&lt;='Alternative 1'!$B$12),P30+1,9999)</f>
        <v>27</v>
      </c>
      <c r="Q31" s="101">
        <f>'Alternative 1'!I30</f>
        <v>0.79949999999999999</v>
      </c>
      <c r="R31" s="101">
        <f>'Alternative 1'!J30</f>
        <v>0.77949999999999997</v>
      </c>
      <c r="S31" s="18">
        <f t="shared" si="20"/>
        <v>2.0331878631988887</v>
      </c>
      <c r="T31" s="18">
        <f t="shared" si="21"/>
        <v>1.933351539326309</v>
      </c>
      <c r="U31" s="18">
        <f t="shared" si="4"/>
        <v>9.983632387257968E-2</v>
      </c>
      <c r="V31" s="18">
        <f t="shared" si="5"/>
        <v>783.71514239975045</v>
      </c>
      <c r="W31" s="18">
        <f>SUM(V32:V$94)</f>
        <v>6611.9953898785916</v>
      </c>
      <c r="X31" s="18">
        <f>SUM($V$4:V31)</f>
        <v>24603.547800202788</v>
      </c>
      <c r="Y31" s="18">
        <f t="shared" si="6"/>
        <v>17991.552410324199</v>
      </c>
      <c r="Z31" s="18">
        <f t="shared" si="7"/>
        <v>27</v>
      </c>
      <c r="AD31" s="10">
        <f t="shared" si="22"/>
        <v>27</v>
      </c>
      <c r="AE31" s="18">
        <f>IF((AD31&lt;='Alternative 2'!$B$12),AE30+1,9999)</f>
        <v>9999</v>
      </c>
      <c r="AF31" s="101" t="e">
        <f>'Alternative 2'!I30</f>
        <v>#VALUE!</v>
      </c>
      <c r="AG31" s="101" t="e">
        <f>'Alternative 2'!J30</f>
        <v>#VALUE!</v>
      </c>
      <c r="AH31" s="18" t="e">
        <f t="shared" si="23"/>
        <v>#VALUE!</v>
      </c>
      <c r="AI31" s="18" t="e">
        <f t="shared" si="24"/>
        <v>#VALUE!</v>
      </c>
      <c r="AJ31" s="18" t="e">
        <f t="shared" si="8"/>
        <v>#VALUE!</v>
      </c>
      <c r="AK31" s="18">
        <f t="shared" si="9"/>
        <v>0</v>
      </c>
      <c r="AL31" s="18">
        <f>SUM(AK32:AK$94)</f>
        <v>0</v>
      </c>
      <c r="AM31" s="18">
        <f>SUM($AK$4:AK31)</f>
        <v>6381.1637280634177</v>
      </c>
      <c r="AN31" s="18">
        <f t="shared" si="10"/>
        <v>6381.1637280634177</v>
      </c>
      <c r="AO31" s="18">
        <f t="shared" si="11"/>
        <v>9999</v>
      </c>
      <c r="AS31" s="10">
        <f t="shared" si="25"/>
        <v>27</v>
      </c>
      <c r="AT31" s="18">
        <f>IF((AS31&lt;='Alternative 3'!$B$12),AT30+1,9999)</f>
        <v>27</v>
      </c>
      <c r="AU31" s="101">
        <f>'Alternative 3'!I30</f>
        <v>0.7738571428571428</v>
      </c>
      <c r="AV31" s="101">
        <f>'Alternative 3'!J30</f>
        <v>0.76385714285714279</v>
      </c>
      <c r="AW31" s="18">
        <f t="shared" si="26"/>
        <v>1.9054239658899139</v>
      </c>
      <c r="AX31" s="18">
        <f t="shared" si="27"/>
        <v>1.8568055755808592</v>
      </c>
      <c r="AY31" s="18">
        <f t="shared" si="12"/>
        <v>4.8618390309054682E-2</v>
      </c>
      <c r="AZ31" s="18">
        <f t="shared" si="13"/>
        <v>381.65436392607927</v>
      </c>
      <c r="BA31" s="18">
        <f>SUM(AZ32:AZ$94)</f>
        <v>2878.2087062960218</v>
      </c>
      <c r="BB31" s="18">
        <f>SUM($AZ$4:AZ31)</f>
        <v>12011.173325851982</v>
      </c>
      <c r="BC31" s="18">
        <f t="shared" si="14"/>
        <v>9132.9646195559599</v>
      </c>
      <c r="BD31" s="18">
        <f t="shared" si="15"/>
        <v>27</v>
      </c>
    </row>
    <row r="32" spans="1:56" x14ac:dyDescent="0.25">
      <c r="A32" s="18">
        <f t="shared" si="16"/>
        <v>28</v>
      </c>
      <c r="B32" s="101">
        <f>'Baseline Given'!I31</f>
        <v>1.7212537313432836</v>
      </c>
      <c r="C32" s="18">
        <f>'Baseline Given'!J31</f>
        <v>1.6982937313432835</v>
      </c>
      <c r="D32" s="18">
        <f t="shared" si="17"/>
        <v>9.3615782567545249</v>
      </c>
      <c r="E32" s="18">
        <f t="shared" si="18"/>
        <v>9.1132408289422848</v>
      </c>
      <c r="F32" s="18">
        <f t="shared" si="0"/>
        <v>0.24833742781224011</v>
      </c>
      <c r="G32" s="18">
        <f t="shared" si="1"/>
        <v>1949.4488083260849</v>
      </c>
      <c r="H32" s="18">
        <f>SUM(G33:$G$71)</f>
        <v>57204.974370254633</v>
      </c>
      <c r="I32" s="18">
        <f>SUM($G$4:G32)</f>
        <v>65185.521011236044</v>
      </c>
      <c r="J32" s="18">
        <f t="shared" si="2"/>
        <v>7980.5466409814107</v>
      </c>
      <c r="K32" s="18">
        <f t="shared" si="3"/>
        <v>28</v>
      </c>
      <c r="O32" s="10">
        <f t="shared" si="19"/>
        <v>28</v>
      </c>
      <c r="P32" s="18">
        <f>IF((O32&lt;='Alternative 1'!$B$12),P31+1,9999)</f>
        <v>28</v>
      </c>
      <c r="Q32" s="101">
        <f>'Alternative 1'!I31</f>
        <v>0.78955555555555557</v>
      </c>
      <c r="R32" s="101">
        <f>'Alternative 1'!J31</f>
        <v>0.76955555555555555</v>
      </c>
      <c r="S32" s="18">
        <f t="shared" si="20"/>
        <v>1.983232874815382</v>
      </c>
      <c r="T32" s="18">
        <f t="shared" si="21"/>
        <v>1.88464620668723</v>
      </c>
      <c r="U32" s="18">
        <f t="shared" si="4"/>
        <v>9.8586668128151977E-2</v>
      </c>
      <c r="V32" s="18">
        <f t="shared" si="5"/>
        <v>773.90534480599297</v>
      </c>
      <c r="W32" s="18">
        <f>SUM(V33:V$94)</f>
        <v>5838.0900450725985</v>
      </c>
      <c r="X32" s="18">
        <f>SUM($V$4:V32)</f>
        <v>25377.453145008782</v>
      </c>
      <c r="Y32" s="18">
        <f t="shared" si="6"/>
        <v>19539.363099936185</v>
      </c>
      <c r="Z32" s="18">
        <f t="shared" si="7"/>
        <v>28</v>
      </c>
      <c r="AD32" s="10">
        <f t="shared" si="22"/>
        <v>28</v>
      </c>
      <c r="AE32" s="18">
        <f>IF((AD32&lt;='Alternative 2'!$B$12),AE31+1,9999)</f>
        <v>9999</v>
      </c>
      <c r="AF32" s="101" t="e">
        <f>'Alternative 2'!I31</f>
        <v>#VALUE!</v>
      </c>
      <c r="AG32" s="101" t="e">
        <f>'Alternative 2'!J31</f>
        <v>#VALUE!</v>
      </c>
      <c r="AH32" s="18" t="e">
        <f t="shared" si="23"/>
        <v>#VALUE!</v>
      </c>
      <c r="AI32" s="18" t="e">
        <f t="shared" si="24"/>
        <v>#VALUE!</v>
      </c>
      <c r="AJ32" s="18" t="e">
        <f t="shared" si="8"/>
        <v>#VALUE!</v>
      </c>
      <c r="AK32" s="18">
        <f t="shared" si="9"/>
        <v>0</v>
      </c>
      <c r="AL32" s="18">
        <f>SUM(AK33:AK$94)</f>
        <v>0</v>
      </c>
      <c r="AM32" s="18">
        <f>SUM($AK$4:AK32)</f>
        <v>6381.1637280634177</v>
      </c>
      <c r="AN32" s="18">
        <f t="shared" si="10"/>
        <v>6381.1637280634177</v>
      </c>
      <c r="AO32" s="18">
        <f t="shared" si="11"/>
        <v>9999</v>
      </c>
      <c r="AS32" s="10">
        <f t="shared" si="25"/>
        <v>28</v>
      </c>
      <c r="AT32" s="18">
        <f>IF((AS32&lt;='Alternative 3'!$B$12),AT31+1,9999)</f>
        <v>28</v>
      </c>
      <c r="AU32" s="101">
        <f>'Alternative 3'!I31</f>
        <v>0.76400000000000001</v>
      </c>
      <c r="AV32" s="101">
        <f>'Alternative 3'!J31</f>
        <v>0.754</v>
      </c>
      <c r="AW32" s="18">
        <f t="shared" si="26"/>
        <v>1.8574957001384764</v>
      </c>
      <c r="AX32" s="18">
        <f t="shared" si="27"/>
        <v>1.8094966523811298</v>
      </c>
      <c r="AY32" s="18">
        <f t="shared" si="12"/>
        <v>4.7999047757346647E-2</v>
      </c>
      <c r="AZ32" s="18">
        <f t="shared" si="13"/>
        <v>376.7925248951712</v>
      </c>
      <c r="BA32" s="18">
        <f>SUM(AZ33:AZ$94)</f>
        <v>2501.4161814008507</v>
      </c>
      <c r="BB32" s="18">
        <f>SUM($AZ$4:AZ32)</f>
        <v>12387.965850747152</v>
      </c>
      <c r="BC32" s="18">
        <f t="shared" si="14"/>
        <v>9886.549669346301</v>
      </c>
      <c r="BD32" s="18">
        <f t="shared" si="15"/>
        <v>28</v>
      </c>
    </row>
    <row r="33" spans="1:56" x14ac:dyDescent="0.25">
      <c r="A33" s="18">
        <f t="shared" si="16"/>
        <v>29</v>
      </c>
      <c r="B33" s="101">
        <f>'Baseline Given'!I32</f>
        <v>1.7112985074626865</v>
      </c>
      <c r="C33" s="18">
        <f>'Baseline Given'!J32</f>
        <v>1.6885185074626865</v>
      </c>
      <c r="D33" s="18">
        <f t="shared" si="17"/>
        <v>9.2539129469756052</v>
      </c>
      <c r="E33" s="18">
        <f t="shared" si="18"/>
        <v>9.008932403979891</v>
      </c>
      <c r="F33" s="18">
        <f t="shared" si="0"/>
        <v>0.24498054299571415</v>
      </c>
      <c r="G33" s="18">
        <f t="shared" si="1"/>
        <v>1923.0972625163561</v>
      </c>
      <c r="H33" s="18">
        <f>SUM(G34:$G$71)</f>
        <v>55281.877107738277</v>
      </c>
      <c r="I33" s="18">
        <f>SUM($G$4:G33)</f>
        <v>67108.618273752407</v>
      </c>
      <c r="J33" s="18">
        <f t="shared" si="2"/>
        <v>11826.74116601413</v>
      </c>
      <c r="K33" s="18">
        <f t="shared" si="3"/>
        <v>29</v>
      </c>
      <c r="O33" s="10">
        <f t="shared" si="19"/>
        <v>29</v>
      </c>
      <c r="P33" s="18">
        <f>IF((O33&lt;='Alternative 1'!$B$12),P32+1,9999)</f>
        <v>29</v>
      </c>
      <c r="Q33" s="101">
        <f>'Alternative 1'!I32</f>
        <v>0.77961111111111103</v>
      </c>
      <c r="R33" s="101">
        <f>'Alternative 1'!J32</f>
        <v>0.75961111111111101</v>
      </c>
      <c r="S33" s="18">
        <f t="shared" si="20"/>
        <v>1.9338992430381321</v>
      </c>
      <c r="T33" s="18">
        <f t="shared" si="21"/>
        <v>1.8365622306544083</v>
      </c>
      <c r="U33" s="18">
        <f t="shared" si="4"/>
        <v>9.7337012383723831E-2</v>
      </c>
      <c r="V33" s="18">
        <f t="shared" si="5"/>
        <v>764.09554721223208</v>
      </c>
      <c r="W33" s="18">
        <f>SUM(V34:V$94)</f>
        <v>5073.9944978603671</v>
      </c>
      <c r="X33" s="18">
        <f>SUM($V$4:V33)</f>
        <v>26141.548692221015</v>
      </c>
      <c r="Y33" s="18">
        <f t="shared" si="6"/>
        <v>21067.554194360648</v>
      </c>
      <c r="Z33" s="18">
        <f t="shared" si="7"/>
        <v>29</v>
      </c>
      <c r="AD33" s="10">
        <f t="shared" si="22"/>
        <v>29</v>
      </c>
      <c r="AE33" s="18">
        <f>IF((AD33&lt;='Alternative 2'!$B$12),AE32+1,9999)</f>
        <v>9999</v>
      </c>
      <c r="AF33" s="101" t="e">
        <f>'Alternative 2'!I32</f>
        <v>#VALUE!</v>
      </c>
      <c r="AG33" s="101" t="e">
        <f>'Alternative 2'!J32</f>
        <v>#VALUE!</v>
      </c>
      <c r="AH33" s="18" t="e">
        <f t="shared" si="23"/>
        <v>#VALUE!</v>
      </c>
      <c r="AI33" s="18" t="e">
        <f t="shared" si="24"/>
        <v>#VALUE!</v>
      </c>
      <c r="AJ33" s="18" t="e">
        <f t="shared" si="8"/>
        <v>#VALUE!</v>
      </c>
      <c r="AK33" s="18">
        <f t="shared" si="9"/>
        <v>0</v>
      </c>
      <c r="AL33" s="18">
        <f>SUM(AK34:AK$94)</f>
        <v>0</v>
      </c>
      <c r="AM33" s="18">
        <f>SUM($AK$4:AK33)</f>
        <v>6381.1637280634177</v>
      </c>
      <c r="AN33" s="18">
        <f t="shared" si="10"/>
        <v>6381.1637280634177</v>
      </c>
      <c r="AO33" s="18">
        <f t="shared" si="11"/>
        <v>9999</v>
      </c>
      <c r="AS33" s="10">
        <f t="shared" si="25"/>
        <v>29</v>
      </c>
      <c r="AT33" s="18">
        <f>IF((AS33&lt;='Alternative 3'!$B$12),AT32+1,9999)</f>
        <v>29</v>
      </c>
      <c r="AU33" s="101">
        <f>'Alternative 3'!I32</f>
        <v>0.75414285714285711</v>
      </c>
      <c r="AV33" s="101">
        <f>'Alternative 3'!J32</f>
        <v>0.74414285714285711</v>
      </c>
      <c r="AW33" s="18">
        <f t="shared" si="26"/>
        <v>1.8101779291880082</v>
      </c>
      <c r="AX33" s="18">
        <f t="shared" si="27"/>
        <v>1.762798223982369</v>
      </c>
      <c r="AY33" s="18">
        <f t="shared" si="12"/>
        <v>4.7379705205639278E-2</v>
      </c>
      <c r="AZ33" s="18">
        <f t="shared" si="13"/>
        <v>371.93068586426836</v>
      </c>
      <c r="BA33" s="18">
        <f>SUM(AZ34:AZ$94)</f>
        <v>2129.4854955365822</v>
      </c>
      <c r="BB33" s="18">
        <f>SUM($AZ$4:AZ33)</f>
        <v>12759.896536611421</v>
      </c>
      <c r="BC33" s="18">
        <f t="shared" si="14"/>
        <v>10630.411041074838</v>
      </c>
      <c r="BD33" s="18">
        <f t="shared" si="15"/>
        <v>29</v>
      </c>
    </row>
    <row r="34" spans="1:56" x14ac:dyDescent="0.25">
      <c r="A34" s="18">
        <f t="shared" si="16"/>
        <v>30</v>
      </c>
      <c r="B34" s="101">
        <f>'Baseline Given'!I33</f>
        <v>1.7013432835820894</v>
      </c>
      <c r="C34" s="18">
        <f>'Baseline Given'!J33</f>
        <v>1.6787432835820895</v>
      </c>
      <c r="D34" s="18">
        <f t="shared" si="17"/>
        <v>9.1468703415914554</v>
      </c>
      <c r="E34" s="18">
        <f t="shared" si="18"/>
        <v>8.9052243688015604</v>
      </c>
      <c r="F34" s="18">
        <f t="shared" si="0"/>
        <v>0.24164597278989497</v>
      </c>
      <c r="G34" s="18">
        <f t="shared" si="1"/>
        <v>1896.9208864006755</v>
      </c>
      <c r="H34" s="18">
        <f>SUM(G35:$G$71)</f>
        <v>53384.956221337598</v>
      </c>
      <c r="I34" s="18">
        <f>SUM($G$4:G34)</f>
        <v>69005.539160153086</v>
      </c>
      <c r="J34" s="18">
        <f t="shared" si="2"/>
        <v>15620.582938815489</v>
      </c>
      <c r="K34" s="18">
        <f t="shared" si="3"/>
        <v>30</v>
      </c>
      <c r="O34" s="10">
        <f t="shared" si="19"/>
        <v>30</v>
      </c>
      <c r="P34" s="18">
        <f>IF((O34&lt;='Alternative 1'!$B$12),P33+1,9999)</f>
        <v>30</v>
      </c>
      <c r="Q34" s="101">
        <f>'Alternative 1'!I33</f>
        <v>0.76966666666666672</v>
      </c>
      <c r="R34" s="101">
        <f>'Alternative 1'!J33</f>
        <v>0.7496666666666667</v>
      </c>
      <c r="S34" s="18">
        <f t="shared" si="20"/>
        <v>1.8851869678671396</v>
      </c>
      <c r="T34" s="18">
        <f t="shared" si="21"/>
        <v>1.7890996112278439</v>
      </c>
      <c r="U34" s="18">
        <f t="shared" si="4"/>
        <v>9.6087356639295685E-2</v>
      </c>
      <c r="V34" s="18">
        <f t="shared" si="5"/>
        <v>754.28574961847107</v>
      </c>
      <c r="W34" s="18">
        <f>SUM(V35:V$94)</f>
        <v>4319.7087482418956</v>
      </c>
      <c r="X34" s="18">
        <f>SUM($V$4:V34)</f>
        <v>26895.834441839484</v>
      </c>
      <c r="Y34" s="18">
        <f t="shared" si="6"/>
        <v>22576.125693597591</v>
      </c>
      <c r="Z34" s="18">
        <f t="shared" si="7"/>
        <v>30</v>
      </c>
      <c r="AD34" s="10">
        <f t="shared" si="22"/>
        <v>30</v>
      </c>
      <c r="AE34" s="18">
        <f>IF((AD34&lt;='Alternative 2'!$B$12),AE33+1,9999)</f>
        <v>9999</v>
      </c>
      <c r="AF34" s="101" t="e">
        <f>'Alternative 2'!I33</f>
        <v>#VALUE!</v>
      </c>
      <c r="AG34" s="101" t="e">
        <f>'Alternative 2'!J33</f>
        <v>#VALUE!</v>
      </c>
      <c r="AH34" s="18" t="e">
        <f t="shared" si="23"/>
        <v>#VALUE!</v>
      </c>
      <c r="AI34" s="18" t="e">
        <f t="shared" si="24"/>
        <v>#VALUE!</v>
      </c>
      <c r="AJ34" s="18" t="e">
        <f t="shared" si="8"/>
        <v>#VALUE!</v>
      </c>
      <c r="AK34" s="18">
        <f t="shared" si="9"/>
        <v>0</v>
      </c>
      <c r="AL34" s="18">
        <f>SUM(AK35:AK$94)</f>
        <v>0</v>
      </c>
      <c r="AM34" s="18">
        <f>SUM($AK$4:AK34)</f>
        <v>6381.1637280634177</v>
      </c>
      <c r="AN34" s="18">
        <f t="shared" si="10"/>
        <v>6381.1637280634177</v>
      </c>
      <c r="AO34" s="18">
        <f t="shared" si="11"/>
        <v>9999</v>
      </c>
      <c r="AS34" s="10">
        <f t="shared" si="25"/>
        <v>30</v>
      </c>
      <c r="AT34" s="18">
        <f>IF((AS34&lt;='Alternative 3'!$B$12),AT33+1,9999)</f>
        <v>30</v>
      </c>
      <c r="AU34" s="101">
        <f>'Alternative 3'!I33</f>
        <v>0.74428571428571422</v>
      </c>
      <c r="AV34" s="101">
        <f>'Alternative 3'!J33</f>
        <v>0.73428571428571421</v>
      </c>
      <c r="AW34" s="18">
        <f t="shared" si="26"/>
        <v>1.7634706530385087</v>
      </c>
      <c r="AX34" s="18">
        <f t="shared" si="27"/>
        <v>1.7167102903845777</v>
      </c>
      <c r="AY34" s="18">
        <f t="shared" si="12"/>
        <v>4.676036265393102E-2</v>
      </c>
      <c r="AZ34" s="18">
        <f t="shared" si="13"/>
        <v>367.06884683335852</v>
      </c>
      <c r="BA34" s="18">
        <f>SUM(AZ35:AZ$94)</f>
        <v>1762.4166487032237</v>
      </c>
      <c r="BB34" s="18">
        <f>SUM($AZ$4:AZ34)</f>
        <v>13126.96538344478</v>
      </c>
      <c r="BC34" s="18">
        <f t="shared" si="14"/>
        <v>11364.548734741556</v>
      </c>
      <c r="BD34" s="18">
        <f t="shared" si="15"/>
        <v>30</v>
      </c>
    </row>
    <row r="35" spans="1:56" x14ac:dyDescent="0.25">
      <c r="A35" s="18">
        <f t="shared" si="16"/>
        <v>31</v>
      </c>
      <c r="B35" s="101">
        <f>'Baseline Given'!I34</f>
        <v>1.6913880597014925</v>
      </c>
      <c r="C35" s="18">
        <f>'Baseline Given'!J34</f>
        <v>1.6689680597014924</v>
      </c>
      <c r="D35" s="18">
        <f t="shared" si="17"/>
        <v>9.0404504406020756</v>
      </c>
      <c r="E35" s="18">
        <f t="shared" si="18"/>
        <v>8.8021167234072948</v>
      </c>
      <c r="F35" s="18">
        <f t="shared" si="0"/>
        <v>0.2383337171947808</v>
      </c>
      <c r="G35" s="18">
        <f t="shared" si="1"/>
        <v>1870.9196799790293</v>
      </c>
      <c r="H35" s="18">
        <f>SUM(G36:$G$71)</f>
        <v>51514.036541358568</v>
      </c>
      <c r="I35" s="18">
        <f>SUM($G$4:G35)</f>
        <v>70876.458840132109</v>
      </c>
      <c r="J35" s="18">
        <f t="shared" si="2"/>
        <v>19362.422298773541</v>
      </c>
      <c r="K35" s="18">
        <f t="shared" si="3"/>
        <v>31</v>
      </c>
      <c r="O35" s="10">
        <f t="shared" si="19"/>
        <v>31</v>
      </c>
      <c r="P35" s="18">
        <f>IF((O35&lt;='Alternative 1'!$B$12),P34+1,9999)</f>
        <v>31</v>
      </c>
      <c r="Q35" s="101">
        <f>'Alternative 1'!I34</f>
        <v>0.75972222222222219</v>
      </c>
      <c r="R35" s="101">
        <f>'Alternative 1'!J34</f>
        <v>0.73972222222222217</v>
      </c>
      <c r="S35" s="18">
        <f t="shared" si="20"/>
        <v>1.8370960493024047</v>
      </c>
      <c r="T35" s="18">
        <f t="shared" si="21"/>
        <v>1.7422583484075365</v>
      </c>
      <c r="U35" s="18">
        <f t="shared" si="4"/>
        <v>9.4837700894868204E-2</v>
      </c>
      <c r="V35" s="18">
        <f t="shared" si="5"/>
        <v>744.47595202471541</v>
      </c>
      <c r="W35" s="18">
        <f>SUM(V36:V$94)</f>
        <v>3575.2327962171803</v>
      </c>
      <c r="X35" s="18">
        <f>SUM($V$4:V35)</f>
        <v>27640.310393864202</v>
      </c>
      <c r="Y35" s="18">
        <f t="shared" si="6"/>
        <v>24065.077597647021</v>
      </c>
      <c r="Z35" s="18">
        <f t="shared" si="7"/>
        <v>31</v>
      </c>
      <c r="AD35" s="10">
        <f t="shared" si="22"/>
        <v>31</v>
      </c>
      <c r="AE35" s="18">
        <f>IF((AD35&lt;='Alternative 2'!$B$12),AE34+1,9999)</f>
        <v>9999</v>
      </c>
      <c r="AF35" s="101" t="e">
        <f>'Alternative 2'!I34</f>
        <v>#VALUE!</v>
      </c>
      <c r="AG35" s="101" t="e">
        <f>'Alternative 2'!J34</f>
        <v>#VALUE!</v>
      </c>
      <c r="AH35" s="18" t="e">
        <f t="shared" si="23"/>
        <v>#VALUE!</v>
      </c>
      <c r="AI35" s="18" t="e">
        <f t="shared" si="24"/>
        <v>#VALUE!</v>
      </c>
      <c r="AJ35" s="18" t="e">
        <f t="shared" si="8"/>
        <v>#VALUE!</v>
      </c>
      <c r="AK35" s="18">
        <f t="shared" si="9"/>
        <v>0</v>
      </c>
      <c r="AL35" s="18">
        <f>SUM(AK36:AK$94)</f>
        <v>0</v>
      </c>
      <c r="AM35" s="18">
        <f>SUM($AK$4:AK35)</f>
        <v>6381.1637280634177</v>
      </c>
      <c r="AN35" s="18">
        <f t="shared" si="10"/>
        <v>6381.1637280634177</v>
      </c>
      <c r="AO35" s="18">
        <f t="shared" si="11"/>
        <v>9999</v>
      </c>
      <c r="AS35" s="10">
        <f t="shared" si="25"/>
        <v>31</v>
      </c>
      <c r="AT35" s="18">
        <f>IF((AS35&lt;='Alternative 3'!$B$12),AT34+1,9999)</f>
        <v>31</v>
      </c>
      <c r="AU35" s="101">
        <f>'Alternative 3'!I34</f>
        <v>0.73442857142857143</v>
      </c>
      <c r="AV35" s="101">
        <f>'Alternative 3'!J34</f>
        <v>0.72442857142857142</v>
      </c>
      <c r="AW35" s="18">
        <f t="shared" si="26"/>
        <v>1.7173738716899782</v>
      </c>
      <c r="AX35" s="18">
        <f t="shared" si="27"/>
        <v>1.6712328515877544</v>
      </c>
      <c r="AY35" s="18">
        <f t="shared" si="12"/>
        <v>4.6141020102223873E-2</v>
      </c>
      <c r="AZ35" s="18">
        <f t="shared" si="13"/>
        <v>362.20700780245738</v>
      </c>
      <c r="BA35" s="18">
        <f>SUM(AZ36:AZ$94)</f>
        <v>1400.2096409007663</v>
      </c>
      <c r="BB35" s="18">
        <f>SUM($AZ$4:AZ35)</f>
        <v>13489.172391247237</v>
      </c>
      <c r="BC35" s="18">
        <f t="shared" si="14"/>
        <v>12088.962750346471</v>
      </c>
      <c r="BD35" s="18">
        <f t="shared" si="15"/>
        <v>31</v>
      </c>
    </row>
    <row r="36" spans="1:56" x14ac:dyDescent="0.25">
      <c r="A36" s="18">
        <f t="shared" si="16"/>
        <v>32</v>
      </c>
      <c r="B36" s="101">
        <f>'Baseline Given'!I35</f>
        <v>1.6814328358208954</v>
      </c>
      <c r="C36" s="18">
        <f>'Baseline Given'!J35</f>
        <v>1.6591928358208954</v>
      </c>
      <c r="D36" s="18">
        <f t="shared" si="17"/>
        <v>8.9346532440074657</v>
      </c>
      <c r="E36" s="18">
        <f t="shared" si="18"/>
        <v>8.6996094677970977</v>
      </c>
      <c r="F36" s="18">
        <f t="shared" ref="F36:F67" si="28">(D36-E36)</f>
        <v>0.23504377621036809</v>
      </c>
      <c r="G36" s="18">
        <f t="shared" ref="G36:G67" si="29">F36*$B$1</f>
        <v>1845.0936432513895</v>
      </c>
      <c r="H36" s="18">
        <f>SUM(G37:$G$71)</f>
        <v>49668.942898107176</v>
      </c>
      <c r="I36" s="18">
        <f>SUM($G$4:G36)</f>
        <v>72721.552483383493</v>
      </c>
      <c r="J36" s="18">
        <f t="shared" ref="J36:J67" si="30">ABS(H36-I36)</f>
        <v>23052.609585276317</v>
      </c>
      <c r="K36" s="18">
        <f t="shared" ref="K36:K71" si="31">A36</f>
        <v>32</v>
      </c>
      <c r="O36" s="10">
        <f t="shared" si="19"/>
        <v>32</v>
      </c>
      <c r="P36" s="18">
        <f>IF((O36&lt;='Alternative 1'!$B$12),P35+1,9999)</f>
        <v>32</v>
      </c>
      <c r="Q36" s="101">
        <f>'Alternative 1'!I35</f>
        <v>0.74977777777777777</v>
      </c>
      <c r="R36" s="101">
        <f>'Alternative 1'!J35</f>
        <v>0.72977777777777775</v>
      </c>
      <c r="S36" s="18">
        <f t="shared" si="20"/>
        <v>1.7896264873439265</v>
      </c>
      <c r="T36" s="18">
        <f t="shared" si="21"/>
        <v>1.6960384421934864</v>
      </c>
      <c r="U36" s="18">
        <f t="shared" ref="U36:U67" si="32">(S36-T36)</f>
        <v>9.3588045150440058E-2</v>
      </c>
      <c r="V36" s="18">
        <f t="shared" ref="V36:V67" si="33">IF(NOT(P36=9999),U36*$B$1,0)</f>
        <v>734.66615443095441</v>
      </c>
      <c r="W36" s="18">
        <f>SUM(V37:V$94)</f>
        <v>2840.5666417862258</v>
      </c>
      <c r="X36" s="18">
        <f>SUM($V$4:V36)</f>
        <v>28374.976548295155</v>
      </c>
      <c r="Y36" s="18">
        <f t="shared" ref="Y36:Y67" si="34">ABS(W36-X36)</f>
        <v>25534.409906508929</v>
      </c>
      <c r="Z36" s="18">
        <f t="shared" ref="Z36:Z67" si="35">P36</f>
        <v>32</v>
      </c>
      <c r="AD36" s="10">
        <f t="shared" si="22"/>
        <v>32</v>
      </c>
      <c r="AE36" s="18">
        <f>IF((AD36&lt;='Alternative 2'!$B$12),AE35+1,9999)</f>
        <v>9999</v>
      </c>
      <c r="AF36" s="101" t="e">
        <f>'Alternative 2'!I35</f>
        <v>#VALUE!</v>
      </c>
      <c r="AG36" s="101" t="e">
        <f>'Alternative 2'!J35</f>
        <v>#VALUE!</v>
      </c>
      <c r="AH36" s="18" t="e">
        <f t="shared" si="23"/>
        <v>#VALUE!</v>
      </c>
      <c r="AI36" s="18" t="e">
        <f t="shared" si="24"/>
        <v>#VALUE!</v>
      </c>
      <c r="AJ36" s="18" t="e">
        <f t="shared" ref="AJ36:AJ67" si="36">(AH36-AI36)</f>
        <v>#VALUE!</v>
      </c>
      <c r="AK36" s="18">
        <f t="shared" ref="AK36:AK67" si="37">IF(NOT(AE36=9999),AJ36*$B$1,0)</f>
        <v>0</v>
      </c>
      <c r="AL36" s="18">
        <f>SUM(AK37:AK$94)</f>
        <v>0</v>
      </c>
      <c r="AM36" s="18">
        <f>SUM($AK$4:AK36)</f>
        <v>6381.1637280634177</v>
      </c>
      <c r="AN36" s="18">
        <f t="shared" ref="AN36:AN67" si="38">ABS(AL36-AM36)</f>
        <v>6381.1637280634177</v>
      </c>
      <c r="AO36" s="18">
        <f t="shared" ref="AO36:AO67" si="39">AE36</f>
        <v>9999</v>
      </c>
      <c r="AS36" s="10">
        <f t="shared" si="25"/>
        <v>32</v>
      </c>
      <c r="AT36" s="18">
        <f>IF((AS36&lt;='Alternative 3'!$B$12),AT35+1,9999)</f>
        <v>32</v>
      </c>
      <c r="AU36" s="101">
        <f>'Alternative 3'!I35</f>
        <v>0.72457142857142853</v>
      </c>
      <c r="AV36" s="101">
        <f>'Alternative 3'!J35</f>
        <v>0.71457142857142852</v>
      </c>
      <c r="AW36" s="18">
        <f t="shared" si="26"/>
        <v>1.6718875851424171</v>
      </c>
      <c r="AX36" s="18">
        <f t="shared" si="27"/>
        <v>1.626365907591901</v>
      </c>
      <c r="AY36" s="18">
        <f t="shared" ref="AY36:AY67" si="40">(AW36-AX36)</f>
        <v>4.552167755051606E-2</v>
      </c>
      <c r="AZ36" s="18">
        <f t="shared" ref="AZ36:AZ67" si="41">IF(NOT(AT36=9999),AY36*$B$1,0)</f>
        <v>357.34516877155107</v>
      </c>
      <c r="BA36" s="18">
        <f>SUM(AZ37:AZ$94)</f>
        <v>1042.8644721292153</v>
      </c>
      <c r="BB36" s="18">
        <f>SUM($AZ$4:AZ36)</f>
        <v>13846.517560018789</v>
      </c>
      <c r="BC36" s="18">
        <f t="shared" ref="BC36:BC67" si="42">ABS(BA36-BB36)</f>
        <v>12803.653087889574</v>
      </c>
      <c r="BD36" s="18">
        <f t="shared" ref="BD36:BD67" si="43">AT36</f>
        <v>32</v>
      </c>
    </row>
    <row r="37" spans="1:56" x14ac:dyDescent="0.25">
      <c r="A37" s="18">
        <f t="shared" ref="A37:A71" si="44">A36+1</f>
        <v>33</v>
      </c>
      <c r="B37" s="101">
        <f>'Baseline Given'!I36</f>
        <v>1.6714776119402985</v>
      </c>
      <c r="C37" s="18">
        <f>'Baseline Given'!J36</f>
        <v>1.6494176119402986</v>
      </c>
      <c r="D37" s="18">
        <f t="shared" ref="D37:D71" si="45">(PI()*1*(B36^2+B37^2+B36*B37)*(1/3))</f>
        <v>8.8294787518076312</v>
      </c>
      <c r="E37" s="18">
        <f t="shared" ref="E37:E71" si="46">(PI()*1*(C36^2+C37^2+C36*C37)*(1/3))</f>
        <v>8.5977026019709637</v>
      </c>
      <c r="F37" s="18">
        <f t="shared" si="28"/>
        <v>0.2317761498366675</v>
      </c>
      <c r="G37" s="18">
        <f t="shared" si="29"/>
        <v>1819.4427762178398</v>
      </c>
      <c r="H37" s="18">
        <f>SUM(G38:$G$71)</f>
        <v>47849.500121889338</v>
      </c>
      <c r="I37" s="18">
        <f>SUM($G$4:G37)</f>
        <v>74540.995259601332</v>
      </c>
      <c r="J37" s="18">
        <f t="shared" si="30"/>
        <v>26691.495137711994</v>
      </c>
      <c r="K37" s="18">
        <f t="shared" si="31"/>
        <v>33</v>
      </c>
      <c r="O37" s="10">
        <f t="shared" ref="O37:O68" si="47">O36+1</f>
        <v>33</v>
      </c>
      <c r="P37" s="18">
        <f>IF((O37&lt;='Alternative 1'!$B$12),P36+1,9999)</f>
        <v>33</v>
      </c>
      <c r="Q37" s="101">
        <f>'Alternative 1'!I36</f>
        <v>0.73983333333333334</v>
      </c>
      <c r="R37" s="101">
        <f>'Alternative 1'!J36</f>
        <v>0.71983333333333333</v>
      </c>
      <c r="S37" s="18">
        <f t="shared" ref="S37:S68" si="48">(PI()*1*(Q36^2+Q37^2+Q36*Q37)*(1/3))</f>
        <v>1.7427782819917059</v>
      </c>
      <c r="T37" s="18">
        <f t="shared" ref="T37:T68" si="49">(PI()*1*(R36^2+R37^2+R36*R37)*(1/3))</f>
        <v>1.6504398925856938</v>
      </c>
      <c r="U37" s="18">
        <f t="shared" si="32"/>
        <v>9.2338389406012134E-2</v>
      </c>
      <c r="V37" s="18">
        <f t="shared" si="33"/>
        <v>724.85635683719522</v>
      </c>
      <c r="W37" s="18">
        <f>SUM(V38:V$94)</f>
        <v>2115.7102849490307</v>
      </c>
      <c r="X37" s="18">
        <f>SUM($V$4:V37)</f>
        <v>29099.832905132349</v>
      </c>
      <c r="Y37" s="18">
        <f t="shared" si="34"/>
        <v>26984.12262018332</v>
      </c>
      <c r="Z37" s="18">
        <f t="shared" si="35"/>
        <v>33</v>
      </c>
      <c r="AD37" s="10">
        <f t="shared" ref="AD37:AD68" si="50">AD36+1</f>
        <v>33</v>
      </c>
      <c r="AE37" s="18">
        <f>IF((AD37&lt;='Alternative 2'!$B$12),AE36+1,9999)</f>
        <v>9999</v>
      </c>
      <c r="AF37" s="101" t="e">
        <f>'Alternative 2'!I36</f>
        <v>#VALUE!</v>
      </c>
      <c r="AG37" s="101" t="e">
        <f>'Alternative 2'!J36</f>
        <v>#VALUE!</v>
      </c>
      <c r="AH37" s="18" t="e">
        <f t="shared" ref="AH37:AH68" si="51">(PI()*1*(AF36^2+AF37^2+AF36*AF37)*(1/3))</f>
        <v>#VALUE!</v>
      </c>
      <c r="AI37" s="18" t="e">
        <f t="shared" ref="AI37:AI68" si="52">(PI()*1*(AG36^2+AG37^2+AG36*AG37)*(1/3))</f>
        <v>#VALUE!</v>
      </c>
      <c r="AJ37" s="18" t="e">
        <f t="shared" si="36"/>
        <v>#VALUE!</v>
      </c>
      <c r="AK37" s="18">
        <f t="shared" si="37"/>
        <v>0</v>
      </c>
      <c r="AL37" s="18">
        <f>SUM(AK38:AK$94)</f>
        <v>0</v>
      </c>
      <c r="AM37" s="18">
        <f>SUM($AK$4:AK37)</f>
        <v>6381.1637280634177</v>
      </c>
      <c r="AN37" s="18">
        <f t="shared" si="38"/>
        <v>6381.1637280634177</v>
      </c>
      <c r="AO37" s="18">
        <f t="shared" si="39"/>
        <v>9999</v>
      </c>
      <c r="AS37" s="10">
        <f t="shared" ref="AS37:AS68" si="53">AS36+1</f>
        <v>33</v>
      </c>
      <c r="AT37" s="18">
        <f>IF((AS37&lt;='Alternative 3'!$B$12),AT36+1,9999)</f>
        <v>33</v>
      </c>
      <c r="AU37" s="101">
        <f>'Alternative 3'!I36</f>
        <v>0.71471428571428564</v>
      </c>
      <c r="AV37" s="101">
        <f>'Alternative 3'!J36</f>
        <v>0.70471428571428563</v>
      </c>
      <c r="AW37" s="18">
        <f t="shared" ref="AW37:AW68" si="54">(PI()*1*(AU36^2+AU37^2+AU36*AU37)*(1/3))</f>
        <v>1.6270117933958244</v>
      </c>
      <c r="AX37" s="18">
        <f t="shared" ref="AX37:AX68" si="55">(PI()*1*(AV36^2+AV37^2+AV36*AV37)*(1/3))</f>
        <v>1.5821094583970163</v>
      </c>
      <c r="AY37" s="18">
        <f t="shared" si="40"/>
        <v>4.4902334998808024E-2</v>
      </c>
      <c r="AZ37" s="18">
        <f t="shared" si="41"/>
        <v>352.483329740643</v>
      </c>
      <c r="BA37" s="18">
        <f>SUM(AZ38:AZ$94)</f>
        <v>690.38114238857224</v>
      </c>
      <c r="BB37" s="18">
        <f>SUM($AZ$4:AZ37)</f>
        <v>14199.000889759431</v>
      </c>
      <c r="BC37" s="18">
        <f t="shared" si="42"/>
        <v>13508.619747370858</v>
      </c>
      <c r="BD37" s="18">
        <f t="shared" si="43"/>
        <v>33</v>
      </c>
    </row>
    <row r="38" spans="1:56" x14ac:dyDescent="0.25">
      <c r="A38" s="18">
        <f t="shared" si="44"/>
        <v>34</v>
      </c>
      <c r="B38" s="101">
        <f>'Baseline Given'!I37</f>
        <v>1.6615223880597014</v>
      </c>
      <c r="C38" s="18">
        <f>'Baseline Given'!J37</f>
        <v>1.6396423880597013</v>
      </c>
      <c r="D38" s="18">
        <f t="shared" si="45"/>
        <v>8.7249269640025648</v>
      </c>
      <c r="E38" s="18">
        <f t="shared" si="46"/>
        <v>8.4963961259288929</v>
      </c>
      <c r="F38" s="18">
        <f t="shared" si="28"/>
        <v>0.22853083807367192</v>
      </c>
      <c r="G38" s="18">
        <f t="shared" si="29"/>
        <v>1793.9670788783246</v>
      </c>
      <c r="H38" s="18">
        <f>SUM(G39:$G$71)</f>
        <v>46055.533043011012</v>
      </c>
      <c r="I38" s="18">
        <f>SUM($G$4:G38)</f>
        <v>76334.962338479658</v>
      </c>
      <c r="J38" s="18">
        <f t="shared" si="30"/>
        <v>30279.429295468646</v>
      </c>
      <c r="K38" s="18">
        <f t="shared" si="31"/>
        <v>34</v>
      </c>
      <c r="O38" s="10">
        <f t="shared" si="47"/>
        <v>34</v>
      </c>
      <c r="P38" s="18">
        <f>IF((O38&lt;='Alternative 1'!$B$12),P37+1,9999)</f>
        <v>34</v>
      </c>
      <c r="Q38" s="101">
        <f>'Alternative 1'!I37</f>
        <v>0.72988888888888881</v>
      </c>
      <c r="R38" s="101">
        <f>'Alternative 1'!J37</f>
        <v>0.70988888888888879</v>
      </c>
      <c r="S38" s="18">
        <f t="shared" si="48"/>
        <v>1.6965514332457421</v>
      </c>
      <c r="T38" s="18">
        <f t="shared" si="49"/>
        <v>1.6054626995841579</v>
      </c>
      <c r="U38" s="18">
        <f t="shared" si="32"/>
        <v>9.1088733661584209E-2</v>
      </c>
      <c r="V38" s="18">
        <f t="shared" si="33"/>
        <v>715.04655924343604</v>
      </c>
      <c r="W38" s="18">
        <f>SUM(V39:V$94)</f>
        <v>1400.6637257055945</v>
      </c>
      <c r="X38" s="18">
        <f>SUM($V$4:V38)</f>
        <v>29814.879464375786</v>
      </c>
      <c r="Y38" s="18">
        <f t="shared" si="34"/>
        <v>28414.215738670191</v>
      </c>
      <c r="Z38" s="18">
        <f t="shared" si="35"/>
        <v>34</v>
      </c>
      <c r="AD38" s="10">
        <f t="shared" si="50"/>
        <v>34</v>
      </c>
      <c r="AE38" s="18">
        <f>IF((AD38&lt;='Alternative 2'!$B$12),AE37+1,9999)</f>
        <v>9999</v>
      </c>
      <c r="AF38" s="101" t="e">
        <f>'Alternative 2'!I37</f>
        <v>#VALUE!</v>
      </c>
      <c r="AG38" s="101" t="e">
        <f>'Alternative 2'!J37</f>
        <v>#VALUE!</v>
      </c>
      <c r="AH38" s="18" t="e">
        <f t="shared" si="51"/>
        <v>#VALUE!</v>
      </c>
      <c r="AI38" s="18" t="e">
        <f t="shared" si="52"/>
        <v>#VALUE!</v>
      </c>
      <c r="AJ38" s="18" t="e">
        <f t="shared" si="36"/>
        <v>#VALUE!</v>
      </c>
      <c r="AK38" s="18">
        <f t="shared" si="37"/>
        <v>0</v>
      </c>
      <c r="AL38" s="18">
        <f>SUM(AK39:AK$94)</f>
        <v>0</v>
      </c>
      <c r="AM38" s="18">
        <f>SUM($AK$4:AK38)</f>
        <v>6381.1637280634177</v>
      </c>
      <c r="AN38" s="18">
        <f t="shared" si="38"/>
        <v>6381.1637280634177</v>
      </c>
      <c r="AO38" s="18">
        <f t="shared" si="39"/>
        <v>9999</v>
      </c>
      <c r="AS38" s="10">
        <f t="shared" si="53"/>
        <v>34</v>
      </c>
      <c r="AT38" s="18">
        <f>IF((AS38&lt;='Alternative 3'!$B$12),AT37+1,9999)</f>
        <v>34</v>
      </c>
      <c r="AU38" s="101">
        <f>'Alternative 3'!I37</f>
        <v>0.70485714285714285</v>
      </c>
      <c r="AV38" s="101">
        <f>'Alternative 3'!J37</f>
        <v>0.69485714285714284</v>
      </c>
      <c r="AW38" s="18">
        <f t="shared" si="54"/>
        <v>1.5827464964502014</v>
      </c>
      <c r="AX38" s="18">
        <f t="shared" si="55"/>
        <v>1.5384635040031007</v>
      </c>
      <c r="AY38" s="18">
        <f t="shared" si="40"/>
        <v>4.4282992447100655E-2</v>
      </c>
      <c r="AZ38" s="18">
        <f t="shared" si="41"/>
        <v>347.62149070974016</v>
      </c>
      <c r="BA38" s="18">
        <f>SUM(AZ39:AZ$94)</f>
        <v>342.75965167883209</v>
      </c>
      <c r="BB38" s="18">
        <f>SUM($AZ$4:AZ38)</f>
        <v>14546.622380469171</v>
      </c>
      <c r="BC38" s="18">
        <f t="shared" si="42"/>
        <v>14203.862728790338</v>
      </c>
      <c r="BD38" s="18">
        <f t="shared" si="43"/>
        <v>34</v>
      </c>
    </row>
    <row r="39" spans="1:56" x14ac:dyDescent="0.25">
      <c r="A39" s="18">
        <f t="shared" si="44"/>
        <v>35</v>
      </c>
      <c r="B39" s="101">
        <f>'Baseline Given'!I38</f>
        <v>1.6515671641791045</v>
      </c>
      <c r="C39" s="18">
        <f>'Baseline Given'!J38</f>
        <v>1.6298671641791045</v>
      </c>
      <c r="D39" s="18">
        <f t="shared" si="45"/>
        <v>8.6209978805922667</v>
      </c>
      <c r="E39" s="18">
        <f t="shared" si="46"/>
        <v>8.3956900396708889</v>
      </c>
      <c r="F39" s="18">
        <f t="shared" si="28"/>
        <v>0.22530784092137779</v>
      </c>
      <c r="G39" s="18">
        <f t="shared" si="29"/>
        <v>1768.6665512328157</v>
      </c>
      <c r="H39" s="18">
        <f>SUM(G40:$G$71)</f>
        <v>44286.866491778193</v>
      </c>
      <c r="I39" s="18">
        <f>SUM($G$4:G39)</f>
        <v>78103.628889712476</v>
      </c>
      <c r="J39" s="18">
        <f t="shared" si="30"/>
        <v>33816.762397934282</v>
      </c>
      <c r="K39" s="18">
        <f t="shared" si="31"/>
        <v>35</v>
      </c>
      <c r="O39" s="10">
        <f t="shared" si="47"/>
        <v>35</v>
      </c>
      <c r="P39" s="18">
        <f>IF((O39&lt;='Alternative 1'!$B$12),P38+1,9999)</f>
        <v>35</v>
      </c>
      <c r="Q39" s="101">
        <f>'Alternative 1'!I38</f>
        <v>0.7199444444444445</v>
      </c>
      <c r="R39" s="101">
        <f>'Alternative 1'!J38</f>
        <v>0.69994444444444448</v>
      </c>
      <c r="S39" s="18">
        <f t="shared" si="48"/>
        <v>1.6509459411060359</v>
      </c>
      <c r="T39" s="18">
        <f t="shared" si="49"/>
        <v>1.5611068631888796</v>
      </c>
      <c r="U39" s="18">
        <f t="shared" si="32"/>
        <v>8.9839077917156285E-2</v>
      </c>
      <c r="V39" s="18">
        <f t="shared" si="33"/>
        <v>705.23676164967685</v>
      </c>
      <c r="W39" s="18">
        <f>SUM(V40:V$94)</f>
        <v>695.42696405591767</v>
      </c>
      <c r="X39" s="18">
        <f>SUM($V$4:V39)</f>
        <v>30520.116226025464</v>
      </c>
      <c r="Y39" s="18">
        <f t="shared" si="34"/>
        <v>29824.689261969546</v>
      </c>
      <c r="Z39" s="18">
        <f t="shared" si="35"/>
        <v>35</v>
      </c>
      <c r="AD39" s="10">
        <f t="shared" si="50"/>
        <v>35</v>
      </c>
      <c r="AE39" s="18">
        <f>IF((AD39&lt;='Alternative 2'!$B$12),AE38+1,9999)</f>
        <v>9999</v>
      </c>
      <c r="AF39" s="101" t="e">
        <f>'Alternative 2'!I38</f>
        <v>#VALUE!</v>
      </c>
      <c r="AG39" s="101" t="e">
        <f>'Alternative 2'!J38</f>
        <v>#VALUE!</v>
      </c>
      <c r="AH39" s="18" t="e">
        <f t="shared" si="51"/>
        <v>#VALUE!</v>
      </c>
      <c r="AI39" s="18" t="e">
        <f t="shared" si="52"/>
        <v>#VALUE!</v>
      </c>
      <c r="AJ39" s="18" t="e">
        <f t="shared" si="36"/>
        <v>#VALUE!</v>
      </c>
      <c r="AK39" s="18">
        <f t="shared" si="37"/>
        <v>0</v>
      </c>
      <c r="AL39" s="18">
        <f>SUM(AK40:AK$94)</f>
        <v>0</v>
      </c>
      <c r="AM39" s="18">
        <f>SUM($AK$4:AK39)</f>
        <v>6381.1637280634177</v>
      </c>
      <c r="AN39" s="18">
        <f t="shared" si="38"/>
        <v>6381.1637280634177</v>
      </c>
      <c r="AO39" s="18">
        <f t="shared" si="39"/>
        <v>9999</v>
      </c>
      <c r="AS39" s="10">
        <f t="shared" si="53"/>
        <v>35</v>
      </c>
      <c r="AT39" s="18">
        <f>IF((AS39&lt;='Alternative 3'!$B$12),AT38+1,9999)</f>
        <v>35</v>
      </c>
      <c r="AU39" s="101">
        <f>'Alternative 3'!I38</f>
        <v>0.69499999999999995</v>
      </c>
      <c r="AV39" s="101">
        <f>'Alternative 3'!J38</f>
        <v>0.68499999999999994</v>
      </c>
      <c r="AW39" s="18">
        <f t="shared" si="54"/>
        <v>1.5390916943055468</v>
      </c>
      <c r="AX39" s="18">
        <f t="shared" si="55"/>
        <v>1.4954280444101542</v>
      </c>
      <c r="AY39" s="18">
        <f t="shared" si="40"/>
        <v>4.366364989539262E-2</v>
      </c>
      <c r="AZ39" s="18">
        <f t="shared" si="41"/>
        <v>342.75965167883209</v>
      </c>
      <c r="BA39" s="18">
        <f>SUM(AZ40:AZ$94)</f>
        <v>0</v>
      </c>
      <c r="BB39" s="18">
        <f>SUM($AZ$4:AZ39)</f>
        <v>14889.382032148003</v>
      </c>
      <c r="BC39" s="18">
        <f t="shared" si="42"/>
        <v>14889.382032148003</v>
      </c>
      <c r="BD39" s="18">
        <f t="shared" si="43"/>
        <v>35</v>
      </c>
    </row>
    <row r="40" spans="1:56" x14ac:dyDescent="0.25">
      <c r="A40" s="18">
        <f t="shared" si="44"/>
        <v>36</v>
      </c>
      <c r="B40" s="101">
        <f>'Baseline Given'!I39</f>
        <v>1.6416119402985074</v>
      </c>
      <c r="C40" s="18">
        <f>'Baseline Given'!J39</f>
        <v>1.6200919402985074</v>
      </c>
      <c r="D40" s="18">
        <f t="shared" si="45"/>
        <v>8.517691501576742</v>
      </c>
      <c r="E40" s="18">
        <f t="shared" si="46"/>
        <v>8.295584343196948</v>
      </c>
      <c r="F40" s="18">
        <f t="shared" si="28"/>
        <v>0.222107158379794</v>
      </c>
      <c r="G40" s="18">
        <f t="shared" si="29"/>
        <v>1743.5411932813829</v>
      </c>
      <c r="H40" s="18">
        <f>SUM(G41:$G$71)</f>
        <v>42543.325298496813</v>
      </c>
      <c r="I40" s="18">
        <f>SUM($G$4:G40)</f>
        <v>79847.170082993864</v>
      </c>
      <c r="J40" s="18">
        <f t="shared" si="30"/>
        <v>37303.844784497051</v>
      </c>
      <c r="K40" s="18">
        <f t="shared" si="31"/>
        <v>36</v>
      </c>
      <c r="O40" s="10">
        <f t="shared" si="47"/>
        <v>36</v>
      </c>
      <c r="P40" s="18">
        <f>IF((O40&lt;='Alternative 1'!$B$12),P39+1,9999)</f>
        <v>36</v>
      </c>
      <c r="Q40" s="101">
        <f>'Alternative 1'!I39</f>
        <v>0.71</v>
      </c>
      <c r="R40" s="101">
        <f>'Alternative 1'!J39</f>
        <v>0.69</v>
      </c>
      <c r="S40" s="18">
        <f t="shared" si="48"/>
        <v>1.6059618055725871</v>
      </c>
      <c r="T40" s="18">
        <f t="shared" si="49"/>
        <v>1.5173723833998587</v>
      </c>
      <c r="U40" s="18">
        <f t="shared" si="32"/>
        <v>8.858942217272836E-2</v>
      </c>
      <c r="V40" s="18">
        <f t="shared" si="33"/>
        <v>695.42696405591767</v>
      </c>
      <c r="W40" s="18">
        <f>SUM(V41:V$94)</f>
        <v>0</v>
      </c>
      <c r="X40" s="18">
        <f>SUM($V$4:V40)</f>
        <v>31215.543190081382</v>
      </c>
      <c r="Y40" s="18">
        <f t="shared" si="34"/>
        <v>31215.543190081382</v>
      </c>
      <c r="Z40" s="18">
        <f t="shared" si="35"/>
        <v>36</v>
      </c>
      <c r="AD40" s="10">
        <f t="shared" si="50"/>
        <v>36</v>
      </c>
      <c r="AE40" s="18">
        <f>IF((AD40&lt;='Alternative 2'!$B$12),AE39+1,9999)</f>
        <v>9999</v>
      </c>
      <c r="AF40" s="101" t="e">
        <f>'Alternative 2'!I39</f>
        <v>#VALUE!</v>
      </c>
      <c r="AG40" s="101" t="e">
        <f>'Alternative 2'!J39</f>
        <v>#VALUE!</v>
      </c>
      <c r="AH40" s="18" t="e">
        <f t="shared" si="51"/>
        <v>#VALUE!</v>
      </c>
      <c r="AI40" s="18" t="e">
        <f t="shared" si="52"/>
        <v>#VALUE!</v>
      </c>
      <c r="AJ40" s="18" t="e">
        <f t="shared" si="36"/>
        <v>#VALUE!</v>
      </c>
      <c r="AK40" s="18">
        <f t="shared" si="37"/>
        <v>0</v>
      </c>
      <c r="AL40" s="18">
        <f>SUM(AK41:AK$94)</f>
        <v>0</v>
      </c>
      <c r="AM40" s="18">
        <f>SUM($AK$4:AK40)</f>
        <v>6381.1637280634177</v>
      </c>
      <c r="AN40" s="18">
        <f t="shared" si="38"/>
        <v>6381.1637280634177</v>
      </c>
      <c r="AO40" s="18">
        <f t="shared" si="39"/>
        <v>9999</v>
      </c>
      <c r="AS40" s="10">
        <f t="shared" si="53"/>
        <v>36</v>
      </c>
      <c r="AT40" s="18">
        <f>IF((AS40&lt;='Alternative 3'!$B$12),AT39+1,9999)</f>
        <v>9999</v>
      </c>
      <c r="AU40" s="101" t="e">
        <f>'Alternative 3'!I39</f>
        <v>#VALUE!</v>
      </c>
      <c r="AV40" s="101" t="e">
        <f>'Alternative 3'!J39</f>
        <v>#VALUE!</v>
      </c>
      <c r="AW40" s="18" t="e">
        <f t="shared" si="54"/>
        <v>#VALUE!</v>
      </c>
      <c r="AX40" s="18" t="e">
        <f t="shared" si="55"/>
        <v>#VALUE!</v>
      </c>
      <c r="AY40" s="18" t="e">
        <f t="shared" si="40"/>
        <v>#VALUE!</v>
      </c>
      <c r="AZ40" s="18">
        <f t="shared" si="41"/>
        <v>0</v>
      </c>
      <c r="BA40" s="18">
        <f>SUM(AZ41:AZ$94)</f>
        <v>0</v>
      </c>
      <c r="BB40" s="18">
        <f>SUM($AZ$4:AZ40)</f>
        <v>14889.382032148003</v>
      </c>
      <c r="BC40" s="18">
        <f t="shared" si="42"/>
        <v>14889.382032148003</v>
      </c>
      <c r="BD40" s="18">
        <f t="shared" si="43"/>
        <v>9999</v>
      </c>
    </row>
    <row r="41" spans="1:56" x14ac:dyDescent="0.25">
      <c r="A41" s="18">
        <f t="shared" si="44"/>
        <v>37</v>
      </c>
      <c r="B41" s="101">
        <f>'Baseline Given'!I40</f>
        <v>1.6316567164179103</v>
      </c>
      <c r="C41" s="18">
        <f>'Baseline Given'!J40</f>
        <v>1.6103167164179102</v>
      </c>
      <c r="D41" s="18">
        <f t="shared" si="45"/>
        <v>8.4150078269559874</v>
      </c>
      <c r="E41" s="18">
        <f t="shared" si="46"/>
        <v>8.1960790365070704</v>
      </c>
      <c r="F41" s="18">
        <f t="shared" si="28"/>
        <v>0.218928790448917</v>
      </c>
      <c r="G41" s="18">
        <f t="shared" si="29"/>
        <v>1718.5910050239984</v>
      </c>
      <c r="H41" s="18">
        <f>SUM(G42:$G$71)</f>
        <v>40824.734293472815</v>
      </c>
      <c r="I41" s="18">
        <f>SUM($G$4:G41)</f>
        <v>81565.761088017869</v>
      </c>
      <c r="J41" s="18">
        <f t="shared" si="30"/>
        <v>40741.026794545054</v>
      </c>
      <c r="K41" s="18">
        <f t="shared" si="31"/>
        <v>37</v>
      </c>
      <c r="O41" s="10">
        <f t="shared" si="47"/>
        <v>37</v>
      </c>
      <c r="P41" s="18">
        <f>IF((O41&lt;='Alternative 1'!$B$12),P40+1,9999)</f>
        <v>9999</v>
      </c>
      <c r="Q41" s="101" t="e">
        <f>'Alternative 1'!I40</f>
        <v>#VALUE!</v>
      </c>
      <c r="R41" s="101" t="e">
        <f>'Alternative 1'!J40</f>
        <v>#VALUE!</v>
      </c>
      <c r="S41" s="18" t="e">
        <f t="shared" si="48"/>
        <v>#VALUE!</v>
      </c>
      <c r="T41" s="18" t="e">
        <f t="shared" si="49"/>
        <v>#VALUE!</v>
      </c>
      <c r="U41" s="18" t="e">
        <f t="shared" si="32"/>
        <v>#VALUE!</v>
      </c>
      <c r="V41" s="18">
        <f t="shared" si="33"/>
        <v>0</v>
      </c>
      <c r="W41" s="18">
        <f>SUM(V42:V$94)</f>
        <v>0</v>
      </c>
      <c r="X41" s="18">
        <f>SUM($V$4:V41)</f>
        <v>31215.543190081382</v>
      </c>
      <c r="Y41" s="18">
        <f t="shared" si="34"/>
        <v>31215.543190081382</v>
      </c>
      <c r="Z41" s="18">
        <f t="shared" si="35"/>
        <v>9999</v>
      </c>
      <c r="AD41" s="10">
        <f t="shared" si="50"/>
        <v>37</v>
      </c>
      <c r="AE41" s="18">
        <f>IF((AD41&lt;='Alternative 2'!$B$12),AE40+1,9999)</f>
        <v>9999</v>
      </c>
      <c r="AF41" s="101" t="e">
        <f>'Alternative 2'!I40</f>
        <v>#VALUE!</v>
      </c>
      <c r="AG41" s="101" t="e">
        <f>'Alternative 2'!J40</f>
        <v>#VALUE!</v>
      </c>
      <c r="AH41" s="18" t="e">
        <f t="shared" si="51"/>
        <v>#VALUE!</v>
      </c>
      <c r="AI41" s="18" t="e">
        <f t="shared" si="52"/>
        <v>#VALUE!</v>
      </c>
      <c r="AJ41" s="18" t="e">
        <f t="shared" si="36"/>
        <v>#VALUE!</v>
      </c>
      <c r="AK41" s="18">
        <f t="shared" si="37"/>
        <v>0</v>
      </c>
      <c r="AL41" s="18">
        <f>SUM(AK42:AK$94)</f>
        <v>0</v>
      </c>
      <c r="AM41" s="18">
        <f>SUM($AK$4:AK41)</f>
        <v>6381.1637280634177</v>
      </c>
      <c r="AN41" s="18">
        <f t="shared" si="38"/>
        <v>6381.1637280634177</v>
      </c>
      <c r="AO41" s="18">
        <f t="shared" si="39"/>
        <v>9999</v>
      </c>
      <c r="AS41" s="10">
        <f t="shared" si="53"/>
        <v>37</v>
      </c>
      <c r="AT41" s="18">
        <f>IF((AS41&lt;='Alternative 3'!$B$12),AT40+1,9999)</f>
        <v>9999</v>
      </c>
      <c r="AU41" s="101" t="e">
        <f>'Alternative 3'!I40</f>
        <v>#VALUE!</v>
      </c>
      <c r="AV41" s="101" t="e">
        <f>'Alternative 3'!J40</f>
        <v>#VALUE!</v>
      </c>
      <c r="AW41" s="18" t="e">
        <f t="shared" si="54"/>
        <v>#VALUE!</v>
      </c>
      <c r="AX41" s="18" t="e">
        <f t="shared" si="55"/>
        <v>#VALUE!</v>
      </c>
      <c r="AY41" s="18" t="e">
        <f t="shared" si="40"/>
        <v>#VALUE!</v>
      </c>
      <c r="AZ41" s="18">
        <f t="shared" si="41"/>
        <v>0</v>
      </c>
      <c r="BA41" s="18">
        <f>SUM(AZ42:AZ$94)</f>
        <v>0</v>
      </c>
      <c r="BB41" s="18">
        <f>SUM($AZ$4:AZ41)</f>
        <v>14889.382032148003</v>
      </c>
      <c r="BC41" s="18">
        <f t="shared" si="42"/>
        <v>14889.382032148003</v>
      </c>
      <c r="BD41" s="18">
        <f t="shared" si="43"/>
        <v>9999</v>
      </c>
    </row>
    <row r="42" spans="1:56" x14ac:dyDescent="0.25">
      <c r="A42" s="18">
        <f t="shared" si="44"/>
        <v>38</v>
      </c>
      <c r="B42" s="101">
        <f>'Baseline Given'!I41</f>
        <v>1.6217014925373134</v>
      </c>
      <c r="C42" s="18">
        <f>'Baseline Given'!J41</f>
        <v>1.6005414925373134</v>
      </c>
      <c r="D42" s="18">
        <f t="shared" si="45"/>
        <v>8.3129468567300044</v>
      </c>
      <c r="E42" s="18">
        <f t="shared" si="46"/>
        <v>8.0971741196012594</v>
      </c>
      <c r="F42" s="18">
        <f t="shared" si="28"/>
        <v>0.21577273712874501</v>
      </c>
      <c r="G42" s="18">
        <f t="shared" si="29"/>
        <v>1693.8159864606482</v>
      </c>
      <c r="H42" s="18">
        <f>SUM(G43:$G$71)</f>
        <v>39130.918307012173</v>
      </c>
      <c r="I42" s="18">
        <f>SUM($G$4:G42)</f>
        <v>83259.577074478511</v>
      </c>
      <c r="J42" s="18">
        <f t="shared" si="30"/>
        <v>44128.658767466339</v>
      </c>
      <c r="K42" s="18">
        <f t="shared" si="31"/>
        <v>38</v>
      </c>
      <c r="O42" s="10">
        <f t="shared" si="47"/>
        <v>38</v>
      </c>
      <c r="P42" s="18">
        <f>IF((O42&lt;='Alternative 1'!$B$12),P41+1,9999)</f>
        <v>9999</v>
      </c>
      <c r="Q42" s="101" t="e">
        <f>'Alternative 1'!I41</f>
        <v>#VALUE!</v>
      </c>
      <c r="R42" s="101" t="e">
        <f>'Alternative 1'!J41</f>
        <v>#VALUE!</v>
      </c>
      <c r="S42" s="18" t="e">
        <f t="shared" si="48"/>
        <v>#VALUE!</v>
      </c>
      <c r="T42" s="18" t="e">
        <f t="shared" si="49"/>
        <v>#VALUE!</v>
      </c>
      <c r="U42" s="18" t="e">
        <f t="shared" si="32"/>
        <v>#VALUE!</v>
      </c>
      <c r="V42" s="18">
        <f t="shared" si="33"/>
        <v>0</v>
      </c>
      <c r="W42" s="18">
        <f>SUM(V43:V$94)</f>
        <v>0</v>
      </c>
      <c r="X42" s="18">
        <f>SUM($V$4:V42)</f>
        <v>31215.543190081382</v>
      </c>
      <c r="Y42" s="18">
        <f t="shared" si="34"/>
        <v>31215.543190081382</v>
      </c>
      <c r="Z42" s="18">
        <f t="shared" si="35"/>
        <v>9999</v>
      </c>
      <c r="AD42" s="10">
        <f t="shared" si="50"/>
        <v>38</v>
      </c>
      <c r="AE42" s="18">
        <f>IF((AD42&lt;='Alternative 2'!$B$12),AE41+1,9999)</f>
        <v>9999</v>
      </c>
      <c r="AF42" s="101" t="e">
        <f>'Alternative 2'!I41</f>
        <v>#VALUE!</v>
      </c>
      <c r="AG42" s="101" t="e">
        <f>'Alternative 2'!J41</f>
        <v>#VALUE!</v>
      </c>
      <c r="AH42" s="18" t="e">
        <f t="shared" si="51"/>
        <v>#VALUE!</v>
      </c>
      <c r="AI42" s="18" t="e">
        <f t="shared" si="52"/>
        <v>#VALUE!</v>
      </c>
      <c r="AJ42" s="18" t="e">
        <f t="shared" si="36"/>
        <v>#VALUE!</v>
      </c>
      <c r="AK42" s="18">
        <f t="shared" si="37"/>
        <v>0</v>
      </c>
      <c r="AL42" s="18">
        <f>SUM(AK43:AK$94)</f>
        <v>0</v>
      </c>
      <c r="AM42" s="18">
        <f>SUM($AK$4:AK42)</f>
        <v>6381.1637280634177</v>
      </c>
      <c r="AN42" s="18">
        <f t="shared" si="38"/>
        <v>6381.1637280634177</v>
      </c>
      <c r="AO42" s="18">
        <f t="shared" si="39"/>
        <v>9999</v>
      </c>
      <c r="AS42" s="10">
        <f t="shared" si="53"/>
        <v>38</v>
      </c>
      <c r="AT42" s="18">
        <f>IF((AS42&lt;='Alternative 3'!$B$12),AT41+1,9999)</f>
        <v>9999</v>
      </c>
      <c r="AU42" s="101" t="e">
        <f>'Alternative 3'!I41</f>
        <v>#VALUE!</v>
      </c>
      <c r="AV42" s="101" t="e">
        <f>'Alternative 3'!J41</f>
        <v>#VALUE!</v>
      </c>
      <c r="AW42" s="18" t="e">
        <f t="shared" si="54"/>
        <v>#VALUE!</v>
      </c>
      <c r="AX42" s="18" t="e">
        <f t="shared" si="55"/>
        <v>#VALUE!</v>
      </c>
      <c r="AY42" s="18" t="e">
        <f t="shared" si="40"/>
        <v>#VALUE!</v>
      </c>
      <c r="AZ42" s="18">
        <f t="shared" si="41"/>
        <v>0</v>
      </c>
      <c r="BA42" s="18">
        <f>SUM(AZ43:AZ$94)</f>
        <v>0</v>
      </c>
      <c r="BB42" s="18">
        <f>SUM($AZ$4:AZ42)</f>
        <v>14889.382032148003</v>
      </c>
      <c r="BC42" s="18">
        <f t="shared" si="42"/>
        <v>14889.382032148003</v>
      </c>
      <c r="BD42" s="18">
        <f t="shared" si="43"/>
        <v>9999</v>
      </c>
    </row>
    <row r="43" spans="1:56" x14ac:dyDescent="0.25">
      <c r="A43" s="18">
        <f t="shared" si="44"/>
        <v>39</v>
      </c>
      <c r="B43" s="101">
        <f>'Baseline Given'!I42</f>
        <v>1.6117462686567163</v>
      </c>
      <c r="C43" s="18">
        <f>'Baseline Given'!J42</f>
        <v>1.5907662686567163</v>
      </c>
      <c r="D43" s="18">
        <f t="shared" si="45"/>
        <v>8.2115085908987915</v>
      </c>
      <c r="E43" s="18">
        <f t="shared" si="46"/>
        <v>7.9988695924795152</v>
      </c>
      <c r="F43" s="18">
        <f t="shared" si="28"/>
        <v>0.21263899841927625</v>
      </c>
      <c r="G43" s="18">
        <f t="shared" si="29"/>
        <v>1669.2161375913186</v>
      </c>
      <c r="H43" s="18">
        <f>SUM(G44:$G$71)</f>
        <v>37461.702169420852</v>
      </c>
      <c r="I43" s="18">
        <f>SUM($G$4:G43)</f>
        <v>84928.793212069824</v>
      </c>
      <c r="J43" s="18">
        <f t="shared" si="30"/>
        <v>47467.091042648972</v>
      </c>
      <c r="K43" s="18">
        <f t="shared" si="31"/>
        <v>39</v>
      </c>
      <c r="O43" s="10">
        <f t="shared" si="47"/>
        <v>39</v>
      </c>
      <c r="P43" s="18">
        <f>IF((O43&lt;='Alternative 1'!$B$12),P42+1,9999)</f>
        <v>9999</v>
      </c>
      <c r="Q43" s="101" t="e">
        <f>'Alternative 1'!I42</f>
        <v>#VALUE!</v>
      </c>
      <c r="R43" s="101" t="e">
        <f>'Alternative 1'!J42</f>
        <v>#VALUE!</v>
      </c>
      <c r="S43" s="18" t="e">
        <f t="shared" si="48"/>
        <v>#VALUE!</v>
      </c>
      <c r="T43" s="18" t="e">
        <f t="shared" si="49"/>
        <v>#VALUE!</v>
      </c>
      <c r="U43" s="18" t="e">
        <f t="shared" si="32"/>
        <v>#VALUE!</v>
      </c>
      <c r="V43" s="18">
        <f t="shared" si="33"/>
        <v>0</v>
      </c>
      <c r="W43" s="18">
        <f>SUM(V44:V$94)</f>
        <v>0</v>
      </c>
      <c r="X43" s="18">
        <f>SUM($V$4:V43)</f>
        <v>31215.543190081382</v>
      </c>
      <c r="Y43" s="18">
        <f t="shared" si="34"/>
        <v>31215.543190081382</v>
      </c>
      <c r="Z43" s="18">
        <f t="shared" si="35"/>
        <v>9999</v>
      </c>
      <c r="AD43" s="10">
        <f t="shared" si="50"/>
        <v>39</v>
      </c>
      <c r="AE43" s="18">
        <f>IF((AD43&lt;='Alternative 2'!$B$12),AE42+1,9999)</f>
        <v>9999</v>
      </c>
      <c r="AF43" s="101" t="e">
        <f>'Alternative 2'!I42</f>
        <v>#VALUE!</v>
      </c>
      <c r="AG43" s="101" t="e">
        <f>'Alternative 2'!J42</f>
        <v>#VALUE!</v>
      </c>
      <c r="AH43" s="18" t="e">
        <f t="shared" si="51"/>
        <v>#VALUE!</v>
      </c>
      <c r="AI43" s="18" t="e">
        <f t="shared" si="52"/>
        <v>#VALUE!</v>
      </c>
      <c r="AJ43" s="18" t="e">
        <f t="shared" si="36"/>
        <v>#VALUE!</v>
      </c>
      <c r="AK43" s="18">
        <f t="shared" si="37"/>
        <v>0</v>
      </c>
      <c r="AL43" s="18">
        <f>SUM(AK44:AK$94)</f>
        <v>0</v>
      </c>
      <c r="AM43" s="18">
        <f>SUM($AK$4:AK43)</f>
        <v>6381.1637280634177</v>
      </c>
      <c r="AN43" s="18">
        <f t="shared" si="38"/>
        <v>6381.1637280634177</v>
      </c>
      <c r="AO43" s="18">
        <f t="shared" si="39"/>
        <v>9999</v>
      </c>
      <c r="AS43" s="10">
        <f t="shared" si="53"/>
        <v>39</v>
      </c>
      <c r="AT43" s="18">
        <f>IF((AS43&lt;='Alternative 3'!$B$12),AT42+1,9999)</f>
        <v>9999</v>
      </c>
      <c r="AU43" s="101" t="e">
        <f>'Alternative 3'!I42</f>
        <v>#VALUE!</v>
      </c>
      <c r="AV43" s="101" t="e">
        <f>'Alternative 3'!J42</f>
        <v>#VALUE!</v>
      </c>
      <c r="AW43" s="18" t="e">
        <f t="shared" si="54"/>
        <v>#VALUE!</v>
      </c>
      <c r="AX43" s="18" t="e">
        <f t="shared" si="55"/>
        <v>#VALUE!</v>
      </c>
      <c r="AY43" s="18" t="e">
        <f t="shared" si="40"/>
        <v>#VALUE!</v>
      </c>
      <c r="AZ43" s="18">
        <f t="shared" si="41"/>
        <v>0</v>
      </c>
      <c r="BA43" s="18">
        <f>SUM(AZ44:AZ$94)</f>
        <v>0</v>
      </c>
      <c r="BB43" s="18">
        <f>SUM($AZ$4:AZ43)</f>
        <v>14889.382032148003</v>
      </c>
      <c r="BC43" s="18">
        <f t="shared" si="42"/>
        <v>14889.382032148003</v>
      </c>
      <c r="BD43" s="18">
        <f t="shared" si="43"/>
        <v>9999</v>
      </c>
    </row>
    <row r="44" spans="1:56" x14ac:dyDescent="0.25">
      <c r="A44" s="18">
        <f t="shared" si="44"/>
        <v>40</v>
      </c>
      <c r="B44" s="101">
        <f>'Baseline Given'!I43</f>
        <v>1.6017910447761192</v>
      </c>
      <c r="C44" s="18">
        <f>'Baseline Given'!J43</f>
        <v>1.5809910447761193</v>
      </c>
      <c r="D44" s="18">
        <f t="shared" si="45"/>
        <v>8.1106930294623467</v>
      </c>
      <c r="E44" s="18">
        <f t="shared" si="46"/>
        <v>7.9011654551418333</v>
      </c>
      <c r="F44" s="18">
        <f t="shared" si="28"/>
        <v>0.20952757432051339</v>
      </c>
      <c r="G44" s="18">
        <f t="shared" si="29"/>
        <v>1644.7914584160301</v>
      </c>
      <c r="H44" s="18">
        <f>SUM(G45:$G$71)</f>
        <v>35816.910711004821</v>
      </c>
      <c r="I44" s="18">
        <f>SUM($G$4:G44)</f>
        <v>86573.584670485856</v>
      </c>
      <c r="J44" s="18">
        <f t="shared" si="30"/>
        <v>50756.673959481035</v>
      </c>
      <c r="K44" s="18">
        <f t="shared" si="31"/>
        <v>40</v>
      </c>
      <c r="O44" s="10">
        <f t="shared" si="47"/>
        <v>40</v>
      </c>
      <c r="P44" s="18">
        <f>IF((O44&lt;='Alternative 1'!$B$12),P43+1,9999)</f>
        <v>9999</v>
      </c>
      <c r="Q44" s="101" t="e">
        <f>'Alternative 1'!I43</f>
        <v>#VALUE!</v>
      </c>
      <c r="R44" s="101" t="e">
        <f>'Alternative 1'!J43</f>
        <v>#VALUE!</v>
      </c>
      <c r="S44" s="18" t="e">
        <f t="shared" si="48"/>
        <v>#VALUE!</v>
      </c>
      <c r="T44" s="18" t="e">
        <f t="shared" si="49"/>
        <v>#VALUE!</v>
      </c>
      <c r="U44" s="18" t="e">
        <f t="shared" si="32"/>
        <v>#VALUE!</v>
      </c>
      <c r="V44" s="18">
        <f t="shared" si="33"/>
        <v>0</v>
      </c>
      <c r="W44" s="18">
        <f>SUM(V45:V$94)</f>
        <v>0</v>
      </c>
      <c r="X44" s="18">
        <f>SUM($V$4:V44)</f>
        <v>31215.543190081382</v>
      </c>
      <c r="Y44" s="18">
        <f t="shared" si="34"/>
        <v>31215.543190081382</v>
      </c>
      <c r="Z44" s="18">
        <f t="shared" si="35"/>
        <v>9999</v>
      </c>
      <c r="AD44" s="10">
        <f t="shared" si="50"/>
        <v>40</v>
      </c>
      <c r="AE44" s="18">
        <f>IF((AD44&lt;='Alternative 2'!$B$12),AE43+1,9999)</f>
        <v>9999</v>
      </c>
      <c r="AF44" s="101" t="e">
        <f>'Alternative 2'!I43</f>
        <v>#VALUE!</v>
      </c>
      <c r="AG44" s="101" t="e">
        <f>'Alternative 2'!J43</f>
        <v>#VALUE!</v>
      </c>
      <c r="AH44" s="18" t="e">
        <f t="shared" si="51"/>
        <v>#VALUE!</v>
      </c>
      <c r="AI44" s="18" t="e">
        <f t="shared" si="52"/>
        <v>#VALUE!</v>
      </c>
      <c r="AJ44" s="18" t="e">
        <f t="shared" si="36"/>
        <v>#VALUE!</v>
      </c>
      <c r="AK44" s="18">
        <f t="shared" si="37"/>
        <v>0</v>
      </c>
      <c r="AL44" s="18">
        <f>SUM(AK45:AK$94)</f>
        <v>0</v>
      </c>
      <c r="AM44" s="18">
        <f>SUM($AK$4:AK44)</f>
        <v>6381.1637280634177</v>
      </c>
      <c r="AN44" s="18">
        <f t="shared" si="38"/>
        <v>6381.1637280634177</v>
      </c>
      <c r="AO44" s="18">
        <f t="shared" si="39"/>
        <v>9999</v>
      </c>
      <c r="AS44" s="10">
        <f t="shared" si="53"/>
        <v>40</v>
      </c>
      <c r="AT44" s="18">
        <f>IF((AS44&lt;='Alternative 3'!$B$12),AT43+1,9999)</f>
        <v>9999</v>
      </c>
      <c r="AU44" s="101" t="e">
        <f>'Alternative 3'!I43</f>
        <v>#VALUE!</v>
      </c>
      <c r="AV44" s="101" t="e">
        <f>'Alternative 3'!J43</f>
        <v>#VALUE!</v>
      </c>
      <c r="AW44" s="18" t="e">
        <f t="shared" si="54"/>
        <v>#VALUE!</v>
      </c>
      <c r="AX44" s="18" t="e">
        <f t="shared" si="55"/>
        <v>#VALUE!</v>
      </c>
      <c r="AY44" s="18" t="e">
        <f t="shared" si="40"/>
        <v>#VALUE!</v>
      </c>
      <c r="AZ44" s="18">
        <f t="shared" si="41"/>
        <v>0</v>
      </c>
      <c r="BA44" s="18">
        <f>SUM(AZ45:AZ$94)</f>
        <v>0</v>
      </c>
      <c r="BB44" s="18">
        <f>SUM($AZ$4:AZ44)</f>
        <v>14889.382032148003</v>
      </c>
      <c r="BC44" s="18">
        <f t="shared" si="42"/>
        <v>14889.382032148003</v>
      </c>
      <c r="BD44" s="18">
        <f t="shared" si="43"/>
        <v>9999</v>
      </c>
    </row>
    <row r="45" spans="1:56" x14ac:dyDescent="0.25">
      <c r="A45" s="18">
        <f t="shared" si="44"/>
        <v>41</v>
      </c>
      <c r="B45" s="101">
        <f>'Baseline Given'!I44</f>
        <v>1.5918358208955223</v>
      </c>
      <c r="C45" s="18">
        <f>'Baseline Given'!J44</f>
        <v>1.5712158208955223</v>
      </c>
      <c r="D45" s="18">
        <f t="shared" si="45"/>
        <v>8.0105001724206737</v>
      </c>
      <c r="E45" s="18">
        <f t="shared" si="46"/>
        <v>7.804061707588219</v>
      </c>
      <c r="F45" s="18">
        <f t="shared" si="28"/>
        <v>0.20643846483245465</v>
      </c>
      <c r="G45" s="18">
        <f t="shared" si="29"/>
        <v>1620.5419489347689</v>
      </c>
      <c r="H45" s="18">
        <f>SUM(G46:$G$71)</f>
        <v>34196.368762070051</v>
      </c>
      <c r="I45" s="18">
        <f>SUM($G$4:G45)</f>
        <v>88194.126619420626</v>
      </c>
      <c r="J45" s="18">
        <f t="shared" si="30"/>
        <v>53997.757857350574</v>
      </c>
      <c r="K45" s="18">
        <f t="shared" si="31"/>
        <v>41</v>
      </c>
      <c r="O45" s="10">
        <f t="shared" si="47"/>
        <v>41</v>
      </c>
      <c r="P45" s="18">
        <f>IF((O45&lt;='Alternative 1'!$B$12),P44+1,9999)</f>
        <v>9999</v>
      </c>
      <c r="Q45" s="101" t="e">
        <f>'Alternative 1'!I44</f>
        <v>#VALUE!</v>
      </c>
      <c r="R45" s="101" t="e">
        <f>'Alternative 1'!J44</f>
        <v>#VALUE!</v>
      </c>
      <c r="S45" s="18" t="e">
        <f t="shared" si="48"/>
        <v>#VALUE!</v>
      </c>
      <c r="T45" s="18" t="e">
        <f t="shared" si="49"/>
        <v>#VALUE!</v>
      </c>
      <c r="U45" s="18" t="e">
        <f t="shared" si="32"/>
        <v>#VALUE!</v>
      </c>
      <c r="V45" s="18">
        <f t="shared" si="33"/>
        <v>0</v>
      </c>
      <c r="W45" s="18">
        <f>SUM(V46:V$94)</f>
        <v>0</v>
      </c>
      <c r="X45" s="18">
        <f>SUM($V$4:V45)</f>
        <v>31215.543190081382</v>
      </c>
      <c r="Y45" s="18">
        <f t="shared" si="34"/>
        <v>31215.543190081382</v>
      </c>
      <c r="Z45" s="18">
        <f t="shared" si="35"/>
        <v>9999</v>
      </c>
      <c r="AD45" s="10">
        <f t="shared" si="50"/>
        <v>41</v>
      </c>
      <c r="AE45" s="18">
        <f>IF((AD45&lt;='Alternative 2'!$B$12),AE44+1,9999)</f>
        <v>9999</v>
      </c>
      <c r="AF45" s="101" t="e">
        <f>'Alternative 2'!I44</f>
        <v>#VALUE!</v>
      </c>
      <c r="AG45" s="101" t="e">
        <f>'Alternative 2'!J44</f>
        <v>#VALUE!</v>
      </c>
      <c r="AH45" s="18" t="e">
        <f t="shared" si="51"/>
        <v>#VALUE!</v>
      </c>
      <c r="AI45" s="18" t="e">
        <f t="shared" si="52"/>
        <v>#VALUE!</v>
      </c>
      <c r="AJ45" s="18" t="e">
        <f t="shared" si="36"/>
        <v>#VALUE!</v>
      </c>
      <c r="AK45" s="18">
        <f t="shared" si="37"/>
        <v>0</v>
      </c>
      <c r="AL45" s="18">
        <f>SUM(AK46:AK$94)</f>
        <v>0</v>
      </c>
      <c r="AM45" s="18">
        <f>SUM($AK$4:AK45)</f>
        <v>6381.1637280634177</v>
      </c>
      <c r="AN45" s="18">
        <f t="shared" si="38"/>
        <v>6381.1637280634177</v>
      </c>
      <c r="AO45" s="18">
        <f t="shared" si="39"/>
        <v>9999</v>
      </c>
      <c r="AS45" s="10">
        <f t="shared" si="53"/>
        <v>41</v>
      </c>
      <c r="AT45" s="18">
        <f>IF((AS45&lt;='Alternative 3'!$B$12),AT44+1,9999)</f>
        <v>9999</v>
      </c>
      <c r="AU45" s="101" t="e">
        <f>'Alternative 3'!I44</f>
        <v>#VALUE!</v>
      </c>
      <c r="AV45" s="101" t="e">
        <f>'Alternative 3'!J44</f>
        <v>#VALUE!</v>
      </c>
      <c r="AW45" s="18" t="e">
        <f t="shared" si="54"/>
        <v>#VALUE!</v>
      </c>
      <c r="AX45" s="18" t="e">
        <f t="shared" si="55"/>
        <v>#VALUE!</v>
      </c>
      <c r="AY45" s="18" t="e">
        <f t="shared" si="40"/>
        <v>#VALUE!</v>
      </c>
      <c r="AZ45" s="18">
        <f t="shared" si="41"/>
        <v>0</v>
      </c>
      <c r="BA45" s="18">
        <f>SUM(AZ46:AZ$94)</f>
        <v>0</v>
      </c>
      <c r="BB45" s="18">
        <f>SUM($AZ$4:AZ45)</f>
        <v>14889.382032148003</v>
      </c>
      <c r="BC45" s="18">
        <f t="shared" si="42"/>
        <v>14889.382032148003</v>
      </c>
      <c r="BD45" s="18">
        <f t="shared" si="43"/>
        <v>9999</v>
      </c>
    </row>
    <row r="46" spans="1:56" x14ac:dyDescent="0.25">
      <c r="A46" s="18">
        <f t="shared" si="44"/>
        <v>42</v>
      </c>
      <c r="B46" s="101">
        <f>'Baseline Given'!I45</f>
        <v>1.5818805970149254</v>
      </c>
      <c r="C46" s="18">
        <f>'Baseline Given'!J45</f>
        <v>1.5614405970149254</v>
      </c>
      <c r="D46" s="18">
        <f t="shared" si="45"/>
        <v>7.910930019773776</v>
      </c>
      <c r="E46" s="18">
        <f t="shared" si="46"/>
        <v>7.7075583498186688</v>
      </c>
      <c r="F46" s="18">
        <f t="shared" si="28"/>
        <v>0.20337166995510714</v>
      </c>
      <c r="G46" s="18">
        <f t="shared" si="29"/>
        <v>1596.467609147591</v>
      </c>
      <c r="H46" s="18">
        <f>SUM(G47:$G$71)</f>
        <v>32599.901152922455</v>
      </c>
      <c r="I46" s="18">
        <f>SUM($G$4:G46)</f>
        <v>89790.59422856821</v>
      </c>
      <c r="J46" s="18">
        <f t="shared" si="30"/>
        <v>57190.693075645759</v>
      </c>
      <c r="K46" s="18">
        <f t="shared" si="31"/>
        <v>42</v>
      </c>
      <c r="O46" s="10">
        <f t="shared" si="47"/>
        <v>42</v>
      </c>
      <c r="P46" s="18">
        <f>IF((O46&lt;='Alternative 1'!$B$12),P45+1,9999)</f>
        <v>9999</v>
      </c>
      <c r="Q46" s="101" t="e">
        <f>'Alternative 1'!I45</f>
        <v>#VALUE!</v>
      </c>
      <c r="R46" s="101" t="e">
        <f>'Alternative 1'!J45</f>
        <v>#VALUE!</v>
      </c>
      <c r="S46" s="18" t="e">
        <f t="shared" si="48"/>
        <v>#VALUE!</v>
      </c>
      <c r="T46" s="18" t="e">
        <f t="shared" si="49"/>
        <v>#VALUE!</v>
      </c>
      <c r="U46" s="18" t="e">
        <f t="shared" si="32"/>
        <v>#VALUE!</v>
      </c>
      <c r="V46" s="18">
        <f t="shared" si="33"/>
        <v>0</v>
      </c>
      <c r="W46" s="18">
        <f>SUM(V47:V$94)</f>
        <v>0</v>
      </c>
      <c r="X46" s="18">
        <f>SUM($V$4:V46)</f>
        <v>31215.543190081382</v>
      </c>
      <c r="Y46" s="18">
        <f t="shared" si="34"/>
        <v>31215.543190081382</v>
      </c>
      <c r="Z46" s="18">
        <f t="shared" si="35"/>
        <v>9999</v>
      </c>
      <c r="AD46" s="10">
        <f t="shared" si="50"/>
        <v>42</v>
      </c>
      <c r="AE46" s="18">
        <f>IF((AD46&lt;='Alternative 2'!$B$12),AE45+1,9999)</f>
        <v>9999</v>
      </c>
      <c r="AF46" s="101" t="e">
        <f>'Alternative 2'!I45</f>
        <v>#VALUE!</v>
      </c>
      <c r="AG46" s="101" t="e">
        <f>'Alternative 2'!J45</f>
        <v>#VALUE!</v>
      </c>
      <c r="AH46" s="18" t="e">
        <f t="shared" si="51"/>
        <v>#VALUE!</v>
      </c>
      <c r="AI46" s="18" t="e">
        <f t="shared" si="52"/>
        <v>#VALUE!</v>
      </c>
      <c r="AJ46" s="18" t="e">
        <f t="shared" si="36"/>
        <v>#VALUE!</v>
      </c>
      <c r="AK46" s="18">
        <f t="shared" si="37"/>
        <v>0</v>
      </c>
      <c r="AL46" s="18">
        <f>SUM(AK47:AK$94)</f>
        <v>0</v>
      </c>
      <c r="AM46" s="18">
        <f>SUM($AK$4:AK46)</f>
        <v>6381.1637280634177</v>
      </c>
      <c r="AN46" s="18">
        <f t="shared" si="38"/>
        <v>6381.1637280634177</v>
      </c>
      <c r="AO46" s="18">
        <f t="shared" si="39"/>
        <v>9999</v>
      </c>
      <c r="AS46" s="10">
        <f t="shared" si="53"/>
        <v>42</v>
      </c>
      <c r="AT46" s="18">
        <f>IF((AS46&lt;='Alternative 3'!$B$12),AT45+1,9999)</f>
        <v>9999</v>
      </c>
      <c r="AU46" s="101" t="e">
        <f>'Alternative 3'!I45</f>
        <v>#VALUE!</v>
      </c>
      <c r="AV46" s="101" t="e">
        <f>'Alternative 3'!J45</f>
        <v>#VALUE!</v>
      </c>
      <c r="AW46" s="18" t="e">
        <f t="shared" si="54"/>
        <v>#VALUE!</v>
      </c>
      <c r="AX46" s="18" t="e">
        <f t="shared" si="55"/>
        <v>#VALUE!</v>
      </c>
      <c r="AY46" s="18" t="e">
        <f t="shared" si="40"/>
        <v>#VALUE!</v>
      </c>
      <c r="AZ46" s="18">
        <f t="shared" si="41"/>
        <v>0</v>
      </c>
      <c r="BA46" s="18">
        <f>SUM(AZ47:AZ$94)</f>
        <v>0</v>
      </c>
      <c r="BB46" s="18">
        <f>SUM($AZ$4:AZ46)</f>
        <v>14889.382032148003</v>
      </c>
      <c r="BC46" s="18">
        <f t="shared" si="42"/>
        <v>14889.382032148003</v>
      </c>
      <c r="BD46" s="18">
        <f t="shared" si="43"/>
        <v>9999</v>
      </c>
    </row>
    <row r="47" spans="1:56" x14ac:dyDescent="0.25">
      <c r="A47" s="18">
        <f t="shared" si="44"/>
        <v>43</v>
      </c>
      <c r="B47" s="101">
        <f>'Baseline Given'!I46</f>
        <v>1.5719253731343283</v>
      </c>
      <c r="C47" s="18">
        <f>'Baseline Given'!J46</f>
        <v>1.5516653731343284</v>
      </c>
      <c r="D47" s="18">
        <f t="shared" si="45"/>
        <v>7.8119825715216464</v>
      </c>
      <c r="E47" s="18">
        <f t="shared" si="46"/>
        <v>7.6116553818331827</v>
      </c>
      <c r="F47" s="18">
        <f t="shared" si="28"/>
        <v>0.20032718968846375</v>
      </c>
      <c r="G47" s="18">
        <f t="shared" si="29"/>
        <v>1572.5684390544404</v>
      </c>
      <c r="H47" s="18">
        <f>SUM(G48:$G$71)</f>
        <v>31027.332713868014</v>
      </c>
      <c r="I47" s="18">
        <f>SUM($G$4:G47)</f>
        <v>91363.162667622644</v>
      </c>
      <c r="J47" s="18">
        <f t="shared" si="30"/>
        <v>60335.829953754626</v>
      </c>
      <c r="K47" s="18">
        <f t="shared" si="31"/>
        <v>43</v>
      </c>
      <c r="O47" s="10">
        <f t="shared" si="47"/>
        <v>43</v>
      </c>
      <c r="P47" s="18">
        <f>IF((O47&lt;='Alternative 1'!$B$12),P46+1,9999)</f>
        <v>9999</v>
      </c>
      <c r="Q47" s="101" t="e">
        <f>'Alternative 1'!I46</f>
        <v>#VALUE!</v>
      </c>
      <c r="R47" s="101" t="e">
        <f>'Alternative 1'!J46</f>
        <v>#VALUE!</v>
      </c>
      <c r="S47" s="18" t="e">
        <f t="shared" si="48"/>
        <v>#VALUE!</v>
      </c>
      <c r="T47" s="18" t="e">
        <f t="shared" si="49"/>
        <v>#VALUE!</v>
      </c>
      <c r="U47" s="18" t="e">
        <f t="shared" si="32"/>
        <v>#VALUE!</v>
      </c>
      <c r="V47" s="18">
        <f t="shared" si="33"/>
        <v>0</v>
      </c>
      <c r="W47" s="18">
        <f>SUM(V48:V$94)</f>
        <v>0</v>
      </c>
      <c r="X47" s="18">
        <f>SUM($V$4:V47)</f>
        <v>31215.543190081382</v>
      </c>
      <c r="Y47" s="18">
        <f t="shared" si="34"/>
        <v>31215.543190081382</v>
      </c>
      <c r="Z47" s="18">
        <f t="shared" si="35"/>
        <v>9999</v>
      </c>
      <c r="AD47" s="10">
        <f t="shared" si="50"/>
        <v>43</v>
      </c>
      <c r="AE47" s="18">
        <f>IF((AD47&lt;='Alternative 2'!$B$12),AE46+1,9999)</f>
        <v>9999</v>
      </c>
      <c r="AF47" s="101" t="e">
        <f>'Alternative 2'!I46</f>
        <v>#VALUE!</v>
      </c>
      <c r="AG47" s="101" t="e">
        <f>'Alternative 2'!J46</f>
        <v>#VALUE!</v>
      </c>
      <c r="AH47" s="18" t="e">
        <f t="shared" si="51"/>
        <v>#VALUE!</v>
      </c>
      <c r="AI47" s="18" t="e">
        <f t="shared" si="52"/>
        <v>#VALUE!</v>
      </c>
      <c r="AJ47" s="18" t="e">
        <f t="shared" si="36"/>
        <v>#VALUE!</v>
      </c>
      <c r="AK47" s="18">
        <f t="shared" si="37"/>
        <v>0</v>
      </c>
      <c r="AL47" s="18">
        <f>SUM(AK48:AK$94)</f>
        <v>0</v>
      </c>
      <c r="AM47" s="18">
        <f>SUM($AK$4:AK47)</f>
        <v>6381.1637280634177</v>
      </c>
      <c r="AN47" s="18">
        <f t="shared" si="38"/>
        <v>6381.1637280634177</v>
      </c>
      <c r="AO47" s="18">
        <f t="shared" si="39"/>
        <v>9999</v>
      </c>
      <c r="AS47" s="10">
        <f t="shared" si="53"/>
        <v>43</v>
      </c>
      <c r="AT47" s="18">
        <f>IF((AS47&lt;='Alternative 3'!$B$12),AT46+1,9999)</f>
        <v>9999</v>
      </c>
      <c r="AU47" s="101" t="e">
        <f>'Alternative 3'!I46</f>
        <v>#VALUE!</v>
      </c>
      <c r="AV47" s="101" t="e">
        <f>'Alternative 3'!J46</f>
        <v>#VALUE!</v>
      </c>
      <c r="AW47" s="18" t="e">
        <f t="shared" si="54"/>
        <v>#VALUE!</v>
      </c>
      <c r="AX47" s="18" t="e">
        <f t="shared" si="55"/>
        <v>#VALUE!</v>
      </c>
      <c r="AY47" s="18" t="e">
        <f t="shared" si="40"/>
        <v>#VALUE!</v>
      </c>
      <c r="AZ47" s="18">
        <f t="shared" si="41"/>
        <v>0</v>
      </c>
      <c r="BA47" s="18">
        <f>SUM(AZ48:AZ$94)</f>
        <v>0</v>
      </c>
      <c r="BB47" s="18">
        <f>SUM($AZ$4:AZ47)</f>
        <v>14889.382032148003</v>
      </c>
      <c r="BC47" s="18">
        <f t="shared" si="42"/>
        <v>14889.382032148003</v>
      </c>
      <c r="BD47" s="18">
        <f t="shared" si="43"/>
        <v>9999</v>
      </c>
    </row>
    <row r="48" spans="1:56" x14ac:dyDescent="0.25">
      <c r="A48" s="18">
        <f t="shared" si="44"/>
        <v>44</v>
      </c>
      <c r="B48" s="101">
        <f>'Baseline Given'!I47</f>
        <v>1.5619701492537312</v>
      </c>
      <c r="C48" s="18">
        <f>'Baseline Given'!J47</f>
        <v>1.5418901492537311</v>
      </c>
      <c r="D48" s="18">
        <f t="shared" si="45"/>
        <v>7.713657827664286</v>
      </c>
      <c r="E48" s="18">
        <f t="shared" si="46"/>
        <v>7.5163528036317588</v>
      </c>
      <c r="F48" s="18">
        <f t="shared" si="28"/>
        <v>0.19730502403252714</v>
      </c>
      <c r="G48" s="18">
        <f t="shared" si="29"/>
        <v>1548.8444386553381</v>
      </c>
      <c r="H48" s="18">
        <f>SUM(G49:$G$71)</f>
        <v>29478.488275212683</v>
      </c>
      <c r="I48" s="18">
        <f>SUM($G$4:G48)</f>
        <v>92912.007106277975</v>
      </c>
      <c r="J48" s="18">
        <f t="shared" si="30"/>
        <v>63433.518831065288</v>
      </c>
      <c r="K48" s="18">
        <f t="shared" si="31"/>
        <v>44</v>
      </c>
      <c r="O48" s="10">
        <f t="shared" si="47"/>
        <v>44</v>
      </c>
      <c r="P48" s="18">
        <f>IF((O48&lt;='Alternative 1'!$B$12),P47+1,9999)</f>
        <v>9999</v>
      </c>
      <c r="Q48" s="101" t="e">
        <f>'Alternative 1'!I47</f>
        <v>#VALUE!</v>
      </c>
      <c r="R48" s="101" t="e">
        <f>'Alternative 1'!J47</f>
        <v>#VALUE!</v>
      </c>
      <c r="S48" s="18" t="e">
        <f t="shared" si="48"/>
        <v>#VALUE!</v>
      </c>
      <c r="T48" s="18" t="e">
        <f t="shared" si="49"/>
        <v>#VALUE!</v>
      </c>
      <c r="U48" s="18" t="e">
        <f t="shared" si="32"/>
        <v>#VALUE!</v>
      </c>
      <c r="V48" s="18">
        <f t="shared" si="33"/>
        <v>0</v>
      </c>
      <c r="W48" s="18">
        <f>SUM(V49:V$94)</f>
        <v>0</v>
      </c>
      <c r="X48" s="18">
        <f>SUM($V$4:V48)</f>
        <v>31215.543190081382</v>
      </c>
      <c r="Y48" s="18">
        <f t="shared" si="34"/>
        <v>31215.543190081382</v>
      </c>
      <c r="Z48" s="18">
        <f t="shared" si="35"/>
        <v>9999</v>
      </c>
      <c r="AD48" s="10">
        <f t="shared" si="50"/>
        <v>44</v>
      </c>
      <c r="AE48" s="18">
        <f>IF((AD48&lt;='Alternative 2'!$B$12),AE47+1,9999)</f>
        <v>9999</v>
      </c>
      <c r="AF48" s="101" t="e">
        <f>'Alternative 2'!I47</f>
        <v>#VALUE!</v>
      </c>
      <c r="AG48" s="101" t="e">
        <f>'Alternative 2'!J47</f>
        <v>#VALUE!</v>
      </c>
      <c r="AH48" s="18" t="e">
        <f t="shared" si="51"/>
        <v>#VALUE!</v>
      </c>
      <c r="AI48" s="18" t="e">
        <f t="shared" si="52"/>
        <v>#VALUE!</v>
      </c>
      <c r="AJ48" s="18" t="e">
        <f t="shared" si="36"/>
        <v>#VALUE!</v>
      </c>
      <c r="AK48" s="18">
        <f t="shared" si="37"/>
        <v>0</v>
      </c>
      <c r="AL48" s="18">
        <f>SUM(AK49:AK$94)</f>
        <v>0</v>
      </c>
      <c r="AM48" s="18">
        <f>SUM($AK$4:AK48)</f>
        <v>6381.1637280634177</v>
      </c>
      <c r="AN48" s="18">
        <f t="shared" si="38"/>
        <v>6381.1637280634177</v>
      </c>
      <c r="AO48" s="18">
        <f t="shared" si="39"/>
        <v>9999</v>
      </c>
      <c r="AS48" s="10">
        <f t="shared" si="53"/>
        <v>44</v>
      </c>
      <c r="AT48" s="18">
        <f>IF((AS48&lt;='Alternative 3'!$B$12),AT47+1,9999)</f>
        <v>9999</v>
      </c>
      <c r="AU48" s="101" t="e">
        <f>'Alternative 3'!I47</f>
        <v>#VALUE!</v>
      </c>
      <c r="AV48" s="101" t="e">
        <f>'Alternative 3'!J47</f>
        <v>#VALUE!</v>
      </c>
      <c r="AW48" s="18" t="e">
        <f t="shared" si="54"/>
        <v>#VALUE!</v>
      </c>
      <c r="AX48" s="18" t="e">
        <f t="shared" si="55"/>
        <v>#VALUE!</v>
      </c>
      <c r="AY48" s="18" t="e">
        <f t="shared" si="40"/>
        <v>#VALUE!</v>
      </c>
      <c r="AZ48" s="18">
        <f t="shared" si="41"/>
        <v>0</v>
      </c>
      <c r="BA48" s="18">
        <f>SUM(AZ49:AZ$94)</f>
        <v>0</v>
      </c>
      <c r="BB48" s="18">
        <f>SUM($AZ$4:AZ48)</f>
        <v>14889.382032148003</v>
      </c>
      <c r="BC48" s="18">
        <f t="shared" si="42"/>
        <v>14889.382032148003</v>
      </c>
      <c r="BD48" s="18">
        <f t="shared" si="43"/>
        <v>9999</v>
      </c>
    </row>
    <row r="49" spans="1:56" x14ac:dyDescent="0.25">
      <c r="A49" s="18">
        <f t="shared" si="44"/>
        <v>45</v>
      </c>
      <c r="B49" s="101">
        <f>'Baseline Given'!I48</f>
        <v>1.5520149253731343</v>
      </c>
      <c r="C49" s="18">
        <f>'Baseline Given'!J48</f>
        <v>1.5321149253731343</v>
      </c>
      <c r="D49" s="18">
        <f t="shared" si="45"/>
        <v>7.6159557882016973</v>
      </c>
      <c r="E49" s="18">
        <f t="shared" si="46"/>
        <v>7.4216506152144035</v>
      </c>
      <c r="F49" s="18">
        <f t="shared" si="28"/>
        <v>0.19430517298729377</v>
      </c>
      <c r="G49" s="18">
        <f t="shared" si="29"/>
        <v>1525.2956079502562</v>
      </c>
      <c r="H49" s="18">
        <f>SUM(G50:$G$71)</f>
        <v>27953.192667262421</v>
      </c>
      <c r="I49" s="18">
        <f>SUM($G$4:G49)</f>
        <v>94437.302714228237</v>
      </c>
      <c r="J49" s="18">
        <f t="shared" si="30"/>
        <v>66484.110046965812</v>
      </c>
      <c r="K49" s="18">
        <f t="shared" si="31"/>
        <v>45</v>
      </c>
      <c r="O49" s="10">
        <f t="shared" si="47"/>
        <v>45</v>
      </c>
      <c r="P49" s="18">
        <f>IF((O49&lt;='Alternative 1'!$B$12),P48+1,9999)</f>
        <v>9999</v>
      </c>
      <c r="Q49" s="101" t="e">
        <f>'Alternative 1'!I48</f>
        <v>#VALUE!</v>
      </c>
      <c r="R49" s="101" t="e">
        <f>'Alternative 1'!J48</f>
        <v>#VALUE!</v>
      </c>
      <c r="S49" s="18" t="e">
        <f t="shared" si="48"/>
        <v>#VALUE!</v>
      </c>
      <c r="T49" s="18" t="e">
        <f t="shared" si="49"/>
        <v>#VALUE!</v>
      </c>
      <c r="U49" s="18" t="e">
        <f t="shared" si="32"/>
        <v>#VALUE!</v>
      </c>
      <c r="V49" s="18">
        <f t="shared" si="33"/>
        <v>0</v>
      </c>
      <c r="W49" s="18">
        <f>SUM(V50:V$94)</f>
        <v>0</v>
      </c>
      <c r="X49" s="18">
        <f>SUM($V$4:V49)</f>
        <v>31215.543190081382</v>
      </c>
      <c r="Y49" s="18">
        <f t="shared" si="34"/>
        <v>31215.543190081382</v>
      </c>
      <c r="Z49" s="18">
        <f t="shared" si="35"/>
        <v>9999</v>
      </c>
      <c r="AD49" s="10">
        <f t="shared" si="50"/>
        <v>45</v>
      </c>
      <c r="AE49" s="18">
        <f>IF((AD49&lt;='Alternative 2'!$B$12),AE48+1,9999)</f>
        <v>9999</v>
      </c>
      <c r="AF49" s="101" t="e">
        <f>'Alternative 2'!I48</f>
        <v>#VALUE!</v>
      </c>
      <c r="AG49" s="101" t="e">
        <f>'Alternative 2'!J48</f>
        <v>#VALUE!</v>
      </c>
      <c r="AH49" s="18" t="e">
        <f t="shared" si="51"/>
        <v>#VALUE!</v>
      </c>
      <c r="AI49" s="18" t="e">
        <f t="shared" si="52"/>
        <v>#VALUE!</v>
      </c>
      <c r="AJ49" s="18" t="e">
        <f t="shared" si="36"/>
        <v>#VALUE!</v>
      </c>
      <c r="AK49" s="18">
        <f t="shared" si="37"/>
        <v>0</v>
      </c>
      <c r="AL49" s="18">
        <f>SUM(AK50:AK$94)</f>
        <v>0</v>
      </c>
      <c r="AM49" s="18">
        <f>SUM($AK$4:AK49)</f>
        <v>6381.1637280634177</v>
      </c>
      <c r="AN49" s="18">
        <f t="shared" si="38"/>
        <v>6381.1637280634177</v>
      </c>
      <c r="AO49" s="18">
        <f t="shared" si="39"/>
        <v>9999</v>
      </c>
      <c r="AS49" s="10">
        <f t="shared" si="53"/>
        <v>45</v>
      </c>
      <c r="AT49" s="18">
        <f>IF((AS49&lt;='Alternative 3'!$B$12),AT48+1,9999)</f>
        <v>9999</v>
      </c>
      <c r="AU49" s="101" t="e">
        <f>'Alternative 3'!I48</f>
        <v>#VALUE!</v>
      </c>
      <c r="AV49" s="101" t="e">
        <f>'Alternative 3'!J48</f>
        <v>#VALUE!</v>
      </c>
      <c r="AW49" s="18" t="e">
        <f t="shared" si="54"/>
        <v>#VALUE!</v>
      </c>
      <c r="AX49" s="18" t="e">
        <f t="shared" si="55"/>
        <v>#VALUE!</v>
      </c>
      <c r="AY49" s="18" t="e">
        <f t="shared" si="40"/>
        <v>#VALUE!</v>
      </c>
      <c r="AZ49" s="18">
        <f t="shared" si="41"/>
        <v>0</v>
      </c>
      <c r="BA49" s="18">
        <f>SUM(AZ50:AZ$94)</f>
        <v>0</v>
      </c>
      <c r="BB49" s="18">
        <f>SUM($AZ$4:AZ49)</f>
        <v>14889.382032148003</v>
      </c>
      <c r="BC49" s="18">
        <f t="shared" si="42"/>
        <v>14889.382032148003</v>
      </c>
      <c r="BD49" s="18">
        <f t="shared" si="43"/>
        <v>9999</v>
      </c>
    </row>
    <row r="50" spans="1:56" x14ac:dyDescent="0.25">
      <c r="A50" s="18">
        <f t="shared" si="44"/>
        <v>46</v>
      </c>
      <c r="B50" s="101">
        <f>'Baseline Given'!I49</f>
        <v>1.5420597014925372</v>
      </c>
      <c r="C50" s="18">
        <f>'Baseline Given'!J49</f>
        <v>1.5223397014925373</v>
      </c>
      <c r="D50" s="18">
        <f t="shared" si="45"/>
        <v>7.5188764531338794</v>
      </c>
      <c r="E50" s="18">
        <f t="shared" si="46"/>
        <v>7.3275488165811105</v>
      </c>
      <c r="F50" s="18">
        <f t="shared" si="28"/>
        <v>0.19132763655276896</v>
      </c>
      <c r="G50" s="18">
        <f t="shared" si="29"/>
        <v>1501.9219469392365</v>
      </c>
      <c r="H50" s="18">
        <f>SUM(G51:$G$71)</f>
        <v>26451.270720323188</v>
      </c>
      <c r="I50" s="18">
        <f>SUM($G$4:G50)</f>
        <v>95939.224661167478</v>
      </c>
      <c r="J50" s="18">
        <f t="shared" si="30"/>
        <v>69487.953940844294</v>
      </c>
      <c r="K50" s="18">
        <f t="shared" si="31"/>
        <v>46</v>
      </c>
      <c r="O50" s="10">
        <f t="shared" si="47"/>
        <v>46</v>
      </c>
      <c r="P50" s="18">
        <f>IF((O50&lt;='Alternative 1'!$B$12),P49+1,9999)</f>
        <v>9999</v>
      </c>
      <c r="Q50" s="101" t="e">
        <f>'Alternative 1'!I49</f>
        <v>#VALUE!</v>
      </c>
      <c r="R50" s="101" t="e">
        <f>'Alternative 1'!J49</f>
        <v>#VALUE!</v>
      </c>
      <c r="S50" s="18" t="e">
        <f t="shared" si="48"/>
        <v>#VALUE!</v>
      </c>
      <c r="T50" s="18" t="e">
        <f t="shared" si="49"/>
        <v>#VALUE!</v>
      </c>
      <c r="U50" s="18" t="e">
        <f t="shared" si="32"/>
        <v>#VALUE!</v>
      </c>
      <c r="V50" s="18">
        <f t="shared" si="33"/>
        <v>0</v>
      </c>
      <c r="W50" s="18">
        <f>SUM(V51:V$94)</f>
        <v>0</v>
      </c>
      <c r="X50" s="18">
        <f>SUM($V$4:V50)</f>
        <v>31215.543190081382</v>
      </c>
      <c r="Y50" s="18">
        <f t="shared" si="34"/>
        <v>31215.543190081382</v>
      </c>
      <c r="Z50" s="18">
        <f t="shared" si="35"/>
        <v>9999</v>
      </c>
      <c r="AD50" s="10">
        <f t="shared" si="50"/>
        <v>46</v>
      </c>
      <c r="AE50" s="18">
        <f>IF((AD50&lt;='Alternative 2'!$B$12),AE49+1,9999)</f>
        <v>9999</v>
      </c>
      <c r="AF50" s="101" t="e">
        <f>'Alternative 2'!I49</f>
        <v>#VALUE!</v>
      </c>
      <c r="AG50" s="101" t="e">
        <f>'Alternative 2'!J49</f>
        <v>#VALUE!</v>
      </c>
      <c r="AH50" s="18" t="e">
        <f t="shared" si="51"/>
        <v>#VALUE!</v>
      </c>
      <c r="AI50" s="18" t="e">
        <f t="shared" si="52"/>
        <v>#VALUE!</v>
      </c>
      <c r="AJ50" s="18" t="e">
        <f t="shared" si="36"/>
        <v>#VALUE!</v>
      </c>
      <c r="AK50" s="18">
        <f t="shared" si="37"/>
        <v>0</v>
      </c>
      <c r="AL50" s="18">
        <f>SUM(AK51:AK$94)</f>
        <v>0</v>
      </c>
      <c r="AM50" s="18">
        <f>SUM($AK$4:AK50)</f>
        <v>6381.1637280634177</v>
      </c>
      <c r="AN50" s="18">
        <f t="shared" si="38"/>
        <v>6381.1637280634177</v>
      </c>
      <c r="AO50" s="18">
        <f t="shared" si="39"/>
        <v>9999</v>
      </c>
      <c r="AS50" s="10">
        <f t="shared" si="53"/>
        <v>46</v>
      </c>
      <c r="AT50" s="18">
        <f>IF((AS50&lt;='Alternative 3'!$B$12),AT49+1,9999)</f>
        <v>9999</v>
      </c>
      <c r="AU50" s="101" t="e">
        <f>'Alternative 3'!I49</f>
        <v>#VALUE!</v>
      </c>
      <c r="AV50" s="101" t="e">
        <f>'Alternative 3'!J49</f>
        <v>#VALUE!</v>
      </c>
      <c r="AW50" s="18" t="e">
        <f t="shared" si="54"/>
        <v>#VALUE!</v>
      </c>
      <c r="AX50" s="18" t="e">
        <f t="shared" si="55"/>
        <v>#VALUE!</v>
      </c>
      <c r="AY50" s="18" t="e">
        <f t="shared" si="40"/>
        <v>#VALUE!</v>
      </c>
      <c r="AZ50" s="18">
        <f t="shared" si="41"/>
        <v>0</v>
      </c>
      <c r="BA50" s="18">
        <f>SUM(AZ51:AZ$94)</f>
        <v>0</v>
      </c>
      <c r="BB50" s="18">
        <f>SUM($AZ$4:AZ50)</f>
        <v>14889.382032148003</v>
      </c>
      <c r="BC50" s="18">
        <f t="shared" si="42"/>
        <v>14889.382032148003</v>
      </c>
      <c r="BD50" s="18">
        <f t="shared" si="43"/>
        <v>9999</v>
      </c>
    </row>
    <row r="51" spans="1:56" x14ac:dyDescent="0.25">
      <c r="A51" s="18">
        <f t="shared" si="44"/>
        <v>47</v>
      </c>
      <c r="B51" s="101">
        <f>'Baseline Given'!I50</f>
        <v>1.5321044776119401</v>
      </c>
      <c r="C51" s="18">
        <f>'Baseline Given'!J50</f>
        <v>1.51256447761194</v>
      </c>
      <c r="D51" s="18">
        <f t="shared" si="45"/>
        <v>7.4224198224608315</v>
      </c>
      <c r="E51" s="18">
        <f t="shared" si="46"/>
        <v>7.2340474077318824</v>
      </c>
      <c r="F51" s="18">
        <f t="shared" si="28"/>
        <v>0.18837241472894917</v>
      </c>
      <c r="G51" s="18">
        <f t="shared" si="29"/>
        <v>1478.7234556222509</v>
      </c>
      <c r="H51" s="18">
        <f>SUM(G52:$G$71)</f>
        <v>24972.547264700934</v>
      </c>
      <c r="I51" s="18">
        <f>SUM($G$4:G51)</f>
        <v>97417.948116789732</v>
      </c>
      <c r="J51" s="18">
        <f t="shared" si="30"/>
        <v>72445.400852088802</v>
      </c>
      <c r="K51" s="18">
        <f t="shared" si="31"/>
        <v>47</v>
      </c>
      <c r="O51" s="10">
        <f t="shared" si="47"/>
        <v>47</v>
      </c>
      <c r="P51" s="18">
        <f>IF((O51&lt;='Alternative 1'!$B$12),P50+1,9999)</f>
        <v>9999</v>
      </c>
      <c r="Q51" s="101" t="e">
        <f>'Alternative 1'!I50</f>
        <v>#VALUE!</v>
      </c>
      <c r="R51" s="101" t="e">
        <f>'Alternative 1'!J50</f>
        <v>#VALUE!</v>
      </c>
      <c r="S51" s="18" t="e">
        <f t="shared" si="48"/>
        <v>#VALUE!</v>
      </c>
      <c r="T51" s="18" t="e">
        <f t="shared" si="49"/>
        <v>#VALUE!</v>
      </c>
      <c r="U51" s="18" t="e">
        <f t="shared" si="32"/>
        <v>#VALUE!</v>
      </c>
      <c r="V51" s="18">
        <f t="shared" si="33"/>
        <v>0</v>
      </c>
      <c r="W51" s="18">
        <f>SUM(V52:V$94)</f>
        <v>0</v>
      </c>
      <c r="X51" s="18">
        <f>SUM($V$4:V51)</f>
        <v>31215.543190081382</v>
      </c>
      <c r="Y51" s="18">
        <f t="shared" si="34"/>
        <v>31215.543190081382</v>
      </c>
      <c r="Z51" s="18">
        <f t="shared" si="35"/>
        <v>9999</v>
      </c>
      <c r="AD51" s="10">
        <f t="shared" si="50"/>
        <v>47</v>
      </c>
      <c r="AE51" s="18">
        <f>IF((AD51&lt;='Alternative 2'!$B$12),AE50+1,9999)</f>
        <v>9999</v>
      </c>
      <c r="AF51" s="101" t="e">
        <f>'Alternative 2'!I50</f>
        <v>#VALUE!</v>
      </c>
      <c r="AG51" s="101" t="e">
        <f>'Alternative 2'!J50</f>
        <v>#VALUE!</v>
      </c>
      <c r="AH51" s="18" t="e">
        <f t="shared" si="51"/>
        <v>#VALUE!</v>
      </c>
      <c r="AI51" s="18" t="e">
        <f t="shared" si="52"/>
        <v>#VALUE!</v>
      </c>
      <c r="AJ51" s="18" t="e">
        <f t="shared" si="36"/>
        <v>#VALUE!</v>
      </c>
      <c r="AK51" s="18">
        <f t="shared" si="37"/>
        <v>0</v>
      </c>
      <c r="AL51" s="18">
        <f>SUM(AK52:AK$94)</f>
        <v>0</v>
      </c>
      <c r="AM51" s="18">
        <f>SUM($AK$4:AK51)</f>
        <v>6381.1637280634177</v>
      </c>
      <c r="AN51" s="18">
        <f t="shared" si="38"/>
        <v>6381.1637280634177</v>
      </c>
      <c r="AO51" s="18">
        <f t="shared" si="39"/>
        <v>9999</v>
      </c>
      <c r="AS51" s="10">
        <f t="shared" si="53"/>
        <v>47</v>
      </c>
      <c r="AT51" s="18">
        <f>IF((AS51&lt;='Alternative 3'!$B$12),AT50+1,9999)</f>
        <v>9999</v>
      </c>
      <c r="AU51" s="101" t="e">
        <f>'Alternative 3'!I50</f>
        <v>#VALUE!</v>
      </c>
      <c r="AV51" s="101" t="e">
        <f>'Alternative 3'!J50</f>
        <v>#VALUE!</v>
      </c>
      <c r="AW51" s="18" t="e">
        <f t="shared" si="54"/>
        <v>#VALUE!</v>
      </c>
      <c r="AX51" s="18" t="e">
        <f t="shared" si="55"/>
        <v>#VALUE!</v>
      </c>
      <c r="AY51" s="18" t="e">
        <f t="shared" si="40"/>
        <v>#VALUE!</v>
      </c>
      <c r="AZ51" s="18">
        <f t="shared" si="41"/>
        <v>0</v>
      </c>
      <c r="BA51" s="18">
        <f>SUM(AZ52:AZ$94)</f>
        <v>0</v>
      </c>
      <c r="BB51" s="18">
        <f>SUM($AZ$4:AZ51)</f>
        <v>14889.382032148003</v>
      </c>
      <c r="BC51" s="18">
        <f t="shared" si="42"/>
        <v>14889.382032148003</v>
      </c>
      <c r="BD51" s="18">
        <f t="shared" si="43"/>
        <v>9999</v>
      </c>
    </row>
    <row r="52" spans="1:56" x14ac:dyDescent="0.25">
      <c r="A52" s="18">
        <f t="shared" si="44"/>
        <v>48</v>
      </c>
      <c r="B52" s="101">
        <f>'Baseline Given'!I51</f>
        <v>1.5221492537313432</v>
      </c>
      <c r="C52" s="18">
        <f>'Baseline Given'!J51</f>
        <v>1.5027892537313432</v>
      </c>
      <c r="D52" s="18">
        <f t="shared" si="45"/>
        <v>7.3265858961825545</v>
      </c>
      <c r="E52" s="18">
        <f t="shared" si="46"/>
        <v>7.1411463886667201</v>
      </c>
      <c r="F52" s="18">
        <f t="shared" si="28"/>
        <v>0.18543950751583438</v>
      </c>
      <c r="G52" s="18">
        <f t="shared" si="29"/>
        <v>1455.7001339992999</v>
      </c>
      <c r="H52" s="18">
        <f>SUM(G53:$G$71)</f>
        <v>23516.847130701641</v>
      </c>
      <c r="I52" s="18">
        <f>SUM($G$4:G52)</f>
        <v>98873.648250789032</v>
      </c>
      <c r="J52" s="18">
        <f t="shared" si="30"/>
        <v>75356.801120087388</v>
      </c>
      <c r="K52" s="18">
        <f t="shared" si="31"/>
        <v>48</v>
      </c>
      <c r="O52" s="10">
        <f t="shared" si="47"/>
        <v>48</v>
      </c>
      <c r="P52" s="18">
        <f>IF((O52&lt;='Alternative 1'!$B$12),P51+1,9999)</f>
        <v>9999</v>
      </c>
      <c r="Q52" s="101" t="e">
        <f>'Alternative 1'!I51</f>
        <v>#VALUE!</v>
      </c>
      <c r="R52" s="101" t="e">
        <f>'Alternative 1'!J51</f>
        <v>#VALUE!</v>
      </c>
      <c r="S52" s="18" t="e">
        <f t="shared" si="48"/>
        <v>#VALUE!</v>
      </c>
      <c r="T52" s="18" t="e">
        <f t="shared" si="49"/>
        <v>#VALUE!</v>
      </c>
      <c r="U52" s="18" t="e">
        <f t="shared" si="32"/>
        <v>#VALUE!</v>
      </c>
      <c r="V52" s="18">
        <f t="shared" si="33"/>
        <v>0</v>
      </c>
      <c r="W52" s="18">
        <f>SUM(V53:V$94)</f>
        <v>0</v>
      </c>
      <c r="X52" s="18">
        <f>SUM($V$4:V52)</f>
        <v>31215.543190081382</v>
      </c>
      <c r="Y52" s="18">
        <f t="shared" si="34"/>
        <v>31215.543190081382</v>
      </c>
      <c r="Z52" s="18">
        <f t="shared" si="35"/>
        <v>9999</v>
      </c>
      <c r="AD52" s="10">
        <f t="shared" si="50"/>
        <v>48</v>
      </c>
      <c r="AE52" s="18">
        <f>IF((AD52&lt;='Alternative 2'!$B$12),AE51+1,9999)</f>
        <v>9999</v>
      </c>
      <c r="AF52" s="101" t="e">
        <f>'Alternative 2'!I51</f>
        <v>#VALUE!</v>
      </c>
      <c r="AG52" s="101" t="e">
        <f>'Alternative 2'!J51</f>
        <v>#VALUE!</v>
      </c>
      <c r="AH52" s="18" t="e">
        <f t="shared" si="51"/>
        <v>#VALUE!</v>
      </c>
      <c r="AI52" s="18" t="e">
        <f t="shared" si="52"/>
        <v>#VALUE!</v>
      </c>
      <c r="AJ52" s="18" t="e">
        <f t="shared" si="36"/>
        <v>#VALUE!</v>
      </c>
      <c r="AK52" s="18">
        <f t="shared" si="37"/>
        <v>0</v>
      </c>
      <c r="AL52" s="18">
        <f>SUM(AK53:AK$94)</f>
        <v>0</v>
      </c>
      <c r="AM52" s="18">
        <f>SUM($AK$4:AK52)</f>
        <v>6381.1637280634177</v>
      </c>
      <c r="AN52" s="18">
        <f t="shared" si="38"/>
        <v>6381.1637280634177</v>
      </c>
      <c r="AO52" s="18">
        <f t="shared" si="39"/>
        <v>9999</v>
      </c>
      <c r="AS52" s="10">
        <f t="shared" si="53"/>
        <v>48</v>
      </c>
      <c r="AT52" s="18">
        <f>IF((AS52&lt;='Alternative 3'!$B$12),AT51+1,9999)</f>
        <v>9999</v>
      </c>
      <c r="AU52" s="101" t="e">
        <f>'Alternative 3'!I51</f>
        <v>#VALUE!</v>
      </c>
      <c r="AV52" s="101" t="e">
        <f>'Alternative 3'!J51</f>
        <v>#VALUE!</v>
      </c>
      <c r="AW52" s="18" t="e">
        <f t="shared" si="54"/>
        <v>#VALUE!</v>
      </c>
      <c r="AX52" s="18" t="e">
        <f t="shared" si="55"/>
        <v>#VALUE!</v>
      </c>
      <c r="AY52" s="18" t="e">
        <f t="shared" si="40"/>
        <v>#VALUE!</v>
      </c>
      <c r="AZ52" s="18">
        <f t="shared" si="41"/>
        <v>0</v>
      </c>
      <c r="BA52" s="18">
        <f>SUM(AZ53:AZ$94)</f>
        <v>0</v>
      </c>
      <c r="BB52" s="18">
        <f>SUM($AZ$4:AZ52)</f>
        <v>14889.382032148003</v>
      </c>
      <c r="BC52" s="18">
        <f t="shared" si="42"/>
        <v>14889.382032148003</v>
      </c>
      <c r="BD52" s="18">
        <f t="shared" si="43"/>
        <v>9999</v>
      </c>
    </row>
    <row r="53" spans="1:56" x14ac:dyDescent="0.25">
      <c r="A53" s="18">
        <f t="shared" si="44"/>
        <v>49</v>
      </c>
      <c r="B53" s="101">
        <f>'Baseline Given'!I52</f>
        <v>1.5121940298507461</v>
      </c>
      <c r="C53" s="18">
        <f>'Baseline Given'!J52</f>
        <v>1.4930140298507462</v>
      </c>
      <c r="D53" s="18">
        <f t="shared" si="45"/>
        <v>7.2313746742990483</v>
      </c>
      <c r="E53" s="18">
        <f t="shared" si="46"/>
        <v>7.0488457593856229</v>
      </c>
      <c r="F53" s="18">
        <f t="shared" si="28"/>
        <v>0.18252891491342549</v>
      </c>
      <c r="G53" s="18">
        <f t="shared" si="29"/>
        <v>1432.85198207039</v>
      </c>
      <c r="H53" s="18">
        <f>SUM(G54:$G$71)</f>
        <v>22083.995148631253</v>
      </c>
      <c r="I53" s="18">
        <f>SUM($G$4:G53)</f>
        <v>100306.50023285943</v>
      </c>
      <c r="J53" s="18">
        <f t="shared" si="30"/>
        <v>78222.505084228178</v>
      </c>
      <c r="K53" s="18">
        <f t="shared" si="31"/>
        <v>49</v>
      </c>
      <c r="O53" s="10">
        <f t="shared" si="47"/>
        <v>49</v>
      </c>
      <c r="P53" s="18">
        <f>IF((O53&lt;='Alternative 1'!$B$12),P52+1,9999)</f>
        <v>9999</v>
      </c>
      <c r="Q53" s="101" t="e">
        <f>'Alternative 1'!I52</f>
        <v>#VALUE!</v>
      </c>
      <c r="R53" s="101" t="e">
        <f>'Alternative 1'!J52</f>
        <v>#VALUE!</v>
      </c>
      <c r="S53" s="18" t="e">
        <f t="shared" si="48"/>
        <v>#VALUE!</v>
      </c>
      <c r="T53" s="18" t="e">
        <f t="shared" si="49"/>
        <v>#VALUE!</v>
      </c>
      <c r="U53" s="18" t="e">
        <f t="shared" si="32"/>
        <v>#VALUE!</v>
      </c>
      <c r="V53" s="18">
        <f t="shared" si="33"/>
        <v>0</v>
      </c>
      <c r="W53" s="18">
        <f>SUM(V54:V$94)</f>
        <v>0</v>
      </c>
      <c r="X53" s="18">
        <f>SUM($V$4:V53)</f>
        <v>31215.543190081382</v>
      </c>
      <c r="Y53" s="18">
        <f t="shared" si="34"/>
        <v>31215.543190081382</v>
      </c>
      <c r="Z53" s="18">
        <f t="shared" si="35"/>
        <v>9999</v>
      </c>
      <c r="AD53" s="10">
        <f t="shared" si="50"/>
        <v>49</v>
      </c>
      <c r="AE53" s="18">
        <f>IF((AD53&lt;='Alternative 2'!$B$12),AE52+1,9999)</f>
        <v>9999</v>
      </c>
      <c r="AF53" s="101" t="e">
        <f>'Alternative 2'!I52</f>
        <v>#VALUE!</v>
      </c>
      <c r="AG53" s="101" t="e">
        <f>'Alternative 2'!J52</f>
        <v>#VALUE!</v>
      </c>
      <c r="AH53" s="18" t="e">
        <f t="shared" si="51"/>
        <v>#VALUE!</v>
      </c>
      <c r="AI53" s="18" t="e">
        <f t="shared" si="52"/>
        <v>#VALUE!</v>
      </c>
      <c r="AJ53" s="18" t="e">
        <f t="shared" si="36"/>
        <v>#VALUE!</v>
      </c>
      <c r="AK53" s="18">
        <f t="shared" si="37"/>
        <v>0</v>
      </c>
      <c r="AL53" s="18">
        <f>SUM(AK54:AK$94)</f>
        <v>0</v>
      </c>
      <c r="AM53" s="18">
        <f>SUM($AK$4:AK53)</f>
        <v>6381.1637280634177</v>
      </c>
      <c r="AN53" s="18">
        <f t="shared" si="38"/>
        <v>6381.1637280634177</v>
      </c>
      <c r="AO53" s="18">
        <f t="shared" si="39"/>
        <v>9999</v>
      </c>
      <c r="AS53" s="10">
        <f t="shared" si="53"/>
        <v>49</v>
      </c>
      <c r="AT53" s="18">
        <f>IF((AS53&lt;='Alternative 3'!$B$12),AT52+1,9999)</f>
        <v>9999</v>
      </c>
      <c r="AU53" s="101" t="e">
        <f>'Alternative 3'!I52</f>
        <v>#VALUE!</v>
      </c>
      <c r="AV53" s="101" t="e">
        <f>'Alternative 3'!J52</f>
        <v>#VALUE!</v>
      </c>
      <c r="AW53" s="18" t="e">
        <f t="shared" si="54"/>
        <v>#VALUE!</v>
      </c>
      <c r="AX53" s="18" t="e">
        <f t="shared" si="55"/>
        <v>#VALUE!</v>
      </c>
      <c r="AY53" s="18" t="e">
        <f t="shared" si="40"/>
        <v>#VALUE!</v>
      </c>
      <c r="AZ53" s="18">
        <f t="shared" si="41"/>
        <v>0</v>
      </c>
      <c r="BA53" s="18">
        <f>SUM(AZ54:AZ$94)</f>
        <v>0</v>
      </c>
      <c r="BB53" s="18">
        <f>SUM($AZ$4:AZ53)</f>
        <v>14889.382032148003</v>
      </c>
      <c r="BC53" s="18">
        <f t="shared" si="42"/>
        <v>14889.382032148003</v>
      </c>
      <c r="BD53" s="18">
        <f t="shared" si="43"/>
        <v>9999</v>
      </c>
    </row>
    <row r="54" spans="1:56" x14ac:dyDescent="0.25">
      <c r="A54" s="18">
        <f t="shared" si="44"/>
        <v>50</v>
      </c>
      <c r="B54" s="101">
        <f>'Baseline Given'!I53</f>
        <v>1.5022388059701492</v>
      </c>
      <c r="C54" s="18">
        <f>'Baseline Given'!J53</f>
        <v>1.4832388059701491</v>
      </c>
      <c r="D54" s="18">
        <f t="shared" si="45"/>
        <v>7.1367861568103139</v>
      </c>
      <c r="E54" s="18">
        <f t="shared" si="46"/>
        <v>6.9571455198885896</v>
      </c>
      <c r="F54" s="18">
        <f t="shared" si="28"/>
        <v>0.17964063692172427</v>
      </c>
      <c r="G54" s="18">
        <f t="shared" si="29"/>
        <v>1410.1789998355355</v>
      </c>
      <c r="H54" s="18">
        <f>SUM(G55:$G$71)</f>
        <v>20673.816148795719</v>
      </c>
      <c r="I54" s="18">
        <f>SUM($G$4:G54)</f>
        <v>101716.67923269497</v>
      </c>
      <c r="J54" s="18">
        <f t="shared" si="30"/>
        <v>81042.863083899254</v>
      </c>
      <c r="K54" s="18">
        <f t="shared" si="31"/>
        <v>50</v>
      </c>
      <c r="O54" s="10">
        <f t="shared" si="47"/>
        <v>50</v>
      </c>
      <c r="P54" s="18">
        <f>IF((O54&lt;='Alternative 1'!$B$12),P53+1,9999)</f>
        <v>9999</v>
      </c>
      <c r="Q54" s="101" t="e">
        <f>'Alternative 1'!I53</f>
        <v>#VALUE!</v>
      </c>
      <c r="R54" s="101" t="e">
        <f>'Alternative 1'!J53</f>
        <v>#VALUE!</v>
      </c>
      <c r="S54" s="18" t="e">
        <f t="shared" si="48"/>
        <v>#VALUE!</v>
      </c>
      <c r="T54" s="18" t="e">
        <f t="shared" si="49"/>
        <v>#VALUE!</v>
      </c>
      <c r="U54" s="18" t="e">
        <f t="shared" si="32"/>
        <v>#VALUE!</v>
      </c>
      <c r="V54" s="18">
        <f t="shared" si="33"/>
        <v>0</v>
      </c>
      <c r="W54" s="18">
        <f>SUM(V55:V$94)</f>
        <v>0</v>
      </c>
      <c r="X54" s="18">
        <f>SUM($V$4:V54)</f>
        <v>31215.543190081382</v>
      </c>
      <c r="Y54" s="18">
        <f t="shared" si="34"/>
        <v>31215.543190081382</v>
      </c>
      <c r="Z54" s="18">
        <f t="shared" si="35"/>
        <v>9999</v>
      </c>
      <c r="AD54" s="10">
        <f t="shared" si="50"/>
        <v>50</v>
      </c>
      <c r="AE54" s="18">
        <f>IF((AD54&lt;='Alternative 2'!$B$12),AE53+1,9999)</f>
        <v>9999</v>
      </c>
      <c r="AF54" s="101" t="e">
        <f>'Alternative 2'!I53</f>
        <v>#VALUE!</v>
      </c>
      <c r="AG54" s="101" t="e">
        <f>'Alternative 2'!J53</f>
        <v>#VALUE!</v>
      </c>
      <c r="AH54" s="18" t="e">
        <f t="shared" si="51"/>
        <v>#VALUE!</v>
      </c>
      <c r="AI54" s="18" t="e">
        <f t="shared" si="52"/>
        <v>#VALUE!</v>
      </c>
      <c r="AJ54" s="18" t="e">
        <f t="shared" si="36"/>
        <v>#VALUE!</v>
      </c>
      <c r="AK54" s="18">
        <f t="shared" si="37"/>
        <v>0</v>
      </c>
      <c r="AL54" s="18">
        <f>SUM(AK55:AK$94)</f>
        <v>0</v>
      </c>
      <c r="AM54" s="18">
        <f>SUM($AK$4:AK54)</f>
        <v>6381.1637280634177</v>
      </c>
      <c r="AN54" s="18">
        <f t="shared" si="38"/>
        <v>6381.1637280634177</v>
      </c>
      <c r="AO54" s="18">
        <f t="shared" si="39"/>
        <v>9999</v>
      </c>
      <c r="AS54" s="10">
        <f t="shared" si="53"/>
        <v>50</v>
      </c>
      <c r="AT54" s="18">
        <f>IF((AS54&lt;='Alternative 3'!$B$12),AT53+1,9999)</f>
        <v>9999</v>
      </c>
      <c r="AU54" s="101" t="e">
        <f>'Alternative 3'!I53</f>
        <v>#VALUE!</v>
      </c>
      <c r="AV54" s="101" t="e">
        <f>'Alternative 3'!J53</f>
        <v>#VALUE!</v>
      </c>
      <c r="AW54" s="18" t="e">
        <f t="shared" si="54"/>
        <v>#VALUE!</v>
      </c>
      <c r="AX54" s="18" t="e">
        <f t="shared" si="55"/>
        <v>#VALUE!</v>
      </c>
      <c r="AY54" s="18" t="e">
        <f t="shared" si="40"/>
        <v>#VALUE!</v>
      </c>
      <c r="AZ54" s="18">
        <f t="shared" si="41"/>
        <v>0</v>
      </c>
      <c r="BA54" s="18">
        <f>SUM(AZ55:AZ$94)</f>
        <v>0</v>
      </c>
      <c r="BB54" s="18">
        <f>SUM($AZ$4:AZ54)</f>
        <v>14889.382032148003</v>
      </c>
      <c r="BC54" s="18">
        <f t="shared" si="42"/>
        <v>14889.382032148003</v>
      </c>
      <c r="BD54" s="18">
        <f t="shared" si="43"/>
        <v>9999</v>
      </c>
    </row>
    <row r="55" spans="1:56" x14ac:dyDescent="0.25">
      <c r="A55" s="18">
        <f t="shared" si="44"/>
        <v>51</v>
      </c>
      <c r="B55" s="101">
        <f>'Baseline Given'!I54</f>
        <v>1.4922835820895521</v>
      </c>
      <c r="C55" s="18">
        <f>'Baseline Given'!J54</f>
        <v>1.4734635820895521</v>
      </c>
      <c r="D55" s="18">
        <f t="shared" si="45"/>
        <v>7.0428203437163486</v>
      </c>
      <c r="E55" s="18">
        <f t="shared" si="46"/>
        <v>6.8660456701756214</v>
      </c>
      <c r="F55" s="18">
        <f t="shared" si="28"/>
        <v>0.17677467354072718</v>
      </c>
      <c r="G55" s="18">
        <f t="shared" si="29"/>
        <v>1387.6811872947083</v>
      </c>
      <c r="H55" s="18">
        <f>SUM(G56:$G$71)</f>
        <v>19286.134961501011</v>
      </c>
      <c r="I55" s="18">
        <f>SUM($G$4:G55)</f>
        <v>103104.36041998968</v>
      </c>
      <c r="J55" s="18">
        <f t="shared" si="30"/>
        <v>83818.225458488669</v>
      </c>
      <c r="K55" s="18">
        <f t="shared" si="31"/>
        <v>51</v>
      </c>
      <c r="O55" s="10">
        <f t="shared" si="47"/>
        <v>51</v>
      </c>
      <c r="P55" s="18">
        <f>IF((O55&lt;='Alternative 1'!$B$12),P54+1,9999)</f>
        <v>9999</v>
      </c>
      <c r="Q55" s="101" t="e">
        <f>'Alternative 1'!I54</f>
        <v>#VALUE!</v>
      </c>
      <c r="R55" s="101" t="e">
        <f>'Alternative 1'!J54</f>
        <v>#VALUE!</v>
      </c>
      <c r="S55" s="18" t="e">
        <f t="shared" si="48"/>
        <v>#VALUE!</v>
      </c>
      <c r="T55" s="18" t="e">
        <f t="shared" si="49"/>
        <v>#VALUE!</v>
      </c>
      <c r="U55" s="18" t="e">
        <f t="shared" si="32"/>
        <v>#VALUE!</v>
      </c>
      <c r="V55" s="18">
        <f t="shared" si="33"/>
        <v>0</v>
      </c>
      <c r="W55" s="18">
        <f>SUM(V56:V$94)</f>
        <v>0</v>
      </c>
      <c r="X55" s="18">
        <f>SUM($V$4:V55)</f>
        <v>31215.543190081382</v>
      </c>
      <c r="Y55" s="18">
        <f t="shared" si="34"/>
        <v>31215.543190081382</v>
      </c>
      <c r="Z55" s="18">
        <f t="shared" si="35"/>
        <v>9999</v>
      </c>
      <c r="AD55" s="10">
        <f t="shared" si="50"/>
        <v>51</v>
      </c>
      <c r="AE55" s="18">
        <f>IF((AD55&lt;='Alternative 2'!$B$12),AE54+1,9999)</f>
        <v>9999</v>
      </c>
      <c r="AF55" s="101" t="e">
        <f>'Alternative 2'!I54</f>
        <v>#VALUE!</v>
      </c>
      <c r="AG55" s="101" t="e">
        <f>'Alternative 2'!J54</f>
        <v>#VALUE!</v>
      </c>
      <c r="AH55" s="18" t="e">
        <f t="shared" si="51"/>
        <v>#VALUE!</v>
      </c>
      <c r="AI55" s="18" t="e">
        <f t="shared" si="52"/>
        <v>#VALUE!</v>
      </c>
      <c r="AJ55" s="18" t="e">
        <f t="shared" si="36"/>
        <v>#VALUE!</v>
      </c>
      <c r="AK55" s="18">
        <f t="shared" si="37"/>
        <v>0</v>
      </c>
      <c r="AL55" s="18">
        <f>SUM(AK56:AK$94)</f>
        <v>0</v>
      </c>
      <c r="AM55" s="18">
        <f>SUM($AK$4:AK55)</f>
        <v>6381.1637280634177</v>
      </c>
      <c r="AN55" s="18">
        <f t="shared" si="38"/>
        <v>6381.1637280634177</v>
      </c>
      <c r="AO55" s="18">
        <f t="shared" si="39"/>
        <v>9999</v>
      </c>
      <c r="AS55" s="10">
        <f t="shared" si="53"/>
        <v>51</v>
      </c>
      <c r="AT55" s="18">
        <f>IF((AS55&lt;='Alternative 3'!$B$12),AT54+1,9999)</f>
        <v>9999</v>
      </c>
      <c r="AU55" s="101" t="e">
        <f>'Alternative 3'!I54</f>
        <v>#VALUE!</v>
      </c>
      <c r="AV55" s="101" t="e">
        <f>'Alternative 3'!J54</f>
        <v>#VALUE!</v>
      </c>
      <c r="AW55" s="18" t="e">
        <f t="shared" si="54"/>
        <v>#VALUE!</v>
      </c>
      <c r="AX55" s="18" t="e">
        <f t="shared" si="55"/>
        <v>#VALUE!</v>
      </c>
      <c r="AY55" s="18" t="e">
        <f t="shared" si="40"/>
        <v>#VALUE!</v>
      </c>
      <c r="AZ55" s="18">
        <f t="shared" si="41"/>
        <v>0</v>
      </c>
      <c r="BA55" s="18">
        <f>SUM(AZ56:AZ$94)</f>
        <v>0</v>
      </c>
      <c r="BB55" s="18">
        <f>SUM($AZ$4:AZ55)</f>
        <v>14889.382032148003</v>
      </c>
      <c r="BC55" s="18">
        <f t="shared" si="42"/>
        <v>14889.382032148003</v>
      </c>
      <c r="BD55" s="18">
        <f t="shared" si="43"/>
        <v>9999</v>
      </c>
    </row>
    <row r="56" spans="1:56" x14ac:dyDescent="0.25">
      <c r="A56" s="18">
        <f t="shared" si="44"/>
        <v>52</v>
      </c>
      <c r="B56" s="101">
        <f>'Baseline Given'!I55</f>
        <v>1.4823283582089553</v>
      </c>
      <c r="C56" s="18">
        <f>'Baseline Given'!J55</f>
        <v>1.4636883582089553</v>
      </c>
      <c r="D56" s="18">
        <f t="shared" si="45"/>
        <v>6.9494772350171559</v>
      </c>
      <c r="E56" s="18">
        <f t="shared" si="46"/>
        <v>6.7755462102467181</v>
      </c>
      <c r="F56" s="18">
        <f t="shared" si="28"/>
        <v>0.17393102477043776</v>
      </c>
      <c r="G56" s="18">
        <f t="shared" si="29"/>
        <v>1365.3585444479363</v>
      </c>
      <c r="H56" s="18">
        <f>SUM(G57:$G$71)</f>
        <v>17920.776417053072</v>
      </c>
      <c r="I56" s="18">
        <f>SUM($G$4:G56)</f>
        <v>104469.71896443762</v>
      </c>
      <c r="J56" s="18">
        <f t="shared" si="30"/>
        <v>86548.942547384548</v>
      </c>
      <c r="K56" s="18">
        <f t="shared" si="31"/>
        <v>52</v>
      </c>
      <c r="O56" s="10">
        <f t="shared" si="47"/>
        <v>52</v>
      </c>
      <c r="P56" s="18">
        <f>IF((O56&lt;='Alternative 1'!$B$12),P55+1,9999)</f>
        <v>9999</v>
      </c>
      <c r="Q56" s="101" t="e">
        <f>'Alternative 1'!I55</f>
        <v>#VALUE!</v>
      </c>
      <c r="R56" s="101" t="e">
        <f>'Alternative 1'!J55</f>
        <v>#VALUE!</v>
      </c>
      <c r="S56" s="18" t="e">
        <f t="shared" si="48"/>
        <v>#VALUE!</v>
      </c>
      <c r="T56" s="18" t="e">
        <f t="shared" si="49"/>
        <v>#VALUE!</v>
      </c>
      <c r="U56" s="18" t="e">
        <f t="shared" si="32"/>
        <v>#VALUE!</v>
      </c>
      <c r="V56" s="18">
        <f t="shared" si="33"/>
        <v>0</v>
      </c>
      <c r="W56" s="18">
        <f>SUM(V57:V$94)</f>
        <v>0</v>
      </c>
      <c r="X56" s="18">
        <f>SUM($V$4:V56)</f>
        <v>31215.543190081382</v>
      </c>
      <c r="Y56" s="18">
        <f t="shared" si="34"/>
        <v>31215.543190081382</v>
      </c>
      <c r="Z56" s="18">
        <f t="shared" si="35"/>
        <v>9999</v>
      </c>
      <c r="AD56" s="10">
        <f t="shared" si="50"/>
        <v>52</v>
      </c>
      <c r="AE56" s="18">
        <f>IF((AD56&lt;='Alternative 2'!$B$12),AE55+1,9999)</f>
        <v>9999</v>
      </c>
      <c r="AF56" s="101" t="e">
        <f>'Alternative 2'!I55</f>
        <v>#VALUE!</v>
      </c>
      <c r="AG56" s="101" t="e">
        <f>'Alternative 2'!J55</f>
        <v>#VALUE!</v>
      </c>
      <c r="AH56" s="18" t="e">
        <f t="shared" si="51"/>
        <v>#VALUE!</v>
      </c>
      <c r="AI56" s="18" t="e">
        <f t="shared" si="52"/>
        <v>#VALUE!</v>
      </c>
      <c r="AJ56" s="18" t="e">
        <f t="shared" si="36"/>
        <v>#VALUE!</v>
      </c>
      <c r="AK56" s="18">
        <f t="shared" si="37"/>
        <v>0</v>
      </c>
      <c r="AL56" s="18">
        <f>SUM(AK57:AK$94)</f>
        <v>0</v>
      </c>
      <c r="AM56" s="18">
        <f>SUM($AK$4:AK56)</f>
        <v>6381.1637280634177</v>
      </c>
      <c r="AN56" s="18">
        <f t="shared" si="38"/>
        <v>6381.1637280634177</v>
      </c>
      <c r="AO56" s="18">
        <f t="shared" si="39"/>
        <v>9999</v>
      </c>
      <c r="AS56" s="10">
        <f t="shared" si="53"/>
        <v>52</v>
      </c>
      <c r="AT56" s="18">
        <f>IF((AS56&lt;='Alternative 3'!$B$12),AT55+1,9999)</f>
        <v>9999</v>
      </c>
      <c r="AU56" s="101" t="e">
        <f>'Alternative 3'!I55</f>
        <v>#VALUE!</v>
      </c>
      <c r="AV56" s="101" t="e">
        <f>'Alternative 3'!J55</f>
        <v>#VALUE!</v>
      </c>
      <c r="AW56" s="18" t="e">
        <f t="shared" si="54"/>
        <v>#VALUE!</v>
      </c>
      <c r="AX56" s="18" t="e">
        <f t="shared" si="55"/>
        <v>#VALUE!</v>
      </c>
      <c r="AY56" s="18" t="e">
        <f t="shared" si="40"/>
        <v>#VALUE!</v>
      </c>
      <c r="AZ56" s="18">
        <f t="shared" si="41"/>
        <v>0</v>
      </c>
      <c r="BA56" s="18">
        <f>SUM(AZ57:AZ$94)</f>
        <v>0</v>
      </c>
      <c r="BB56" s="18">
        <f>SUM($AZ$4:AZ56)</f>
        <v>14889.382032148003</v>
      </c>
      <c r="BC56" s="18">
        <f t="shared" si="42"/>
        <v>14889.382032148003</v>
      </c>
      <c r="BD56" s="18">
        <f t="shared" si="43"/>
        <v>9999</v>
      </c>
    </row>
    <row r="57" spans="1:56" x14ac:dyDescent="0.25">
      <c r="A57" s="18">
        <f t="shared" si="44"/>
        <v>53</v>
      </c>
      <c r="B57" s="101">
        <f>'Baseline Given'!I56</f>
        <v>1.4723731343283581</v>
      </c>
      <c r="C57" s="18">
        <f>'Baseline Given'!J56</f>
        <v>1.453913134328358</v>
      </c>
      <c r="D57" s="18">
        <f t="shared" si="45"/>
        <v>6.856756830712734</v>
      </c>
      <c r="E57" s="18">
        <f t="shared" si="46"/>
        <v>6.6856471401018815</v>
      </c>
      <c r="F57" s="18">
        <f t="shared" si="28"/>
        <v>0.17110969061085246</v>
      </c>
      <c r="G57" s="18">
        <f t="shared" si="29"/>
        <v>1343.2110712951919</v>
      </c>
      <c r="H57" s="18">
        <f>SUM(G58:$G$71)</f>
        <v>16577.565345757881</v>
      </c>
      <c r="I57" s="18">
        <f>SUM($G$4:G57)</f>
        <v>105812.93003573282</v>
      </c>
      <c r="J57" s="18">
        <f t="shared" si="30"/>
        <v>89235.364689974929</v>
      </c>
      <c r="K57" s="18">
        <f t="shared" si="31"/>
        <v>53</v>
      </c>
      <c r="O57" s="10">
        <f t="shared" si="47"/>
        <v>53</v>
      </c>
      <c r="P57" s="18">
        <f>IF((O57&lt;='Alternative 1'!$B$12),P56+1,9999)</f>
        <v>9999</v>
      </c>
      <c r="Q57" s="101" t="e">
        <f>'Alternative 1'!I56</f>
        <v>#VALUE!</v>
      </c>
      <c r="R57" s="101" t="e">
        <f>'Alternative 1'!J56</f>
        <v>#VALUE!</v>
      </c>
      <c r="S57" s="18" t="e">
        <f t="shared" si="48"/>
        <v>#VALUE!</v>
      </c>
      <c r="T57" s="18" t="e">
        <f t="shared" si="49"/>
        <v>#VALUE!</v>
      </c>
      <c r="U57" s="18" t="e">
        <f t="shared" si="32"/>
        <v>#VALUE!</v>
      </c>
      <c r="V57" s="18">
        <f t="shared" si="33"/>
        <v>0</v>
      </c>
      <c r="W57" s="18">
        <f>SUM(V58:V$94)</f>
        <v>0</v>
      </c>
      <c r="X57" s="18">
        <f>SUM($V$4:V57)</f>
        <v>31215.543190081382</v>
      </c>
      <c r="Y57" s="18">
        <f t="shared" si="34"/>
        <v>31215.543190081382</v>
      </c>
      <c r="Z57" s="18">
        <f t="shared" si="35"/>
        <v>9999</v>
      </c>
      <c r="AD57" s="10">
        <f t="shared" si="50"/>
        <v>53</v>
      </c>
      <c r="AE57" s="18">
        <f>IF((AD57&lt;='Alternative 2'!$B$12),AE56+1,9999)</f>
        <v>9999</v>
      </c>
      <c r="AF57" s="101" t="e">
        <f>'Alternative 2'!I56</f>
        <v>#VALUE!</v>
      </c>
      <c r="AG57" s="101" t="e">
        <f>'Alternative 2'!J56</f>
        <v>#VALUE!</v>
      </c>
      <c r="AH57" s="18" t="e">
        <f t="shared" si="51"/>
        <v>#VALUE!</v>
      </c>
      <c r="AI57" s="18" t="e">
        <f t="shared" si="52"/>
        <v>#VALUE!</v>
      </c>
      <c r="AJ57" s="18" t="e">
        <f t="shared" si="36"/>
        <v>#VALUE!</v>
      </c>
      <c r="AK57" s="18">
        <f t="shared" si="37"/>
        <v>0</v>
      </c>
      <c r="AL57" s="18">
        <f>SUM(AK58:AK$94)</f>
        <v>0</v>
      </c>
      <c r="AM57" s="18">
        <f>SUM($AK$4:AK57)</f>
        <v>6381.1637280634177</v>
      </c>
      <c r="AN57" s="18">
        <f t="shared" si="38"/>
        <v>6381.1637280634177</v>
      </c>
      <c r="AO57" s="18">
        <f t="shared" si="39"/>
        <v>9999</v>
      </c>
      <c r="AS57" s="10">
        <f t="shared" si="53"/>
        <v>53</v>
      </c>
      <c r="AT57" s="18">
        <f>IF((AS57&lt;='Alternative 3'!$B$12),AT56+1,9999)</f>
        <v>9999</v>
      </c>
      <c r="AU57" s="101" t="e">
        <f>'Alternative 3'!I56</f>
        <v>#VALUE!</v>
      </c>
      <c r="AV57" s="101" t="e">
        <f>'Alternative 3'!J56</f>
        <v>#VALUE!</v>
      </c>
      <c r="AW57" s="18" t="e">
        <f t="shared" si="54"/>
        <v>#VALUE!</v>
      </c>
      <c r="AX57" s="18" t="e">
        <f t="shared" si="55"/>
        <v>#VALUE!</v>
      </c>
      <c r="AY57" s="18" t="e">
        <f t="shared" si="40"/>
        <v>#VALUE!</v>
      </c>
      <c r="AZ57" s="18">
        <f t="shared" si="41"/>
        <v>0</v>
      </c>
      <c r="BA57" s="18">
        <f>SUM(AZ58:AZ$94)</f>
        <v>0</v>
      </c>
      <c r="BB57" s="18">
        <f>SUM($AZ$4:AZ57)</f>
        <v>14889.382032148003</v>
      </c>
      <c r="BC57" s="18">
        <f t="shared" si="42"/>
        <v>14889.382032148003</v>
      </c>
      <c r="BD57" s="18">
        <f t="shared" si="43"/>
        <v>9999</v>
      </c>
    </row>
    <row r="58" spans="1:56" x14ac:dyDescent="0.25">
      <c r="A58" s="18">
        <f t="shared" si="44"/>
        <v>54</v>
      </c>
      <c r="B58" s="101">
        <f>'Baseline Given'!I57</f>
        <v>1.462417910447761</v>
      </c>
      <c r="C58" s="18">
        <f>'Baseline Given'!J57</f>
        <v>1.444137910447761</v>
      </c>
      <c r="D58" s="18">
        <f t="shared" si="45"/>
        <v>6.7646591308030795</v>
      </c>
      <c r="E58" s="18">
        <f t="shared" si="46"/>
        <v>6.5963484597411082</v>
      </c>
      <c r="F58" s="18">
        <f t="shared" si="28"/>
        <v>0.16831067106197128</v>
      </c>
      <c r="G58" s="18">
        <f t="shared" si="29"/>
        <v>1321.2387678364746</v>
      </c>
      <c r="H58" s="18">
        <f>SUM(G59:$G$71)</f>
        <v>15256.326577921407</v>
      </c>
      <c r="I58" s="18">
        <f>SUM($G$4:G58)</f>
        <v>107134.16880356929</v>
      </c>
      <c r="J58" s="18">
        <f t="shared" si="30"/>
        <v>91877.842225647881</v>
      </c>
      <c r="K58" s="18">
        <f t="shared" si="31"/>
        <v>54</v>
      </c>
      <c r="O58" s="10">
        <f t="shared" si="47"/>
        <v>54</v>
      </c>
      <c r="P58" s="18">
        <f>IF((O58&lt;='Alternative 1'!$B$12),P57+1,9999)</f>
        <v>9999</v>
      </c>
      <c r="Q58" s="101" t="e">
        <f>'Alternative 1'!I57</f>
        <v>#VALUE!</v>
      </c>
      <c r="R58" s="101" t="e">
        <f>'Alternative 1'!J57</f>
        <v>#VALUE!</v>
      </c>
      <c r="S58" s="18" t="e">
        <f t="shared" si="48"/>
        <v>#VALUE!</v>
      </c>
      <c r="T58" s="18" t="e">
        <f t="shared" si="49"/>
        <v>#VALUE!</v>
      </c>
      <c r="U58" s="18" t="e">
        <f t="shared" si="32"/>
        <v>#VALUE!</v>
      </c>
      <c r="V58" s="18">
        <f t="shared" si="33"/>
        <v>0</v>
      </c>
      <c r="W58" s="18">
        <f>SUM(V59:V$94)</f>
        <v>0</v>
      </c>
      <c r="X58" s="18">
        <f>SUM($V$4:V58)</f>
        <v>31215.543190081382</v>
      </c>
      <c r="Y58" s="18">
        <f t="shared" si="34"/>
        <v>31215.543190081382</v>
      </c>
      <c r="Z58" s="18">
        <f t="shared" si="35"/>
        <v>9999</v>
      </c>
      <c r="AD58" s="10">
        <f t="shared" si="50"/>
        <v>54</v>
      </c>
      <c r="AE58" s="18">
        <f>IF((AD58&lt;='Alternative 2'!$B$12),AE57+1,9999)</f>
        <v>9999</v>
      </c>
      <c r="AF58" s="101" t="e">
        <f>'Alternative 2'!I57</f>
        <v>#VALUE!</v>
      </c>
      <c r="AG58" s="101" t="e">
        <f>'Alternative 2'!J57</f>
        <v>#VALUE!</v>
      </c>
      <c r="AH58" s="18" t="e">
        <f t="shared" si="51"/>
        <v>#VALUE!</v>
      </c>
      <c r="AI58" s="18" t="e">
        <f t="shared" si="52"/>
        <v>#VALUE!</v>
      </c>
      <c r="AJ58" s="18" t="e">
        <f t="shared" si="36"/>
        <v>#VALUE!</v>
      </c>
      <c r="AK58" s="18">
        <f t="shared" si="37"/>
        <v>0</v>
      </c>
      <c r="AL58" s="18">
        <f>SUM(AK59:AK$94)</f>
        <v>0</v>
      </c>
      <c r="AM58" s="18">
        <f>SUM($AK$4:AK58)</f>
        <v>6381.1637280634177</v>
      </c>
      <c r="AN58" s="18">
        <f t="shared" si="38"/>
        <v>6381.1637280634177</v>
      </c>
      <c r="AO58" s="18">
        <f t="shared" si="39"/>
        <v>9999</v>
      </c>
      <c r="AS58" s="10">
        <f t="shared" si="53"/>
        <v>54</v>
      </c>
      <c r="AT58" s="18">
        <f>IF((AS58&lt;='Alternative 3'!$B$12),AT57+1,9999)</f>
        <v>9999</v>
      </c>
      <c r="AU58" s="101" t="e">
        <f>'Alternative 3'!I57</f>
        <v>#VALUE!</v>
      </c>
      <c r="AV58" s="101" t="e">
        <f>'Alternative 3'!J57</f>
        <v>#VALUE!</v>
      </c>
      <c r="AW58" s="18" t="e">
        <f t="shared" si="54"/>
        <v>#VALUE!</v>
      </c>
      <c r="AX58" s="18" t="e">
        <f t="shared" si="55"/>
        <v>#VALUE!</v>
      </c>
      <c r="AY58" s="18" t="e">
        <f t="shared" si="40"/>
        <v>#VALUE!</v>
      </c>
      <c r="AZ58" s="18">
        <f t="shared" si="41"/>
        <v>0</v>
      </c>
      <c r="BA58" s="18">
        <f>SUM(AZ59:AZ$94)</f>
        <v>0</v>
      </c>
      <c r="BB58" s="18">
        <f>SUM($AZ$4:AZ58)</f>
        <v>14889.382032148003</v>
      </c>
      <c r="BC58" s="18">
        <f t="shared" si="42"/>
        <v>14889.382032148003</v>
      </c>
      <c r="BD58" s="18">
        <f t="shared" si="43"/>
        <v>9999</v>
      </c>
    </row>
    <row r="59" spans="1:56" x14ac:dyDescent="0.25">
      <c r="A59" s="18">
        <f t="shared" si="44"/>
        <v>55</v>
      </c>
      <c r="B59" s="101">
        <f>'Baseline Given'!I58</f>
        <v>1.4524626865671642</v>
      </c>
      <c r="C59" s="18">
        <f>'Baseline Given'!J58</f>
        <v>1.4343626865671641</v>
      </c>
      <c r="D59" s="18">
        <f t="shared" si="45"/>
        <v>6.6731841352881993</v>
      </c>
      <c r="E59" s="18">
        <f t="shared" si="46"/>
        <v>6.5076501691644006</v>
      </c>
      <c r="F59" s="18">
        <f t="shared" si="28"/>
        <v>0.16553396612379867</v>
      </c>
      <c r="G59" s="18">
        <f t="shared" si="29"/>
        <v>1299.4416340718196</v>
      </c>
      <c r="H59" s="18">
        <f>SUM(G60:$G$71)</f>
        <v>13956.884943849587</v>
      </c>
      <c r="I59" s="18">
        <f>SUM($G$4:G59)</f>
        <v>108433.61043764111</v>
      </c>
      <c r="J59" s="18">
        <f t="shared" si="30"/>
        <v>94476.725493791528</v>
      </c>
      <c r="K59" s="18">
        <f t="shared" si="31"/>
        <v>55</v>
      </c>
      <c r="O59" s="10">
        <f t="shared" si="47"/>
        <v>55</v>
      </c>
      <c r="P59" s="18">
        <f>IF((O59&lt;='Alternative 1'!$B$12),P58+1,9999)</f>
        <v>9999</v>
      </c>
      <c r="Q59" s="101" t="e">
        <f>'Alternative 1'!I58</f>
        <v>#VALUE!</v>
      </c>
      <c r="R59" s="101" t="e">
        <f>'Alternative 1'!J58</f>
        <v>#VALUE!</v>
      </c>
      <c r="S59" s="18" t="e">
        <f t="shared" si="48"/>
        <v>#VALUE!</v>
      </c>
      <c r="T59" s="18" t="e">
        <f t="shared" si="49"/>
        <v>#VALUE!</v>
      </c>
      <c r="U59" s="18" t="e">
        <f t="shared" si="32"/>
        <v>#VALUE!</v>
      </c>
      <c r="V59" s="18">
        <f t="shared" si="33"/>
        <v>0</v>
      </c>
      <c r="W59" s="18">
        <f>SUM(V60:V$94)</f>
        <v>0</v>
      </c>
      <c r="X59" s="18">
        <f>SUM($V$4:V59)</f>
        <v>31215.543190081382</v>
      </c>
      <c r="Y59" s="18">
        <f t="shared" si="34"/>
        <v>31215.543190081382</v>
      </c>
      <c r="Z59" s="18">
        <f t="shared" si="35"/>
        <v>9999</v>
      </c>
      <c r="AD59" s="10">
        <f t="shared" si="50"/>
        <v>55</v>
      </c>
      <c r="AE59" s="18">
        <f>IF((AD59&lt;='Alternative 2'!$B$12),AE58+1,9999)</f>
        <v>9999</v>
      </c>
      <c r="AF59" s="101" t="e">
        <f>'Alternative 2'!I58</f>
        <v>#VALUE!</v>
      </c>
      <c r="AG59" s="101" t="e">
        <f>'Alternative 2'!J58</f>
        <v>#VALUE!</v>
      </c>
      <c r="AH59" s="18" t="e">
        <f t="shared" si="51"/>
        <v>#VALUE!</v>
      </c>
      <c r="AI59" s="18" t="e">
        <f t="shared" si="52"/>
        <v>#VALUE!</v>
      </c>
      <c r="AJ59" s="18" t="e">
        <f t="shared" si="36"/>
        <v>#VALUE!</v>
      </c>
      <c r="AK59" s="18">
        <f t="shared" si="37"/>
        <v>0</v>
      </c>
      <c r="AL59" s="18">
        <f>SUM(AK60:AK$94)</f>
        <v>0</v>
      </c>
      <c r="AM59" s="18">
        <f>SUM($AK$4:AK59)</f>
        <v>6381.1637280634177</v>
      </c>
      <c r="AN59" s="18">
        <f t="shared" si="38"/>
        <v>6381.1637280634177</v>
      </c>
      <c r="AO59" s="18">
        <f t="shared" si="39"/>
        <v>9999</v>
      </c>
      <c r="AS59" s="10">
        <f t="shared" si="53"/>
        <v>55</v>
      </c>
      <c r="AT59" s="18">
        <f>IF((AS59&lt;='Alternative 3'!$B$12),AT58+1,9999)</f>
        <v>9999</v>
      </c>
      <c r="AU59" s="101" t="e">
        <f>'Alternative 3'!I58</f>
        <v>#VALUE!</v>
      </c>
      <c r="AV59" s="101" t="e">
        <f>'Alternative 3'!J58</f>
        <v>#VALUE!</v>
      </c>
      <c r="AW59" s="18" t="e">
        <f t="shared" si="54"/>
        <v>#VALUE!</v>
      </c>
      <c r="AX59" s="18" t="e">
        <f t="shared" si="55"/>
        <v>#VALUE!</v>
      </c>
      <c r="AY59" s="18" t="e">
        <f t="shared" si="40"/>
        <v>#VALUE!</v>
      </c>
      <c r="AZ59" s="18">
        <f t="shared" si="41"/>
        <v>0</v>
      </c>
      <c r="BA59" s="18">
        <f>SUM(AZ60:AZ$94)</f>
        <v>0</v>
      </c>
      <c r="BB59" s="18">
        <f>SUM($AZ$4:AZ59)</f>
        <v>14889.382032148003</v>
      </c>
      <c r="BC59" s="18">
        <f t="shared" si="42"/>
        <v>14889.382032148003</v>
      </c>
      <c r="BD59" s="18">
        <f t="shared" si="43"/>
        <v>9999</v>
      </c>
    </row>
    <row r="60" spans="1:56" x14ac:dyDescent="0.25">
      <c r="A60" s="18">
        <f t="shared" si="44"/>
        <v>56</v>
      </c>
      <c r="B60" s="101">
        <f>'Baseline Given'!I59</f>
        <v>1.442507462686567</v>
      </c>
      <c r="C60" s="18">
        <f>'Baseline Given'!J59</f>
        <v>1.4245874626865671</v>
      </c>
      <c r="D60" s="18">
        <f t="shared" si="45"/>
        <v>6.5823318441680883</v>
      </c>
      <c r="E60" s="18">
        <f t="shared" si="46"/>
        <v>6.4195522683717572</v>
      </c>
      <c r="F60" s="18">
        <f t="shared" si="28"/>
        <v>0.16277957579633107</v>
      </c>
      <c r="G60" s="18">
        <f t="shared" si="29"/>
        <v>1277.8196700011988</v>
      </c>
      <c r="H60" s="18">
        <f>SUM(G61:$G$71)</f>
        <v>12679.06527384839</v>
      </c>
      <c r="I60" s="18">
        <f>SUM($G$4:G60)</f>
        <v>109711.43010764231</v>
      </c>
      <c r="J60" s="18">
        <f t="shared" si="30"/>
        <v>97032.364833793923</v>
      </c>
      <c r="K60" s="18">
        <f t="shared" si="31"/>
        <v>56</v>
      </c>
      <c r="O60" s="10">
        <f t="shared" si="47"/>
        <v>56</v>
      </c>
      <c r="P60" s="18">
        <f>IF((O60&lt;='Alternative 1'!$B$12),P59+1,9999)</f>
        <v>9999</v>
      </c>
      <c r="Q60" s="101" t="e">
        <f>'Alternative 1'!I59</f>
        <v>#VALUE!</v>
      </c>
      <c r="R60" s="101" t="e">
        <f>'Alternative 1'!J59</f>
        <v>#VALUE!</v>
      </c>
      <c r="S60" s="18" t="e">
        <f t="shared" si="48"/>
        <v>#VALUE!</v>
      </c>
      <c r="T60" s="18" t="e">
        <f t="shared" si="49"/>
        <v>#VALUE!</v>
      </c>
      <c r="U60" s="18" t="e">
        <f t="shared" si="32"/>
        <v>#VALUE!</v>
      </c>
      <c r="V60" s="18">
        <f t="shared" si="33"/>
        <v>0</v>
      </c>
      <c r="W60" s="18">
        <f>SUM(V61:V$94)</f>
        <v>0</v>
      </c>
      <c r="X60" s="18">
        <f>SUM($V$4:V60)</f>
        <v>31215.543190081382</v>
      </c>
      <c r="Y60" s="18">
        <f t="shared" si="34"/>
        <v>31215.543190081382</v>
      </c>
      <c r="Z60" s="18">
        <f t="shared" si="35"/>
        <v>9999</v>
      </c>
      <c r="AD60" s="10">
        <f t="shared" si="50"/>
        <v>56</v>
      </c>
      <c r="AE60" s="18">
        <f>IF((AD60&lt;='Alternative 2'!$B$12),AE59+1,9999)</f>
        <v>9999</v>
      </c>
      <c r="AF60" s="101" t="e">
        <f>'Alternative 2'!I59</f>
        <v>#VALUE!</v>
      </c>
      <c r="AG60" s="101" t="e">
        <f>'Alternative 2'!J59</f>
        <v>#VALUE!</v>
      </c>
      <c r="AH60" s="18" t="e">
        <f t="shared" si="51"/>
        <v>#VALUE!</v>
      </c>
      <c r="AI60" s="18" t="e">
        <f t="shared" si="52"/>
        <v>#VALUE!</v>
      </c>
      <c r="AJ60" s="18" t="e">
        <f t="shared" si="36"/>
        <v>#VALUE!</v>
      </c>
      <c r="AK60" s="18">
        <f t="shared" si="37"/>
        <v>0</v>
      </c>
      <c r="AL60" s="18">
        <f>SUM(AK61:AK$94)</f>
        <v>0</v>
      </c>
      <c r="AM60" s="18">
        <f>SUM($AK$4:AK60)</f>
        <v>6381.1637280634177</v>
      </c>
      <c r="AN60" s="18">
        <f t="shared" si="38"/>
        <v>6381.1637280634177</v>
      </c>
      <c r="AO60" s="18">
        <f t="shared" si="39"/>
        <v>9999</v>
      </c>
      <c r="AS60" s="10">
        <f t="shared" si="53"/>
        <v>56</v>
      </c>
      <c r="AT60" s="18">
        <f>IF((AS60&lt;='Alternative 3'!$B$12),AT59+1,9999)</f>
        <v>9999</v>
      </c>
      <c r="AU60" s="101" t="e">
        <f>'Alternative 3'!I59</f>
        <v>#VALUE!</v>
      </c>
      <c r="AV60" s="101" t="e">
        <f>'Alternative 3'!J59</f>
        <v>#VALUE!</v>
      </c>
      <c r="AW60" s="18" t="e">
        <f t="shared" si="54"/>
        <v>#VALUE!</v>
      </c>
      <c r="AX60" s="18" t="e">
        <f t="shared" si="55"/>
        <v>#VALUE!</v>
      </c>
      <c r="AY60" s="18" t="e">
        <f t="shared" si="40"/>
        <v>#VALUE!</v>
      </c>
      <c r="AZ60" s="18">
        <f t="shared" si="41"/>
        <v>0</v>
      </c>
      <c r="BA60" s="18">
        <f>SUM(AZ61:AZ$94)</f>
        <v>0</v>
      </c>
      <c r="BB60" s="18">
        <f>SUM($AZ$4:AZ60)</f>
        <v>14889.382032148003</v>
      </c>
      <c r="BC60" s="18">
        <f t="shared" si="42"/>
        <v>14889.382032148003</v>
      </c>
      <c r="BD60" s="18">
        <f t="shared" si="43"/>
        <v>9999</v>
      </c>
    </row>
    <row r="61" spans="1:56" x14ac:dyDescent="0.25">
      <c r="A61" s="18">
        <f t="shared" si="44"/>
        <v>57</v>
      </c>
      <c r="B61" s="101">
        <f>'Baseline Given'!I60</f>
        <v>1.4325522388059699</v>
      </c>
      <c r="C61" s="18">
        <f>'Baseline Given'!J60</f>
        <v>1.4148122388059698</v>
      </c>
      <c r="D61" s="18">
        <f t="shared" si="45"/>
        <v>6.4921022574427472</v>
      </c>
      <c r="E61" s="18">
        <f t="shared" si="46"/>
        <v>6.332054757363176</v>
      </c>
      <c r="F61" s="18">
        <f t="shared" si="28"/>
        <v>0.16004750007957114</v>
      </c>
      <c r="G61" s="18">
        <f t="shared" si="29"/>
        <v>1256.3728756246335</v>
      </c>
      <c r="H61" s="18">
        <f>SUM(G62:$G$71)</f>
        <v>11422.692398223755</v>
      </c>
      <c r="I61" s="18">
        <f>SUM($G$4:G61)</f>
        <v>110967.80298326694</v>
      </c>
      <c r="J61" s="18">
        <f t="shared" si="30"/>
        <v>99545.110585043192</v>
      </c>
      <c r="K61" s="18">
        <f t="shared" si="31"/>
        <v>57</v>
      </c>
      <c r="O61" s="10">
        <f t="shared" si="47"/>
        <v>57</v>
      </c>
      <c r="P61" s="18">
        <f>IF((O61&lt;='Alternative 1'!$B$12),P60+1,9999)</f>
        <v>9999</v>
      </c>
      <c r="Q61" s="101" t="e">
        <f>'Alternative 1'!I60</f>
        <v>#VALUE!</v>
      </c>
      <c r="R61" s="101" t="e">
        <f>'Alternative 1'!J60</f>
        <v>#VALUE!</v>
      </c>
      <c r="S61" s="18" t="e">
        <f t="shared" si="48"/>
        <v>#VALUE!</v>
      </c>
      <c r="T61" s="18" t="e">
        <f t="shared" si="49"/>
        <v>#VALUE!</v>
      </c>
      <c r="U61" s="18" t="e">
        <f t="shared" si="32"/>
        <v>#VALUE!</v>
      </c>
      <c r="V61" s="18">
        <f t="shared" si="33"/>
        <v>0</v>
      </c>
      <c r="W61" s="18">
        <f>SUM(V62:V$94)</f>
        <v>0</v>
      </c>
      <c r="X61" s="18">
        <f>SUM($V$4:V61)</f>
        <v>31215.543190081382</v>
      </c>
      <c r="Y61" s="18">
        <f t="shared" si="34"/>
        <v>31215.543190081382</v>
      </c>
      <c r="Z61" s="18">
        <f t="shared" si="35"/>
        <v>9999</v>
      </c>
      <c r="AD61" s="10">
        <f t="shared" si="50"/>
        <v>57</v>
      </c>
      <c r="AE61" s="18">
        <f>IF((AD61&lt;='Alternative 2'!$B$12),AE60+1,9999)</f>
        <v>9999</v>
      </c>
      <c r="AF61" s="101" t="e">
        <f>'Alternative 2'!I60</f>
        <v>#VALUE!</v>
      </c>
      <c r="AG61" s="101" t="e">
        <f>'Alternative 2'!J60</f>
        <v>#VALUE!</v>
      </c>
      <c r="AH61" s="18" t="e">
        <f t="shared" si="51"/>
        <v>#VALUE!</v>
      </c>
      <c r="AI61" s="18" t="e">
        <f t="shared" si="52"/>
        <v>#VALUE!</v>
      </c>
      <c r="AJ61" s="18" t="e">
        <f t="shared" si="36"/>
        <v>#VALUE!</v>
      </c>
      <c r="AK61" s="18">
        <f t="shared" si="37"/>
        <v>0</v>
      </c>
      <c r="AL61" s="18">
        <f>SUM(AK62:AK$94)</f>
        <v>0</v>
      </c>
      <c r="AM61" s="18">
        <f>SUM($AK$4:AK61)</f>
        <v>6381.1637280634177</v>
      </c>
      <c r="AN61" s="18">
        <f t="shared" si="38"/>
        <v>6381.1637280634177</v>
      </c>
      <c r="AO61" s="18">
        <f t="shared" si="39"/>
        <v>9999</v>
      </c>
      <c r="AS61" s="10">
        <f t="shared" si="53"/>
        <v>57</v>
      </c>
      <c r="AT61" s="18">
        <f>IF((AS61&lt;='Alternative 3'!$B$12),AT60+1,9999)</f>
        <v>9999</v>
      </c>
      <c r="AU61" s="101" t="e">
        <f>'Alternative 3'!I60</f>
        <v>#VALUE!</v>
      </c>
      <c r="AV61" s="101" t="e">
        <f>'Alternative 3'!J60</f>
        <v>#VALUE!</v>
      </c>
      <c r="AW61" s="18" t="e">
        <f t="shared" si="54"/>
        <v>#VALUE!</v>
      </c>
      <c r="AX61" s="18" t="e">
        <f t="shared" si="55"/>
        <v>#VALUE!</v>
      </c>
      <c r="AY61" s="18" t="e">
        <f t="shared" si="40"/>
        <v>#VALUE!</v>
      </c>
      <c r="AZ61" s="18">
        <f t="shared" si="41"/>
        <v>0</v>
      </c>
      <c r="BA61" s="18">
        <f>SUM(AZ62:AZ$94)</f>
        <v>0</v>
      </c>
      <c r="BB61" s="18">
        <f>SUM($AZ$4:AZ61)</f>
        <v>14889.382032148003</v>
      </c>
      <c r="BC61" s="18">
        <f t="shared" si="42"/>
        <v>14889.382032148003</v>
      </c>
      <c r="BD61" s="18">
        <f t="shared" si="43"/>
        <v>9999</v>
      </c>
    </row>
    <row r="62" spans="1:56" x14ac:dyDescent="0.25">
      <c r="A62" s="18">
        <f t="shared" si="44"/>
        <v>58</v>
      </c>
      <c r="B62" s="101">
        <f>'Baseline Given'!I61</f>
        <v>1.422597014925373</v>
      </c>
      <c r="C62" s="18">
        <f>'Baseline Given'!J61</f>
        <v>1.405037014925373</v>
      </c>
      <c r="D62" s="18">
        <f t="shared" si="45"/>
        <v>6.4024953751121787</v>
      </c>
      <c r="E62" s="18">
        <f t="shared" si="46"/>
        <v>6.2451576361386625</v>
      </c>
      <c r="F62" s="18">
        <f t="shared" si="28"/>
        <v>0.15733773897351622</v>
      </c>
      <c r="G62" s="18">
        <f t="shared" si="29"/>
        <v>1235.1012509421023</v>
      </c>
      <c r="H62" s="18">
        <f>SUM(G63:$G$71)</f>
        <v>10187.591147281653</v>
      </c>
      <c r="I62" s="18">
        <f>SUM($G$4:G62)</f>
        <v>112202.90423420904</v>
      </c>
      <c r="J62" s="18">
        <f t="shared" si="30"/>
        <v>102015.31308692739</v>
      </c>
      <c r="K62" s="18">
        <f t="shared" si="31"/>
        <v>58</v>
      </c>
      <c r="O62" s="10">
        <f t="shared" si="47"/>
        <v>58</v>
      </c>
      <c r="P62" s="18">
        <f>IF((O62&lt;='Alternative 1'!$B$12),P61+1,9999)</f>
        <v>9999</v>
      </c>
      <c r="Q62" s="101" t="e">
        <f>'Alternative 1'!I61</f>
        <v>#VALUE!</v>
      </c>
      <c r="R62" s="101" t="e">
        <f>'Alternative 1'!J61</f>
        <v>#VALUE!</v>
      </c>
      <c r="S62" s="18" t="e">
        <f t="shared" si="48"/>
        <v>#VALUE!</v>
      </c>
      <c r="T62" s="18" t="e">
        <f t="shared" si="49"/>
        <v>#VALUE!</v>
      </c>
      <c r="U62" s="18" t="e">
        <f t="shared" si="32"/>
        <v>#VALUE!</v>
      </c>
      <c r="V62" s="18">
        <f t="shared" si="33"/>
        <v>0</v>
      </c>
      <c r="W62" s="18">
        <f>SUM(V63:V$94)</f>
        <v>0</v>
      </c>
      <c r="X62" s="18">
        <f>SUM($V$4:V62)</f>
        <v>31215.543190081382</v>
      </c>
      <c r="Y62" s="18">
        <f t="shared" si="34"/>
        <v>31215.543190081382</v>
      </c>
      <c r="Z62" s="18">
        <f t="shared" si="35"/>
        <v>9999</v>
      </c>
      <c r="AD62" s="10">
        <f t="shared" si="50"/>
        <v>58</v>
      </c>
      <c r="AE62" s="18">
        <f>IF((AD62&lt;='Alternative 2'!$B$12),AE61+1,9999)</f>
        <v>9999</v>
      </c>
      <c r="AF62" s="101" t="e">
        <f>'Alternative 2'!I61</f>
        <v>#VALUE!</v>
      </c>
      <c r="AG62" s="101" t="e">
        <f>'Alternative 2'!J61</f>
        <v>#VALUE!</v>
      </c>
      <c r="AH62" s="18" t="e">
        <f t="shared" si="51"/>
        <v>#VALUE!</v>
      </c>
      <c r="AI62" s="18" t="e">
        <f t="shared" si="52"/>
        <v>#VALUE!</v>
      </c>
      <c r="AJ62" s="18" t="e">
        <f t="shared" si="36"/>
        <v>#VALUE!</v>
      </c>
      <c r="AK62" s="18">
        <f t="shared" si="37"/>
        <v>0</v>
      </c>
      <c r="AL62" s="18">
        <f>SUM(AK63:AK$94)</f>
        <v>0</v>
      </c>
      <c r="AM62" s="18">
        <f>SUM($AK$4:AK62)</f>
        <v>6381.1637280634177</v>
      </c>
      <c r="AN62" s="18">
        <f t="shared" si="38"/>
        <v>6381.1637280634177</v>
      </c>
      <c r="AO62" s="18">
        <f t="shared" si="39"/>
        <v>9999</v>
      </c>
      <c r="AS62" s="10">
        <f t="shared" si="53"/>
        <v>58</v>
      </c>
      <c r="AT62" s="18">
        <f>IF((AS62&lt;='Alternative 3'!$B$12),AT61+1,9999)</f>
        <v>9999</v>
      </c>
      <c r="AU62" s="101" t="e">
        <f>'Alternative 3'!I61</f>
        <v>#VALUE!</v>
      </c>
      <c r="AV62" s="101" t="e">
        <f>'Alternative 3'!J61</f>
        <v>#VALUE!</v>
      </c>
      <c r="AW62" s="18" t="e">
        <f t="shared" si="54"/>
        <v>#VALUE!</v>
      </c>
      <c r="AX62" s="18" t="e">
        <f t="shared" si="55"/>
        <v>#VALUE!</v>
      </c>
      <c r="AY62" s="18" t="e">
        <f t="shared" si="40"/>
        <v>#VALUE!</v>
      </c>
      <c r="AZ62" s="18">
        <f t="shared" si="41"/>
        <v>0</v>
      </c>
      <c r="BA62" s="18">
        <f>SUM(AZ63:AZ$94)</f>
        <v>0</v>
      </c>
      <c r="BB62" s="18">
        <f>SUM($AZ$4:AZ62)</f>
        <v>14889.382032148003</v>
      </c>
      <c r="BC62" s="18">
        <f t="shared" si="42"/>
        <v>14889.382032148003</v>
      </c>
      <c r="BD62" s="18">
        <f t="shared" si="43"/>
        <v>9999</v>
      </c>
    </row>
    <row r="63" spans="1:56" x14ac:dyDescent="0.25">
      <c r="A63" s="18">
        <f t="shared" si="44"/>
        <v>59</v>
      </c>
      <c r="B63" s="101">
        <f>'Baseline Given'!I62</f>
        <v>1.4126417910447762</v>
      </c>
      <c r="C63" s="18">
        <f>'Baseline Given'!J62</f>
        <v>1.3952617910447762</v>
      </c>
      <c r="D63" s="18">
        <f t="shared" si="45"/>
        <v>6.313511197176382</v>
      </c>
      <c r="E63" s="18">
        <f t="shared" si="46"/>
        <v>6.1588609046982157</v>
      </c>
      <c r="F63" s="18">
        <f t="shared" si="28"/>
        <v>0.15465029247816631</v>
      </c>
      <c r="G63" s="18">
        <f t="shared" si="29"/>
        <v>1214.0047959536055</v>
      </c>
      <c r="H63" s="18">
        <f>SUM(G64:$G$71)</f>
        <v>8973.5863513280492</v>
      </c>
      <c r="I63" s="18">
        <f>SUM($G$4:G63)</f>
        <v>113416.90903016264</v>
      </c>
      <c r="J63" s="18">
        <f t="shared" si="30"/>
        <v>104443.32267883459</v>
      </c>
      <c r="K63" s="18">
        <f t="shared" si="31"/>
        <v>59</v>
      </c>
      <c r="O63" s="10">
        <f t="shared" si="47"/>
        <v>59</v>
      </c>
      <c r="P63" s="18">
        <f>IF((O63&lt;='Alternative 1'!$B$12),P62+1,9999)</f>
        <v>9999</v>
      </c>
      <c r="Q63" s="101" t="e">
        <f>'Alternative 1'!I62</f>
        <v>#VALUE!</v>
      </c>
      <c r="R63" s="101" t="e">
        <f>'Alternative 1'!J62</f>
        <v>#VALUE!</v>
      </c>
      <c r="S63" s="18" t="e">
        <f t="shared" si="48"/>
        <v>#VALUE!</v>
      </c>
      <c r="T63" s="18" t="e">
        <f t="shared" si="49"/>
        <v>#VALUE!</v>
      </c>
      <c r="U63" s="18" t="e">
        <f t="shared" si="32"/>
        <v>#VALUE!</v>
      </c>
      <c r="V63" s="18">
        <f t="shared" si="33"/>
        <v>0</v>
      </c>
      <c r="W63" s="18">
        <f>SUM(V64:V$94)</f>
        <v>0</v>
      </c>
      <c r="X63" s="18">
        <f>SUM($V$4:V63)</f>
        <v>31215.543190081382</v>
      </c>
      <c r="Y63" s="18">
        <f t="shared" si="34"/>
        <v>31215.543190081382</v>
      </c>
      <c r="Z63" s="18">
        <f t="shared" si="35"/>
        <v>9999</v>
      </c>
      <c r="AD63" s="10">
        <f t="shared" si="50"/>
        <v>59</v>
      </c>
      <c r="AE63" s="18">
        <f>IF((AD63&lt;='Alternative 2'!$B$12),AE62+1,9999)</f>
        <v>9999</v>
      </c>
      <c r="AF63" s="101" t="e">
        <f>'Alternative 2'!I62</f>
        <v>#VALUE!</v>
      </c>
      <c r="AG63" s="101" t="e">
        <f>'Alternative 2'!J62</f>
        <v>#VALUE!</v>
      </c>
      <c r="AH63" s="18" t="e">
        <f t="shared" si="51"/>
        <v>#VALUE!</v>
      </c>
      <c r="AI63" s="18" t="e">
        <f t="shared" si="52"/>
        <v>#VALUE!</v>
      </c>
      <c r="AJ63" s="18" t="e">
        <f t="shared" si="36"/>
        <v>#VALUE!</v>
      </c>
      <c r="AK63" s="18">
        <f t="shared" si="37"/>
        <v>0</v>
      </c>
      <c r="AL63" s="18">
        <f>SUM(AK64:AK$94)</f>
        <v>0</v>
      </c>
      <c r="AM63" s="18">
        <f>SUM($AK$4:AK63)</f>
        <v>6381.1637280634177</v>
      </c>
      <c r="AN63" s="18">
        <f t="shared" si="38"/>
        <v>6381.1637280634177</v>
      </c>
      <c r="AO63" s="18">
        <f t="shared" si="39"/>
        <v>9999</v>
      </c>
      <c r="AS63" s="10">
        <f t="shared" si="53"/>
        <v>59</v>
      </c>
      <c r="AT63" s="18">
        <f>IF((AS63&lt;='Alternative 3'!$B$12),AT62+1,9999)</f>
        <v>9999</v>
      </c>
      <c r="AU63" s="101" t="e">
        <f>'Alternative 3'!I62</f>
        <v>#VALUE!</v>
      </c>
      <c r="AV63" s="101" t="e">
        <f>'Alternative 3'!J62</f>
        <v>#VALUE!</v>
      </c>
      <c r="AW63" s="18" t="e">
        <f t="shared" si="54"/>
        <v>#VALUE!</v>
      </c>
      <c r="AX63" s="18" t="e">
        <f t="shared" si="55"/>
        <v>#VALUE!</v>
      </c>
      <c r="AY63" s="18" t="e">
        <f t="shared" si="40"/>
        <v>#VALUE!</v>
      </c>
      <c r="AZ63" s="18">
        <f t="shared" si="41"/>
        <v>0</v>
      </c>
      <c r="BA63" s="18">
        <f>SUM(AZ64:AZ$94)</f>
        <v>0</v>
      </c>
      <c r="BB63" s="18">
        <f>SUM($AZ$4:AZ63)</f>
        <v>14889.382032148003</v>
      </c>
      <c r="BC63" s="18">
        <f t="shared" si="42"/>
        <v>14889.382032148003</v>
      </c>
      <c r="BD63" s="18">
        <f t="shared" si="43"/>
        <v>9999</v>
      </c>
    </row>
    <row r="64" spans="1:56" x14ac:dyDescent="0.25">
      <c r="A64" s="18">
        <f t="shared" si="44"/>
        <v>60</v>
      </c>
      <c r="B64" s="101">
        <f>'Baseline Given'!I63</f>
        <v>1.4026865671641791</v>
      </c>
      <c r="C64" s="18">
        <f>'Baseline Given'!J63</f>
        <v>1.385486567164179</v>
      </c>
      <c r="D64" s="18">
        <f t="shared" si="45"/>
        <v>6.2251497236353543</v>
      </c>
      <c r="E64" s="18">
        <f t="shared" si="46"/>
        <v>6.0731645630418303</v>
      </c>
      <c r="F64" s="18">
        <f t="shared" si="28"/>
        <v>0.15198516059352407</v>
      </c>
      <c r="G64" s="18">
        <f t="shared" si="29"/>
        <v>1193.0835106591639</v>
      </c>
      <c r="H64" s="18">
        <f>SUM(G65:$G$71)</f>
        <v>7780.5028406688853</v>
      </c>
      <c r="I64" s="18">
        <f>SUM($G$4:G64)</f>
        <v>114609.99254082181</v>
      </c>
      <c r="J64" s="18">
        <f t="shared" si="30"/>
        <v>106829.48970015293</v>
      </c>
      <c r="K64" s="18">
        <f t="shared" si="31"/>
        <v>60</v>
      </c>
      <c r="O64" s="10">
        <f t="shared" si="47"/>
        <v>60</v>
      </c>
      <c r="P64" s="18">
        <f>IF((O64&lt;='Alternative 1'!$B$12),P63+1,9999)</f>
        <v>9999</v>
      </c>
      <c r="Q64" s="101" t="e">
        <f>'Alternative 1'!I63</f>
        <v>#VALUE!</v>
      </c>
      <c r="R64" s="101" t="e">
        <f>'Alternative 1'!J63</f>
        <v>#VALUE!</v>
      </c>
      <c r="S64" s="18" t="e">
        <f t="shared" si="48"/>
        <v>#VALUE!</v>
      </c>
      <c r="T64" s="18" t="e">
        <f t="shared" si="49"/>
        <v>#VALUE!</v>
      </c>
      <c r="U64" s="18" t="e">
        <f t="shared" si="32"/>
        <v>#VALUE!</v>
      </c>
      <c r="V64" s="18">
        <f t="shared" si="33"/>
        <v>0</v>
      </c>
      <c r="W64" s="18">
        <f>SUM(V65:V$94)</f>
        <v>0</v>
      </c>
      <c r="X64" s="18">
        <f>SUM($V$4:V64)</f>
        <v>31215.543190081382</v>
      </c>
      <c r="Y64" s="18">
        <f t="shared" si="34"/>
        <v>31215.543190081382</v>
      </c>
      <c r="Z64" s="18">
        <f t="shared" si="35"/>
        <v>9999</v>
      </c>
      <c r="AD64" s="10">
        <f t="shared" si="50"/>
        <v>60</v>
      </c>
      <c r="AE64" s="18">
        <f>IF((AD64&lt;='Alternative 2'!$B$12),AE63+1,9999)</f>
        <v>9999</v>
      </c>
      <c r="AF64" s="101" t="e">
        <f>'Alternative 2'!I63</f>
        <v>#VALUE!</v>
      </c>
      <c r="AG64" s="101" t="e">
        <f>'Alternative 2'!J63</f>
        <v>#VALUE!</v>
      </c>
      <c r="AH64" s="18" t="e">
        <f t="shared" si="51"/>
        <v>#VALUE!</v>
      </c>
      <c r="AI64" s="18" t="e">
        <f t="shared" si="52"/>
        <v>#VALUE!</v>
      </c>
      <c r="AJ64" s="18" t="e">
        <f t="shared" si="36"/>
        <v>#VALUE!</v>
      </c>
      <c r="AK64" s="18">
        <f t="shared" si="37"/>
        <v>0</v>
      </c>
      <c r="AL64" s="18">
        <f>SUM(AK65:AK$94)</f>
        <v>0</v>
      </c>
      <c r="AM64" s="18">
        <f>SUM($AK$4:AK64)</f>
        <v>6381.1637280634177</v>
      </c>
      <c r="AN64" s="18">
        <f t="shared" si="38"/>
        <v>6381.1637280634177</v>
      </c>
      <c r="AO64" s="18">
        <f t="shared" si="39"/>
        <v>9999</v>
      </c>
      <c r="AS64" s="10">
        <f t="shared" si="53"/>
        <v>60</v>
      </c>
      <c r="AT64" s="18">
        <f>IF((AS64&lt;='Alternative 3'!$B$12),AT63+1,9999)</f>
        <v>9999</v>
      </c>
      <c r="AU64" s="101" t="e">
        <f>'Alternative 3'!I63</f>
        <v>#VALUE!</v>
      </c>
      <c r="AV64" s="101" t="e">
        <f>'Alternative 3'!J63</f>
        <v>#VALUE!</v>
      </c>
      <c r="AW64" s="18" t="e">
        <f t="shared" si="54"/>
        <v>#VALUE!</v>
      </c>
      <c r="AX64" s="18" t="e">
        <f t="shared" si="55"/>
        <v>#VALUE!</v>
      </c>
      <c r="AY64" s="18" t="e">
        <f t="shared" si="40"/>
        <v>#VALUE!</v>
      </c>
      <c r="AZ64" s="18">
        <f t="shared" si="41"/>
        <v>0</v>
      </c>
      <c r="BA64" s="18">
        <f>SUM(AZ65:AZ$94)</f>
        <v>0</v>
      </c>
      <c r="BB64" s="18">
        <f>SUM($AZ$4:AZ64)</f>
        <v>14889.382032148003</v>
      </c>
      <c r="BC64" s="18">
        <f t="shared" si="42"/>
        <v>14889.382032148003</v>
      </c>
      <c r="BD64" s="18">
        <f t="shared" si="43"/>
        <v>9999</v>
      </c>
    </row>
    <row r="65" spans="1:56" x14ac:dyDescent="0.25">
      <c r="A65" s="18">
        <f t="shared" si="44"/>
        <v>61</v>
      </c>
      <c r="B65" s="101">
        <f>'Baseline Given'!I64</f>
        <v>1.3927313432835819</v>
      </c>
      <c r="C65" s="18">
        <f>'Baseline Given'!J64</f>
        <v>1.3757113432835819</v>
      </c>
      <c r="D65" s="18">
        <f t="shared" si="45"/>
        <v>6.1374109544890958</v>
      </c>
      <c r="E65" s="18">
        <f t="shared" si="46"/>
        <v>5.9880686111695107</v>
      </c>
      <c r="F65" s="18">
        <f t="shared" si="28"/>
        <v>0.14934234331958507</v>
      </c>
      <c r="G65" s="18">
        <f t="shared" si="29"/>
        <v>1172.3373950587427</v>
      </c>
      <c r="H65" s="18">
        <f>SUM(G66:$G$71)</f>
        <v>6608.1654456101423</v>
      </c>
      <c r="I65" s="18">
        <f>SUM($G$4:G65)</f>
        <v>115782.32993588055</v>
      </c>
      <c r="J65" s="18">
        <f t="shared" si="30"/>
        <v>109174.16449027041</v>
      </c>
      <c r="K65" s="18">
        <f t="shared" si="31"/>
        <v>61</v>
      </c>
      <c r="O65" s="10">
        <f t="shared" si="47"/>
        <v>61</v>
      </c>
      <c r="P65" s="18">
        <f>IF((O65&lt;='Alternative 1'!$B$12),P64+1,9999)</f>
        <v>9999</v>
      </c>
      <c r="Q65" s="101" t="e">
        <f>'Alternative 1'!I64</f>
        <v>#VALUE!</v>
      </c>
      <c r="R65" s="101" t="e">
        <f>'Alternative 1'!J64</f>
        <v>#VALUE!</v>
      </c>
      <c r="S65" s="18" t="e">
        <f t="shared" si="48"/>
        <v>#VALUE!</v>
      </c>
      <c r="T65" s="18" t="e">
        <f t="shared" si="49"/>
        <v>#VALUE!</v>
      </c>
      <c r="U65" s="18" t="e">
        <f t="shared" si="32"/>
        <v>#VALUE!</v>
      </c>
      <c r="V65" s="18">
        <f t="shared" si="33"/>
        <v>0</v>
      </c>
      <c r="W65" s="18">
        <f>SUM(V66:V$94)</f>
        <v>0</v>
      </c>
      <c r="X65" s="18">
        <f>SUM($V$4:V65)</f>
        <v>31215.543190081382</v>
      </c>
      <c r="Y65" s="18">
        <f t="shared" si="34"/>
        <v>31215.543190081382</v>
      </c>
      <c r="Z65" s="18">
        <f t="shared" si="35"/>
        <v>9999</v>
      </c>
      <c r="AD65" s="10">
        <f t="shared" si="50"/>
        <v>61</v>
      </c>
      <c r="AE65" s="18">
        <f>IF((AD65&lt;='Alternative 2'!$B$12),AE64+1,9999)</f>
        <v>9999</v>
      </c>
      <c r="AF65" s="101" t="e">
        <f>'Alternative 2'!I64</f>
        <v>#VALUE!</v>
      </c>
      <c r="AG65" s="101" t="e">
        <f>'Alternative 2'!J64</f>
        <v>#VALUE!</v>
      </c>
      <c r="AH65" s="18" t="e">
        <f t="shared" si="51"/>
        <v>#VALUE!</v>
      </c>
      <c r="AI65" s="18" t="e">
        <f t="shared" si="52"/>
        <v>#VALUE!</v>
      </c>
      <c r="AJ65" s="18" t="e">
        <f t="shared" si="36"/>
        <v>#VALUE!</v>
      </c>
      <c r="AK65" s="18">
        <f t="shared" si="37"/>
        <v>0</v>
      </c>
      <c r="AL65" s="18">
        <f>SUM(AK66:AK$94)</f>
        <v>0</v>
      </c>
      <c r="AM65" s="18">
        <f>SUM($AK$4:AK65)</f>
        <v>6381.1637280634177</v>
      </c>
      <c r="AN65" s="18">
        <f t="shared" si="38"/>
        <v>6381.1637280634177</v>
      </c>
      <c r="AO65" s="18">
        <f t="shared" si="39"/>
        <v>9999</v>
      </c>
      <c r="AS65" s="10">
        <f t="shared" si="53"/>
        <v>61</v>
      </c>
      <c r="AT65" s="18">
        <f>IF((AS65&lt;='Alternative 3'!$B$12),AT64+1,9999)</f>
        <v>9999</v>
      </c>
      <c r="AU65" s="101" t="e">
        <f>'Alternative 3'!I64</f>
        <v>#VALUE!</v>
      </c>
      <c r="AV65" s="101" t="e">
        <f>'Alternative 3'!J64</f>
        <v>#VALUE!</v>
      </c>
      <c r="AW65" s="18" t="e">
        <f t="shared" si="54"/>
        <v>#VALUE!</v>
      </c>
      <c r="AX65" s="18" t="e">
        <f t="shared" si="55"/>
        <v>#VALUE!</v>
      </c>
      <c r="AY65" s="18" t="e">
        <f t="shared" si="40"/>
        <v>#VALUE!</v>
      </c>
      <c r="AZ65" s="18">
        <f t="shared" si="41"/>
        <v>0</v>
      </c>
      <c r="BA65" s="18">
        <f>SUM(AZ66:AZ$94)</f>
        <v>0</v>
      </c>
      <c r="BB65" s="18">
        <f>SUM($AZ$4:AZ65)</f>
        <v>14889.382032148003</v>
      </c>
      <c r="BC65" s="18">
        <f t="shared" si="42"/>
        <v>14889.382032148003</v>
      </c>
      <c r="BD65" s="18">
        <f t="shared" si="43"/>
        <v>9999</v>
      </c>
    </row>
    <row r="66" spans="1:56" x14ac:dyDescent="0.25">
      <c r="A66" s="18">
        <f t="shared" si="44"/>
        <v>62</v>
      </c>
      <c r="B66" s="101">
        <f>'Baseline Given'!I65</f>
        <v>1.3827761194029851</v>
      </c>
      <c r="C66" s="18">
        <f>'Baseline Given'!J65</f>
        <v>1.3659361194029851</v>
      </c>
      <c r="D66" s="18">
        <f t="shared" si="45"/>
        <v>6.050294889737609</v>
      </c>
      <c r="E66" s="18">
        <f t="shared" si="46"/>
        <v>5.903573049081257</v>
      </c>
      <c r="F66" s="18">
        <f t="shared" si="28"/>
        <v>0.14672184065635197</v>
      </c>
      <c r="G66" s="18">
        <f t="shared" si="29"/>
        <v>1151.7664491523628</v>
      </c>
      <c r="H66" s="18">
        <f>SUM(G67:$G$71)</f>
        <v>5456.3989964577795</v>
      </c>
      <c r="I66" s="18">
        <f>SUM($G$4:G66)</f>
        <v>116934.09638503291</v>
      </c>
      <c r="J66" s="18">
        <f t="shared" si="30"/>
        <v>111477.69738857514</v>
      </c>
      <c r="K66" s="18">
        <f t="shared" si="31"/>
        <v>62</v>
      </c>
      <c r="O66" s="10">
        <f t="shared" si="47"/>
        <v>62</v>
      </c>
      <c r="P66" s="18">
        <f>IF((O66&lt;='Alternative 1'!$B$12),P65+1,9999)</f>
        <v>9999</v>
      </c>
      <c r="Q66" s="101" t="e">
        <f>'Alternative 1'!I65</f>
        <v>#VALUE!</v>
      </c>
      <c r="R66" s="101" t="e">
        <f>'Alternative 1'!J65</f>
        <v>#VALUE!</v>
      </c>
      <c r="S66" s="18" t="e">
        <f t="shared" si="48"/>
        <v>#VALUE!</v>
      </c>
      <c r="T66" s="18" t="e">
        <f t="shared" si="49"/>
        <v>#VALUE!</v>
      </c>
      <c r="U66" s="18" t="e">
        <f t="shared" si="32"/>
        <v>#VALUE!</v>
      </c>
      <c r="V66" s="18">
        <f t="shared" si="33"/>
        <v>0</v>
      </c>
      <c r="W66" s="18">
        <f>SUM(V67:V$94)</f>
        <v>0</v>
      </c>
      <c r="X66" s="18">
        <f>SUM($V$4:V66)</f>
        <v>31215.543190081382</v>
      </c>
      <c r="Y66" s="18">
        <f t="shared" si="34"/>
        <v>31215.543190081382</v>
      </c>
      <c r="Z66" s="18">
        <f t="shared" si="35"/>
        <v>9999</v>
      </c>
      <c r="AD66" s="10">
        <f t="shared" si="50"/>
        <v>62</v>
      </c>
      <c r="AE66" s="18">
        <f>IF((AD66&lt;='Alternative 2'!$B$12),AE65+1,9999)</f>
        <v>9999</v>
      </c>
      <c r="AF66" s="101" t="e">
        <f>'Alternative 2'!I65</f>
        <v>#VALUE!</v>
      </c>
      <c r="AG66" s="101" t="e">
        <f>'Alternative 2'!J65</f>
        <v>#VALUE!</v>
      </c>
      <c r="AH66" s="18" t="e">
        <f t="shared" si="51"/>
        <v>#VALUE!</v>
      </c>
      <c r="AI66" s="18" t="e">
        <f t="shared" si="52"/>
        <v>#VALUE!</v>
      </c>
      <c r="AJ66" s="18" t="e">
        <f t="shared" si="36"/>
        <v>#VALUE!</v>
      </c>
      <c r="AK66" s="18">
        <f t="shared" si="37"/>
        <v>0</v>
      </c>
      <c r="AL66" s="18">
        <f>SUM(AK67:AK$94)</f>
        <v>0</v>
      </c>
      <c r="AM66" s="18">
        <f>SUM($AK$4:AK66)</f>
        <v>6381.1637280634177</v>
      </c>
      <c r="AN66" s="18">
        <f t="shared" si="38"/>
        <v>6381.1637280634177</v>
      </c>
      <c r="AO66" s="18">
        <f t="shared" si="39"/>
        <v>9999</v>
      </c>
      <c r="AS66" s="10">
        <f t="shared" si="53"/>
        <v>62</v>
      </c>
      <c r="AT66" s="18">
        <f>IF((AS66&lt;='Alternative 3'!$B$12),AT65+1,9999)</f>
        <v>9999</v>
      </c>
      <c r="AU66" s="101" t="e">
        <f>'Alternative 3'!I65</f>
        <v>#VALUE!</v>
      </c>
      <c r="AV66" s="101" t="e">
        <f>'Alternative 3'!J65</f>
        <v>#VALUE!</v>
      </c>
      <c r="AW66" s="18" t="e">
        <f t="shared" si="54"/>
        <v>#VALUE!</v>
      </c>
      <c r="AX66" s="18" t="e">
        <f t="shared" si="55"/>
        <v>#VALUE!</v>
      </c>
      <c r="AY66" s="18" t="e">
        <f t="shared" si="40"/>
        <v>#VALUE!</v>
      </c>
      <c r="AZ66" s="18">
        <f t="shared" si="41"/>
        <v>0</v>
      </c>
      <c r="BA66" s="18">
        <f>SUM(AZ67:AZ$94)</f>
        <v>0</v>
      </c>
      <c r="BB66" s="18">
        <f>SUM($AZ$4:AZ66)</f>
        <v>14889.382032148003</v>
      </c>
      <c r="BC66" s="18">
        <f t="shared" si="42"/>
        <v>14889.382032148003</v>
      </c>
      <c r="BD66" s="18">
        <f t="shared" si="43"/>
        <v>9999</v>
      </c>
    </row>
    <row r="67" spans="1:56" x14ac:dyDescent="0.25">
      <c r="A67" s="18">
        <f t="shared" si="44"/>
        <v>63</v>
      </c>
      <c r="B67" s="101">
        <f>'Baseline Given'!I66</f>
        <v>1.372820895522388</v>
      </c>
      <c r="C67" s="18">
        <f>'Baseline Given'!J66</f>
        <v>1.3561608955223878</v>
      </c>
      <c r="D67" s="18">
        <f t="shared" si="45"/>
        <v>5.9638015293808948</v>
      </c>
      <c r="E67" s="18">
        <f t="shared" si="46"/>
        <v>5.8196778767770674</v>
      </c>
      <c r="F67" s="18">
        <f t="shared" si="28"/>
        <v>0.14412365260382742</v>
      </c>
      <c r="G67" s="18">
        <f t="shared" si="29"/>
        <v>1131.3706729400453</v>
      </c>
      <c r="H67" s="18">
        <f>SUM(G68:$G$71)</f>
        <v>4325.028323517733</v>
      </c>
      <c r="I67" s="18">
        <f>SUM($G$4:G67)</f>
        <v>118065.46705797296</v>
      </c>
      <c r="J67" s="18">
        <f t="shared" si="30"/>
        <v>113740.43873445522</v>
      </c>
      <c r="K67" s="18">
        <f t="shared" si="31"/>
        <v>63</v>
      </c>
      <c r="O67" s="10">
        <f t="shared" si="47"/>
        <v>63</v>
      </c>
      <c r="P67" s="18">
        <f>IF((O67&lt;='Alternative 1'!$B$12),P66+1,9999)</f>
        <v>9999</v>
      </c>
      <c r="Q67" s="101" t="e">
        <f>'Alternative 1'!I66</f>
        <v>#VALUE!</v>
      </c>
      <c r="R67" s="101" t="e">
        <f>'Alternative 1'!J66</f>
        <v>#VALUE!</v>
      </c>
      <c r="S67" s="18" t="e">
        <f t="shared" si="48"/>
        <v>#VALUE!</v>
      </c>
      <c r="T67" s="18" t="e">
        <f t="shared" si="49"/>
        <v>#VALUE!</v>
      </c>
      <c r="U67" s="18" t="e">
        <f t="shared" si="32"/>
        <v>#VALUE!</v>
      </c>
      <c r="V67" s="18">
        <f t="shared" si="33"/>
        <v>0</v>
      </c>
      <c r="W67" s="18">
        <f>SUM(V68:V$94)</f>
        <v>0</v>
      </c>
      <c r="X67" s="18">
        <f>SUM($V$4:V67)</f>
        <v>31215.543190081382</v>
      </c>
      <c r="Y67" s="18">
        <f t="shared" si="34"/>
        <v>31215.543190081382</v>
      </c>
      <c r="Z67" s="18">
        <f t="shared" si="35"/>
        <v>9999</v>
      </c>
      <c r="AD67" s="10">
        <f t="shared" si="50"/>
        <v>63</v>
      </c>
      <c r="AE67" s="18">
        <f>IF((AD67&lt;='Alternative 2'!$B$12),AE66+1,9999)</f>
        <v>9999</v>
      </c>
      <c r="AF67" s="101" t="e">
        <f>'Alternative 2'!I66</f>
        <v>#VALUE!</v>
      </c>
      <c r="AG67" s="101" t="e">
        <f>'Alternative 2'!J66</f>
        <v>#VALUE!</v>
      </c>
      <c r="AH67" s="18" t="e">
        <f t="shared" si="51"/>
        <v>#VALUE!</v>
      </c>
      <c r="AI67" s="18" t="e">
        <f t="shared" si="52"/>
        <v>#VALUE!</v>
      </c>
      <c r="AJ67" s="18" t="e">
        <f t="shared" si="36"/>
        <v>#VALUE!</v>
      </c>
      <c r="AK67" s="18">
        <f t="shared" si="37"/>
        <v>0</v>
      </c>
      <c r="AL67" s="18">
        <f>SUM(AK68:AK$94)</f>
        <v>0</v>
      </c>
      <c r="AM67" s="18">
        <f>SUM($AK$4:AK67)</f>
        <v>6381.1637280634177</v>
      </c>
      <c r="AN67" s="18">
        <f t="shared" si="38"/>
        <v>6381.1637280634177</v>
      </c>
      <c r="AO67" s="18">
        <f t="shared" si="39"/>
        <v>9999</v>
      </c>
      <c r="AS67" s="10">
        <f t="shared" si="53"/>
        <v>63</v>
      </c>
      <c r="AT67" s="18">
        <f>IF((AS67&lt;='Alternative 3'!$B$12),AT66+1,9999)</f>
        <v>9999</v>
      </c>
      <c r="AU67" s="101" t="e">
        <f>'Alternative 3'!I66</f>
        <v>#VALUE!</v>
      </c>
      <c r="AV67" s="101" t="e">
        <f>'Alternative 3'!J66</f>
        <v>#VALUE!</v>
      </c>
      <c r="AW67" s="18" t="e">
        <f t="shared" si="54"/>
        <v>#VALUE!</v>
      </c>
      <c r="AX67" s="18" t="e">
        <f t="shared" si="55"/>
        <v>#VALUE!</v>
      </c>
      <c r="AY67" s="18" t="e">
        <f t="shared" si="40"/>
        <v>#VALUE!</v>
      </c>
      <c r="AZ67" s="18">
        <f t="shared" si="41"/>
        <v>0</v>
      </c>
      <c r="BA67" s="18">
        <f>SUM(AZ68:AZ$94)</f>
        <v>0</v>
      </c>
      <c r="BB67" s="18">
        <f>SUM($AZ$4:AZ67)</f>
        <v>14889.382032148003</v>
      </c>
      <c r="BC67" s="18">
        <f t="shared" si="42"/>
        <v>14889.382032148003</v>
      </c>
      <c r="BD67" s="18">
        <f t="shared" si="43"/>
        <v>9999</v>
      </c>
    </row>
    <row r="68" spans="1:56" x14ac:dyDescent="0.25">
      <c r="A68" s="18">
        <f t="shared" si="44"/>
        <v>64</v>
      </c>
      <c r="B68" s="101">
        <f>'Baseline Given'!I67</f>
        <v>1.3628656716417908</v>
      </c>
      <c r="C68" s="18">
        <f>'Baseline Given'!J67</f>
        <v>1.3463856716417908</v>
      </c>
      <c r="D68" s="18">
        <f t="shared" si="45"/>
        <v>5.8779308734189479</v>
      </c>
      <c r="E68" s="18">
        <f t="shared" si="46"/>
        <v>5.73638309425694</v>
      </c>
      <c r="F68" s="18">
        <f>(D68-E68)</f>
        <v>0.14154777916200789</v>
      </c>
      <c r="G68" s="18">
        <f>F68*$B$1</f>
        <v>1111.1500664217619</v>
      </c>
      <c r="H68" s="18">
        <f>SUM(G69:$G$71)</f>
        <v>3213.8782570959711</v>
      </c>
      <c r="I68" s="18">
        <f>SUM($G$4:G68)</f>
        <v>119176.61712439472</v>
      </c>
      <c r="J68" s="18">
        <f>ABS(H68-I68)</f>
        <v>115962.73886729874</v>
      </c>
      <c r="K68" s="18">
        <f t="shared" si="31"/>
        <v>64</v>
      </c>
      <c r="O68" s="10">
        <f t="shared" si="47"/>
        <v>64</v>
      </c>
      <c r="P68" s="18">
        <f>IF((O68&lt;='Alternative 1'!$B$12),P67+1,9999)</f>
        <v>9999</v>
      </c>
      <c r="Q68" s="101" t="e">
        <f>'Alternative 1'!I67</f>
        <v>#VALUE!</v>
      </c>
      <c r="R68" s="101" t="e">
        <f>'Alternative 1'!J67</f>
        <v>#VALUE!</v>
      </c>
      <c r="S68" s="18" t="e">
        <f t="shared" si="48"/>
        <v>#VALUE!</v>
      </c>
      <c r="T68" s="18" t="e">
        <f t="shared" si="49"/>
        <v>#VALUE!</v>
      </c>
      <c r="U68" s="18" t="e">
        <f t="shared" ref="U68:U94" si="56">(S68-T68)</f>
        <v>#VALUE!</v>
      </c>
      <c r="V68" s="18">
        <f t="shared" ref="V68:V94" si="57">IF(NOT(P68=9999),U68*$B$1,0)</f>
        <v>0</v>
      </c>
      <c r="W68" s="18">
        <f>SUM(V69:V$94)</f>
        <v>0</v>
      </c>
      <c r="X68" s="18">
        <f>SUM($V$4:V68)</f>
        <v>31215.543190081382</v>
      </c>
      <c r="Y68" s="18">
        <f t="shared" ref="Y68:Y94" si="58">ABS(W68-X68)</f>
        <v>31215.543190081382</v>
      </c>
      <c r="Z68" s="18">
        <f t="shared" ref="Z68:Z94" si="59">P68</f>
        <v>9999</v>
      </c>
      <c r="AD68" s="10">
        <f t="shared" si="50"/>
        <v>64</v>
      </c>
      <c r="AE68" s="18">
        <f>IF((AD68&lt;='Alternative 2'!$B$12),AE67+1,9999)</f>
        <v>9999</v>
      </c>
      <c r="AF68" s="101" t="e">
        <f>'Alternative 2'!I67</f>
        <v>#VALUE!</v>
      </c>
      <c r="AG68" s="101" t="e">
        <f>'Alternative 2'!J67</f>
        <v>#VALUE!</v>
      </c>
      <c r="AH68" s="18" t="e">
        <f t="shared" si="51"/>
        <v>#VALUE!</v>
      </c>
      <c r="AI68" s="18" t="e">
        <f t="shared" si="52"/>
        <v>#VALUE!</v>
      </c>
      <c r="AJ68" s="18" t="e">
        <f t="shared" ref="AJ68:AJ94" si="60">(AH68-AI68)</f>
        <v>#VALUE!</v>
      </c>
      <c r="AK68" s="18">
        <f t="shared" ref="AK68:AK94" si="61">IF(NOT(AE68=9999),AJ68*$B$1,0)</f>
        <v>0</v>
      </c>
      <c r="AL68" s="18">
        <f>SUM(AK69:AK$94)</f>
        <v>0</v>
      </c>
      <c r="AM68" s="18">
        <f>SUM($AK$4:AK68)</f>
        <v>6381.1637280634177</v>
      </c>
      <c r="AN68" s="18">
        <f t="shared" ref="AN68:AN94" si="62">ABS(AL68-AM68)</f>
        <v>6381.1637280634177</v>
      </c>
      <c r="AO68" s="18">
        <f t="shared" ref="AO68:AO94" si="63">AE68</f>
        <v>9999</v>
      </c>
      <c r="AS68" s="10">
        <f t="shared" si="53"/>
        <v>64</v>
      </c>
      <c r="AT68" s="18">
        <f>IF((AS68&lt;='Alternative 3'!$B$12),AT67+1,9999)</f>
        <v>9999</v>
      </c>
      <c r="AU68" s="101" t="e">
        <f>'Alternative 3'!I67</f>
        <v>#VALUE!</v>
      </c>
      <c r="AV68" s="101" t="e">
        <f>'Alternative 3'!J67</f>
        <v>#VALUE!</v>
      </c>
      <c r="AW68" s="18" t="e">
        <f t="shared" si="54"/>
        <v>#VALUE!</v>
      </c>
      <c r="AX68" s="18" t="e">
        <f t="shared" si="55"/>
        <v>#VALUE!</v>
      </c>
      <c r="AY68" s="18" t="e">
        <f t="shared" ref="AY68:AY94" si="64">(AW68-AX68)</f>
        <v>#VALUE!</v>
      </c>
      <c r="AZ68" s="18">
        <f t="shared" ref="AZ68:AZ94" si="65">IF(NOT(AT68=9999),AY68*$B$1,0)</f>
        <v>0</v>
      </c>
      <c r="BA68" s="18">
        <f>SUM(AZ69:AZ$94)</f>
        <v>0</v>
      </c>
      <c r="BB68" s="18">
        <f>SUM($AZ$4:AZ68)</f>
        <v>14889.382032148003</v>
      </c>
      <c r="BC68" s="18">
        <f t="shared" ref="BC68:BC94" si="66">ABS(BA68-BB68)</f>
        <v>14889.382032148003</v>
      </c>
      <c r="BD68" s="18">
        <f t="shared" ref="BD68:BD94" si="67">AT68</f>
        <v>9999</v>
      </c>
    </row>
    <row r="69" spans="1:56" x14ac:dyDescent="0.25">
      <c r="A69" s="18">
        <f t="shared" si="44"/>
        <v>65</v>
      </c>
      <c r="B69" s="101">
        <f>'Baseline Given'!I68</f>
        <v>1.352910447761194</v>
      </c>
      <c r="C69" s="18">
        <f>'Baseline Given'!J68</f>
        <v>1.336610447761194</v>
      </c>
      <c r="D69" s="18">
        <f t="shared" si="45"/>
        <v>5.7926829218517746</v>
      </c>
      <c r="E69" s="18">
        <f t="shared" si="46"/>
        <v>5.6536887015208812</v>
      </c>
      <c r="F69" s="18">
        <f>(D69-E69)</f>
        <v>0.13899422033089337</v>
      </c>
      <c r="G69" s="18">
        <f>F69*$B$1</f>
        <v>1091.1046295975129</v>
      </c>
      <c r="H69" s="18">
        <f>SUM(G70:$G$71)</f>
        <v>2122.7736274984582</v>
      </c>
      <c r="I69" s="18">
        <f>SUM($G$4:G69)</f>
        <v>120267.72175399223</v>
      </c>
      <c r="J69" s="18">
        <f>ABS(H69-I69)</f>
        <v>118144.94812649376</v>
      </c>
      <c r="K69" s="18">
        <f t="shared" si="31"/>
        <v>65</v>
      </c>
      <c r="O69" s="10">
        <f t="shared" ref="O69:O94" si="68">O68+1</f>
        <v>65</v>
      </c>
      <c r="P69" s="18">
        <f>IF((O69&lt;='Alternative 1'!$B$12),P68+1,9999)</f>
        <v>9999</v>
      </c>
      <c r="Q69" s="101" t="e">
        <f>'Alternative 1'!I68</f>
        <v>#VALUE!</v>
      </c>
      <c r="R69" s="101" t="e">
        <f>'Alternative 1'!J68</f>
        <v>#VALUE!</v>
      </c>
      <c r="S69" s="18" t="e">
        <f t="shared" ref="S69:S94" si="69">(PI()*1*(Q68^2+Q69^2+Q68*Q69)*(1/3))</f>
        <v>#VALUE!</v>
      </c>
      <c r="T69" s="18" t="e">
        <f t="shared" ref="T69:T94" si="70">(PI()*1*(R68^2+R69^2+R68*R69)*(1/3))</f>
        <v>#VALUE!</v>
      </c>
      <c r="U69" s="18" t="e">
        <f t="shared" si="56"/>
        <v>#VALUE!</v>
      </c>
      <c r="V69" s="18">
        <f t="shared" si="57"/>
        <v>0</v>
      </c>
      <c r="W69" s="18">
        <f>SUM(V70:V$94)</f>
        <v>0</v>
      </c>
      <c r="X69" s="18">
        <f>SUM($V$4:V69)</f>
        <v>31215.543190081382</v>
      </c>
      <c r="Y69" s="18">
        <f t="shared" si="58"/>
        <v>31215.543190081382</v>
      </c>
      <c r="Z69" s="18">
        <f t="shared" si="59"/>
        <v>9999</v>
      </c>
      <c r="AD69" s="10">
        <f t="shared" ref="AD69:AD94" si="71">AD68+1</f>
        <v>65</v>
      </c>
      <c r="AE69" s="18">
        <f>IF((AD69&lt;='Alternative 2'!$B$12),AE68+1,9999)</f>
        <v>9999</v>
      </c>
      <c r="AF69" s="101" t="e">
        <f>'Alternative 2'!I68</f>
        <v>#VALUE!</v>
      </c>
      <c r="AG69" s="101" t="e">
        <f>'Alternative 2'!J68</f>
        <v>#VALUE!</v>
      </c>
      <c r="AH69" s="18" t="e">
        <f t="shared" ref="AH69:AH94" si="72">(PI()*1*(AF68^2+AF69^2+AF68*AF69)*(1/3))</f>
        <v>#VALUE!</v>
      </c>
      <c r="AI69" s="18" t="e">
        <f t="shared" ref="AI69:AI94" si="73">(PI()*1*(AG68^2+AG69^2+AG68*AG69)*(1/3))</f>
        <v>#VALUE!</v>
      </c>
      <c r="AJ69" s="18" t="e">
        <f t="shared" si="60"/>
        <v>#VALUE!</v>
      </c>
      <c r="AK69" s="18">
        <f t="shared" si="61"/>
        <v>0</v>
      </c>
      <c r="AL69" s="18">
        <f>SUM(AK70:AK$94)</f>
        <v>0</v>
      </c>
      <c r="AM69" s="18">
        <f>SUM($AK$4:AK69)</f>
        <v>6381.1637280634177</v>
      </c>
      <c r="AN69" s="18">
        <f t="shared" si="62"/>
        <v>6381.1637280634177</v>
      </c>
      <c r="AO69" s="18">
        <f t="shared" si="63"/>
        <v>9999</v>
      </c>
      <c r="AS69" s="10">
        <f t="shared" ref="AS69:AS94" si="74">AS68+1</f>
        <v>65</v>
      </c>
      <c r="AT69" s="18">
        <f>IF((AS69&lt;='Alternative 3'!$B$12),AT68+1,9999)</f>
        <v>9999</v>
      </c>
      <c r="AU69" s="101" t="e">
        <f>'Alternative 3'!I68</f>
        <v>#VALUE!</v>
      </c>
      <c r="AV69" s="101" t="e">
        <f>'Alternative 3'!J68</f>
        <v>#VALUE!</v>
      </c>
      <c r="AW69" s="18" t="e">
        <f t="shared" ref="AW69:AW94" si="75">(PI()*1*(AU68^2+AU69^2+AU68*AU69)*(1/3))</f>
        <v>#VALUE!</v>
      </c>
      <c r="AX69" s="18" t="e">
        <f t="shared" ref="AX69:AX94" si="76">(PI()*1*(AV68^2+AV69^2+AV68*AV69)*(1/3))</f>
        <v>#VALUE!</v>
      </c>
      <c r="AY69" s="18" t="e">
        <f t="shared" si="64"/>
        <v>#VALUE!</v>
      </c>
      <c r="AZ69" s="18">
        <f t="shared" si="65"/>
        <v>0</v>
      </c>
      <c r="BA69" s="18">
        <f>SUM(AZ70:AZ$94)</f>
        <v>0</v>
      </c>
      <c r="BB69" s="18">
        <f>SUM($AZ$4:AZ69)</f>
        <v>14889.382032148003</v>
      </c>
      <c r="BC69" s="18">
        <f t="shared" si="66"/>
        <v>14889.382032148003</v>
      </c>
      <c r="BD69" s="18">
        <f t="shared" si="67"/>
        <v>9999</v>
      </c>
    </row>
    <row r="70" spans="1:56" x14ac:dyDescent="0.25">
      <c r="A70" s="18">
        <f t="shared" si="44"/>
        <v>66</v>
      </c>
      <c r="B70" s="101">
        <f>'Baseline Given'!I69</f>
        <v>1.3429552238805971</v>
      </c>
      <c r="C70" s="18">
        <f>'Baseline Given'!J69</f>
        <v>1.3268352238805969</v>
      </c>
      <c r="D70" s="18">
        <f t="shared" si="45"/>
        <v>5.7080576746793721</v>
      </c>
      <c r="E70" s="18">
        <f t="shared" si="46"/>
        <v>5.5715946985688873</v>
      </c>
      <c r="F70" s="18">
        <f>(D70-E70)</f>
        <v>0.13646297611048475</v>
      </c>
      <c r="G70" s="18">
        <f>F70*$B$1</f>
        <v>1071.2343624673053</v>
      </c>
      <c r="H70" s="18">
        <f>SUM(G71:$G$71)</f>
        <v>1051.5392650311528</v>
      </c>
      <c r="I70" s="18">
        <f>SUM($G$4:G70)</f>
        <v>121338.95611645954</v>
      </c>
      <c r="J70" s="18">
        <f>ABS(H70-I70)</f>
        <v>120287.41685142838</v>
      </c>
      <c r="K70" s="18">
        <f t="shared" si="31"/>
        <v>66</v>
      </c>
      <c r="O70" s="10">
        <f t="shared" si="68"/>
        <v>66</v>
      </c>
      <c r="P70" s="18">
        <f>IF((O70&lt;='Alternative 1'!$B$12),P69+1,9999)</f>
        <v>9999</v>
      </c>
      <c r="Q70" s="101" t="e">
        <f>'Alternative 1'!I69</f>
        <v>#VALUE!</v>
      </c>
      <c r="R70" s="101" t="e">
        <f>'Alternative 1'!J69</f>
        <v>#VALUE!</v>
      </c>
      <c r="S70" s="18" t="e">
        <f t="shared" si="69"/>
        <v>#VALUE!</v>
      </c>
      <c r="T70" s="18" t="e">
        <f t="shared" si="70"/>
        <v>#VALUE!</v>
      </c>
      <c r="U70" s="18" t="e">
        <f t="shared" si="56"/>
        <v>#VALUE!</v>
      </c>
      <c r="V70" s="18">
        <f t="shared" si="57"/>
        <v>0</v>
      </c>
      <c r="W70" s="18">
        <f>SUM(V71:V$94)</f>
        <v>0</v>
      </c>
      <c r="X70" s="18">
        <f>SUM($V$4:V70)</f>
        <v>31215.543190081382</v>
      </c>
      <c r="Y70" s="18">
        <f t="shared" si="58"/>
        <v>31215.543190081382</v>
      </c>
      <c r="Z70" s="18">
        <f t="shared" si="59"/>
        <v>9999</v>
      </c>
      <c r="AD70" s="10">
        <f t="shared" si="71"/>
        <v>66</v>
      </c>
      <c r="AE70" s="18">
        <f>IF((AD70&lt;='Alternative 2'!$B$12),AE69+1,9999)</f>
        <v>9999</v>
      </c>
      <c r="AF70" s="101" t="e">
        <f>'Alternative 2'!I69</f>
        <v>#VALUE!</v>
      </c>
      <c r="AG70" s="101" t="e">
        <f>'Alternative 2'!J69</f>
        <v>#VALUE!</v>
      </c>
      <c r="AH70" s="18" t="e">
        <f t="shared" si="72"/>
        <v>#VALUE!</v>
      </c>
      <c r="AI70" s="18" t="e">
        <f t="shared" si="73"/>
        <v>#VALUE!</v>
      </c>
      <c r="AJ70" s="18" t="e">
        <f t="shared" si="60"/>
        <v>#VALUE!</v>
      </c>
      <c r="AK70" s="18">
        <f t="shared" si="61"/>
        <v>0</v>
      </c>
      <c r="AL70" s="18">
        <f>SUM(AK71:AK$94)</f>
        <v>0</v>
      </c>
      <c r="AM70" s="18">
        <f>SUM($AK$4:AK70)</f>
        <v>6381.1637280634177</v>
      </c>
      <c r="AN70" s="18">
        <f t="shared" si="62"/>
        <v>6381.1637280634177</v>
      </c>
      <c r="AO70" s="18">
        <f t="shared" si="63"/>
        <v>9999</v>
      </c>
      <c r="AS70" s="10">
        <f t="shared" si="74"/>
        <v>66</v>
      </c>
      <c r="AT70" s="18">
        <f>IF((AS70&lt;='Alternative 3'!$B$12),AT69+1,9999)</f>
        <v>9999</v>
      </c>
      <c r="AU70" s="101" t="e">
        <f>'Alternative 3'!I69</f>
        <v>#VALUE!</v>
      </c>
      <c r="AV70" s="101" t="e">
        <f>'Alternative 3'!J69</f>
        <v>#VALUE!</v>
      </c>
      <c r="AW70" s="18" t="e">
        <f t="shared" si="75"/>
        <v>#VALUE!</v>
      </c>
      <c r="AX70" s="18" t="e">
        <f t="shared" si="76"/>
        <v>#VALUE!</v>
      </c>
      <c r="AY70" s="18" t="e">
        <f t="shared" si="64"/>
        <v>#VALUE!</v>
      </c>
      <c r="AZ70" s="18">
        <f t="shared" si="65"/>
        <v>0</v>
      </c>
      <c r="BA70" s="18">
        <f>SUM(AZ71:AZ$94)</f>
        <v>0</v>
      </c>
      <c r="BB70" s="18">
        <f>SUM($AZ$4:AZ70)</f>
        <v>14889.382032148003</v>
      </c>
      <c r="BC70" s="18">
        <f t="shared" si="66"/>
        <v>14889.382032148003</v>
      </c>
      <c r="BD70" s="18">
        <f t="shared" si="67"/>
        <v>9999</v>
      </c>
    </row>
    <row r="71" spans="1:56" x14ac:dyDescent="0.25">
      <c r="A71" s="18">
        <f t="shared" si="44"/>
        <v>67</v>
      </c>
      <c r="B71" s="101">
        <f>'Baseline Given'!I70</f>
        <v>1.3329999999999997</v>
      </c>
      <c r="C71" s="18">
        <f>'Baseline Given'!J70</f>
        <v>1.3170599999999997</v>
      </c>
      <c r="D71" s="18">
        <f t="shared" si="45"/>
        <v>5.6240551319017387</v>
      </c>
      <c r="E71" s="18">
        <f t="shared" si="46"/>
        <v>5.4901010854009549</v>
      </c>
      <c r="F71" s="18">
        <f>(D71-E71)</f>
        <v>0.1339540465007838</v>
      </c>
      <c r="G71" s="18">
        <f>F71*$B$1</f>
        <v>1051.5392650311528</v>
      </c>
      <c r="H71" s="18">
        <f>SUM(H72)</f>
        <v>0</v>
      </c>
      <c r="I71" s="18">
        <f>SUM($G$4:G71)</f>
        <v>122390.49538149069</v>
      </c>
      <c r="J71" s="18">
        <f>ABS(H71-I71)</f>
        <v>122390.49538149069</v>
      </c>
      <c r="K71" s="18">
        <f t="shared" si="31"/>
        <v>67</v>
      </c>
      <c r="O71" s="10">
        <f t="shared" si="68"/>
        <v>67</v>
      </c>
      <c r="P71" s="18">
        <f>IF((O71&lt;='Alternative 1'!$B$12),P70+1,9999)</f>
        <v>9999</v>
      </c>
      <c r="Q71" s="101" t="e">
        <f>'Alternative 1'!I70</f>
        <v>#VALUE!</v>
      </c>
      <c r="R71" s="101" t="e">
        <f>'Alternative 1'!J70</f>
        <v>#VALUE!</v>
      </c>
      <c r="S71" s="18" t="e">
        <f t="shared" si="69"/>
        <v>#VALUE!</v>
      </c>
      <c r="T71" s="18" t="e">
        <f t="shared" si="70"/>
        <v>#VALUE!</v>
      </c>
      <c r="U71" s="18" t="e">
        <f t="shared" si="56"/>
        <v>#VALUE!</v>
      </c>
      <c r="V71" s="18">
        <f t="shared" si="57"/>
        <v>0</v>
      </c>
      <c r="W71" s="18">
        <f>SUM(V72:V$94)</f>
        <v>0</v>
      </c>
      <c r="X71" s="18">
        <f>SUM($V$4:V71)</f>
        <v>31215.543190081382</v>
      </c>
      <c r="Y71" s="18">
        <f t="shared" si="58"/>
        <v>31215.543190081382</v>
      </c>
      <c r="Z71" s="18">
        <f t="shared" si="59"/>
        <v>9999</v>
      </c>
      <c r="AD71" s="10">
        <f t="shared" si="71"/>
        <v>67</v>
      </c>
      <c r="AE71" s="18">
        <f>IF((AD71&lt;='Alternative 2'!$B$12),AE70+1,9999)</f>
        <v>9999</v>
      </c>
      <c r="AF71" s="101" t="e">
        <f>'Alternative 2'!I70</f>
        <v>#VALUE!</v>
      </c>
      <c r="AG71" s="101" t="e">
        <f>'Alternative 2'!J70</f>
        <v>#VALUE!</v>
      </c>
      <c r="AH71" s="18" t="e">
        <f t="shared" si="72"/>
        <v>#VALUE!</v>
      </c>
      <c r="AI71" s="18" t="e">
        <f t="shared" si="73"/>
        <v>#VALUE!</v>
      </c>
      <c r="AJ71" s="18" t="e">
        <f t="shared" si="60"/>
        <v>#VALUE!</v>
      </c>
      <c r="AK71" s="18">
        <f t="shared" si="61"/>
        <v>0</v>
      </c>
      <c r="AL71" s="18">
        <f>SUM(AK72:AK$94)</f>
        <v>0</v>
      </c>
      <c r="AM71" s="18">
        <f>SUM($AK$4:AK71)</f>
        <v>6381.1637280634177</v>
      </c>
      <c r="AN71" s="18">
        <f t="shared" si="62"/>
        <v>6381.1637280634177</v>
      </c>
      <c r="AO71" s="18">
        <f t="shared" si="63"/>
        <v>9999</v>
      </c>
      <c r="AS71" s="10">
        <f t="shared" si="74"/>
        <v>67</v>
      </c>
      <c r="AT71" s="18">
        <f>IF((AS71&lt;='Alternative 3'!$B$12),AT70+1,9999)</f>
        <v>9999</v>
      </c>
      <c r="AU71" s="101" t="e">
        <f>'Alternative 3'!I70</f>
        <v>#VALUE!</v>
      </c>
      <c r="AV71" s="101" t="e">
        <f>'Alternative 3'!J70</f>
        <v>#VALUE!</v>
      </c>
      <c r="AW71" s="18" t="e">
        <f t="shared" si="75"/>
        <v>#VALUE!</v>
      </c>
      <c r="AX71" s="18" t="e">
        <f t="shared" si="76"/>
        <v>#VALUE!</v>
      </c>
      <c r="AY71" s="18" t="e">
        <f t="shared" si="64"/>
        <v>#VALUE!</v>
      </c>
      <c r="AZ71" s="18">
        <f t="shared" si="65"/>
        <v>0</v>
      </c>
      <c r="BA71" s="18">
        <f>SUM(AZ72:AZ$94)</f>
        <v>0</v>
      </c>
      <c r="BB71" s="18">
        <f>SUM($AZ$4:AZ71)</f>
        <v>14889.382032148003</v>
      </c>
      <c r="BC71" s="18">
        <f t="shared" si="66"/>
        <v>14889.382032148003</v>
      </c>
      <c r="BD71" s="18">
        <f t="shared" si="67"/>
        <v>9999</v>
      </c>
    </row>
    <row r="72" spans="1:56" x14ac:dyDescent="0.25">
      <c r="O72" s="10">
        <f t="shared" si="68"/>
        <v>68</v>
      </c>
      <c r="P72" s="18">
        <f>IF((O72&lt;='Alternative 1'!$B$12),P71+1,9999)</f>
        <v>9999</v>
      </c>
      <c r="Q72" s="101" t="e">
        <f>'Alternative 1'!I71</f>
        <v>#VALUE!</v>
      </c>
      <c r="R72" s="101" t="e">
        <f>'Alternative 1'!J71</f>
        <v>#VALUE!</v>
      </c>
      <c r="S72" s="18" t="e">
        <f t="shared" si="69"/>
        <v>#VALUE!</v>
      </c>
      <c r="T72" s="18" t="e">
        <f t="shared" si="70"/>
        <v>#VALUE!</v>
      </c>
      <c r="U72" s="18" t="e">
        <f t="shared" si="56"/>
        <v>#VALUE!</v>
      </c>
      <c r="V72" s="18">
        <f t="shared" si="57"/>
        <v>0</v>
      </c>
      <c r="W72" s="18">
        <f>SUM(V73:V$94)</f>
        <v>0</v>
      </c>
      <c r="X72" s="18">
        <f>SUM($V$4:V72)</f>
        <v>31215.543190081382</v>
      </c>
      <c r="Y72" s="18">
        <f t="shared" si="58"/>
        <v>31215.543190081382</v>
      </c>
      <c r="Z72" s="18">
        <f t="shared" si="59"/>
        <v>9999</v>
      </c>
      <c r="AD72" s="10">
        <f t="shared" si="71"/>
        <v>68</v>
      </c>
      <c r="AE72" s="18">
        <f>IF((AD72&lt;='Alternative 2'!$B$12),AE71+1,9999)</f>
        <v>9999</v>
      </c>
      <c r="AF72" s="101" t="e">
        <f>'Alternative 2'!I71</f>
        <v>#VALUE!</v>
      </c>
      <c r="AG72" s="101" t="e">
        <f>'Alternative 2'!J71</f>
        <v>#VALUE!</v>
      </c>
      <c r="AH72" s="18" t="e">
        <f t="shared" si="72"/>
        <v>#VALUE!</v>
      </c>
      <c r="AI72" s="18" t="e">
        <f t="shared" si="73"/>
        <v>#VALUE!</v>
      </c>
      <c r="AJ72" s="18" t="e">
        <f t="shared" si="60"/>
        <v>#VALUE!</v>
      </c>
      <c r="AK72" s="18">
        <f t="shared" si="61"/>
        <v>0</v>
      </c>
      <c r="AL72" s="18">
        <f>SUM(AK73:AK$94)</f>
        <v>0</v>
      </c>
      <c r="AM72" s="18">
        <f>SUM($AK$4:AK72)</f>
        <v>6381.1637280634177</v>
      </c>
      <c r="AN72" s="18">
        <f t="shared" si="62"/>
        <v>6381.1637280634177</v>
      </c>
      <c r="AO72" s="18">
        <f t="shared" si="63"/>
        <v>9999</v>
      </c>
      <c r="AS72" s="10">
        <f t="shared" si="74"/>
        <v>68</v>
      </c>
      <c r="AT72" s="18">
        <f>IF((AS72&lt;='Alternative 3'!$B$12),AT71+1,9999)</f>
        <v>9999</v>
      </c>
      <c r="AU72" s="101" t="e">
        <f>'Alternative 3'!I71</f>
        <v>#VALUE!</v>
      </c>
      <c r="AV72" s="101" t="e">
        <f>'Alternative 3'!J71</f>
        <v>#VALUE!</v>
      </c>
      <c r="AW72" s="18" t="e">
        <f t="shared" si="75"/>
        <v>#VALUE!</v>
      </c>
      <c r="AX72" s="18" t="e">
        <f t="shared" si="76"/>
        <v>#VALUE!</v>
      </c>
      <c r="AY72" s="18" t="e">
        <f t="shared" si="64"/>
        <v>#VALUE!</v>
      </c>
      <c r="AZ72" s="18">
        <f t="shared" si="65"/>
        <v>0</v>
      </c>
      <c r="BA72" s="18">
        <f>SUM(AZ73:AZ$94)</f>
        <v>0</v>
      </c>
      <c r="BB72" s="18">
        <f>SUM($AZ$4:AZ72)</f>
        <v>14889.382032148003</v>
      </c>
      <c r="BC72" s="18">
        <f t="shared" si="66"/>
        <v>14889.382032148003</v>
      </c>
      <c r="BD72" s="18">
        <f t="shared" si="67"/>
        <v>9999</v>
      </c>
    </row>
    <row r="73" spans="1:56" x14ac:dyDescent="0.25">
      <c r="O73" s="10">
        <f t="shared" si="68"/>
        <v>69</v>
      </c>
      <c r="P73" s="18">
        <f>IF((O73&lt;='Alternative 1'!$B$12),P72+1,9999)</f>
        <v>9999</v>
      </c>
      <c r="Q73" s="101" t="e">
        <f>'Alternative 1'!I72</f>
        <v>#VALUE!</v>
      </c>
      <c r="R73" s="101" t="e">
        <f>'Alternative 1'!J72</f>
        <v>#VALUE!</v>
      </c>
      <c r="S73" s="18" t="e">
        <f t="shared" si="69"/>
        <v>#VALUE!</v>
      </c>
      <c r="T73" s="18" t="e">
        <f t="shared" si="70"/>
        <v>#VALUE!</v>
      </c>
      <c r="U73" s="18" t="e">
        <f t="shared" si="56"/>
        <v>#VALUE!</v>
      </c>
      <c r="V73" s="18">
        <f t="shared" si="57"/>
        <v>0</v>
      </c>
      <c r="W73" s="18">
        <f>SUM(V74:V$94)</f>
        <v>0</v>
      </c>
      <c r="X73" s="18">
        <f>SUM($V$4:V73)</f>
        <v>31215.543190081382</v>
      </c>
      <c r="Y73" s="18">
        <f t="shared" si="58"/>
        <v>31215.543190081382</v>
      </c>
      <c r="Z73" s="18">
        <f t="shared" si="59"/>
        <v>9999</v>
      </c>
      <c r="AD73" s="10">
        <f t="shared" si="71"/>
        <v>69</v>
      </c>
      <c r="AE73" s="18">
        <f>IF((AD73&lt;='Alternative 2'!$B$12),AE72+1,9999)</f>
        <v>9999</v>
      </c>
      <c r="AF73" s="101" t="e">
        <f>'Alternative 2'!I72</f>
        <v>#VALUE!</v>
      </c>
      <c r="AG73" s="101" t="e">
        <f>'Alternative 2'!J72</f>
        <v>#VALUE!</v>
      </c>
      <c r="AH73" s="18" t="e">
        <f t="shared" si="72"/>
        <v>#VALUE!</v>
      </c>
      <c r="AI73" s="18" t="e">
        <f t="shared" si="73"/>
        <v>#VALUE!</v>
      </c>
      <c r="AJ73" s="18" t="e">
        <f t="shared" si="60"/>
        <v>#VALUE!</v>
      </c>
      <c r="AK73" s="18">
        <f t="shared" si="61"/>
        <v>0</v>
      </c>
      <c r="AL73" s="18">
        <f>SUM(AK74:AK$94)</f>
        <v>0</v>
      </c>
      <c r="AM73" s="18">
        <f>SUM($AK$4:AK73)</f>
        <v>6381.1637280634177</v>
      </c>
      <c r="AN73" s="18">
        <f t="shared" si="62"/>
        <v>6381.1637280634177</v>
      </c>
      <c r="AO73" s="18">
        <f t="shared" si="63"/>
        <v>9999</v>
      </c>
      <c r="AS73" s="10">
        <f t="shared" si="74"/>
        <v>69</v>
      </c>
      <c r="AT73" s="18">
        <f>IF((AS73&lt;='Alternative 3'!$B$12),AT72+1,9999)</f>
        <v>9999</v>
      </c>
      <c r="AU73" s="101" t="e">
        <f>'Alternative 3'!I72</f>
        <v>#VALUE!</v>
      </c>
      <c r="AV73" s="101" t="e">
        <f>'Alternative 3'!J72</f>
        <v>#VALUE!</v>
      </c>
      <c r="AW73" s="18" t="e">
        <f t="shared" si="75"/>
        <v>#VALUE!</v>
      </c>
      <c r="AX73" s="18" t="e">
        <f t="shared" si="76"/>
        <v>#VALUE!</v>
      </c>
      <c r="AY73" s="18" t="e">
        <f t="shared" si="64"/>
        <v>#VALUE!</v>
      </c>
      <c r="AZ73" s="18">
        <f t="shared" si="65"/>
        <v>0</v>
      </c>
      <c r="BA73" s="18">
        <f>SUM(AZ74:AZ$94)</f>
        <v>0</v>
      </c>
      <c r="BB73" s="18">
        <f>SUM($AZ$4:AZ73)</f>
        <v>14889.382032148003</v>
      </c>
      <c r="BC73" s="18">
        <f t="shared" si="66"/>
        <v>14889.382032148003</v>
      </c>
      <c r="BD73" s="18">
        <f t="shared" si="67"/>
        <v>9999</v>
      </c>
    </row>
    <row r="74" spans="1:56" x14ac:dyDescent="0.25">
      <c r="O74" s="10">
        <f t="shared" si="68"/>
        <v>70</v>
      </c>
      <c r="P74" s="18">
        <f>IF((O74&lt;='Alternative 1'!$B$12),P73+1,9999)</f>
        <v>9999</v>
      </c>
      <c r="Q74" s="101" t="e">
        <f>'Alternative 1'!I73</f>
        <v>#VALUE!</v>
      </c>
      <c r="R74" s="101" t="e">
        <f>'Alternative 1'!J73</f>
        <v>#VALUE!</v>
      </c>
      <c r="S74" s="18" t="e">
        <f t="shared" si="69"/>
        <v>#VALUE!</v>
      </c>
      <c r="T74" s="18" t="e">
        <f t="shared" si="70"/>
        <v>#VALUE!</v>
      </c>
      <c r="U74" s="18" t="e">
        <f t="shared" si="56"/>
        <v>#VALUE!</v>
      </c>
      <c r="V74" s="18">
        <f t="shared" si="57"/>
        <v>0</v>
      </c>
      <c r="W74" s="18">
        <f>SUM(V75:V$94)</f>
        <v>0</v>
      </c>
      <c r="X74" s="18">
        <f>SUM($V$4:V74)</f>
        <v>31215.543190081382</v>
      </c>
      <c r="Y74" s="18">
        <f t="shared" si="58"/>
        <v>31215.543190081382</v>
      </c>
      <c r="Z74" s="18">
        <f t="shared" si="59"/>
        <v>9999</v>
      </c>
      <c r="AD74" s="10">
        <f t="shared" si="71"/>
        <v>70</v>
      </c>
      <c r="AE74" s="18">
        <f>IF((AD74&lt;='Alternative 2'!$B$12),AE73+1,9999)</f>
        <v>9999</v>
      </c>
      <c r="AF74" s="101" t="e">
        <f>'Alternative 2'!I73</f>
        <v>#VALUE!</v>
      </c>
      <c r="AG74" s="101" t="e">
        <f>'Alternative 2'!J73</f>
        <v>#VALUE!</v>
      </c>
      <c r="AH74" s="18" t="e">
        <f t="shared" si="72"/>
        <v>#VALUE!</v>
      </c>
      <c r="AI74" s="18" t="e">
        <f t="shared" si="73"/>
        <v>#VALUE!</v>
      </c>
      <c r="AJ74" s="18" t="e">
        <f t="shared" si="60"/>
        <v>#VALUE!</v>
      </c>
      <c r="AK74" s="18">
        <f t="shared" si="61"/>
        <v>0</v>
      </c>
      <c r="AL74" s="18">
        <f>SUM(AK75:AK$94)</f>
        <v>0</v>
      </c>
      <c r="AM74" s="18">
        <f>SUM($AK$4:AK74)</f>
        <v>6381.1637280634177</v>
      </c>
      <c r="AN74" s="18">
        <f t="shared" si="62"/>
        <v>6381.1637280634177</v>
      </c>
      <c r="AO74" s="18">
        <f t="shared" si="63"/>
        <v>9999</v>
      </c>
      <c r="AS74" s="10">
        <f t="shared" si="74"/>
        <v>70</v>
      </c>
      <c r="AT74" s="18">
        <f>IF((AS74&lt;='Alternative 3'!$B$12),AT73+1,9999)</f>
        <v>9999</v>
      </c>
      <c r="AU74" s="101" t="e">
        <f>'Alternative 3'!I73</f>
        <v>#VALUE!</v>
      </c>
      <c r="AV74" s="101" t="e">
        <f>'Alternative 3'!J73</f>
        <v>#VALUE!</v>
      </c>
      <c r="AW74" s="18" t="e">
        <f t="shared" si="75"/>
        <v>#VALUE!</v>
      </c>
      <c r="AX74" s="18" t="e">
        <f t="shared" si="76"/>
        <v>#VALUE!</v>
      </c>
      <c r="AY74" s="18" t="e">
        <f t="shared" si="64"/>
        <v>#VALUE!</v>
      </c>
      <c r="AZ74" s="18">
        <f t="shared" si="65"/>
        <v>0</v>
      </c>
      <c r="BA74" s="18">
        <f>SUM(AZ75:AZ$94)</f>
        <v>0</v>
      </c>
      <c r="BB74" s="18">
        <f>SUM($AZ$4:AZ74)</f>
        <v>14889.382032148003</v>
      </c>
      <c r="BC74" s="18">
        <f t="shared" si="66"/>
        <v>14889.382032148003</v>
      </c>
      <c r="BD74" s="18">
        <f t="shared" si="67"/>
        <v>9999</v>
      </c>
    </row>
    <row r="75" spans="1:56" x14ac:dyDescent="0.25">
      <c r="O75" s="10">
        <f t="shared" si="68"/>
        <v>71</v>
      </c>
      <c r="P75" s="18">
        <f>IF((O75&lt;='Alternative 1'!$B$12),P74+1,9999)</f>
        <v>9999</v>
      </c>
      <c r="Q75" s="101" t="e">
        <f>'Alternative 1'!I74</f>
        <v>#VALUE!</v>
      </c>
      <c r="R75" s="101" t="e">
        <f>'Alternative 1'!J74</f>
        <v>#VALUE!</v>
      </c>
      <c r="S75" s="18" t="e">
        <f t="shared" si="69"/>
        <v>#VALUE!</v>
      </c>
      <c r="T75" s="18" t="e">
        <f t="shared" si="70"/>
        <v>#VALUE!</v>
      </c>
      <c r="U75" s="18" t="e">
        <f t="shared" si="56"/>
        <v>#VALUE!</v>
      </c>
      <c r="V75" s="18">
        <f t="shared" si="57"/>
        <v>0</v>
      </c>
      <c r="W75" s="18">
        <f>SUM(V76:V$94)</f>
        <v>0</v>
      </c>
      <c r="X75" s="18">
        <f>SUM($V$4:V75)</f>
        <v>31215.543190081382</v>
      </c>
      <c r="Y75" s="18">
        <f t="shared" si="58"/>
        <v>31215.543190081382</v>
      </c>
      <c r="Z75" s="18">
        <f t="shared" si="59"/>
        <v>9999</v>
      </c>
      <c r="AD75" s="10">
        <f t="shared" si="71"/>
        <v>71</v>
      </c>
      <c r="AE75" s="18">
        <f>IF((AD75&lt;='Alternative 2'!$B$12),AE74+1,9999)</f>
        <v>9999</v>
      </c>
      <c r="AF75" s="101" t="e">
        <f>'Alternative 2'!I74</f>
        <v>#VALUE!</v>
      </c>
      <c r="AG75" s="101" t="e">
        <f>'Alternative 2'!J74</f>
        <v>#VALUE!</v>
      </c>
      <c r="AH75" s="18" t="e">
        <f t="shared" si="72"/>
        <v>#VALUE!</v>
      </c>
      <c r="AI75" s="18" t="e">
        <f t="shared" si="73"/>
        <v>#VALUE!</v>
      </c>
      <c r="AJ75" s="18" t="e">
        <f t="shared" si="60"/>
        <v>#VALUE!</v>
      </c>
      <c r="AK75" s="18">
        <f t="shared" si="61"/>
        <v>0</v>
      </c>
      <c r="AL75" s="18">
        <f>SUM(AK76:AK$94)</f>
        <v>0</v>
      </c>
      <c r="AM75" s="18">
        <f>SUM($AK$4:AK75)</f>
        <v>6381.1637280634177</v>
      </c>
      <c r="AN75" s="18">
        <f t="shared" si="62"/>
        <v>6381.1637280634177</v>
      </c>
      <c r="AO75" s="18">
        <f t="shared" si="63"/>
        <v>9999</v>
      </c>
      <c r="AS75" s="10">
        <f t="shared" si="74"/>
        <v>71</v>
      </c>
      <c r="AT75" s="18">
        <f>IF((AS75&lt;='Alternative 3'!$B$12),AT74+1,9999)</f>
        <v>9999</v>
      </c>
      <c r="AU75" s="101" t="e">
        <f>'Alternative 3'!I74</f>
        <v>#VALUE!</v>
      </c>
      <c r="AV75" s="101" t="e">
        <f>'Alternative 3'!J74</f>
        <v>#VALUE!</v>
      </c>
      <c r="AW75" s="18" t="e">
        <f t="shared" si="75"/>
        <v>#VALUE!</v>
      </c>
      <c r="AX75" s="18" t="e">
        <f t="shared" si="76"/>
        <v>#VALUE!</v>
      </c>
      <c r="AY75" s="18" t="e">
        <f t="shared" si="64"/>
        <v>#VALUE!</v>
      </c>
      <c r="AZ75" s="18">
        <f t="shared" si="65"/>
        <v>0</v>
      </c>
      <c r="BA75" s="18">
        <f>SUM(AZ76:AZ$94)</f>
        <v>0</v>
      </c>
      <c r="BB75" s="18">
        <f>SUM($AZ$4:AZ75)</f>
        <v>14889.382032148003</v>
      </c>
      <c r="BC75" s="18">
        <f t="shared" si="66"/>
        <v>14889.382032148003</v>
      </c>
      <c r="BD75" s="18">
        <f t="shared" si="67"/>
        <v>9999</v>
      </c>
    </row>
    <row r="76" spans="1:56" x14ac:dyDescent="0.25">
      <c r="O76" s="10">
        <f t="shared" si="68"/>
        <v>72</v>
      </c>
      <c r="P76" s="18">
        <f>IF((O76&lt;='Alternative 1'!$B$12),P75+1,9999)</f>
        <v>9999</v>
      </c>
      <c r="Q76" s="101" t="e">
        <f>'Alternative 1'!I75</f>
        <v>#VALUE!</v>
      </c>
      <c r="R76" s="101" t="e">
        <f>'Alternative 1'!J75</f>
        <v>#VALUE!</v>
      </c>
      <c r="S76" s="18" t="e">
        <f t="shared" si="69"/>
        <v>#VALUE!</v>
      </c>
      <c r="T76" s="18" t="e">
        <f t="shared" si="70"/>
        <v>#VALUE!</v>
      </c>
      <c r="U76" s="18" t="e">
        <f t="shared" si="56"/>
        <v>#VALUE!</v>
      </c>
      <c r="V76" s="18">
        <f t="shared" si="57"/>
        <v>0</v>
      </c>
      <c r="W76" s="18">
        <f>SUM(V77:V$94)</f>
        <v>0</v>
      </c>
      <c r="X76" s="18">
        <f>SUM($V$4:V76)</f>
        <v>31215.543190081382</v>
      </c>
      <c r="Y76" s="18">
        <f t="shared" si="58"/>
        <v>31215.543190081382</v>
      </c>
      <c r="Z76" s="18">
        <f t="shared" si="59"/>
        <v>9999</v>
      </c>
      <c r="AD76" s="10">
        <f t="shared" si="71"/>
        <v>72</v>
      </c>
      <c r="AE76" s="18">
        <f>IF((AD76&lt;='Alternative 2'!$B$12),AE75+1,9999)</f>
        <v>9999</v>
      </c>
      <c r="AF76" s="101" t="e">
        <f>'Alternative 2'!I75</f>
        <v>#VALUE!</v>
      </c>
      <c r="AG76" s="101" t="e">
        <f>'Alternative 2'!J75</f>
        <v>#VALUE!</v>
      </c>
      <c r="AH76" s="18" t="e">
        <f t="shared" si="72"/>
        <v>#VALUE!</v>
      </c>
      <c r="AI76" s="18" t="e">
        <f t="shared" si="73"/>
        <v>#VALUE!</v>
      </c>
      <c r="AJ76" s="18" t="e">
        <f t="shared" si="60"/>
        <v>#VALUE!</v>
      </c>
      <c r="AK76" s="18">
        <f t="shared" si="61"/>
        <v>0</v>
      </c>
      <c r="AL76" s="18">
        <f>SUM(AK77:AK$94)</f>
        <v>0</v>
      </c>
      <c r="AM76" s="18">
        <f>SUM($AK$4:AK76)</f>
        <v>6381.1637280634177</v>
      </c>
      <c r="AN76" s="18">
        <f t="shared" si="62"/>
        <v>6381.1637280634177</v>
      </c>
      <c r="AO76" s="18">
        <f t="shared" si="63"/>
        <v>9999</v>
      </c>
      <c r="AS76" s="10">
        <f t="shared" si="74"/>
        <v>72</v>
      </c>
      <c r="AT76" s="18">
        <f>IF((AS76&lt;='Alternative 3'!$B$12),AT75+1,9999)</f>
        <v>9999</v>
      </c>
      <c r="AU76" s="101" t="e">
        <f>'Alternative 3'!I75</f>
        <v>#VALUE!</v>
      </c>
      <c r="AV76" s="101" t="e">
        <f>'Alternative 3'!J75</f>
        <v>#VALUE!</v>
      </c>
      <c r="AW76" s="18" t="e">
        <f t="shared" si="75"/>
        <v>#VALUE!</v>
      </c>
      <c r="AX76" s="18" t="e">
        <f t="shared" si="76"/>
        <v>#VALUE!</v>
      </c>
      <c r="AY76" s="18" t="e">
        <f t="shared" si="64"/>
        <v>#VALUE!</v>
      </c>
      <c r="AZ76" s="18">
        <f t="shared" si="65"/>
        <v>0</v>
      </c>
      <c r="BA76" s="18">
        <f>SUM(AZ77:AZ$94)</f>
        <v>0</v>
      </c>
      <c r="BB76" s="18">
        <f>SUM($AZ$4:AZ76)</f>
        <v>14889.382032148003</v>
      </c>
      <c r="BC76" s="18">
        <f t="shared" si="66"/>
        <v>14889.382032148003</v>
      </c>
      <c r="BD76" s="18">
        <f t="shared" si="67"/>
        <v>9999</v>
      </c>
    </row>
    <row r="77" spans="1:56" x14ac:dyDescent="0.25">
      <c r="O77" s="10">
        <f t="shared" si="68"/>
        <v>73</v>
      </c>
      <c r="P77" s="18">
        <f>IF((O77&lt;='Alternative 1'!$B$12),P76+1,9999)</f>
        <v>9999</v>
      </c>
      <c r="Q77" s="101" t="e">
        <f>'Alternative 1'!I76</f>
        <v>#VALUE!</v>
      </c>
      <c r="R77" s="101" t="e">
        <f>'Alternative 1'!J76</f>
        <v>#VALUE!</v>
      </c>
      <c r="S77" s="18" t="e">
        <f t="shared" si="69"/>
        <v>#VALUE!</v>
      </c>
      <c r="T77" s="18" t="e">
        <f t="shared" si="70"/>
        <v>#VALUE!</v>
      </c>
      <c r="U77" s="18" t="e">
        <f t="shared" si="56"/>
        <v>#VALUE!</v>
      </c>
      <c r="V77" s="18">
        <f t="shared" si="57"/>
        <v>0</v>
      </c>
      <c r="W77" s="18">
        <f>SUM(V78:V$94)</f>
        <v>0</v>
      </c>
      <c r="X77" s="18">
        <f>SUM($V$4:V77)</f>
        <v>31215.543190081382</v>
      </c>
      <c r="Y77" s="18">
        <f t="shared" si="58"/>
        <v>31215.543190081382</v>
      </c>
      <c r="Z77" s="18">
        <f t="shared" si="59"/>
        <v>9999</v>
      </c>
      <c r="AD77" s="10">
        <f t="shared" si="71"/>
        <v>73</v>
      </c>
      <c r="AE77" s="18">
        <f>IF((AD77&lt;='Alternative 2'!$B$12),AE76+1,9999)</f>
        <v>9999</v>
      </c>
      <c r="AF77" s="101" t="e">
        <f>'Alternative 2'!I76</f>
        <v>#VALUE!</v>
      </c>
      <c r="AG77" s="101" t="e">
        <f>'Alternative 2'!J76</f>
        <v>#VALUE!</v>
      </c>
      <c r="AH77" s="18" t="e">
        <f t="shared" si="72"/>
        <v>#VALUE!</v>
      </c>
      <c r="AI77" s="18" t="e">
        <f t="shared" si="73"/>
        <v>#VALUE!</v>
      </c>
      <c r="AJ77" s="18" t="e">
        <f t="shared" si="60"/>
        <v>#VALUE!</v>
      </c>
      <c r="AK77" s="18">
        <f t="shared" si="61"/>
        <v>0</v>
      </c>
      <c r="AL77" s="18">
        <f>SUM(AK78:AK$94)</f>
        <v>0</v>
      </c>
      <c r="AM77" s="18">
        <f>SUM($AK$4:AK77)</f>
        <v>6381.1637280634177</v>
      </c>
      <c r="AN77" s="18">
        <f t="shared" si="62"/>
        <v>6381.1637280634177</v>
      </c>
      <c r="AO77" s="18">
        <f t="shared" si="63"/>
        <v>9999</v>
      </c>
      <c r="AS77" s="10">
        <f t="shared" si="74"/>
        <v>73</v>
      </c>
      <c r="AT77" s="18">
        <f>IF((AS77&lt;='Alternative 3'!$B$12),AT76+1,9999)</f>
        <v>9999</v>
      </c>
      <c r="AU77" s="101" t="e">
        <f>'Alternative 3'!I76</f>
        <v>#VALUE!</v>
      </c>
      <c r="AV77" s="101" t="e">
        <f>'Alternative 3'!J76</f>
        <v>#VALUE!</v>
      </c>
      <c r="AW77" s="18" t="e">
        <f t="shared" si="75"/>
        <v>#VALUE!</v>
      </c>
      <c r="AX77" s="18" t="e">
        <f t="shared" si="76"/>
        <v>#VALUE!</v>
      </c>
      <c r="AY77" s="18" t="e">
        <f t="shared" si="64"/>
        <v>#VALUE!</v>
      </c>
      <c r="AZ77" s="18">
        <f t="shared" si="65"/>
        <v>0</v>
      </c>
      <c r="BA77" s="18">
        <f>SUM(AZ78:AZ$94)</f>
        <v>0</v>
      </c>
      <c r="BB77" s="18">
        <f>SUM($AZ$4:AZ77)</f>
        <v>14889.382032148003</v>
      </c>
      <c r="BC77" s="18">
        <f t="shared" si="66"/>
        <v>14889.382032148003</v>
      </c>
      <c r="BD77" s="18">
        <f t="shared" si="67"/>
        <v>9999</v>
      </c>
    </row>
    <row r="78" spans="1:56" x14ac:dyDescent="0.25">
      <c r="O78" s="10">
        <f t="shared" si="68"/>
        <v>74</v>
      </c>
      <c r="P78" s="18">
        <f>IF((O78&lt;='Alternative 1'!$B$12),P77+1,9999)</f>
        <v>9999</v>
      </c>
      <c r="Q78" s="101" t="e">
        <f>'Alternative 1'!I77</f>
        <v>#VALUE!</v>
      </c>
      <c r="R78" s="101" t="e">
        <f>'Alternative 1'!J77</f>
        <v>#VALUE!</v>
      </c>
      <c r="S78" s="18" t="e">
        <f t="shared" si="69"/>
        <v>#VALUE!</v>
      </c>
      <c r="T78" s="18" t="e">
        <f t="shared" si="70"/>
        <v>#VALUE!</v>
      </c>
      <c r="U78" s="18" t="e">
        <f t="shared" si="56"/>
        <v>#VALUE!</v>
      </c>
      <c r="V78" s="18">
        <f t="shared" si="57"/>
        <v>0</v>
      </c>
      <c r="W78" s="18">
        <f>SUM(V79:V$94)</f>
        <v>0</v>
      </c>
      <c r="X78" s="18">
        <f>SUM($V$4:V78)</f>
        <v>31215.543190081382</v>
      </c>
      <c r="Y78" s="18">
        <f t="shared" si="58"/>
        <v>31215.543190081382</v>
      </c>
      <c r="Z78" s="18">
        <f t="shared" si="59"/>
        <v>9999</v>
      </c>
      <c r="AD78" s="10">
        <f t="shared" si="71"/>
        <v>74</v>
      </c>
      <c r="AE78" s="18">
        <f>IF((AD78&lt;='Alternative 2'!$B$12),AE77+1,9999)</f>
        <v>9999</v>
      </c>
      <c r="AF78" s="101" t="e">
        <f>'Alternative 2'!I77</f>
        <v>#VALUE!</v>
      </c>
      <c r="AG78" s="101" t="e">
        <f>'Alternative 2'!J77</f>
        <v>#VALUE!</v>
      </c>
      <c r="AH78" s="18" t="e">
        <f t="shared" si="72"/>
        <v>#VALUE!</v>
      </c>
      <c r="AI78" s="18" t="e">
        <f t="shared" si="73"/>
        <v>#VALUE!</v>
      </c>
      <c r="AJ78" s="18" t="e">
        <f t="shared" si="60"/>
        <v>#VALUE!</v>
      </c>
      <c r="AK78" s="18">
        <f t="shared" si="61"/>
        <v>0</v>
      </c>
      <c r="AL78" s="18">
        <f>SUM(AK79:AK$94)</f>
        <v>0</v>
      </c>
      <c r="AM78" s="18">
        <f>SUM($AK$4:AK78)</f>
        <v>6381.1637280634177</v>
      </c>
      <c r="AN78" s="18">
        <f t="shared" si="62"/>
        <v>6381.1637280634177</v>
      </c>
      <c r="AO78" s="18">
        <f t="shared" si="63"/>
        <v>9999</v>
      </c>
      <c r="AS78" s="10">
        <f t="shared" si="74"/>
        <v>74</v>
      </c>
      <c r="AT78" s="18">
        <f>IF((AS78&lt;='Alternative 3'!$B$12),AT77+1,9999)</f>
        <v>9999</v>
      </c>
      <c r="AU78" s="101" t="e">
        <f>'Alternative 3'!I77</f>
        <v>#VALUE!</v>
      </c>
      <c r="AV78" s="101" t="e">
        <f>'Alternative 3'!J77</f>
        <v>#VALUE!</v>
      </c>
      <c r="AW78" s="18" t="e">
        <f t="shared" si="75"/>
        <v>#VALUE!</v>
      </c>
      <c r="AX78" s="18" t="e">
        <f t="shared" si="76"/>
        <v>#VALUE!</v>
      </c>
      <c r="AY78" s="18" t="e">
        <f t="shared" si="64"/>
        <v>#VALUE!</v>
      </c>
      <c r="AZ78" s="18">
        <f t="shared" si="65"/>
        <v>0</v>
      </c>
      <c r="BA78" s="18">
        <f>SUM(AZ79:AZ$94)</f>
        <v>0</v>
      </c>
      <c r="BB78" s="18">
        <f>SUM($AZ$4:AZ78)</f>
        <v>14889.382032148003</v>
      </c>
      <c r="BC78" s="18">
        <f t="shared" si="66"/>
        <v>14889.382032148003</v>
      </c>
      <c r="BD78" s="18">
        <f t="shared" si="67"/>
        <v>9999</v>
      </c>
    </row>
    <row r="79" spans="1:56" x14ac:dyDescent="0.25">
      <c r="O79" s="10">
        <f t="shared" si="68"/>
        <v>75</v>
      </c>
      <c r="P79" s="18">
        <f>IF((O79&lt;='Alternative 1'!$B$12),P78+1,9999)</f>
        <v>9999</v>
      </c>
      <c r="Q79" s="101" t="e">
        <f>'Alternative 1'!I78</f>
        <v>#VALUE!</v>
      </c>
      <c r="R79" s="101" t="e">
        <f>'Alternative 1'!J78</f>
        <v>#VALUE!</v>
      </c>
      <c r="S79" s="18" t="e">
        <f t="shared" si="69"/>
        <v>#VALUE!</v>
      </c>
      <c r="T79" s="18" t="e">
        <f t="shared" si="70"/>
        <v>#VALUE!</v>
      </c>
      <c r="U79" s="18" t="e">
        <f t="shared" si="56"/>
        <v>#VALUE!</v>
      </c>
      <c r="V79" s="18">
        <f t="shared" si="57"/>
        <v>0</v>
      </c>
      <c r="W79" s="18">
        <f>SUM(V80:V$94)</f>
        <v>0</v>
      </c>
      <c r="X79" s="18">
        <f>SUM($V$4:V79)</f>
        <v>31215.543190081382</v>
      </c>
      <c r="Y79" s="18">
        <f t="shared" si="58"/>
        <v>31215.543190081382</v>
      </c>
      <c r="Z79" s="18">
        <f t="shared" si="59"/>
        <v>9999</v>
      </c>
      <c r="AD79" s="10">
        <f t="shared" si="71"/>
        <v>75</v>
      </c>
      <c r="AE79" s="18">
        <f>IF((AD79&lt;='Alternative 2'!$B$12),AE78+1,9999)</f>
        <v>9999</v>
      </c>
      <c r="AF79" s="101" t="e">
        <f>'Alternative 2'!I78</f>
        <v>#VALUE!</v>
      </c>
      <c r="AG79" s="101" t="e">
        <f>'Alternative 2'!J78</f>
        <v>#VALUE!</v>
      </c>
      <c r="AH79" s="18" t="e">
        <f t="shared" si="72"/>
        <v>#VALUE!</v>
      </c>
      <c r="AI79" s="18" t="e">
        <f t="shared" si="73"/>
        <v>#VALUE!</v>
      </c>
      <c r="AJ79" s="18" t="e">
        <f t="shared" si="60"/>
        <v>#VALUE!</v>
      </c>
      <c r="AK79" s="18">
        <f t="shared" si="61"/>
        <v>0</v>
      </c>
      <c r="AL79" s="18">
        <f>SUM(AK80:AK$94)</f>
        <v>0</v>
      </c>
      <c r="AM79" s="18">
        <f>SUM($AK$4:AK79)</f>
        <v>6381.1637280634177</v>
      </c>
      <c r="AN79" s="18">
        <f t="shared" si="62"/>
        <v>6381.1637280634177</v>
      </c>
      <c r="AO79" s="18">
        <f t="shared" si="63"/>
        <v>9999</v>
      </c>
      <c r="AS79" s="10">
        <f t="shared" si="74"/>
        <v>75</v>
      </c>
      <c r="AT79" s="18">
        <f>IF((AS79&lt;='Alternative 3'!$B$12),AT78+1,9999)</f>
        <v>9999</v>
      </c>
      <c r="AU79" s="101" t="e">
        <f>'Alternative 3'!I78</f>
        <v>#VALUE!</v>
      </c>
      <c r="AV79" s="101" t="e">
        <f>'Alternative 3'!J78</f>
        <v>#VALUE!</v>
      </c>
      <c r="AW79" s="18" t="e">
        <f t="shared" si="75"/>
        <v>#VALUE!</v>
      </c>
      <c r="AX79" s="18" t="e">
        <f t="shared" si="76"/>
        <v>#VALUE!</v>
      </c>
      <c r="AY79" s="18" t="e">
        <f t="shared" si="64"/>
        <v>#VALUE!</v>
      </c>
      <c r="AZ79" s="18">
        <f t="shared" si="65"/>
        <v>0</v>
      </c>
      <c r="BA79" s="18">
        <f>SUM(AZ80:AZ$94)</f>
        <v>0</v>
      </c>
      <c r="BB79" s="18">
        <f>SUM($AZ$4:AZ79)</f>
        <v>14889.382032148003</v>
      </c>
      <c r="BC79" s="18">
        <f t="shared" si="66"/>
        <v>14889.382032148003</v>
      </c>
      <c r="BD79" s="18">
        <f t="shared" si="67"/>
        <v>9999</v>
      </c>
    </row>
    <row r="80" spans="1:56" x14ac:dyDescent="0.25">
      <c r="O80" s="10">
        <f t="shared" si="68"/>
        <v>76</v>
      </c>
      <c r="P80" s="18">
        <f>IF((O80&lt;='Alternative 1'!$B$12),P79+1,9999)</f>
        <v>9999</v>
      </c>
      <c r="Q80" s="101" t="e">
        <f>'Alternative 1'!I79</f>
        <v>#VALUE!</v>
      </c>
      <c r="R80" s="101" t="e">
        <f>'Alternative 1'!J79</f>
        <v>#VALUE!</v>
      </c>
      <c r="S80" s="18" t="e">
        <f t="shared" si="69"/>
        <v>#VALUE!</v>
      </c>
      <c r="T80" s="18" t="e">
        <f t="shared" si="70"/>
        <v>#VALUE!</v>
      </c>
      <c r="U80" s="18" t="e">
        <f t="shared" si="56"/>
        <v>#VALUE!</v>
      </c>
      <c r="V80" s="18">
        <f t="shared" si="57"/>
        <v>0</v>
      </c>
      <c r="W80" s="18">
        <f>SUM(V81:V$94)</f>
        <v>0</v>
      </c>
      <c r="X80" s="18">
        <f>SUM($V$4:V80)</f>
        <v>31215.543190081382</v>
      </c>
      <c r="Y80" s="18">
        <f t="shared" si="58"/>
        <v>31215.543190081382</v>
      </c>
      <c r="Z80" s="18">
        <f t="shared" si="59"/>
        <v>9999</v>
      </c>
      <c r="AD80" s="10">
        <f t="shared" si="71"/>
        <v>76</v>
      </c>
      <c r="AE80" s="18">
        <f>IF((AD80&lt;='Alternative 2'!$B$12),AE79+1,9999)</f>
        <v>9999</v>
      </c>
      <c r="AF80" s="101" t="e">
        <f>'Alternative 2'!I79</f>
        <v>#VALUE!</v>
      </c>
      <c r="AG80" s="101" t="e">
        <f>'Alternative 2'!J79</f>
        <v>#VALUE!</v>
      </c>
      <c r="AH80" s="18" t="e">
        <f t="shared" si="72"/>
        <v>#VALUE!</v>
      </c>
      <c r="AI80" s="18" t="e">
        <f t="shared" si="73"/>
        <v>#VALUE!</v>
      </c>
      <c r="AJ80" s="18" t="e">
        <f t="shared" si="60"/>
        <v>#VALUE!</v>
      </c>
      <c r="AK80" s="18">
        <f t="shared" si="61"/>
        <v>0</v>
      </c>
      <c r="AL80" s="18">
        <f>SUM(AK81:AK$94)</f>
        <v>0</v>
      </c>
      <c r="AM80" s="18">
        <f>SUM($AK$4:AK80)</f>
        <v>6381.1637280634177</v>
      </c>
      <c r="AN80" s="18">
        <f t="shared" si="62"/>
        <v>6381.1637280634177</v>
      </c>
      <c r="AO80" s="18">
        <f t="shared" si="63"/>
        <v>9999</v>
      </c>
      <c r="AS80" s="10">
        <f t="shared" si="74"/>
        <v>76</v>
      </c>
      <c r="AT80" s="18">
        <f>IF((AS80&lt;='Alternative 3'!$B$12),AT79+1,9999)</f>
        <v>9999</v>
      </c>
      <c r="AU80" s="101" t="e">
        <f>'Alternative 3'!I79</f>
        <v>#VALUE!</v>
      </c>
      <c r="AV80" s="101" t="e">
        <f>'Alternative 3'!J79</f>
        <v>#VALUE!</v>
      </c>
      <c r="AW80" s="18" t="e">
        <f t="shared" si="75"/>
        <v>#VALUE!</v>
      </c>
      <c r="AX80" s="18" t="e">
        <f t="shared" si="76"/>
        <v>#VALUE!</v>
      </c>
      <c r="AY80" s="18" t="e">
        <f t="shared" si="64"/>
        <v>#VALUE!</v>
      </c>
      <c r="AZ80" s="18">
        <f t="shared" si="65"/>
        <v>0</v>
      </c>
      <c r="BA80" s="18">
        <f>SUM(AZ81:AZ$94)</f>
        <v>0</v>
      </c>
      <c r="BB80" s="18">
        <f>SUM($AZ$4:AZ80)</f>
        <v>14889.382032148003</v>
      </c>
      <c r="BC80" s="18">
        <f t="shared" si="66"/>
        <v>14889.382032148003</v>
      </c>
      <c r="BD80" s="18">
        <f t="shared" si="67"/>
        <v>9999</v>
      </c>
    </row>
    <row r="81" spans="15:56" x14ac:dyDescent="0.25">
      <c r="O81" s="10">
        <f t="shared" si="68"/>
        <v>77</v>
      </c>
      <c r="P81" s="18">
        <f>IF((O81&lt;='Alternative 1'!$B$12),P80+1,9999)</f>
        <v>9999</v>
      </c>
      <c r="Q81" s="101" t="e">
        <f>'Alternative 1'!I80</f>
        <v>#VALUE!</v>
      </c>
      <c r="R81" s="101" t="e">
        <f>'Alternative 1'!J80</f>
        <v>#VALUE!</v>
      </c>
      <c r="S81" s="18" t="e">
        <f t="shared" si="69"/>
        <v>#VALUE!</v>
      </c>
      <c r="T81" s="18" t="e">
        <f t="shared" si="70"/>
        <v>#VALUE!</v>
      </c>
      <c r="U81" s="18" t="e">
        <f t="shared" si="56"/>
        <v>#VALUE!</v>
      </c>
      <c r="V81" s="18">
        <f t="shared" si="57"/>
        <v>0</v>
      </c>
      <c r="W81" s="18">
        <f>SUM(V82:V$94)</f>
        <v>0</v>
      </c>
      <c r="X81" s="18">
        <f>SUM($V$4:V81)</f>
        <v>31215.543190081382</v>
      </c>
      <c r="Y81" s="18">
        <f t="shared" si="58"/>
        <v>31215.543190081382</v>
      </c>
      <c r="Z81" s="18">
        <f t="shared" si="59"/>
        <v>9999</v>
      </c>
      <c r="AD81" s="10">
        <f t="shared" si="71"/>
        <v>77</v>
      </c>
      <c r="AE81" s="18">
        <f>IF((AD81&lt;='Alternative 2'!$B$12),AE80+1,9999)</f>
        <v>9999</v>
      </c>
      <c r="AF81" s="101" t="e">
        <f>'Alternative 2'!I80</f>
        <v>#VALUE!</v>
      </c>
      <c r="AG81" s="101" t="e">
        <f>'Alternative 2'!J80</f>
        <v>#VALUE!</v>
      </c>
      <c r="AH81" s="18" t="e">
        <f t="shared" si="72"/>
        <v>#VALUE!</v>
      </c>
      <c r="AI81" s="18" t="e">
        <f t="shared" si="73"/>
        <v>#VALUE!</v>
      </c>
      <c r="AJ81" s="18" t="e">
        <f t="shared" si="60"/>
        <v>#VALUE!</v>
      </c>
      <c r="AK81" s="18">
        <f t="shared" si="61"/>
        <v>0</v>
      </c>
      <c r="AL81" s="18">
        <f>SUM(AK82:AK$94)</f>
        <v>0</v>
      </c>
      <c r="AM81" s="18">
        <f>SUM($AK$4:AK81)</f>
        <v>6381.1637280634177</v>
      </c>
      <c r="AN81" s="18">
        <f t="shared" si="62"/>
        <v>6381.1637280634177</v>
      </c>
      <c r="AO81" s="18">
        <f t="shared" si="63"/>
        <v>9999</v>
      </c>
      <c r="AS81" s="10">
        <f t="shared" si="74"/>
        <v>77</v>
      </c>
      <c r="AT81" s="18">
        <f>IF((AS81&lt;='Alternative 3'!$B$12),AT80+1,9999)</f>
        <v>9999</v>
      </c>
      <c r="AU81" s="101" t="e">
        <f>'Alternative 3'!I80</f>
        <v>#VALUE!</v>
      </c>
      <c r="AV81" s="101" t="e">
        <f>'Alternative 3'!J80</f>
        <v>#VALUE!</v>
      </c>
      <c r="AW81" s="18" t="e">
        <f t="shared" si="75"/>
        <v>#VALUE!</v>
      </c>
      <c r="AX81" s="18" t="e">
        <f t="shared" si="76"/>
        <v>#VALUE!</v>
      </c>
      <c r="AY81" s="18" t="e">
        <f t="shared" si="64"/>
        <v>#VALUE!</v>
      </c>
      <c r="AZ81" s="18">
        <f t="shared" si="65"/>
        <v>0</v>
      </c>
      <c r="BA81" s="18">
        <f>SUM(AZ82:AZ$94)</f>
        <v>0</v>
      </c>
      <c r="BB81" s="18">
        <f>SUM($AZ$4:AZ81)</f>
        <v>14889.382032148003</v>
      </c>
      <c r="BC81" s="18">
        <f t="shared" si="66"/>
        <v>14889.382032148003</v>
      </c>
      <c r="BD81" s="18">
        <f t="shared" si="67"/>
        <v>9999</v>
      </c>
    </row>
    <row r="82" spans="15:56" x14ac:dyDescent="0.25">
      <c r="O82" s="10">
        <f t="shared" si="68"/>
        <v>78</v>
      </c>
      <c r="P82" s="18">
        <f>IF((O82&lt;='Alternative 1'!$B$12),P81+1,9999)</f>
        <v>9999</v>
      </c>
      <c r="Q82" s="101" t="e">
        <f>'Alternative 1'!I81</f>
        <v>#VALUE!</v>
      </c>
      <c r="R82" s="101" t="e">
        <f>'Alternative 1'!J81</f>
        <v>#VALUE!</v>
      </c>
      <c r="S82" s="18" t="e">
        <f t="shared" si="69"/>
        <v>#VALUE!</v>
      </c>
      <c r="T82" s="18" t="e">
        <f t="shared" si="70"/>
        <v>#VALUE!</v>
      </c>
      <c r="U82" s="18" t="e">
        <f t="shared" si="56"/>
        <v>#VALUE!</v>
      </c>
      <c r="V82" s="18">
        <f t="shared" si="57"/>
        <v>0</v>
      </c>
      <c r="W82" s="18">
        <f>SUM(V83:V$94)</f>
        <v>0</v>
      </c>
      <c r="X82" s="18">
        <f>SUM($V$4:V82)</f>
        <v>31215.543190081382</v>
      </c>
      <c r="Y82" s="18">
        <f t="shared" si="58"/>
        <v>31215.543190081382</v>
      </c>
      <c r="Z82" s="18">
        <f t="shared" si="59"/>
        <v>9999</v>
      </c>
      <c r="AD82" s="10">
        <f t="shared" si="71"/>
        <v>78</v>
      </c>
      <c r="AE82" s="18">
        <f>IF((AD82&lt;='Alternative 2'!$B$12),AE81+1,9999)</f>
        <v>9999</v>
      </c>
      <c r="AF82" s="101" t="e">
        <f>'Alternative 2'!I81</f>
        <v>#VALUE!</v>
      </c>
      <c r="AG82" s="101" t="e">
        <f>'Alternative 2'!J81</f>
        <v>#VALUE!</v>
      </c>
      <c r="AH82" s="18" t="e">
        <f t="shared" si="72"/>
        <v>#VALUE!</v>
      </c>
      <c r="AI82" s="18" t="e">
        <f t="shared" si="73"/>
        <v>#VALUE!</v>
      </c>
      <c r="AJ82" s="18" t="e">
        <f t="shared" si="60"/>
        <v>#VALUE!</v>
      </c>
      <c r="AK82" s="18">
        <f t="shared" si="61"/>
        <v>0</v>
      </c>
      <c r="AL82" s="18">
        <f>SUM(AK83:AK$94)</f>
        <v>0</v>
      </c>
      <c r="AM82" s="18">
        <f>SUM($AK$4:AK82)</f>
        <v>6381.1637280634177</v>
      </c>
      <c r="AN82" s="18">
        <f t="shared" si="62"/>
        <v>6381.1637280634177</v>
      </c>
      <c r="AO82" s="18">
        <f t="shared" si="63"/>
        <v>9999</v>
      </c>
      <c r="AS82" s="10">
        <f t="shared" si="74"/>
        <v>78</v>
      </c>
      <c r="AT82" s="18">
        <f>IF((AS82&lt;='Alternative 3'!$B$12),AT81+1,9999)</f>
        <v>9999</v>
      </c>
      <c r="AU82" s="101" t="e">
        <f>'Alternative 3'!I81</f>
        <v>#VALUE!</v>
      </c>
      <c r="AV82" s="101" t="e">
        <f>'Alternative 3'!J81</f>
        <v>#VALUE!</v>
      </c>
      <c r="AW82" s="18" t="e">
        <f t="shared" si="75"/>
        <v>#VALUE!</v>
      </c>
      <c r="AX82" s="18" t="e">
        <f t="shared" si="76"/>
        <v>#VALUE!</v>
      </c>
      <c r="AY82" s="18" t="e">
        <f t="shared" si="64"/>
        <v>#VALUE!</v>
      </c>
      <c r="AZ82" s="18">
        <f t="shared" si="65"/>
        <v>0</v>
      </c>
      <c r="BA82" s="18">
        <f>SUM(AZ83:AZ$94)</f>
        <v>0</v>
      </c>
      <c r="BB82" s="18">
        <f>SUM($AZ$4:AZ82)</f>
        <v>14889.382032148003</v>
      </c>
      <c r="BC82" s="18">
        <f t="shared" si="66"/>
        <v>14889.382032148003</v>
      </c>
      <c r="BD82" s="18">
        <f t="shared" si="67"/>
        <v>9999</v>
      </c>
    </row>
    <row r="83" spans="15:56" x14ac:dyDescent="0.25">
      <c r="O83" s="10">
        <f t="shared" si="68"/>
        <v>79</v>
      </c>
      <c r="P83" s="18">
        <f>IF((O83&lt;='Alternative 1'!$B$12),P82+1,9999)</f>
        <v>9999</v>
      </c>
      <c r="Q83" s="101" t="e">
        <f>'Alternative 1'!I82</f>
        <v>#VALUE!</v>
      </c>
      <c r="R83" s="101" t="e">
        <f>'Alternative 1'!J82</f>
        <v>#VALUE!</v>
      </c>
      <c r="S83" s="18" t="e">
        <f t="shared" si="69"/>
        <v>#VALUE!</v>
      </c>
      <c r="T83" s="18" t="e">
        <f t="shared" si="70"/>
        <v>#VALUE!</v>
      </c>
      <c r="U83" s="18" t="e">
        <f t="shared" si="56"/>
        <v>#VALUE!</v>
      </c>
      <c r="V83" s="18">
        <f t="shared" si="57"/>
        <v>0</v>
      </c>
      <c r="W83" s="18">
        <f>SUM(V84:V$94)</f>
        <v>0</v>
      </c>
      <c r="X83" s="18">
        <f>SUM($V$4:V83)</f>
        <v>31215.543190081382</v>
      </c>
      <c r="Y83" s="18">
        <f t="shared" si="58"/>
        <v>31215.543190081382</v>
      </c>
      <c r="Z83" s="18">
        <f t="shared" si="59"/>
        <v>9999</v>
      </c>
      <c r="AD83" s="10">
        <f t="shared" si="71"/>
        <v>79</v>
      </c>
      <c r="AE83" s="18">
        <f>IF((AD83&lt;='Alternative 2'!$B$12),AE82+1,9999)</f>
        <v>9999</v>
      </c>
      <c r="AF83" s="101" t="e">
        <f>'Alternative 2'!I82</f>
        <v>#VALUE!</v>
      </c>
      <c r="AG83" s="101" t="e">
        <f>'Alternative 2'!J82</f>
        <v>#VALUE!</v>
      </c>
      <c r="AH83" s="18" t="e">
        <f t="shared" si="72"/>
        <v>#VALUE!</v>
      </c>
      <c r="AI83" s="18" t="e">
        <f t="shared" si="73"/>
        <v>#VALUE!</v>
      </c>
      <c r="AJ83" s="18" t="e">
        <f t="shared" si="60"/>
        <v>#VALUE!</v>
      </c>
      <c r="AK83" s="18">
        <f t="shared" si="61"/>
        <v>0</v>
      </c>
      <c r="AL83" s="18">
        <f>SUM(AK84:AK$94)</f>
        <v>0</v>
      </c>
      <c r="AM83" s="18">
        <f>SUM($AK$4:AK83)</f>
        <v>6381.1637280634177</v>
      </c>
      <c r="AN83" s="18">
        <f t="shared" si="62"/>
        <v>6381.1637280634177</v>
      </c>
      <c r="AO83" s="18">
        <f t="shared" si="63"/>
        <v>9999</v>
      </c>
      <c r="AS83" s="10">
        <f t="shared" si="74"/>
        <v>79</v>
      </c>
      <c r="AT83" s="18">
        <f>IF((AS83&lt;='Alternative 3'!$B$12),AT82+1,9999)</f>
        <v>9999</v>
      </c>
      <c r="AU83" s="101" t="e">
        <f>'Alternative 3'!I82</f>
        <v>#VALUE!</v>
      </c>
      <c r="AV83" s="101" t="e">
        <f>'Alternative 3'!J82</f>
        <v>#VALUE!</v>
      </c>
      <c r="AW83" s="18" t="e">
        <f t="shared" si="75"/>
        <v>#VALUE!</v>
      </c>
      <c r="AX83" s="18" t="e">
        <f t="shared" si="76"/>
        <v>#VALUE!</v>
      </c>
      <c r="AY83" s="18" t="e">
        <f t="shared" si="64"/>
        <v>#VALUE!</v>
      </c>
      <c r="AZ83" s="18">
        <f t="shared" si="65"/>
        <v>0</v>
      </c>
      <c r="BA83" s="18">
        <f>SUM(AZ84:AZ$94)</f>
        <v>0</v>
      </c>
      <c r="BB83" s="18">
        <f>SUM($AZ$4:AZ83)</f>
        <v>14889.382032148003</v>
      </c>
      <c r="BC83" s="18">
        <f t="shared" si="66"/>
        <v>14889.382032148003</v>
      </c>
      <c r="BD83" s="18">
        <f t="shared" si="67"/>
        <v>9999</v>
      </c>
    </row>
    <row r="84" spans="15:56" x14ac:dyDescent="0.25">
      <c r="O84" s="10">
        <f t="shared" si="68"/>
        <v>80</v>
      </c>
      <c r="P84" s="18">
        <f>IF((O84&lt;='Alternative 1'!$B$12),P83+1,9999)</f>
        <v>9999</v>
      </c>
      <c r="Q84" s="101" t="e">
        <f>'Alternative 1'!I83</f>
        <v>#VALUE!</v>
      </c>
      <c r="R84" s="101" t="e">
        <f>'Alternative 1'!J83</f>
        <v>#VALUE!</v>
      </c>
      <c r="S84" s="18" t="e">
        <f t="shared" si="69"/>
        <v>#VALUE!</v>
      </c>
      <c r="T84" s="18" t="e">
        <f t="shared" si="70"/>
        <v>#VALUE!</v>
      </c>
      <c r="U84" s="18" t="e">
        <f t="shared" si="56"/>
        <v>#VALUE!</v>
      </c>
      <c r="V84" s="18">
        <f t="shared" si="57"/>
        <v>0</v>
      </c>
      <c r="W84" s="18">
        <f>SUM(V85:V$94)</f>
        <v>0</v>
      </c>
      <c r="X84" s="18">
        <f>SUM($V$4:V84)</f>
        <v>31215.543190081382</v>
      </c>
      <c r="Y84" s="18">
        <f t="shared" si="58"/>
        <v>31215.543190081382</v>
      </c>
      <c r="Z84" s="18">
        <f t="shared" si="59"/>
        <v>9999</v>
      </c>
      <c r="AD84" s="10">
        <f t="shared" si="71"/>
        <v>80</v>
      </c>
      <c r="AE84" s="18">
        <f>IF((AD84&lt;='Alternative 2'!$B$12),AE83+1,9999)</f>
        <v>9999</v>
      </c>
      <c r="AF84" s="101" t="e">
        <f>'Alternative 2'!I83</f>
        <v>#VALUE!</v>
      </c>
      <c r="AG84" s="101" t="e">
        <f>'Alternative 2'!J83</f>
        <v>#VALUE!</v>
      </c>
      <c r="AH84" s="18" t="e">
        <f t="shared" si="72"/>
        <v>#VALUE!</v>
      </c>
      <c r="AI84" s="18" t="e">
        <f t="shared" si="73"/>
        <v>#VALUE!</v>
      </c>
      <c r="AJ84" s="18" t="e">
        <f t="shared" si="60"/>
        <v>#VALUE!</v>
      </c>
      <c r="AK84" s="18">
        <f t="shared" si="61"/>
        <v>0</v>
      </c>
      <c r="AL84" s="18">
        <f>SUM(AK85:AK$94)</f>
        <v>0</v>
      </c>
      <c r="AM84" s="18">
        <f>SUM($AK$4:AK84)</f>
        <v>6381.1637280634177</v>
      </c>
      <c r="AN84" s="18">
        <f t="shared" si="62"/>
        <v>6381.1637280634177</v>
      </c>
      <c r="AO84" s="18">
        <f t="shared" si="63"/>
        <v>9999</v>
      </c>
      <c r="AS84" s="10">
        <f t="shared" si="74"/>
        <v>80</v>
      </c>
      <c r="AT84" s="18">
        <f>IF((AS84&lt;='Alternative 3'!$B$12),AT83+1,9999)</f>
        <v>9999</v>
      </c>
      <c r="AU84" s="101" t="e">
        <f>'Alternative 3'!I83</f>
        <v>#VALUE!</v>
      </c>
      <c r="AV84" s="101" t="e">
        <f>'Alternative 3'!J83</f>
        <v>#VALUE!</v>
      </c>
      <c r="AW84" s="18" t="e">
        <f t="shared" si="75"/>
        <v>#VALUE!</v>
      </c>
      <c r="AX84" s="18" t="e">
        <f t="shared" si="76"/>
        <v>#VALUE!</v>
      </c>
      <c r="AY84" s="18" t="e">
        <f t="shared" si="64"/>
        <v>#VALUE!</v>
      </c>
      <c r="AZ84" s="18">
        <f t="shared" si="65"/>
        <v>0</v>
      </c>
      <c r="BA84" s="18">
        <f>SUM(AZ85:AZ$94)</f>
        <v>0</v>
      </c>
      <c r="BB84" s="18">
        <f>SUM($AZ$4:AZ84)</f>
        <v>14889.382032148003</v>
      </c>
      <c r="BC84" s="18">
        <f t="shared" si="66"/>
        <v>14889.382032148003</v>
      </c>
      <c r="BD84" s="18">
        <f t="shared" si="67"/>
        <v>9999</v>
      </c>
    </row>
    <row r="85" spans="15:56" x14ac:dyDescent="0.25">
      <c r="O85" s="10">
        <f t="shared" si="68"/>
        <v>81</v>
      </c>
      <c r="P85" s="18">
        <f>IF((O85&lt;='Alternative 1'!$B$12),P84+1,9999)</f>
        <v>9999</v>
      </c>
      <c r="Q85" s="101" t="e">
        <f>'Alternative 1'!I84</f>
        <v>#VALUE!</v>
      </c>
      <c r="R85" s="101" t="e">
        <f>'Alternative 1'!J84</f>
        <v>#VALUE!</v>
      </c>
      <c r="S85" s="18" t="e">
        <f t="shared" si="69"/>
        <v>#VALUE!</v>
      </c>
      <c r="T85" s="18" t="e">
        <f t="shared" si="70"/>
        <v>#VALUE!</v>
      </c>
      <c r="U85" s="18" t="e">
        <f t="shared" si="56"/>
        <v>#VALUE!</v>
      </c>
      <c r="V85" s="18">
        <f t="shared" si="57"/>
        <v>0</v>
      </c>
      <c r="W85" s="18">
        <f>SUM(V86:V$94)</f>
        <v>0</v>
      </c>
      <c r="X85" s="18">
        <f>SUM($V$4:V85)</f>
        <v>31215.543190081382</v>
      </c>
      <c r="Y85" s="18">
        <f t="shared" si="58"/>
        <v>31215.543190081382</v>
      </c>
      <c r="Z85" s="18">
        <f t="shared" si="59"/>
        <v>9999</v>
      </c>
      <c r="AD85" s="10">
        <f t="shared" si="71"/>
        <v>81</v>
      </c>
      <c r="AE85" s="18">
        <f>IF((AD85&lt;='Alternative 2'!$B$12),AE84+1,9999)</f>
        <v>9999</v>
      </c>
      <c r="AF85" s="101" t="e">
        <f>'Alternative 2'!I84</f>
        <v>#VALUE!</v>
      </c>
      <c r="AG85" s="101" t="e">
        <f>'Alternative 2'!J84</f>
        <v>#VALUE!</v>
      </c>
      <c r="AH85" s="18" t="e">
        <f t="shared" si="72"/>
        <v>#VALUE!</v>
      </c>
      <c r="AI85" s="18" t="e">
        <f t="shared" si="73"/>
        <v>#VALUE!</v>
      </c>
      <c r="AJ85" s="18" t="e">
        <f t="shared" si="60"/>
        <v>#VALUE!</v>
      </c>
      <c r="AK85" s="18">
        <f t="shared" si="61"/>
        <v>0</v>
      </c>
      <c r="AL85" s="18">
        <f>SUM(AK86:AK$94)</f>
        <v>0</v>
      </c>
      <c r="AM85" s="18">
        <f>SUM($AK$4:AK85)</f>
        <v>6381.1637280634177</v>
      </c>
      <c r="AN85" s="18">
        <f t="shared" si="62"/>
        <v>6381.1637280634177</v>
      </c>
      <c r="AO85" s="18">
        <f t="shared" si="63"/>
        <v>9999</v>
      </c>
      <c r="AS85" s="10">
        <f t="shared" si="74"/>
        <v>81</v>
      </c>
      <c r="AT85" s="18">
        <f>IF((AS85&lt;='Alternative 3'!$B$12),AT84+1,9999)</f>
        <v>9999</v>
      </c>
      <c r="AU85" s="101" t="e">
        <f>'Alternative 3'!I84</f>
        <v>#VALUE!</v>
      </c>
      <c r="AV85" s="101" t="e">
        <f>'Alternative 3'!J84</f>
        <v>#VALUE!</v>
      </c>
      <c r="AW85" s="18" t="e">
        <f t="shared" si="75"/>
        <v>#VALUE!</v>
      </c>
      <c r="AX85" s="18" t="e">
        <f t="shared" si="76"/>
        <v>#VALUE!</v>
      </c>
      <c r="AY85" s="18" t="e">
        <f t="shared" si="64"/>
        <v>#VALUE!</v>
      </c>
      <c r="AZ85" s="18">
        <f t="shared" si="65"/>
        <v>0</v>
      </c>
      <c r="BA85" s="18">
        <f>SUM(AZ86:AZ$94)</f>
        <v>0</v>
      </c>
      <c r="BB85" s="18">
        <f>SUM($AZ$4:AZ85)</f>
        <v>14889.382032148003</v>
      </c>
      <c r="BC85" s="18">
        <f t="shared" si="66"/>
        <v>14889.382032148003</v>
      </c>
      <c r="BD85" s="18">
        <f t="shared" si="67"/>
        <v>9999</v>
      </c>
    </row>
    <row r="86" spans="15:56" x14ac:dyDescent="0.25">
      <c r="O86" s="10">
        <f t="shared" si="68"/>
        <v>82</v>
      </c>
      <c r="P86" s="18">
        <f>IF((O86&lt;='Alternative 1'!$B$12),P85+1,9999)</f>
        <v>9999</v>
      </c>
      <c r="Q86" s="101" t="e">
        <f>'Alternative 1'!I85</f>
        <v>#VALUE!</v>
      </c>
      <c r="R86" s="101" t="e">
        <f>'Alternative 1'!J85</f>
        <v>#VALUE!</v>
      </c>
      <c r="S86" s="18" t="e">
        <f t="shared" si="69"/>
        <v>#VALUE!</v>
      </c>
      <c r="T86" s="18" t="e">
        <f t="shared" si="70"/>
        <v>#VALUE!</v>
      </c>
      <c r="U86" s="18" t="e">
        <f t="shared" si="56"/>
        <v>#VALUE!</v>
      </c>
      <c r="V86" s="18">
        <f t="shared" si="57"/>
        <v>0</v>
      </c>
      <c r="W86" s="18">
        <f>SUM(V87:V$94)</f>
        <v>0</v>
      </c>
      <c r="X86" s="18">
        <f>SUM($V$4:V86)</f>
        <v>31215.543190081382</v>
      </c>
      <c r="Y86" s="18">
        <f t="shared" si="58"/>
        <v>31215.543190081382</v>
      </c>
      <c r="Z86" s="18">
        <f t="shared" si="59"/>
        <v>9999</v>
      </c>
      <c r="AD86" s="10">
        <f t="shared" si="71"/>
        <v>82</v>
      </c>
      <c r="AE86" s="18">
        <f>IF((AD86&lt;='Alternative 2'!$B$12),AE85+1,9999)</f>
        <v>9999</v>
      </c>
      <c r="AF86" s="101" t="e">
        <f>'Alternative 2'!I85</f>
        <v>#VALUE!</v>
      </c>
      <c r="AG86" s="101" t="e">
        <f>'Alternative 2'!J85</f>
        <v>#VALUE!</v>
      </c>
      <c r="AH86" s="18" t="e">
        <f t="shared" si="72"/>
        <v>#VALUE!</v>
      </c>
      <c r="AI86" s="18" t="e">
        <f t="shared" si="73"/>
        <v>#VALUE!</v>
      </c>
      <c r="AJ86" s="18" t="e">
        <f t="shared" si="60"/>
        <v>#VALUE!</v>
      </c>
      <c r="AK86" s="18">
        <f t="shared" si="61"/>
        <v>0</v>
      </c>
      <c r="AL86" s="18">
        <f>SUM(AK87:AK$94)</f>
        <v>0</v>
      </c>
      <c r="AM86" s="18">
        <f>SUM($AK$4:AK86)</f>
        <v>6381.1637280634177</v>
      </c>
      <c r="AN86" s="18">
        <f t="shared" si="62"/>
        <v>6381.1637280634177</v>
      </c>
      <c r="AO86" s="18">
        <f t="shared" si="63"/>
        <v>9999</v>
      </c>
      <c r="AS86" s="10">
        <f t="shared" si="74"/>
        <v>82</v>
      </c>
      <c r="AT86" s="18">
        <f>IF((AS86&lt;='Alternative 3'!$B$12),AT85+1,9999)</f>
        <v>9999</v>
      </c>
      <c r="AU86" s="101" t="e">
        <f>'Alternative 3'!I85</f>
        <v>#VALUE!</v>
      </c>
      <c r="AV86" s="101" t="e">
        <f>'Alternative 3'!J85</f>
        <v>#VALUE!</v>
      </c>
      <c r="AW86" s="18" t="e">
        <f t="shared" si="75"/>
        <v>#VALUE!</v>
      </c>
      <c r="AX86" s="18" t="e">
        <f t="shared" si="76"/>
        <v>#VALUE!</v>
      </c>
      <c r="AY86" s="18" t="e">
        <f t="shared" si="64"/>
        <v>#VALUE!</v>
      </c>
      <c r="AZ86" s="18">
        <f t="shared" si="65"/>
        <v>0</v>
      </c>
      <c r="BA86" s="18">
        <f>SUM(AZ87:AZ$94)</f>
        <v>0</v>
      </c>
      <c r="BB86" s="18">
        <f>SUM($AZ$4:AZ86)</f>
        <v>14889.382032148003</v>
      </c>
      <c r="BC86" s="18">
        <f t="shared" si="66"/>
        <v>14889.382032148003</v>
      </c>
      <c r="BD86" s="18">
        <f t="shared" si="67"/>
        <v>9999</v>
      </c>
    </row>
    <row r="87" spans="15:56" x14ac:dyDescent="0.25">
      <c r="O87" s="10">
        <f t="shared" si="68"/>
        <v>83</v>
      </c>
      <c r="P87" s="18">
        <f>IF((O87&lt;='Alternative 1'!$B$12),P86+1,9999)</f>
        <v>9999</v>
      </c>
      <c r="Q87" s="101" t="e">
        <f>'Alternative 1'!I86</f>
        <v>#VALUE!</v>
      </c>
      <c r="R87" s="101" t="e">
        <f>'Alternative 1'!J86</f>
        <v>#VALUE!</v>
      </c>
      <c r="S87" s="18" t="e">
        <f t="shared" si="69"/>
        <v>#VALUE!</v>
      </c>
      <c r="T87" s="18" t="e">
        <f t="shared" si="70"/>
        <v>#VALUE!</v>
      </c>
      <c r="U87" s="18" t="e">
        <f t="shared" si="56"/>
        <v>#VALUE!</v>
      </c>
      <c r="V87" s="18">
        <f t="shared" si="57"/>
        <v>0</v>
      </c>
      <c r="W87" s="18">
        <f>SUM(V88:V$94)</f>
        <v>0</v>
      </c>
      <c r="X87" s="18">
        <f>SUM($V$4:V87)</f>
        <v>31215.543190081382</v>
      </c>
      <c r="Y87" s="18">
        <f t="shared" si="58"/>
        <v>31215.543190081382</v>
      </c>
      <c r="Z87" s="18">
        <f t="shared" si="59"/>
        <v>9999</v>
      </c>
      <c r="AD87" s="10">
        <f t="shared" si="71"/>
        <v>83</v>
      </c>
      <c r="AE87" s="18">
        <f>IF((AD87&lt;='Alternative 2'!$B$12),AE86+1,9999)</f>
        <v>9999</v>
      </c>
      <c r="AF87" s="101" t="e">
        <f>'Alternative 2'!I86</f>
        <v>#VALUE!</v>
      </c>
      <c r="AG87" s="101" t="e">
        <f>'Alternative 2'!J86</f>
        <v>#VALUE!</v>
      </c>
      <c r="AH87" s="18" t="e">
        <f t="shared" si="72"/>
        <v>#VALUE!</v>
      </c>
      <c r="AI87" s="18" t="e">
        <f t="shared" si="73"/>
        <v>#VALUE!</v>
      </c>
      <c r="AJ87" s="18" t="e">
        <f t="shared" si="60"/>
        <v>#VALUE!</v>
      </c>
      <c r="AK87" s="18">
        <f t="shared" si="61"/>
        <v>0</v>
      </c>
      <c r="AL87" s="18">
        <f>SUM(AK88:AK$94)</f>
        <v>0</v>
      </c>
      <c r="AM87" s="18">
        <f>SUM($AK$4:AK87)</f>
        <v>6381.1637280634177</v>
      </c>
      <c r="AN87" s="18">
        <f t="shared" si="62"/>
        <v>6381.1637280634177</v>
      </c>
      <c r="AO87" s="18">
        <f t="shared" si="63"/>
        <v>9999</v>
      </c>
      <c r="AS87" s="10">
        <f t="shared" si="74"/>
        <v>83</v>
      </c>
      <c r="AT87" s="18">
        <f>IF((AS87&lt;='Alternative 3'!$B$12),AT86+1,9999)</f>
        <v>9999</v>
      </c>
      <c r="AU87" s="101" t="e">
        <f>'Alternative 3'!I86</f>
        <v>#VALUE!</v>
      </c>
      <c r="AV87" s="101" t="e">
        <f>'Alternative 3'!J86</f>
        <v>#VALUE!</v>
      </c>
      <c r="AW87" s="18" t="e">
        <f t="shared" si="75"/>
        <v>#VALUE!</v>
      </c>
      <c r="AX87" s="18" t="e">
        <f t="shared" si="76"/>
        <v>#VALUE!</v>
      </c>
      <c r="AY87" s="18" t="e">
        <f t="shared" si="64"/>
        <v>#VALUE!</v>
      </c>
      <c r="AZ87" s="18">
        <f t="shared" si="65"/>
        <v>0</v>
      </c>
      <c r="BA87" s="18">
        <f>SUM(AZ88:AZ$94)</f>
        <v>0</v>
      </c>
      <c r="BB87" s="18">
        <f>SUM($AZ$4:AZ87)</f>
        <v>14889.382032148003</v>
      </c>
      <c r="BC87" s="18">
        <f t="shared" si="66"/>
        <v>14889.382032148003</v>
      </c>
      <c r="BD87" s="18">
        <f t="shared" si="67"/>
        <v>9999</v>
      </c>
    </row>
    <row r="88" spans="15:56" x14ac:dyDescent="0.25">
      <c r="O88" s="10">
        <f t="shared" si="68"/>
        <v>84</v>
      </c>
      <c r="P88" s="18">
        <f>IF((O88&lt;='Alternative 1'!$B$12),P87+1,9999)</f>
        <v>9999</v>
      </c>
      <c r="Q88" s="101" t="e">
        <f>'Alternative 1'!I87</f>
        <v>#VALUE!</v>
      </c>
      <c r="R88" s="101" t="e">
        <f>'Alternative 1'!J87</f>
        <v>#VALUE!</v>
      </c>
      <c r="S88" s="18" t="e">
        <f t="shared" si="69"/>
        <v>#VALUE!</v>
      </c>
      <c r="T88" s="18" t="e">
        <f t="shared" si="70"/>
        <v>#VALUE!</v>
      </c>
      <c r="U88" s="18" t="e">
        <f t="shared" si="56"/>
        <v>#VALUE!</v>
      </c>
      <c r="V88" s="18">
        <f t="shared" si="57"/>
        <v>0</v>
      </c>
      <c r="W88" s="18">
        <f>SUM(V89:V$94)</f>
        <v>0</v>
      </c>
      <c r="X88" s="18">
        <f>SUM($V$4:V88)</f>
        <v>31215.543190081382</v>
      </c>
      <c r="Y88" s="18">
        <f t="shared" si="58"/>
        <v>31215.543190081382</v>
      </c>
      <c r="Z88" s="18">
        <f t="shared" si="59"/>
        <v>9999</v>
      </c>
      <c r="AD88" s="10">
        <f t="shared" si="71"/>
        <v>84</v>
      </c>
      <c r="AE88" s="18">
        <f>IF((AD88&lt;='Alternative 2'!$B$12),AE87+1,9999)</f>
        <v>9999</v>
      </c>
      <c r="AF88" s="101" t="e">
        <f>'Alternative 2'!I87</f>
        <v>#VALUE!</v>
      </c>
      <c r="AG88" s="101" t="e">
        <f>'Alternative 2'!J87</f>
        <v>#VALUE!</v>
      </c>
      <c r="AH88" s="18" t="e">
        <f t="shared" si="72"/>
        <v>#VALUE!</v>
      </c>
      <c r="AI88" s="18" t="e">
        <f t="shared" si="73"/>
        <v>#VALUE!</v>
      </c>
      <c r="AJ88" s="18" t="e">
        <f t="shared" si="60"/>
        <v>#VALUE!</v>
      </c>
      <c r="AK88" s="18">
        <f t="shared" si="61"/>
        <v>0</v>
      </c>
      <c r="AL88" s="18">
        <f>SUM(AK89:AK$94)</f>
        <v>0</v>
      </c>
      <c r="AM88" s="18">
        <f>SUM($AK$4:AK88)</f>
        <v>6381.1637280634177</v>
      </c>
      <c r="AN88" s="18">
        <f t="shared" si="62"/>
        <v>6381.1637280634177</v>
      </c>
      <c r="AO88" s="18">
        <f t="shared" si="63"/>
        <v>9999</v>
      </c>
      <c r="AS88" s="10">
        <f t="shared" si="74"/>
        <v>84</v>
      </c>
      <c r="AT88" s="18">
        <f>IF((AS88&lt;='Alternative 3'!$B$12),AT87+1,9999)</f>
        <v>9999</v>
      </c>
      <c r="AU88" s="101" t="e">
        <f>'Alternative 3'!I87</f>
        <v>#VALUE!</v>
      </c>
      <c r="AV88" s="101" t="e">
        <f>'Alternative 3'!J87</f>
        <v>#VALUE!</v>
      </c>
      <c r="AW88" s="18" t="e">
        <f t="shared" si="75"/>
        <v>#VALUE!</v>
      </c>
      <c r="AX88" s="18" t="e">
        <f t="shared" si="76"/>
        <v>#VALUE!</v>
      </c>
      <c r="AY88" s="18" t="e">
        <f t="shared" si="64"/>
        <v>#VALUE!</v>
      </c>
      <c r="AZ88" s="18">
        <f t="shared" si="65"/>
        <v>0</v>
      </c>
      <c r="BA88" s="18">
        <f>SUM(AZ89:AZ$94)</f>
        <v>0</v>
      </c>
      <c r="BB88" s="18">
        <f>SUM($AZ$4:AZ88)</f>
        <v>14889.382032148003</v>
      </c>
      <c r="BC88" s="18">
        <f t="shared" si="66"/>
        <v>14889.382032148003</v>
      </c>
      <c r="BD88" s="18">
        <f t="shared" si="67"/>
        <v>9999</v>
      </c>
    </row>
    <row r="89" spans="15:56" x14ac:dyDescent="0.25">
      <c r="O89" s="10">
        <f t="shared" si="68"/>
        <v>85</v>
      </c>
      <c r="P89" s="18">
        <f>IF((O89&lt;='Alternative 1'!$B$12),P88+1,9999)</f>
        <v>9999</v>
      </c>
      <c r="Q89" s="101" t="e">
        <f>'Alternative 1'!I88</f>
        <v>#VALUE!</v>
      </c>
      <c r="R89" s="101" t="e">
        <f>'Alternative 1'!J88</f>
        <v>#VALUE!</v>
      </c>
      <c r="S89" s="18" t="e">
        <f t="shared" si="69"/>
        <v>#VALUE!</v>
      </c>
      <c r="T89" s="18" t="e">
        <f t="shared" si="70"/>
        <v>#VALUE!</v>
      </c>
      <c r="U89" s="18" t="e">
        <f t="shared" si="56"/>
        <v>#VALUE!</v>
      </c>
      <c r="V89" s="18">
        <f t="shared" si="57"/>
        <v>0</v>
      </c>
      <c r="W89" s="18">
        <f>SUM(V90:V$94)</f>
        <v>0</v>
      </c>
      <c r="X89" s="18">
        <f>SUM($V$4:V89)</f>
        <v>31215.543190081382</v>
      </c>
      <c r="Y89" s="18">
        <f t="shared" si="58"/>
        <v>31215.543190081382</v>
      </c>
      <c r="Z89" s="18">
        <f t="shared" si="59"/>
        <v>9999</v>
      </c>
      <c r="AD89" s="10">
        <f t="shared" si="71"/>
        <v>85</v>
      </c>
      <c r="AE89" s="18">
        <f>IF((AD89&lt;='Alternative 2'!$B$12),AE88+1,9999)</f>
        <v>9999</v>
      </c>
      <c r="AF89" s="101" t="e">
        <f>'Alternative 2'!I88</f>
        <v>#VALUE!</v>
      </c>
      <c r="AG89" s="101" t="e">
        <f>'Alternative 2'!J88</f>
        <v>#VALUE!</v>
      </c>
      <c r="AH89" s="18" t="e">
        <f t="shared" si="72"/>
        <v>#VALUE!</v>
      </c>
      <c r="AI89" s="18" t="e">
        <f t="shared" si="73"/>
        <v>#VALUE!</v>
      </c>
      <c r="AJ89" s="18" t="e">
        <f t="shared" si="60"/>
        <v>#VALUE!</v>
      </c>
      <c r="AK89" s="18">
        <f t="shared" si="61"/>
        <v>0</v>
      </c>
      <c r="AL89" s="18">
        <f>SUM(AK90:AK$94)</f>
        <v>0</v>
      </c>
      <c r="AM89" s="18">
        <f>SUM($AK$4:AK89)</f>
        <v>6381.1637280634177</v>
      </c>
      <c r="AN89" s="18">
        <f t="shared" si="62"/>
        <v>6381.1637280634177</v>
      </c>
      <c r="AO89" s="18">
        <f t="shared" si="63"/>
        <v>9999</v>
      </c>
      <c r="AS89" s="10">
        <f t="shared" si="74"/>
        <v>85</v>
      </c>
      <c r="AT89" s="18">
        <f>IF((AS89&lt;='Alternative 3'!$B$12),AT88+1,9999)</f>
        <v>9999</v>
      </c>
      <c r="AU89" s="101" t="e">
        <f>'Alternative 3'!I88</f>
        <v>#VALUE!</v>
      </c>
      <c r="AV89" s="101" t="e">
        <f>'Alternative 3'!J88</f>
        <v>#VALUE!</v>
      </c>
      <c r="AW89" s="18" t="e">
        <f t="shared" si="75"/>
        <v>#VALUE!</v>
      </c>
      <c r="AX89" s="18" t="e">
        <f t="shared" si="76"/>
        <v>#VALUE!</v>
      </c>
      <c r="AY89" s="18" t="e">
        <f t="shared" si="64"/>
        <v>#VALUE!</v>
      </c>
      <c r="AZ89" s="18">
        <f t="shared" si="65"/>
        <v>0</v>
      </c>
      <c r="BA89" s="18">
        <f>SUM(AZ90:AZ$94)</f>
        <v>0</v>
      </c>
      <c r="BB89" s="18">
        <f>SUM($AZ$4:AZ89)</f>
        <v>14889.382032148003</v>
      </c>
      <c r="BC89" s="18">
        <f t="shared" si="66"/>
        <v>14889.382032148003</v>
      </c>
      <c r="BD89" s="18">
        <f t="shared" si="67"/>
        <v>9999</v>
      </c>
    </row>
    <row r="90" spans="15:56" x14ac:dyDescent="0.25">
      <c r="O90" s="10">
        <f t="shared" si="68"/>
        <v>86</v>
      </c>
      <c r="P90" s="18">
        <f>IF((O90&lt;='Alternative 1'!$B$12),P89+1,9999)</f>
        <v>9999</v>
      </c>
      <c r="Q90" s="101" t="e">
        <f>'Alternative 1'!I89</f>
        <v>#VALUE!</v>
      </c>
      <c r="R90" s="101" t="e">
        <f>'Alternative 1'!J89</f>
        <v>#VALUE!</v>
      </c>
      <c r="S90" s="18" t="e">
        <f t="shared" si="69"/>
        <v>#VALUE!</v>
      </c>
      <c r="T90" s="18" t="e">
        <f t="shared" si="70"/>
        <v>#VALUE!</v>
      </c>
      <c r="U90" s="18" t="e">
        <f t="shared" si="56"/>
        <v>#VALUE!</v>
      </c>
      <c r="V90" s="18">
        <f t="shared" si="57"/>
        <v>0</v>
      </c>
      <c r="W90" s="18">
        <f>SUM(V91:V$94)</f>
        <v>0</v>
      </c>
      <c r="X90" s="18">
        <f>SUM($V$4:V90)</f>
        <v>31215.543190081382</v>
      </c>
      <c r="Y90" s="18">
        <f t="shared" si="58"/>
        <v>31215.543190081382</v>
      </c>
      <c r="Z90" s="18">
        <f t="shared" si="59"/>
        <v>9999</v>
      </c>
      <c r="AD90" s="10">
        <f t="shared" si="71"/>
        <v>86</v>
      </c>
      <c r="AE90" s="18">
        <f>IF((AD90&lt;='Alternative 2'!$B$12),AE89+1,9999)</f>
        <v>9999</v>
      </c>
      <c r="AF90" s="101" t="e">
        <f>'Alternative 2'!I89</f>
        <v>#VALUE!</v>
      </c>
      <c r="AG90" s="101" t="e">
        <f>'Alternative 2'!J89</f>
        <v>#VALUE!</v>
      </c>
      <c r="AH90" s="18" t="e">
        <f t="shared" si="72"/>
        <v>#VALUE!</v>
      </c>
      <c r="AI90" s="18" t="e">
        <f t="shared" si="73"/>
        <v>#VALUE!</v>
      </c>
      <c r="AJ90" s="18" t="e">
        <f t="shared" si="60"/>
        <v>#VALUE!</v>
      </c>
      <c r="AK90" s="18">
        <f t="shared" si="61"/>
        <v>0</v>
      </c>
      <c r="AL90" s="18">
        <f>SUM(AK91:AK$94)</f>
        <v>0</v>
      </c>
      <c r="AM90" s="18">
        <f>SUM($AK$4:AK90)</f>
        <v>6381.1637280634177</v>
      </c>
      <c r="AN90" s="18">
        <f t="shared" si="62"/>
        <v>6381.1637280634177</v>
      </c>
      <c r="AO90" s="18">
        <f t="shared" si="63"/>
        <v>9999</v>
      </c>
      <c r="AS90" s="10">
        <f t="shared" si="74"/>
        <v>86</v>
      </c>
      <c r="AT90" s="18">
        <f>IF((AS90&lt;='Alternative 3'!$B$12),AT89+1,9999)</f>
        <v>9999</v>
      </c>
      <c r="AU90" s="101" t="e">
        <f>'Alternative 3'!I89</f>
        <v>#VALUE!</v>
      </c>
      <c r="AV90" s="101" t="e">
        <f>'Alternative 3'!J89</f>
        <v>#VALUE!</v>
      </c>
      <c r="AW90" s="18" t="e">
        <f t="shared" si="75"/>
        <v>#VALUE!</v>
      </c>
      <c r="AX90" s="18" t="e">
        <f t="shared" si="76"/>
        <v>#VALUE!</v>
      </c>
      <c r="AY90" s="18" t="e">
        <f t="shared" si="64"/>
        <v>#VALUE!</v>
      </c>
      <c r="AZ90" s="18">
        <f t="shared" si="65"/>
        <v>0</v>
      </c>
      <c r="BA90" s="18">
        <f>SUM(AZ91:AZ$94)</f>
        <v>0</v>
      </c>
      <c r="BB90" s="18">
        <f>SUM($AZ$4:AZ90)</f>
        <v>14889.382032148003</v>
      </c>
      <c r="BC90" s="18">
        <f t="shared" si="66"/>
        <v>14889.382032148003</v>
      </c>
      <c r="BD90" s="18">
        <f t="shared" si="67"/>
        <v>9999</v>
      </c>
    </row>
    <row r="91" spans="15:56" x14ac:dyDescent="0.25">
      <c r="O91" s="10">
        <f t="shared" si="68"/>
        <v>87</v>
      </c>
      <c r="P91" s="18">
        <f>IF((O91&lt;='Alternative 1'!$B$12),P90+1,9999)</f>
        <v>9999</v>
      </c>
      <c r="Q91" s="101" t="e">
        <f>'Alternative 1'!I90</f>
        <v>#VALUE!</v>
      </c>
      <c r="R91" s="101" t="e">
        <f>'Alternative 1'!J90</f>
        <v>#VALUE!</v>
      </c>
      <c r="S91" s="18" t="e">
        <f t="shared" si="69"/>
        <v>#VALUE!</v>
      </c>
      <c r="T91" s="18" t="e">
        <f t="shared" si="70"/>
        <v>#VALUE!</v>
      </c>
      <c r="U91" s="18" t="e">
        <f t="shared" si="56"/>
        <v>#VALUE!</v>
      </c>
      <c r="V91" s="18">
        <f t="shared" si="57"/>
        <v>0</v>
      </c>
      <c r="W91" s="18">
        <f>SUM(V92:V$94)</f>
        <v>0</v>
      </c>
      <c r="X91" s="18">
        <f>SUM($V$4:V91)</f>
        <v>31215.543190081382</v>
      </c>
      <c r="Y91" s="18">
        <f t="shared" si="58"/>
        <v>31215.543190081382</v>
      </c>
      <c r="Z91" s="18">
        <f t="shared" si="59"/>
        <v>9999</v>
      </c>
      <c r="AD91" s="10">
        <f t="shared" si="71"/>
        <v>87</v>
      </c>
      <c r="AE91" s="18">
        <f>IF((AD91&lt;='Alternative 2'!$B$12),AE90+1,9999)</f>
        <v>9999</v>
      </c>
      <c r="AF91" s="101" t="e">
        <f>'Alternative 2'!I90</f>
        <v>#VALUE!</v>
      </c>
      <c r="AG91" s="101" t="e">
        <f>'Alternative 2'!J90</f>
        <v>#VALUE!</v>
      </c>
      <c r="AH91" s="18" t="e">
        <f t="shared" si="72"/>
        <v>#VALUE!</v>
      </c>
      <c r="AI91" s="18" t="e">
        <f t="shared" si="73"/>
        <v>#VALUE!</v>
      </c>
      <c r="AJ91" s="18" t="e">
        <f t="shared" si="60"/>
        <v>#VALUE!</v>
      </c>
      <c r="AK91" s="18">
        <f t="shared" si="61"/>
        <v>0</v>
      </c>
      <c r="AL91" s="18">
        <f>SUM(AK92:AK$94)</f>
        <v>0</v>
      </c>
      <c r="AM91" s="18">
        <f>SUM($AK$4:AK91)</f>
        <v>6381.1637280634177</v>
      </c>
      <c r="AN91" s="18">
        <f t="shared" si="62"/>
        <v>6381.1637280634177</v>
      </c>
      <c r="AO91" s="18">
        <f t="shared" si="63"/>
        <v>9999</v>
      </c>
      <c r="AS91" s="10">
        <f t="shared" si="74"/>
        <v>87</v>
      </c>
      <c r="AT91" s="18">
        <f>IF((AS91&lt;='Alternative 3'!$B$12),AT90+1,9999)</f>
        <v>9999</v>
      </c>
      <c r="AU91" s="101" t="e">
        <f>'Alternative 3'!I90</f>
        <v>#VALUE!</v>
      </c>
      <c r="AV91" s="101" t="e">
        <f>'Alternative 3'!J90</f>
        <v>#VALUE!</v>
      </c>
      <c r="AW91" s="18" t="e">
        <f t="shared" si="75"/>
        <v>#VALUE!</v>
      </c>
      <c r="AX91" s="18" t="e">
        <f t="shared" si="76"/>
        <v>#VALUE!</v>
      </c>
      <c r="AY91" s="18" t="e">
        <f t="shared" si="64"/>
        <v>#VALUE!</v>
      </c>
      <c r="AZ91" s="18">
        <f t="shared" si="65"/>
        <v>0</v>
      </c>
      <c r="BA91" s="18">
        <f>SUM(AZ92:AZ$94)</f>
        <v>0</v>
      </c>
      <c r="BB91" s="18">
        <f>SUM($AZ$4:AZ91)</f>
        <v>14889.382032148003</v>
      </c>
      <c r="BC91" s="18">
        <f t="shared" si="66"/>
        <v>14889.382032148003</v>
      </c>
      <c r="BD91" s="18">
        <f t="shared" si="67"/>
        <v>9999</v>
      </c>
    </row>
    <row r="92" spans="15:56" x14ac:dyDescent="0.25">
      <c r="O92" s="10">
        <f t="shared" si="68"/>
        <v>88</v>
      </c>
      <c r="P92" s="18">
        <f>IF((O92&lt;='Alternative 1'!$B$12),P91+1,9999)</f>
        <v>9999</v>
      </c>
      <c r="Q92" s="101" t="e">
        <f>'Alternative 1'!I91</f>
        <v>#VALUE!</v>
      </c>
      <c r="R92" s="101" t="e">
        <f>'Alternative 1'!J91</f>
        <v>#VALUE!</v>
      </c>
      <c r="S92" s="18" t="e">
        <f t="shared" si="69"/>
        <v>#VALUE!</v>
      </c>
      <c r="T92" s="18" t="e">
        <f t="shared" si="70"/>
        <v>#VALUE!</v>
      </c>
      <c r="U92" s="18" t="e">
        <f t="shared" si="56"/>
        <v>#VALUE!</v>
      </c>
      <c r="V92" s="18">
        <f t="shared" si="57"/>
        <v>0</v>
      </c>
      <c r="W92" s="18">
        <f>SUM(V93:V$94)</f>
        <v>0</v>
      </c>
      <c r="X92" s="18">
        <f>SUM($V$4:V92)</f>
        <v>31215.543190081382</v>
      </c>
      <c r="Y92" s="18">
        <f t="shared" si="58"/>
        <v>31215.543190081382</v>
      </c>
      <c r="Z92" s="18">
        <f t="shared" si="59"/>
        <v>9999</v>
      </c>
      <c r="AD92" s="10">
        <f t="shared" si="71"/>
        <v>88</v>
      </c>
      <c r="AE92" s="18">
        <f>IF((AD92&lt;='Alternative 2'!$B$12),AE91+1,9999)</f>
        <v>9999</v>
      </c>
      <c r="AF92" s="101" t="e">
        <f>'Alternative 2'!I91</f>
        <v>#VALUE!</v>
      </c>
      <c r="AG92" s="101" t="e">
        <f>'Alternative 2'!J91</f>
        <v>#VALUE!</v>
      </c>
      <c r="AH92" s="18" t="e">
        <f t="shared" si="72"/>
        <v>#VALUE!</v>
      </c>
      <c r="AI92" s="18" t="e">
        <f t="shared" si="73"/>
        <v>#VALUE!</v>
      </c>
      <c r="AJ92" s="18" t="e">
        <f t="shared" si="60"/>
        <v>#VALUE!</v>
      </c>
      <c r="AK92" s="18">
        <f t="shared" si="61"/>
        <v>0</v>
      </c>
      <c r="AL92" s="18">
        <f>SUM(AK93:AK$94)</f>
        <v>0</v>
      </c>
      <c r="AM92" s="18">
        <f>SUM($AK$4:AK92)</f>
        <v>6381.1637280634177</v>
      </c>
      <c r="AN92" s="18">
        <f t="shared" si="62"/>
        <v>6381.1637280634177</v>
      </c>
      <c r="AO92" s="18">
        <f t="shared" si="63"/>
        <v>9999</v>
      </c>
      <c r="AS92" s="10">
        <f t="shared" si="74"/>
        <v>88</v>
      </c>
      <c r="AT92" s="18">
        <f>IF((AS92&lt;='Alternative 3'!$B$12),AT91+1,9999)</f>
        <v>9999</v>
      </c>
      <c r="AU92" s="101" t="e">
        <f>'Alternative 3'!I91</f>
        <v>#VALUE!</v>
      </c>
      <c r="AV92" s="101" t="e">
        <f>'Alternative 3'!J91</f>
        <v>#VALUE!</v>
      </c>
      <c r="AW92" s="18" t="e">
        <f t="shared" si="75"/>
        <v>#VALUE!</v>
      </c>
      <c r="AX92" s="18" t="e">
        <f t="shared" si="76"/>
        <v>#VALUE!</v>
      </c>
      <c r="AY92" s="18" t="e">
        <f t="shared" si="64"/>
        <v>#VALUE!</v>
      </c>
      <c r="AZ92" s="18">
        <f t="shared" si="65"/>
        <v>0</v>
      </c>
      <c r="BA92" s="18">
        <f>SUM(AZ93:AZ$94)</f>
        <v>0</v>
      </c>
      <c r="BB92" s="18">
        <f>SUM($AZ$4:AZ92)</f>
        <v>14889.382032148003</v>
      </c>
      <c r="BC92" s="18">
        <f t="shared" si="66"/>
        <v>14889.382032148003</v>
      </c>
      <c r="BD92" s="18">
        <f t="shared" si="67"/>
        <v>9999</v>
      </c>
    </row>
    <row r="93" spans="15:56" x14ac:dyDescent="0.25">
      <c r="O93" s="10">
        <f t="shared" si="68"/>
        <v>89</v>
      </c>
      <c r="P93" s="18">
        <f>IF((O93&lt;='Alternative 1'!$B$12),P92+1,9999)</f>
        <v>9999</v>
      </c>
      <c r="Q93" s="101" t="e">
        <f>'Alternative 1'!I92</f>
        <v>#VALUE!</v>
      </c>
      <c r="R93" s="101" t="e">
        <f>'Alternative 1'!J92</f>
        <v>#VALUE!</v>
      </c>
      <c r="S93" s="18" t="e">
        <f t="shared" si="69"/>
        <v>#VALUE!</v>
      </c>
      <c r="T93" s="18" t="e">
        <f t="shared" si="70"/>
        <v>#VALUE!</v>
      </c>
      <c r="U93" s="18" t="e">
        <f t="shared" si="56"/>
        <v>#VALUE!</v>
      </c>
      <c r="V93" s="18">
        <f t="shared" si="57"/>
        <v>0</v>
      </c>
      <c r="W93" s="18">
        <f>SUM(V94:V$94)</f>
        <v>0</v>
      </c>
      <c r="X93" s="18">
        <f>SUM($V$4:V93)</f>
        <v>31215.543190081382</v>
      </c>
      <c r="Y93" s="18">
        <f t="shared" si="58"/>
        <v>31215.543190081382</v>
      </c>
      <c r="Z93" s="18">
        <f t="shared" si="59"/>
        <v>9999</v>
      </c>
      <c r="AD93" s="10">
        <f t="shared" si="71"/>
        <v>89</v>
      </c>
      <c r="AE93" s="18">
        <f>IF((AD93&lt;='Alternative 2'!$B$12),AE92+1,9999)</f>
        <v>9999</v>
      </c>
      <c r="AF93" s="101" t="e">
        <f>'Alternative 2'!I92</f>
        <v>#VALUE!</v>
      </c>
      <c r="AG93" s="101" t="e">
        <f>'Alternative 2'!J92</f>
        <v>#VALUE!</v>
      </c>
      <c r="AH93" s="18" t="e">
        <f t="shared" si="72"/>
        <v>#VALUE!</v>
      </c>
      <c r="AI93" s="18" t="e">
        <f t="shared" si="73"/>
        <v>#VALUE!</v>
      </c>
      <c r="AJ93" s="18" t="e">
        <f t="shared" si="60"/>
        <v>#VALUE!</v>
      </c>
      <c r="AK93" s="18">
        <f t="shared" si="61"/>
        <v>0</v>
      </c>
      <c r="AL93" s="18">
        <f>SUM(AK94:AK$94)</f>
        <v>0</v>
      </c>
      <c r="AM93" s="18">
        <f>SUM($AK$4:AK93)</f>
        <v>6381.1637280634177</v>
      </c>
      <c r="AN93" s="18">
        <f t="shared" si="62"/>
        <v>6381.1637280634177</v>
      </c>
      <c r="AO93" s="18">
        <f t="shared" si="63"/>
        <v>9999</v>
      </c>
      <c r="AS93" s="10">
        <f t="shared" si="74"/>
        <v>89</v>
      </c>
      <c r="AT93" s="18">
        <f>IF((AS93&lt;='Alternative 3'!$B$12),AT92+1,9999)</f>
        <v>9999</v>
      </c>
      <c r="AU93" s="101" t="e">
        <f>'Alternative 3'!I92</f>
        <v>#VALUE!</v>
      </c>
      <c r="AV93" s="101" t="e">
        <f>'Alternative 3'!J92</f>
        <v>#VALUE!</v>
      </c>
      <c r="AW93" s="18" t="e">
        <f t="shared" si="75"/>
        <v>#VALUE!</v>
      </c>
      <c r="AX93" s="18" t="e">
        <f t="shared" si="76"/>
        <v>#VALUE!</v>
      </c>
      <c r="AY93" s="18" t="e">
        <f t="shared" si="64"/>
        <v>#VALUE!</v>
      </c>
      <c r="AZ93" s="18">
        <f t="shared" si="65"/>
        <v>0</v>
      </c>
      <c r="BA93" s="18">
        <f>SUM(AZ94:AZ$94)</f>
        <v>0</v>
      </c>
      <c r="BB93" s="18">
        <f>SUM($AZ$4:AZ93)</f>
        <v>14889.382032148003</v>
      </c>
      <c r="BC93" s="18">
        <f t="shared" si="66"/>
        <v>14889.382032148003</v>
      </c>
      <c r="BD93" s="18">
        <f t="shared" si="67"/>
        <v>9999</v>
      </c>
    </row>
    <row r="94" spans="15:56" x14ac:dyDescent="0.25">
      <c r="O94" s="10">
        <f t="shared" si="68"/>
        <v>90</v>
      </c>
      <c r="P94" s="18">
        <f>IF((O94&lt;='Alternative 1'!$B$12),P93+1,9999)</f>
        <v>9999</v>
      </c>
      <c r="Q94" s="101" t="e">
        <f>'Alternative 1'!I93</f>
        <v>#VALUE!</v>
      </c>
      <c r="R94" s="101" t="e">
        <f>'Alternative 1'!J93</f>
        <v>#VALUE!</v>
      </c>
      <c r="S94" s="18" t="e">
        <f t="shared" si="69"/>
        <v>#VALUE!</v>
      </c>
      <c r="T94" s="18" t="e">
        <f t="shared" si="70"/>
        <v>#VALUE!</v>
      </c>
      <c r="U94" s="18" t="e">
        <f t="shared" si="56"/>
        <v>#VALUE!</v>
      </c>
      <c r="V94" s="18">
        <f t="shared" si="57"/>
        <v>0</v>
      </c>
      <c r="W94" s="18">
        <f>SUM(V$94:V95)</f>
        <v>0</v>
      </c>
      <c r="X94" s="18">
        <f>SUM($V$4:V94)</f>
        <v>31215.543190081382</v>
      </c>
      <c r="Y94" s="18">
        <f t="shared" si="58"/>
        <v>31215.543190081382</v>
      </c>
      <c r="Z94" s="18">
        <f t="shared" si="59"/>
        <v>9999</v>
      </c>
      <c r="AD94" s="10">
        <f t="shared" si="71"/>
        <v>90</v>
      </c>
      <c r="AE94" s="18">
        <f>IF((AD94&lt;='Alternative 2'!$B$12),AE93+1,9999)</f>
        <v>9999</v>
      </c>
      <c r="AF94" s="101" t="e">
        <f>'Alternative 2'!I93</f>
        <v>#VALUE!</v>
      </c>
      <c r="AG94" s="101" t="e">
        <f>'Alternative 2'!J93</f>
        <v>#VALUE!</v>
      </c>
      <c r="AH94" s="18" t="e">
        <f t="shared" si="72"/>
        <v>#VALUE!</v>
      </c>
      <c r="AI94" s="18" t="e">
        <f t="shared" si="73"/>
        <v>#VALUE!</v>
      </c>
      <c r="AJ94" s="18" t="e">
        <f t="shared" si="60"/>
        <v>#VALUE!</v>
      </c>
      <c r="AK94" s="18">
        <f t="shared" si="61"/>
        <v>0</v>
      </c>
      <c r="AL94" s="18">
        <f>SUM(AK$94:AK95)</f>
        <v>0</v>
      </c>
      <c r="AM94" s="18">
        <f>SUM($AK$4:AK94)</f>
        <v>6381.1637280634177</v>
      </c>
      <c r="AN94" s="18">
        <f t="shared" si="62"/>
        <v>6381.1637280634177</v>
      </c>
      <c r="AO94" s="18">
        <f t="shared" si="63"/>
        <v>9999</v>
      </c>
      <c r="AS94" s="10">
        <f t="shared" si="74"/>
        <v>90</v>
      </c>
      <c r="AT94" s="18">
        <f>IF((AS94&lt;='Alternative 3'!$B$12),AT93+1,9999)</f>
        <v>9999</v>
      </c>
      <c r="AU94" s="101" t="e">
        <f>'Alternative 3'!I93</f>
        <v>#VALUE!</v>
      </c>
      <c r="AV94" s="101" t="e">
        <f>'Alternative 3'!J93</f>
        <v>#VALUE!</v>
      </c>
      <c r="AW94" s="18" t="e">
        <f t="shared" si="75"/>
        <v>#VALUE!</v>
      </c>
      <c r="AX94" s="18" t="e">
        <f t="shared" si="76"/>
        <v>#VALUE!</v>
      </c>
      <c r="AY94" s="18" t="e">
        <f t="shared" si="64"/>
        <v>#VALUE!</v>
      </c>
      <c r="AZ94" s="18">
        <f t="shared" si="65"/>
        <v>0</v>
      </c>
      <c r="BA94" s="18">
        <f>SUM(AZ$94:AZ95)</f>
        <v>0</v>
      </c>
      <c r="BB94" s="18">
        <f>SUM($AZ$4:AZ94)</f>
        <v>14889.382032148003</v>
      </c>
      <c r="BC94" s="18">
        <f t="shared" si="66"/>
        <v>14889.382032148003</v>
      </c>
      <c r="BD94" s="18">
        <f t="shared" si="67"/>
        <v>9999</v>
      </c>
    </row>
  </sheetData>
  <mergeCells count="5">
    <mergeCell ref="AS2:BF2"/>
    <mergeCell ref="N1:N1048576"/>
    <mergeCell ref="A2:M2"/>
    <mergeCell ref="O2:AB2"/>
    <mergeCell ref="AD2:AQ2"/>
  </mergeCells>
  <conditionalFormatting sqref="J4:K4 K5:K71">
    <cfRule type="cellIs" dxfId="17" priority="18" operator="equal">
      <formula>$L$4</formula>
    </cfRule>
  </conditionalFormatting>
  <conditionalFormatting sqref="J4:K71">
    <cfRule type="cellIs" dxfId="16" priority="17" operator="equal">
      <formula>$L$4</formula>
    </cfRule>
  </conditionalFormatting>
  <conditionalFormatting sqref="Y4:Z4 Z5:Z94">
    <cfRule type="cellIs" dxfId="15" priority="16" operator="equal">
      <formula>$L$4</formula>
    </cfRule>
  </conditionalFormatting>
  <conditionalFormatting sqref="Y4:Z94">
    <cfRule type="cellIs" dxfId="14" priority="15" operator="equal">
      <formula>$L$4</formula>
    </cfRule>
  </conditionalFormatting>
  <conditionalFormatting sqref="AN4:AO4 AO5:AO94">
    <cfRule type="cellIs" dxfId="13" priority="13" operator="equal">
      <formula>$L$4</formula>
    </cfRule>
  </conditionalFormatting>
  <conditionalFormatting sqref="AN4:AO94">
    <cfRule type="cellIs" dxfId="12" priority="12" operator="equal">
      <formula>$L$4</formula>
    </cfRule>
  </conditionalFormatting>
  <conditionalFormatting sqref="AN1 AN3:AN1048576">
    <cfRule type="cellIs" dxfId="11" priority="7" operator="equal">
      <formula>$AP$4</formula>
    </cfRule>
  </conditionalFormatting>
  <conditionalFormatting sqref="Y1 Y3:Y1048576">
    <cfRule type="cellIs" dxfId="10" priority="6" operator="equal">
      <formula>$AA$4</formula>
    </cfRule>
  </conditionalFormatting>
  <conditionalFormatting sqref="BC4:BD4 BD5:BD94">
    <cfRule type="cellIs" dxfId="9" priority="5" operator="equal">
      <formula>$L$4</formula>
    </cfRule>
  </conditionalFormatting>
  <conditionalFormatting sqref="BC4:BD94">
    <cfRule type="cellIs" dxfId="8" priority="4" operator="equal">
      <formula>$L$4</formula>
    </cfRule>
  </conditionalFormatting>
  <conditionalFormatting sqref="BC3:BC94">
    <cfRule type="cellIs" dxfId="7" priority="1" operator="equal">
      <formula>$AP$4</formula>
    </cfRule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C11C982-67BC-4E62-A923-8CBF3CB6FE6B}">
            <xm:f>'\Users\H\AppData\Roaming\Microsoft\Excel\[Compiled_Excel_updated 2.19 (version 1).xlsb]Alternative 1'!#REF!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P1 P3:P1048576</xm:sqref>
        </x14:conditionalFormatting>
        <x14:conditionalFormatting xmlns:xm="http://schemas.microsoft.com/office/excel/2006/main">
          <x14:cfRule type="cellIs" priority="11" operator="equal" id="{74895920-13F6-4682-ADE5-BE986AADBDC9}">
            <xm:f>'\Users\H\AppData\Roaming\Microsoft\Excel\[Compiled_Excel_updated 2.19 (version 1).xlsb]Alternative 1'!#REF!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AE3:AE94</xm:sqref>
        </x14:conditionalFormatting>
        <x14:conditionalFormatting xmlns:xm="http://schemas.microsoft.com/office/excel/2006/main">
          <x14:cfRule type="cellIs" priority="10" operator="equal" id="{DB594838-1832-444A-A38B-B24C13F1D055}">
            <xm:f>'\Users\H\AppData\Roaming\Microsoft\Excel\[Compiled_Excel_updated 2.19 (version 1).xlsb]Alternative 2'!#REF!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AD1:AQ1 AD95:AQ1048576 AD4:AJ94 AL4:AQ94 AD3:AQ3 AD2</xm:sqref>
        </x14:conditionalFormatting>
        <x14:conditionalFormatting xmlns:xm="http://schemas.microsoft.com/office/excel/2006/main">
          <x14:cfRule type="cellIs" priority="8" operator="equal" id="{622ABB50-EEE1-4256-B978-D9F6C05A35FD}">
            <xm:f>'\Users\Siena\AppData\Local\Microsoft\Windows\Temporary Internet Files\Low\Content.IE5\O9U3X2IZ\[OLD(2-24-14).xlsx]Alternative 3'!#REF!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equal" id="{B1345D24-C3A2-4AE9-9D39-A19EB87B89E7}">
            <xm:f>'\Users\H\AppData\Roaming\Microsoft\Excel\[Compiled_Excel_updated 2.19 (version 1).xlsb]Alternative 3'!#REF!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AT1 AT95:AT1048576</xm:sqref>
        </x14:conditionalFormatting>
        <x14:conditionalFormatting xmlns:xm="http://schemas.microsoft.com/office/excel/2006/main">
          <x14:cfRule type="cellIs" priority="3" operator="equal" id="{76264020-258D-46CE-ACC3-3B1BA3B11210}">
            <xm:f>'\Users\H\AppData\Roaming\Microsoft\Excel\[Compiled_Excel_updated 2.19 (version 1).xlsb]Alternative 1'!#REF!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AT3:AT94</xm:sqref>
        </x14:conditionalFormatting>
        <x14:conditionalFormatting xmlns:xm="http://schemas.microsoft.com/office/excel/2006/main">
          <x14:cfRule type="cellIs" priority="2" operator="equal" id="{98F83713-67DA-449A-B2FF-F9969FDC04F5}">
            <xm:f>'\Users\H\AppData\Roaming\Microsoft\Excel\[Compiled_Excel_updated 2.19 (version 1).xlsb]Alternative 2'!#REF!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AS3:BF3 AS4:AY94 BA4:BF94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FP94"/>
  <sheetViews>
    <sheetView topLeftCell="BG1" zoomScale="70" zoomScaleNormal="70" workbookViewId="0">
      <selection activeCell="BX1" sqref="BX1:BY1"/>
    </sheetView>
  </sheetViews>
  <sheetFormatPr defaultColWidth="9.140625" defaultRowHeight="15" x14ac:dyDescent="0.25"/>
  <cols>
    <col min="1" max="4" width="9.140625" style="18"/>
    <col min="5" max="6" width="13.5703125" style="18" customWidth="1"/>
    <col min="7" max="7" width="1.7109375" style="194" customWidth="1"/>
    <col min="8" max="8" width="7.7109375" style="18" hidden="1" customWidth="1"/>
    <col min="9" max="9" width="11.5703125" style="18" bestFit="1" customWidth="1"/>
    <col min="10" max="10" width="12.5703125" style="101" bestFit="1" customWidth="1"/>
    <col min="11" max="11" width="18" style="18" customWidth="1"/>
    <col min="12" max="12" width="16.28515625" style="18" customWidth="1"/>
    <col min="13" max="13" width="15.85546875" style="18" customWidth="1"/>
    <col min="14" max="14" width="18.42578125" style="18" customWidth="1"/>
    <col min="15" max="15" width="1.28515625" style="190" customWidth="1"/>
    <col min="16" max="16" width="16.85546875" style="18" bestFit="1" customWidth="1"/>
    <col min="17" max="17" width="16.85546875" style="18" customWidth="1"/>
    <col min="18" max="18" width="17.28515625" style="18" bestFit="1" customWidth="1"/>
    <col min="19" max="19" width="17.28515625" style="18" customWidth="1"/>
    <col min="20" max="20" width="17.42578125" style="18" bestFit="1" customWidth="1"/>
    <col min="21" max="21" width="2.5703125" style="115" customWidth="1"/>
    <col min="22" max="26" width="20.85546875" style="18" customWidth="1"/>
    <col min="27" max="27" width="1.85546875" style="189" customWidth="1"/>
    <col min="28" max="32" width="18.85546875" style="18" customWidth="1"/>
    <col min="33" max="33" width="2.85546875" style="189" customWidth="1"/>
    <col min="34" max="38" width="20.42578125" style="18" customWidth="1"/>
    <col min="39" max="39" width="3.42578125" style="189" customWidth="1"/>
    <col min="40" max="40" width="17.140625" style="18" bestFit="1" customWidth="1"/>
    <col min="41" max="41" width="17.140625" style="18" customWidth="1"/>
    <col min="42" max="44" width="19.5703125" style="18" customWidth="1"/>
    <col min="45" max="45" width="3" style="189" customWidth="1"/>
    <col min="46" max="46" width="17.140625" style="18" bestFit="1" customWidth="1"/>
    <col min="47" max="47" width="17.140625" style="18" customWidth="1"/>
    <col min="48" max="50" width="19.140625" style="18" customWidth="1"/>
    <col min="51" max="51" width="1.140625" style="189" customWidth="1"/>
    <col min="52" max="52" width="17.140625" style="18" bestFit="1" customWidth="1"/>
    <col min="53" max="53" width="17.140625" style="18" customWidth="1"/>
    <col min="54" max="56" width="20.28515625" style="18" customWidth="1"/>
    <col min="57" max="57" width="1.85546875" style="189" customWidth="1"/>
    <col min="58" max="58" width="17.140625" style="18" bestFit="1" customWidth="1"/>
    <col min="59" max="59" width="17.140625" style="18" customWidth="1"/>
    <col min="60" max="62" width="19.28515625" style="18" customWidth="1"/>
    <col min="63" max="63" width="2" style="189" customWidth="1"/>
    <col min="64" max="64" width="17.140625" style="18" bestFit="1" customWidth="1"/>
    <col min="65" max="65" width="17.140625" style="18" customWidth="1"/>
    <col min="66" max="68" width="19.5703125" style="18" customWidth="1"/>
    <col min="69" max="69" width="1.7109375" style="189" customWidth="1"/>
    <col min="70" max="70" width="17.140625" style="18" bestFit="1" customWidth="1"/>
    <col min="71" max="71" width="17.140625" style="18" customWidth="1"/>
    <col min="72" max="72" width="17.28515625" style="18" bestFit="1" customWidth="1"/>
    <col min="73" max="74" width="17.28515625" style="18" customWidth="1"/>
    <col min="75" max="75" width="1.85546875" style="194" customWidth="1"/>
    <col min="76" max="76" width="17.5703125" style="18" bestFit="1" customWidth="1"/>
    <col min="77" max="77" width="15.28515625" style="244" customWidth="1"/>
    <col min="78" max="172" width="9.140625" style="245"/>
    <col min="173" max="16384" width="9.140625" style="18"/>
  </cols>
  <sheetData>
    <row r="1" spans="1:172" s="98" customFormat="1" ht="44.25" customHeight="1" x14ac:dyDescent="0.25">
      <c r="A1" s="190" t="s">
        <v>132</v>
      </c>
      <c r="B1" s="190"/>
      <c r="C1" s="190"/>
      <c r="D1" s="190"/>
      <c r="E1" s="190"/>
      <c r="F1" s="190"/>
      <c r="G1" s="194"/>
      <c r="I1" s="190" t="s">
        <v>133</v>
      </c>
      <c r="J1" s="190"/>
      <c r="K1" s="190"/>
      <c r="L1" s="190"/>
      <c r="M1" s="190"/>
      <c r="N1" s="190"/>
      <c r="O1" s="190"/>
      <c r="P1" s="190" t="s">
        <v>134</v>
      </c>
      <c r="Q1" s="190"/>
      <c r="R1" s="190"/>
      <c r="S1" s="190"/>
      <c r="T1" s="190"/>
      <c r="V1" s="190" t="s">
        <v>135</v>
      </c>
      <c r="W1" s="190"/>
      <c r="X1" s="190"/>
      <c r="Y1" s="190"/>
      <c r="Z1" s="190"/>
      <c r="AA1" s="189"/>
      <c r="AB1" s="191" t="s">
        <v>136</v>
      </c>
      <c r="AC1" s="192"/>
      <c r="AD1" s="192"/>
      <c r="AE1" s="192"/>
      <c r="AF1" s="193"/>
      <c r="AG1" s="189"/>
      <c r="AH1" s="191" t="s">
        <v>137</v>
      </c>
      <c r="AI1" s="192"/>
      <c r="AJ1" s="192"/>
      <c r="AK1" s="192"/>
      <c r="AL1" s="193"/>
      <c r="AM1" s="189"/>
      <c r="AN1" s="191" t="s">
        <v>138</v>
      </c>
      <c r="AO1" s="192"/>
      <c r="AP1" s="192"/>
      <c r="AQ1" s="192"/>
      <c r="AR1" s="193"/>
      <c r="AS1" s="189"/>
      <c r="AT1" s="191" t="s">
        <v>139</v>
      </c>
      <c r="AU1" s="192"/>
      <c r="AV1" s="192"/>
      <c r="AW1" s="192"/>
      <c r="AX1" s="193"/>
      <c r="AY1" s="189"/>
      <c r="AZ1" s="191" t="s">
        <v>140</v>
      </c>
      <c r="BA1" s="192"/>
      <c r="BB1" s="192"/>
      <c r="BC1" s="192"/>
      <c r="BD1" s="193"/>
      <c r="BE1" s="189"/>
      <c r="BF1" s="191" t="s">
        <v>141</v>
      </c>
      <c r="BG1" s="192"/>
      <c r="BH1" s="192"/>
      <c r="BI1" s="192"/>
      <c r="BJ1" s="193"/>
      <c r="BK1" s="189"/>
      <c r="BL1" s="191" t="s">
        <v>142</v>
      </c>
      <c r="BM1" s="192"/>
      <c r="BN1" s="192"/>
      <c r="BO1" s="192"/>
      <c r="BP1" s="193"/>
      <c r="BQ1" s="189"/>
      <c r="BR1" s="195" t="s">
        <v>143</v>
      </c>
      <c r="BS1" s="196"/>
      <c r="BT1" s="196"/>
      <c r="BU1" s="196"/>
      <c r="BV1" s="197"/>
      <c r="BW1" s="194"/>
      <c r="BX1" s="246" t="s">
        <v>225</v>
      </c>
      <c r="BY1" s="247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45"/>
      <c r="DN1" s="245"/>
      <c r="DO1" s="245"/>
      <c r="DP1" s="245"/>
      <c r="DQ1" s="245"/>
      <c r="DR1" s="245"/>
      <c r="DS1" s="245"/>
      <c r="DT1" s="245"/>
      <c r="DU1" s="245"/>
      <c r="DV1" s="245"/>
      <c r="DW1" s="245"/>
      <c r="DX1" s="245"/>
      <c r="DY1" s="245"/>
      <c r="DZ1" s="245"/>
      <c r="EA1" s="245"/>
      <c r="EB1" s="245"/>
      <c r="EC1" s="245"/>
      <c r="ED1" s="245"/>
      <c r="EE1" s="245"/>
      <c r="EF1" s="245"/>
      <c r="EG1" s="245"/>
      <c r="EH1" s="245"/>
      <c r="EI1" s="245"/>
      <c r="EJ1" s="245"/>
      <c r="EK1" s="245"/>
      <c r="EL1" s="245"/>
      <c r="EM1" s="245"/>
      <c r="EN1" s="245"/>
      <c r="EO1" s="245"/>
      <c r="EP1" s="245"/>
      <c r="EQ1" s="245"/>
      <c r="ER1" s="245"/>
      <c r="ES1" s="245"/>
      <c r="ET1" s="245"/>
      <c r="EU1" s="245"/>
      <c r="EV1" s="245"/>
      <c r="EW1" s="245"/>
      <c r="EX1" s="245"/>
      <c r="EY1" s="245"/>
      <c r="EZ1" s="245"/>
      <c r="FA1" s="245"/>
      <c r="FB1" s="245"/>
      <c r="FC1" s="245"/>
      <c r="FD1" s="245"/>
      <c r="FE1" s="245"/>
      <c r="FF1" s="245"/>
      <c r="FG1" s="245"/>
      <c r="FH1" s="245"/>
      <c r="FI1" s="245"/>
      <c r="FJ1" s="245"/>
      <c r="FK1" s="245"/>
      <c r="FL1" s="245"/>
      <c r="FM1" s="245"/>
      <c r="FN1" s="245"/>
      <c r="FO1" s="245"/>
      <c r="FP1" s="245"/>
    </row>
    <row r="2" spans="1:172" ht="44.45" customHeight="1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99" t="s">
        <v>121</v>
      </c>
      <c r="F2" s="99" t="s">
        <v>158</v>
      </c>
      <c r="H2" s="18" t="s">
        <v>122</v>
      </c>
      <c r="I2" s="100" t="s">
        <v>123</v>
      </c>
      <c r="J2" s="110" t="s">
        <v>124</v>
      </c>
      <c r="K2" s="99" t="s">
        <v>125</v>
      </c>
      <c r="L2" s="100" t="s">
        <v>126</v>
      </c>
      <c r="M2" s="100" t="s">
        <v>127</v>
      </c>
      <c r="N2" s="100" t="s">
        <v>128</v>
      </c>
      <c r="P2" s="100" t="s">
        <v>152</v>
      </c>
      <c r="Q2" s="100" t="s">
        <v>154</v>
      </c>
      <c r="R2" s="100" t="s">
        <v>153</v>
      </c>
      <c r="S2" s="100" t="s">
        <v>155</v>
      </c>
      <c r="T2" s="100" t="s">
        <v>156</v>
      </c>
      <c r="V2" s="99" t="s">
        <v>113</v>
      </c>
      <c r="W2" s="100" t="s">
        <v>154</v>
      </c>
      <c r="X2" s="100" t="s">
        <v>153</v>
      </c>
      <c r="Y2" s="100" t="s">
        <v>155</v>
      </c>
      <c r="Z2" s="100" t="s">
        <v>156</v>
      </c>
      <c r="AB2" s="99" t="s">
        <v>113</v>
      </c>
      <c r="AC2" s="100" t="s">
        <v>154</v>
      </c>
      <c r="AD2" s="100" t="s">
        <v>153</v>
      </c>
      <c r="AE2" s="100" t="s">
        <v>155</v>
      </c>
      <c r="AF2" s="100" t="s">
        <v>156</v>
      </c>
      <c r="AH2" s="99" t="s">
        <v>113</v>
      </c>
      <c r="AI2" s="100" t="s">
        <v>154</v>
      </c>
      <c r="AJ2" s="100" t="s">
        <v>153</v>
      </c>
      <c r="AK2" s="100" t="s">
        <v>155</v>
      </c>
      <c r="AL2" s="100" t="s">
        <v>156</v>
      </c>
      <c r="AN2" s="99" t="s">
        <v>113</v>
      </c>
      <c r="AO2" s="100" t="s">
        <v>154</v>
      </c>
      <c r="AP2" s="100" t="s">
        <v>153</v>
      </c>
      <c r="AQ2" s="100" t="s">
        <v>155</v>
      </c>
      <c r="AR2" s="100" t="s">
        <v>156</v>
      </c>
      <c r="AT2" s="99" t="s">
        <v>113</v>
      </c>
      <c r="AU2" s="100" t="s">
        <v>154</v>
      </c>
      <c r="AV2" s="100" t="s">
        <v>153</v>
      </c>
      <c r="AW2" s="100" t="s">
        <v>155</v>
      </c>
      <c r="AX2" s="100" t="s">
        <v>156</v>
      </c>
      <c r="AZ2" s="99" t="s">
        <v>113</v>
      </c>
      <c r="BA2" s="100" t="s">
        <v>154</v>
      </c>
      <c r="BB2" s="100" t="s">
        <v>153</v>
      </c>
      <c r="BC2" s="100" t="s">
        <v>155</v>
      </c>
      <c r="BD2" s="100" t="s">
        <v>156</v>
      </c>
      <c r="BF2" s="99" t="s">
        <v>113</v>
      </c>
      <c r="BG2" s="100" t="s">
        <v>154</v>
      </c>
      <c r="BH2" s="100" t="s">
        <v>153</v>
      </c>
      <c r="BI2" s="100" t="s">
        <v>155</v>
      </c>
      <c r="BJ2" s="100" t="s">
        <v>156</v>
      </c>
      <c r="BL2" s="99" t="s">
        <v>113</v>
      </c>
      <c r="BM2" s="100" t="s">
        <v>154</v>
      </c>
      <c r="BN2" s="100" t="s">
        <v>153</v>
      </c>
      <c r="BO2" s="100" t="s">
        <v>155</v>
      </c>
      <c r="BP2" s="100" t="s">
        <v>156</v>
      </c>
      <c r="BR2" s="99" t="s">
        <v>113</v>
      </c>
      <c r="BS2" s="100" t="s">
        <v>154</v>
      </c>
      <c r="BT2" s="100" t="s">
        <v>153</v>
      </c>
      <c r="BU2" s="100" t="s">
        <v>155</v>
      </c>
      <c r="BV2" s="100" t="s">
        <v>156</v>
      </c>
      <c r="BX2" s="99" t="s">
        <v>191</v>
      </c>
      <c r="BY2" s="99" t="s">
        <v>190</v>
      </c>
    </row>
    <row r="3" spans="1:172" x14ac:dyDescent="0.25">
      <c r="A3" s="18">
        <f>'Baseline Given'!E4</f>
        <v>1</v>
      </c>
      <c r="B3" s="18">
        <f t="shared" ref="B3:B34" si="0">B4+1</f>
        <v>67</v>
      </c>
      <c r="C3" s="18">
        <v>33.5</v>
      </c>
      <c r="D3" s="18">
        <v>1</v>
      </c>
      <c r="E3" s="18">
        <f t="shared" ref="E3:E28" si="1">E4+1</f>
        <v>26.75</v>
      </c>
      <c r="F3" s="18">
        <v>67</v>
      </c>
      <c r="H3" s="103">
        <v>0</v>
      </c>
      <c r="I3" s="103"/>
      <c r="J3" s="111">
        <f>'Baseline Given'!$B$28*SIN('Baseline-tilt up (1 pt)'!I3)</f>
        <v>0</v>
      </c>
      <c r="K3" s="104">
        <f>'Baseline Given'!$B$26*COS('Baseline-tilt up (1 pt)'!I3)*'Baseline Given'!$B$28</f>
        <v>30043537.5</v>
      </c>
      <c r="L3" s="107" t="e">
        <f t="shared" ref="L3:L34" si="2">K3/J3</f>
        <v>#DIV/0!</v>
      </c>
      <c r="M3" s="104">
        <f>'Baseline Given'!$B$26*COS('Baseline-tilt up (1 pt)'!I3)</f>
        <v>1082650</v>
      </c>
      <c r="N3" s="104" t="e">
        <f t="shared" ref="N3:N34" si="3">L3*COS(I3)</f>
        <v>#DIV/0!</v>
      </c>
      <c r="P3" s="105">
        <f t="shared" ref="P3:P34" si="4">16160*B4*C4*COS($I$5)-$L$5*(E3*SIN($I$5))</f>
        <v>6231793.9455290772</v>
      </c>
      <c r="Q3" s="106">
        <f t="shared" ref="Q3:Q29" si="5">16160*F4+$L$5*COS($I$5)</f>
        <v>32050713.402688153</v>
      </c>
      <c r="R3" s="105">
        <f>P3*'Baseline Given'!K4/'Baseline Given'!L4</f>
        <v>35651389.234974995</v>
      </c>
      <c r="S3" s="105">
        <f>Q3/'Baseline Given'!M4</f>
        <v>2612490.1291872077</v>
      </c>
      <c r="T3" s="105">
        <f t="shared" ref="T3:T22" si="6">(R3+S3)/1000000</f>
        <v>38.263879364162207</v>
      </c>
      <c r="U3" s="116"/>
      <c r="V3" s="105">
        <f t="shared" ref="V3:V34" si="7">16160*B4*C4*COS($I$13)-$L$12*(E3*SIN($I$13))</f>
        <v>2909876.3126833625</v>
      </c>
      <c r="W3" s="106">
        <f t="shared" ref="W3:W29" si="8">16160*F4+$L$12*COS($I$13)</f>
        <v>7798295.2109460672</v>
      </c>
      <c r="X3" s="105">
        <f>V3*'Baseline Given'!K4/'Baseline Given'!L4</f>
        <v>16647073.692726338</v>
      </c>
      <c r="Y3" s="105">
        <f>W3/'Baseline Given'!M4</f>
        <v>635647.91856944293</v>
      </c>
      <c r="Z3" s="105">
        <f t="shared" ref="Z3:Z34" si="9">(X3+Y3)/1000000</f>
        <v>17.282721611295781</v>
      </c>
      <c r="AB3" s="105">
        <f t="shared" ref="AB3:AB34" si="10">16160*B4*C4*COS($I$23)-$L$22*(E3*SIN($I$23))</f>
        <v>4307062.9276493378</v>
      </c>
      <c r="AC3" s="106">
        <f t="shared" ref="AC3:AC29" si="11">16160*F4+$L$22*COS($I$23)</f>
        <v>4021182.7970918277</v>
      </c>
      <c r="AD3" s="105">
        <f>AB3*'Baseline Given'!K4/'Baseline Given'!L4</f>
        <v>24640220.494344492</v>
      </c>
      <c r="AE3" s="105">
        <f>AC3/'Baseline Given'!M4</f>
        <v>327771.18665254756</v>
      </c>
      <c r="AF3" s="105">
        <f t="shared" ref="AF3:AF34" si="12">(AD3+AE3)/1000000</f>
        <v>24.967991680997041</v>
      </c>
      <c r="AH3" s="105">
        <f t="shared" ref="AH3:AH34" si="13">16160*B4*C4*COS($I$33)-$L$32*(E3*SIN($I$33))</f>
        <v>4357633.7612693086</v>
      </c>
      <c r="AI3" s="106">
        <f t="shared" ref="AI3:AI29" si="14">16160*F3+$L$32*COS($I$33)</f>
        <v>2774199.5112038916</v>
      </c>
      <c r="AJ3" s="105">
        <f>AH3*'Baseline Given'!K4/'Baseline Given'!L4</f>
        <v>24929530.521133203</v>
      </c>
      <c r="AK3" s="105">
        <f>AI3/'Baseline Given'!M4</f>
        <v>226128.15971853767</v>
      </c>
      <c r="AL3" s="105">
        <f t="shared" ref="AL3:AL34" si="15">(AJ3+AK3)/1000000</f>
        <v>25.15565868085174</v>
      </c>
      <c r="AN3" s="105">
        <f t="shared" ref="AN3:AN34" si="16">16160*B4*C4*COS($I$43)-$L$42*(E3*SIN($I$43))</f>
        <v>3973593.3560034186</v>
      </c>
      <c r="AO3" s="106">
        <f t="shared" ref="AO3:AO29" si="17">16160*F3+$L$42*COS($I$43)</f>
        <v>2106891.8561312268</v>
      </c>
      <c r="AP3" s="105">
        <f>AN3*'Baseline Given'!K4/'Baseline Given'!L4</f>
        <v>22732478.742822297</v>
      </c>
      <c r="AQ3" s="105">
        <f>AO3/'Baseline Given'!M4</f>
        <v>171735.15323206797</v>
      </c>
      <c r="AR3" s="105">
        <f t="shared" ref="AR3:AR34" si="18">(AP3+AQ3)/1000000</f>
        <v>22.904213896054365</v>
      </c>
      <c r="AT3" s="105">
        <f t="shared" ref="AT3:AT34" si="19">16160*B4*C4*COS($I$53)-$L$52*(E3*SIN($I$53))</f>
        <v>3338450.7679821067</v>
      </c>
      <c r="AU3" s="106">
        <f t="shared" ref="AU3:AU29" si="20">16160*F3+$L$52*COS($I$53)</f>
        <v>1687668.8157522324</v>
      </c>
      <c r="AV3" s="105">
        <f>AT3*'Baseline Given'!K4/'Baseline Given'!L4</f>
        <v>19098899.740823586</v>
      </c>
      <c r="AW3" s="105">
        <f>AU3/'Baseline Given'!M4</f>
        <v>137563.80605618528</v>
      </c>
      <c r="AX3" s="105">
        <f t="shared" ref="AX3:AX34" si="21">(AV3+AW3)/1000000</f>
        <v>19.236463546879772</v>
      </c>
      <c r="AZ3" s="105">
        <f t="shared" ref="AZ3:AZ34" si="22">16160*B4*C4*COS($I$63)-$L$62*(E3*SIN($I$63))</f>
        <v>2528136.3562774602</v>
      </c>
      <c r="BA3" s="106">
        <f t="shared" ref="BA3:BA29" si="23">16160*F3+$L$62*COS($I$63)</f>
        <v>1407980.8745950942</v>
      </c>
      <c r="BB3" s="105">
        <f>AZ3*'Baseline Given'!K4/'Baseline Given'!L4</f>
        <v>14463182.522490643</v>
      </c>
      <c r="BC3" s="105">
        <f>BA3/'Baseline Given'!M4</f>
        <v>114766.12363503729</v>
      </c>
      <c r="BD3" s="105">
        <f t="shared" ref="BD3:BD34" si="24">(BB3+BC3)/1000000</f>
        <v>14.57794864612568</v>
      </c>
      <c r="BF3" s="105">
        <f t="shared" ref="BF3:BF34" si="25">16160*B4*C4*COS($I$73)-$L$72*(E3*SIN($I$73))</f>
        <v>1591301.736221239</v>
      </c>
      <c r="BG3" s="106">
        <f t="shared" ref="BG3:BG29" si="26">16160*B3+$L$72*COS($I$73)</f>
        <v>1224860.2873283562</v>
      </c>
      <c r="BH3" s="105">
        <f>BF3*'Baseline Given'!K4/'Baseline Given'!L4</f>
        <v>9103657.4835752789</v>
      </c>
      <c r="BI3" s="105">
        <f>BG3/'Baseline Given'!M4</f>
        <v>99839.756141289283</v>
      </c>
      <c r="BJ3" s="105">
        <f t="shared" ref="BJ3:BJ34" si="27">(BH3+BI3)/1000000</f>
        <v>9.2034972397165689</v>
      </c>
      <c r="BL3" s="105">
        <f t="shared" ref="BL3:BL34" si="28">16160*B4*C4*COS($I$83)-$L$82*(E3*SIN($I$83))</f>
        <v>567901.98135763593</v>
      </c>
      <c r="BM3" s="106">
        <f t="shared" ref="BM3:BM29" si="29">16160*F3+$L$82*COS($I$83)</f>
        <v>1119263.5369066959</v>
      </c>
      <c r="BN3" s="105">
        <f>BL3*'Baseline Given'!K4/'Baseline Given'!L4</f>
        <v>3248903.0866016019</v>
      </c>
      <c r="BO3" s="105">
        <f>BM3/'Baseline Given'!M4</f>
        <v>91232.444825476428</v>
      </c>
      <c r="BP3" s="105">
        <f t="shared" ref="BP3:BP34" si="30">(BN3+BO3)/1000000</f>
        <v>3.3401355314270784</v>
      </c>
      <c r="BR3" s="105">
        <f t="shared" ref="BR3:BR34" si="31">16160*B4*C4*COS($I$93)-$L$92*(E3*SIN($I$93))</f>
        <v>-505514.17169129901</v>
      </c>
      <c r="BS3" s="106">
        <f t="shared" ref="BS3:BS29" si="32">16160*F3+$L$92*COS($I$93)</f>
        <v>1082720</v>
      </c>
      <c r="BT3" s="105">
        <f>BR3*'Baseline Given'!K4/'Baseline Given'!L4</f>
        <v>-2891989.4746668157</v>
      </c>
      <c r="BU3" s="105">
        <f>BS3/'Baseline Given'!M4</f>
        <v>88253.739538800219</v>
      </c>
      <c r="BV3" s="105">
        <f t="shared" ref="BV3:BV34" si="33">(BT3+BU3)/1000000</f>
        <v>-2.8037357351280154</v>
      </c>
      <c r="BX3" s="104">
        <v>150</v>
      </c>
      <c r="BY3" s="104">
        <v>-150</v>
      </c>
    </row>
    <row r="4" spans="1:172" x14ac:dyDescent="0.25">
      <c r="A4" s="18">
        <f>'Baseline Given'!E5</f>
        <v>2</v>
      </c>
      <c r="B4" s="18">
        <f t="shared" si="0"/>
        <v>66</v>
      </c>
      <c r="C4" s="18">
        <f t="shared" ref="C4:C35" si="34">C3-0.5</f>
        <v>33</v>
      </c>
      <c r="D4" s="18">
        <f t="shared" ref="D4:D35" si="35">D3+1</f>
        <v>2</v>
      </c>
      <c r="E4" s="18">
        <f t="shared" si="1"/>
        <v>25.75</v>
      </c>
      <c r="F4" s="18">
        <f t="shared" ref="F4:F35" si="36">F3-1</f>
        <v>66</v>
      </c>
      <c r="H4" s="104">
        <f t="shared" ref="H4:H35" si="37">H3+1</f>
        <v>1</v>
      </c>
      <c r="I4" s="104">
        <f t="shared" ref="I4:I35" si="38">H4*PI()/180</f>
        <v>1.7453292519943295E-2</v>
      </c>
      <c r="J4" s="111">
        <f>'Baseline Given'!$B$28*SIN('Baseline-tilt up (1 pt)'!I4)</f>
        <v>0.48430427863461745</v>
      </c>
      <c r="K4" s="104">
        <f>'Baseline Given'!$B$26*COS('Baseline-tilt up (1 pt)'!I4)*'Baseline Given'!$B$28</f>
        <v>30038961.723719608</v>
      </c>
      <c r="L4" s="107">
        <f t="shared" si="2"/>
        <v>62024976.959541693</v>
      </c>
      <c r="M4" s="104">
        <f>'Baseline Given'!$B$26*COS('Baseline-tilt up (1 pt)'!I4)</f>
        <v>1082485.107161067</v>
      </c>
      <c r="N4" s="104">
        <f t="shared" si="3"/>
        <v>62015530.255126037</v>
      </c>
      <c r="P4" s="105">
        <f t="shared" si="4"/>
        <v>6255949.2218181267</v>
      </c>
      <c r="Q4" s="106">
        <f t="shared" si="5"/>
        <v>32034553.402688153</v>
      </c>
      <c r="R4" s="105">
        <f>P4*'Baseline Given'!K5/'Baseline Given'!L5</f>
        <v>36022651.352656014</v>
      </c>
      <c r="S4" s="105">
        <f>Q4/'Baseline Given'!M5</f>
        <v>2637440.3420871054</v>
      </c>
      <c r="T4" s="105">
        <f t="shared" si="6"/>
        <v>38.660091694743116</v>
      </c>
      <c r="U4" s="116"/>
      <c r="V4" s="105">
        <f t="shared" si="7"/>
        <v>3054463.5469499864</v>
      </c>
      <c r="W4" s="106">
        <f t="shared" si="8"/>
        <v>7782135.2109460672</v>
      </c>
      <c r="X4" s="105">
        <f>V4*'Baseline Given'!K5/'Baseline Given'!L5</f>
        <v>17588038.444659743</v>
      </c>
      <c r="Y4" s="105">
        <f>W4/'Baseline Given'!M5</f>
        <v>640711.83059487795</v>
      </c>
      <c r="Z4" s="105">
        <f t="shared" si="9"/>
        <v>18.228750275254622</v>
      </c>
      <c r="AB4" s="105">
        <f t="shared" si="10"/>
        <v>4387811.8340256475</v>
      </c>
      <c r="AC4" s="106">
        <f t="shared" si="11"/>
        <v>4005022.7970918277</v>
      </c>
      <c r="AD4" s="105">
        <f>AB4*'Baseline Given'!K5/'Baseline Given'!L5</f>
        <v>25265648.791859582</v>
      </c>
      <c r="AE4" s="105">
        <f>AC4/'Baseline Given'!M5</f>
        <v>329737.97272110992</v>
      </c>
      <c r="AF4" s="105">
        <f t="shared" si="12"/>
        <v>25.595386764580692</v>
      </c>
      <c r="AH4" s="105">
        <f t="shared" si="13"/>
        <v>4417539.3429938592</v>
      </c>
      <c r="AI4" s="106">
        <f t="shared" si="14"/>
        <v>2758039.5112038916</v>
      </c>
      <c r="AJ4" s="105">
        <f>AH4*'Baseline Given'!K5/'Baseline Given'!L5</f>
        <v>25436824.044914726</v>
      </c>
      <c r="AK4" s="105">
        <f>AI4/'Baseline Given'!M5</f>
        <v>227072.45456117202</v>
      </c>
      <c r="AL4" s="105">
        <f t="shared" si="15"/>
        <v>25.663896499475896</v>
      </c>
      <c r="AN4" s="105">
        <f t="shared" si="16"/>
        <v>4022132.8605927005</v>
      </c>
      <c r="AO4" s="106">
        <f t="shared" si="17"/>
        <v>2090731.856131227</v>
      </c>
      <c r="AP4" s="105">
        <f>AN4*'Baseline Given'!K5/'Baseline Given'!L5</f>
        <v>23160016.90453044</v>
      </c>
      <c r="AQ4" s="105">
        <f>AO4/'Baseline Given'!M5</f>
        <v>172132.27456401606</v>
      </c>
      <c r="AR4" s="105">
        <f t="shared" si="18"/>
        <v>23.332149179094458</v>
      </c>
      <c r="AT4" s="105">
        <f t="shared" si="19"/>
        <v>3379022.8633894324</v>
      </c>
      <c r="AU4" s="106">
        <f t="shared" si="20"/>
        <v>1671508.8157522324</v>
      </c>
      <c r="AV4" s="105">
        <f>AT4*'Baseline Given'!K5/'Baseline Given'!L5</f>
        <v>19456897.459464327</v>
      </c>
      <c r="AW4" s="105">
        <f>AU4/'Baseline Given'!M5</f>
        <v>137617.17628469403</v>
      </c>
      <c r="AX4" s="105">
        <f t="shared" si="21"/>
        <v>19.594514635749018</v>
      </c>
      <c r="AZ4" s="105">
        <f t="shared" si="22"/>
        <v>2562264.7167904526</v>
      </c>
      <c r="BA4" s="106">
        <f t="shared" si="23"/>
        <v>1391820.8745950942</v>
      </c>
      <c r="BB4" s="105">
        <f>AZ4*'Baseline Given'!K5/'Baseline Given'!L5</f>
        <v>14753887.107051989</v>
      </c>
      <c r="BC4" s="105">
        <f>BA4/'Baseline Given'!M5</f>
        <v>114590.15761736898</v>
      </c>
      <c r="BD4" s="105">
        <f t="shared" si="24"/>
        <v>14.868477264669359</v>
      </c>
      <c r="BF4" s="105">
        <f t="shared" si="25"/>
        <v>1619807.4847433362</v>
      </c>
      <c r="BG4" s="106">
        <f t="shared" si="26"/>
        <v>1208700.2873283562</v>
      </c>
      <c r="BH4" s="105">
        <f>BF4*'Baseline Given'!K5/'Baseline Given'!L5</f>
        <v>9327083.4229012579</v>
      </c>
      <c r="BI4" s="105">
        <f>BG4/'Baseline Given'!M5</f>
        <v>99513.636391902197</v>
      </c>
      <c r="BJ4" s="105">
        <f t="shared" si="27"/>
        <v>9.4265970592931598</v>
      </c>
      <c r="BL4" s="105">
        <f t="shared" si="28"/>
        <v>591347.55474421661</v>
      </c>
      <c r="BM4" s="106">
        <f t="shared" si="29"/>
        <v>1103103.5369066959</v>
      </c>
      <c r="BN4" s="105">
        <f>BL4*'Baseline Given'!K5/'Baseline Given'!L5</f>
        <v>3405063.8899856261</v>
      </c>
      <c r="BO4" s="105">
        <f>BM4/'Baseline Given'!M5</f>
        <v>90819.738710406193</v>
      </c>
      <c r="BP4" s="105">
        <f t="shared" si="30"/>
        <v>3.4958836286960322</v>
      </c>
      <c r="BR4" s="105">
        <f t="shared" si="31"/>
        <v>-486616.44564676442</v>
      </c>
      <c r="BS4" s="106">
        <f t="shared" si="32"/>
        <v>1066560</v>
      </c>
      <c r="BT4" s="105">
        <f>BR4*'Baseline Given'!K5/'Baseline Given'!L5</f>
        <v>-2802007.1682915092</v>
      </c>
      <c r="BU4" s="105">
        <f>BS4/'Baseline Given'!M5</f>
        <v>87811.068751168335</v>
      </c>
      <c r="BV4" s="105">
        <f t="shared" si="33"/>
        <v>-2.7141960995403407</v>
      </c>
      <c r="BX4" s="104">
        <v>150</v>
      </c>
      <c r="BY4" s="104">
        <v>-150</v>
      </c>
    </row>
    <row r="5" spans="1:172" x14ac:dyDescent="0.25">
      <c r="A5" s="18">
        <f>'Baseline Given'!E6</f>
        <v>3</v>
      </c>
      <c r="B5" s="18">
        <f t="shared" si="0"/>
        <v>65</v>
      </c>
      <c r="C5" s="18">
        <f t="shared" si="34"/>
        <v>32.5</v>
      </c>
      <c r="D5" s="18">
        <f t="shared" si="35"/>
        <v>3</v>
      </c>
      <c r="E5" s="18">
        <f t="shared" si="1"/>
        <v>24.75</v>
      </c>
      <c r="F5" s="18">
        <f t="shared" si="36"/>
        <v>65</v>
      </c>
      <c r="H5" s="104">
        <f t="shared" si="37"/>
        <v>2</v>
      </c>
      <c r="I5" s="109">
        <f t="shared" si="38"/>
        <v>3.4906585039886591E-2</v>
      </c>
      <c r="J5" s="111">
        <f>'Baseline Given'!$B$28*SIN('Baseline-tilt up (1 pt)'!I5)</f>
        <v>0.96846103349440193</v>
      </c>
      <c r="K5" s="104">
        <f>'Baseline Given'!$B$26*COS('Baseline-tilt up (1 pt)'!I5)*'Baseline Given'!$B$28</f>
        <v>30025235.788704216</v>
      </c>
      <c r="L5" s="107">
        <f t="shared" si="2"/>
        <v>31003039.616748579</v>
      </c>
      <c r="M5" s="109">
        <f>'Baseline Given'!$B$26*COS('Baseline-tilt up (1 pt)'!I5)</f>
        <v>1081990.478872224</v>
      </c>
      <c r="N5" s="109">
        <f t="shared" si="3"/>
        <v>30984153.402688153</v>
      </c>
      <c r="P5" s="105">
        <f t="shared" si="4"/>
        <v>6296254.6538718045</v>
      </c>
      <c r="Q5" s="106">
        <f t="shared" si="5"/>
        <v>32018393.402688153</v>
      </c>
      <c r="R5" s="105">
        <f>P5*'Baseline Given'!K6/'Baseline Given'!L6</f>
        <v>36492385.198491313</v>
      </c>
      <c r="S5" s="105">
        <f>Q5/'Baseline Given'!M6</f>
        <v>2662762.2163687474</v>
      </c>
      <c r="T5" s="105">
        <f t="shared" si="6"/>
        <v>39.15514741486006</v>
      </c>
      <c r="U5" s="116"/>
      <c r="V5" s="105">
        <f t="shared" si="7"/>
        <v>3214965.2745052837</v>
      </c>
      <c r="W5" s="106">
        <f t="shared" si="8"/>
        <v>7765975.2109460672</v>
      </c>
      <c r="X5" s="105">
        <f>V5*'Baseline Given'!K6/'Baseline Given'!L6</f>
        <v>18633577.840577748</v>
      </c>
      <c r="Y5" s="105">
        <f>W5/'Baseline Given'!M6</f>
        <v>645845.81446323812</v>
      </c>
      <c r="Z5" s="105">
        <f t="shared" si="9"/>
        <v>19.279423655040986</v>
      </c>
      <c r="AB5" s="105">
        <f t="shared" si="10"/>
        <v>4483746.1731538549</v>
      </c>
      <c r="AC5" s="106">
        <f t="shared" si="11"/>
        <v>3988862.7970918277</v>
      </c>
      <c r="AD5" s="105">
        <f>AB5*'Baseline Given'!K6/'Baseline Given'!L6</f>
        <v>25987289.504304614</v>
      </c>
      <c r="AE5" s="105">
        <f>AC5/'Baseline Given'!M6</f>
        <v>331727.86057039764</v>
      </c>
      <c r="AF5" s="105">
        <f t="shared" si="12"/>
        <v>26.319017364875013</v>
      </c>
      <c r="AH5" s="105">
        <f t="shared" si="13"/>
        <v>4491439.8952435702</v>
      </c>
      <c r="AI5" s="106">
        <f t="shared" si="14"/>
        <v>2741879.5112038916</v>
      </c>
      <c r="AJ5" s="105">
        <f>AH5*'Baseline Given'!K6/'Baseline Given'!L6</f>
        <v>26031881.45389092</v>
      </c>
      <c r="AK5" s="105">
        <f>AI5/'Baseline Given'!M6</f>
        <v>228024.34439625466</v>
      </c>
      <c r="AL5" s="105">
        <f t="shared" si="15"/>
        <v>26.259905798287175</v>
      </c>
      <c r="AN5" s="105">
        <f t="shared" si="16"/>
        <v>4083051.6433827952</v>
      </c>
      <c r="AO5" s="106">
        <f t="shared" si="17"/>
        <v>2074571.856131227</v>
      </c>
      <c r="AP5" s="105">
        <f>AN5*'Baseline Given'!K6/'Baseline Given'!L6</f>
        <v>23664908.989033986</v>
      </c>
      <c r="AQ5" s="105">
        <f>AO5/'Baseline Given'!M6</f>
        <v>172528.69262279812</v>
      </c>
      <c r="AR5" s="105">
        <f t="shared" si="18"/>
        <v>23.837437681656784</v>
      </c>
      <c r="AT5" s="105">
        <f t="shared" si="19"/>
        <v>3429982.4065692946</v>
      </c>
      <c r="AU5" s="106">
        <f t="shared" si="20"/>
        <v>1655348.8157522324</v>
      </c>
      <c r="AV5" s="105">
        <f>AT5*'Baseline Given'!K6/'Baseline Given'!L6</f>
        <v>19879793.001638561</v>
      </c>
      <c r="AW5" s="105">
        <f>AU5/'Baseline Given'!M6</f>
        <v>137664.63001624972</v>
      </c>
      <c r="AX5" s="105">
        <f t="shared" si="21"/>
        <v>20.017457631654811</v>
      </c>
      <c r="AZ5" s="105">
        <f t="shared" si="22"/>
        <v>2604473.0773034468</v>
      </c>
      <c r="BA5" s="106">
        <f t="shared" si="23"/>
        <v>1375660.8745950942</v>
      </c>
      <c r="BB5" s="105">
        <f>AZ5*'Baseline Given'!K6/'Baseline Given'!L6</f>
        <v>15095233.595358415</v>
      </c>
      <c r="BC5" s="105">
        <f>BA5/'Baseline Given'!M6</f>
        <v>114404.79705958841</v>
      </c>
      <c r="BD5" s="105">
        <f t="shared" si="24"/>
        <v>15.209638392418002</v>
      </c>
      <c r="BF5" s="105">
        <f t="shared" si="25"/>
        <v>1653840.2787815761</v>
      </c>
      <c r="BG5" s="106">
        <f t="shared" si="26"/>
        <v>1192540.2873283562</v>
      </c>
      <c r="BH5" s="105">
        <f>BF5*'Baseline Given'!K6/'Baseline Given'!L6</f>
        <v>9585472.6067924295</v>
      </c>
      <c r="BI5" s="105">
        <f>BG5/'Baseline Given'!M6</f>
        <v>99175.844916968141</v>
      </c>
      <c r="BJ5" s="105">
        <f t="shared" si="27"/>
        <v>9.6846484517093963</v>
      </c>
      <c r="BL5" s="105">
        <f t="shared" si="28"/>
        <v>617599.28268189635</v>
      </c>
      <c r="BM5" s="106">
        <f t="shared" si="29"/>
        <v>1086943.5369066959</v>
      </c>
      <c r="BN5" s="105">
        <f>BL5*'Baseline Given'!K6/'Baseline Given'!L6</f>
        <v>3579536.114867975</v>
      </c>
      <c r="BO5" s="105">
        <f>BM5/'Baseline Given'!M6</f>
        <v>90394.047727527941</v>
      </c>
      <c r="BP5" s="105">
        <f t="shared" si="30"/>
        <v>3.6699301625955032</v>
      </c>
      <c r="BR5" s="105">
        <f t="shared" si="31"/>
        <v>-467718.71960222983</v>
      </c>
      <c r="BS5" s="106">
        <f t="shared" si="32"/>
        <v>1050400</v>
      </c>
      <c r="BT5" s="105">
        <f>BR5*'Baseline Given'!K6/'Baseline Given'!L6</f>
        <v>-2710845.1958457334</v>
      </c>
      <c r="BU5" s="105">
        <f>BS5/'Baseline Given'!M6</f>
        <v>87354.958660696211</v>
      </c>
      <c r="BV5" s="105">
        <f t="shared" si="33"/>
        <v>-2.6234902371850373</v>
      </c>
      <c r="BX5" s="104">
        <v>150</v>
      </c>
      <c r="BY5" s="104">
        <v>-150</v>
      </c>
    </row>
    <row r="6" spans="1:172" x14ac:dyDescent="0.25">
      <c r="A6" s="18">
        <f>'Baseline Given'!E7</f>
        <v>4</v>
      </c>
      <c r="B6" s="18">
        <f t="shared" si="0"/>
        <v>64</v>
      </c>
      <c r="C6" s="18">
        <f t="shared" si="34"/>
        <v>32</v>
      </c>
      <c r="D6" s="18">
        <f t="shared" si="35"/>
        <v>4</v>
      </c>
      <c r="E6" s="18">
        <f t="shared" si="1"/>
        <v>23.75</v>
      </c>
      <c r="F6" s="18">
        <f t="shared" si="36"/>
        <v>64</v>
      </c>
      <c r="H6" s="104">
        <f t="shared" si="37"/>
        <v>3</v>
      </c>
      <c r="I6" s="104">
        <f t="shared" si="38"/>
        <v>5.2359877559829883E-2</v>
      </c>
      <c r="J6" s="111">
        <f>'Baseline Given'!$B$28*SIN('Baseline-tilt up (1 pt)'!I6)</f>
        <v>1.4523227857416912</v>
      </c>
      <c r="K6" s="104">
        <f>'Baseline Given'!$B$26*COS('Baseline-tilt up (1 pt)'!I6)*'Baseline Given'!$B$28</f>
        <v>30002363.876006592</v>
      </c>
      <c r="L6" s="107">
        <f t="shared" si="2"/>
        <v>20658192.634968951</v>
      </c>
      <c r="M6" s="104">
        <f>'Baseline Given'!$B$26*COS('Baseline-tilt up (1 pt)'!I6)</f>
        <v>1081166.2658020393</v>
      </c>
      <c r="N6" s="104">
        <f t="shared" si="3"/>
        <v>20629881.299929406</v>
      </c>
      <c r="P6" s="105">
        <f t="shared" si="4"/>
        <v>6352710.2416901141</v>
      </c>
      <c r="Q6" s="106">
        <f t="shared" si="5"/>
        <v>32002233.402688153</v>
      </c>
      <c r="R6" s="105">
        <f>P6*'Baseline Given'!K7/'Baseline Given'!L7</f>
        <v>37062539.992906235</v>
      </c>
      <c r="S6" s="105">
        <f>Q6/'Baseline Given'!M7</f>
        <v>2688463.2371892347</v>
      </c>
      <c r="T6" s="105">
        <f t="shared" si="6"/>
        <v>39.751003230095471</v>
      </c>
      <c r="U6" s="116"/>
      <c r="V6" s="105">
        <f t="shared" si="7"/>
        <v>3391381.4953492545</v>
      </c>
      <c r="W6" s="106">
        <f t="shared" si="8"/>
        <v>7749815.2109460672</v>
      </c>
      <c r="X6" s="105">
        <f>V6*'Baseline Given'!K7/'Baseline Given'!L7</f>
        <v>19785761.906424318</v>
      </c>
      <c r="Y6" s="105">
        <f>W6/'Baseline Given'!M7</f>
        <v>651051.22594000935</v>
      </c>
      <c r="Z6" s="105">
        <f t="shared" si="9"/>
        <v>20.436813132364325</v>
      </c>
      <c r="AB6" s="105">
        <f t="shared" si="10"/>
        <v>4594865.94503396</v>
      </c>
      <c r="AC6" s="106">
        <f t="shared" si="11"/>
        <v>3972702.7970918277</v>
      </c>
      <c r="AD6" s="105">
        <f>AB6*'Baseline Given'!K7/'Baseline Given'!L7</f>
        <v>26807047.129629049</v>
      </c>
      <c r="AE6" s="105">
        <f>AC6/'Baseline Given'!M7</f>
        <v>333741.25136413373</v>
      </c>
      <c r="AF6" s="105">
        <f t="shared" si="12"/>
        <v>27.140788380993182</v>
      </c>
      <c r="AH6" s="105">
        <f t="shared" si="13"/>
        <v>4579335.4180184305</v>
      </c>
      <c r="AI6" s="106">
        <f t="shared" si="14"/>
        <v>2725719.5112038916</v>
      </c>
      <c r="AJ6" s="105">
        <f>AH6*'Baseline Given'!K7/'Baseline Given'!L7</f>
        <v>26716440.009718791</v>
      </c>
      <c r="AK6" s="105">
        <f>AI6/'Baseline Given'!M7</f>
        <v>228983.91523341398</v>
      </c>
      <c r="AL6" s="105">
        <f t="shared" si="15"/>
        <v>26.945423924952205</v>
      </c>
      <c r="AN6" s="105">
        <f t="shared" si="16"/>
        <v>4156349.7043736838</v>
      </c>
      <c r="AO6" s="106">
        <f t="shared" si="17"/>
        <v>2058411.856131227</v>
      </c>
      <c r="AP6" s="105">
        <f>AN6*'Baseline Given'!K7/'Baseline Given'!L7</f>
        <v>24248686.195684351</v>
      </c>
      <c r="AQ6" s="105">
        <f>AO6/'Baseline Given'!M7</f>
        <v>172924.32476723369</v>
      </c>
      <c r="AR6" s="105">
        <f t="shared" si="18"/>
        <v>24.421610520451583</v>
      </c>
      <c r="AT6" s="105">
        <f t="shared" si="19"/>
        <v>3491329.3975216895</v>
      </c>
      <c r="AU6" s="106">
        <f t="shared" si="20"/>
        <v>1639188.8157522324</v>
      </c>
      <c r="AV6" s="105">
        <f>AT6*'Baseline Given'!K7/'Baseline Given'!L7</f>
        <v>20368871.001683075</v>
      </c>
      <c r="AW6" s="105">
        <f>AU6/'Baseline Given'!M7</f>
        <v>137705.97865808517</v>
      </c>
      <c r="AX6" s="105">
        <f t="shared" si="21"/>
        <v>20.506576980341158</v>
      </c>
      <c r="AZ6" s="105">
        <f t="shared" si="22"/>
        <v>2654761.4378164373</v>
      </c>
      <c r="BA6" s="106">
        <f t="shared" si="23"/>
        <v>1359500.8745950942</v>
      </c>
      <c r="BB6" s="105">
        <f>AZ6*'Baseline Given'!K7/'Baseline Given'!L7</f>
        <v>15488224.429786064</v>
      </c>
      <c r="BC6" s="105">
        <f>BA6/'Baseline Given'!M7</f>
        <v>114209.78268249583</v>
      </c>
      <c r="BD6" s="105">
        <f t="shared" si="24"/>
        <v>15.602434212468559</v>
      </c>
      <c r="BF6" s="105">
        <f t="shared" si="25"/>
        <v>1693400.1183359586</v>
      </c>
      <c r="BG6" s="106">
        <f t="shared" si="26"/>
        <v>1176380.2873283562</v>
      </c>
      <c r="BH6" s="105">
        <f>BF6*'Baseline Given'!K7/'Baseline Given'!L7</f>
        <v>9879517.1229344625</v>
      </c>
      <c r="BI6" s="105">
        <f>BG6/'Baseline Given'!M7</f>
        <v>98826.076156632713</v>
      </c>
      <c r="BJ6" s="105">
        <f t="shared" si="27"/>
        <v>9.9783431990910962</v>
      </c>
      <c r="BL6" s="105">
        <f t="shared" si="28"/>
        <v>646657.16517067328</v>
      </c>
      <c r="BM6" s="106">
        <f t="shared" si="29"/>
        <v>1070783.5369066959</v>
      </c>
      <c r="BN6" s="105">
        <f>BL6*'Baseline Given'!K7/'Baseline Given'!L7</f>
        <v>3772682.2307357732</v>
      </c>
      <c r="BO6" s="105">
        <f>BM6/'Baseline Given'!M7</f>
        <v>89955.039629181047</v>
      </c>
      <c r="BP6" s="105">
        <f t="shared" si="30"/>
        <v>3.8626372703649543</v>
      </c>
      <c r="BR6" s="105">
        <f t="shared" si="31"/>
        <v>-448820.9935576953</v>
      </c>
      <c r="BS6" s="106">
        <f t="shared" si="32"/>
        <v>1034240</v>
      </c>
      <c r="BT6" s="105">
        <f>BR6*'Baseline Given'!K7/'Baseline Given'!L7</f>
        <v>-2618480.2061682674</v>
      </c>
      <c r="BU6" s="105">
        <f>BS6/'Baseline Given'!M7</f>
        <v>86885.067783957667</v>
      </c>
      <c r="BV6" s="105">
        <f t="shared" si="33"/>
        <v>-2.5315951383843096</v>
      </c>
      <c r="BX6" s="104">
        <v>150</v>
      </c>
      <c r="BY6" s="104">
        <v>-150</v>
      </c>
    </row>
    <row r="7" spans="1:172" x14ac:dyDescent="0.25">
      <c r="A7" s="18">
        <f>'Baseline Given'!E8</f>
        <v>5</v>
      </c>
      <c r="B7" s="18">
        <f t="shared" si="0"/>
        <v>63</v>
      </c>
      <c r="C7" s="18">
        <f t="shared" si="34"/>
        <v>31.5</v>
      </c>
      <c r="D7" s="18">
        <f t="shared" si="35"/>
        <v>5</v>
      </c>
      <c r="E7" s="18">
        <f t="shared" si="1"/>
        <v>22.75</v>
      </c>
      <c r="F7" s="18">
        <f t="shared" si="36"/>
        <v>63</v>
      </c>
      <c r="H7" s="104">
        <f t="shared" si="37"/>
        <v>4</v>
      </c>
      <c r="I7" s="104">
        <f t="shared" si="38"/>
        <v>6.9813170079773182E-2</v>
      </c>
      <c r="J7" s="111">
        <f>'Baseline Given'!$B$28*SIN('Baseline-tilt up (1 pt)'!I7)</f>
        <v>1.9357421463994771</v>
      </c>
      <c r="K7" s="104">
        <f>'Baseline Given'!$B$26*COS('Baseline-tilt up (1 pt)'!I7)*'Baseline Given'!$B$28</f>
        <v>29970352.952632915</v>
      </c>
      <c r="L7" s="107">
        <f t="shared" si="2"/>
        <v>15482616.32282917</v>
      </c>
      <c r="M7" s="104">
        <f>'Baseline Given'!$B$26*COS('Baseline-tilt up (1 pt)'!I7)</f>
        <v>1080012.7190137987</v>
      </c>
      <c r="N7" s="104">
        <f t="shared" si="3"/>
        <v>15444901.447620332</v>
      </c>
      <c r="P7" s="105">
        <f t="shared" si="4"/>
        <v>6425315.985273052</v>
      </c>
      <c r="Q7" s="106">
        <f t="shared" si="5"/>
        <v>31986073.402688153</v>
      </c>
      <c r="R7" s="105">
        <f>P7*'Baseline Given'!K8/'Baseline Given'!L8</f>
        <v>37735116.743732251</v>
      </c>
      <c r="S7" s="105">
        <f>Q7/'Baseline Given'!M8</f>
        <v>2714551.0797860818</v>
      </c>
      <c r="T7" s="105">
        <f t="shared" si="6"/>
        <v>40.449667823518332</v>
      </c>
      <c r="U7" s="116"/>
      <c r="V7" s="105">
        <f t="shared" si="7"/>
        <v>3583712.2094819024</v>
      </c>
      <c r="W7" s="106">
        <f t="shared" si="8"/>
        <v>7733655.2109460672</v>
      </c>
      <c r="X7" s="105">
        <f>V7*'Baseline Given'!K8/'Baseline Given'!L8</f>
        <v>21046715.665142715</v>
      </c>
      <c r="Y7" s="105">
        <f>W7/'Baseline Given'!M8</f>
        <v>656329.45436192839</v>
      </c>
      <c r="Z7" s="105">
        <f t="shared" si="9"/>
        <v>21.70304511950464</v>
      </c>
      <c r="AB7" s="105">
        <f t="shared" si="10"/>
        <v>4721171.1496659704</v>
      </c>
      <c r="AC7" s="106">
        <f t="shared" si="11"/>
        <v>3956542.7970918277</v>
      </c>
      <c r="AD7" s="105">
        <f>AB7*'Baseline Given'!K8/'Baseline Given'!L8</f>
        <v>27726876.764989965</v>
      </c>
      <c r="AE7" s="105">
        <f>AC7/'Baseline Given'!M8</f>
        <v>335778.55546229199</v>
      </c>
      <c r="AF7" s="105">
        <f t="shared" si="12"/>
        <v>28.062655320452258</v>
      </c>
      <c r="AH7" s="105">
        <f t="shared" si="13"/>
        <v>4681225.9113184549</v>
      </c>
      <c r="AI7" s="106">
        <f t="shared" si="14"/>
        <v>2709559.5112038916</v>
      </c>
      <c r="AJ7" s="105">
        <f>AH7*'Baseline Given'!K8/'Baseline Given'!L8</f>
        <v>27492283.130084764</v>
      </c>
      <c r="AK7" s="105">
        <f>AI7/'Baseline Given'!M8</f>
        <v>229951.25423131895</v>
      </c>
      <c r="AL7" s="105">
        <f t="shared" si="15"/>
        <v>27.722234384316081</v>
      </c>
      <c r="AN7" s="105">
        <f t="shared" si="16"/>
        <v>4242027.0435653813</v>
      </c>
      <c r="AO7" s="106">
        <f t="shared" si="17"/>
        <v>2042251.856131227</v>
      </c>
      <c r="AP7" s="105">
        <f>AN7*'Baseline Given'!K8/'Baseline Given'!L8</f>
        <v>24912920.405144326</v>
      </c>
      <c r="AQ7" s="105">
        <f>AO7/'Baseline Given'!M8</f>
        <v>173319.08519881795</v>
      </c>
      <c r="AR7" s="105">
        <f t="shared" si="18"/>
        <v>25.086239490343146</v>
      </c>
      <c r="AT7" s="105">
        <f t="shared" si="19"/>
        <v>3563063.8362466227</v>
      </c>
      <c r="AU7" s="106">
        <f t="shared" si="20"/>
        <v>1623028.8157522324</v>
      </c>
      <c r="AV7" s="105">
        <f>AT7*'Baseline Given'!K8/'Baseline Given'!L8</f>
        <v>20925450.224441074</v>
      </c>
      <c r="AW7" s="105">
        <f>AU7/'Baseline Given'!M8</f>
        <v>137741.02775471902</v>
      </c>
      <c r="AX7" s="105">
        <f t="shared" si="21"/>
        <v>21.063191252195793</v>
      </c>
      <c r="AZ7" s="105">
        <f t="shared" si="22"/>
        <v>2713129.7983294297</v>
      </c>
      <c r="BA7" s="106">
        <f t="shared" si="23"/>
        <v>1343340.8745950942</v>
      </c>
      <c r="BB7" s="105">
        <f>AZ7*'Baseline Given'!K8/'Baseline Given'!L8</f>
        <v>15933888.685866551</v>
      </c>
      <c r="BC7" s="105">
        <f>BA7/'Baseline Given'!M8</f>
        <v>114004.84753925532</v>
      </c>
      <c r="BD7" s="105">
        <f t="shared" si="24"/>
        <v>16.047893533405809</v>
      </c>
      <c r="BF7" s="105">
        <f t="shared" si="25"/>
        <v>1738487.0034064837</v>
      </c>
      <c r="BG7" s="106">
        <f t="shared" si="26"/>
        <v>1160220.2873283562</v>
      </c>
      <c r="BH7" s="105">
        <f>BF7*'Baseline Given'!K8/'Baseline Given'!L8</f>
        <v>10209927.446582546</v>
      </c>
      <c r="BI7" s="105">
        <f>BG7/'Baseline Given'!M8</f>
        <v>98464.015701665383</v>
      </c>
      <c r="BJ7" s="105">
        <f t="shared" si="27"/>
        <v>10.308391462284211</v>
      </c>
      <c r="BL7" s="105">
        <f t="shared" si="28"/>
        <v>678521.2022105474</v>
      </c>
      <c r="BM7" s="106">
        <f t="shared" si="29"/>
        <v>1054623.5369066959</v>
      </c>
      <c r="BN7" s="106">
        <f>BL7*'Baseline Given'!K8/'Baseline Given'!L8</f>
        <v>3984874.3372617941</v>
      </c>
      <c r="BO7" s="105">
        <f>BM7/'Baseline Given'!M8</f>
        <v>89502.372636876782</v>
      </c>
      <c r="BP7" s="105">
        <f t="shared" si="30"/>
        <v>4.0743767098986714</v>
      </c>
      <c r="BR7" s="105">
        <f t="shared" si="31"/>
        <v>-429923.26751316071</v>
      </c>
      <c r="BS7" s="106">
        <f t="shared" si="32"/>
        <v>1018080</v>
      </c>
      <c r="BT7" s="105">
        <f>BR7*'Baseline Given'!K8/'Baseline Given'!L8</f>
        <v>-2524888.2276980383</v>
      </c>
      <c r="BU7" s="105">
        <f>BS7/'Baseline Given'!M8</f>
        <v>86401.044870870435</v>
      </c>
      <c r="BV7" s="105">
        <f t="shared" si="33"/>
        <v>-2.4384871828271675</v>
      </c>
      <c r="BX7" s="104">
        <v>150</v>
      </c>
      <c r="BY7" s="104">
        <v>-150</v>
      </c>
    </row>
    <row r="8" spans="1:172" x14ac:dyDescent="0.25">
      <c r="A8" s="18">
        <f>'Baseline Given'!E9</f>
        <v>6</v>
      </c>
      <c r="B8" s="18">
        <f t="shared" si="0"/>
        <v>62</v>
      </c>
      <c r="C8" s="18">
        <f t="shared" si="34"/>
        <v>31</v>
      </c>
      <c r="D8" s="18">
        <f t="shared" si="35"/>
        <v>6</v>
      </c>
      <c r="E8" s="18">
        <f t="shared" si="1"/>
        <v>21.75</v>
      </c>
      <c r="F8" s="18">
        <f t="shared" si="36"/>
        <v>62</v>
      </c>
      <c r="H8" s="104">
        <f t="shared" si="37"/>
        <v>5</v>
      </c>
      <c r="I8" s="104">
        <f t="shared" si="38"/>
        <v>8.7266462599716474E-2</v>
      </c>
      <c r="J8" s="111">
        <f>'Baseline Given'!$B$28*SIN('Baseline-tilt up (1 pt)'!I8)</f>
        <v>2.4185718612475142</v>
      </c>
      <c r="K8" s="104">
        <f>'Baseline Given'!$B$26*COS('Baseline-tilt up (1 pt)'!I8)*'Baseline Given'!$B$28</f>
        <v>29929212.769420534</v>
      </c>
      <c r="L8" s="107">
        <f t="shared" si="2"/>
        <v>12374746.125584569</v>
      </c>
      <c r="M8" s="104">
        <f>'Baseline Given'!$B$26*COS('Baseline-tilt up (1 pt)'!I8)</f>
        <v>1078530.1898890282</v>
      </c>
      <c r="N8" s="104">
        <f t="shared" si="3"/>
        <v>12327656.480538717</v>
      </c>
      <c r="P8" s="105">
        <f t="shared" si="4"/>
        <v>6514071.8846206143</v>
      </c>
      <c r="Q8" s="106">
        <f t="shared" si="5"/>
        <v>31969913.402688153</v>
      </c>
      <c r="R8" s="105">
        <f>P8*'Baseline Given'!K9/'Baseline Given'!L9</f>
        <v>38512169.977583818</v>
      </c>
      <c r="S8" s="105">
        <f>Q8/'Baseline Given'!M9</f>
        <v>2741033.6153098624</v>
      </c>
      <c r="T8" s="105">
        <f t="shared" si="6"/>
        <v>41.253203592893684</v>
      </c>
      <c r="U8" s="116"/>
      <c r="V8" s="105">
        <f t="shared" si="7"/>
        <v>3791957.416903235</v>
      </c>
      <c r="W8" s="106">
        <f t="shared" si="8"/>
        <v>7717495.2109460672</v>
      </c>
      <c r="X8" s="105">
        <f>V8*'Baseline Given'!K9/'Baseline Given'!L9</f>
        <v>22418620.975356702</v>
      </c>
      <c r="Y8" s="105">
        <f>W8/'Baseline Given'!M9</f>
        <v>661681.92364941933</v>
      </c>
      <c r="Z8" s="105">
        <f t="shared" si="9"/>
        <v>23.080302899006121</v>
      </c>
      <c r="AB8" s="105">
        <f t="shared" si="10"/>
        <v>4862661.7870498747</v>
      </c>
      <c r="AC8" s="106">
        <f t="shared" si="11"/>
        <v>3940382.7970918277</v>
      </c>
      <c r="AD8" s="105">
        <f>AB8*'Baseline Given'!K9/'Baseline Given'!L9</f>
        <v>28748785.79840437</v>
      </c>
      <c r="AE8" s="105">
        <f>AC8/'Baseline Given'!M9</f>
        <v>337840.1926828252</v>
      </c>
      <c r="AF8" s="105">
        <f t="shared" si="12"/>
        <v>29.086625991087196</v>
      </c>
      <c r="AH8" s="105">
        <f t="shared" si="13"/>
        <v>4797111.3751436286</v>
      </c>
      <c r="AI8" s="106">
        <f t="shared" si="14"/>
        <v>2693399.5112038916</v>
      </c>
      <c r="AJ8" s="105">
        <f>AH8*'Baseline Given'!K9/'Baseline Given'!L9</f>
        <v>28361241.931810852</v>
      </c>
      <c r="AK8" s="105">
        <f>AI8/'Baseline Given'!M9</f>
        <v>230926.44971156705</v>
      </c>
      <c r="AL8" s="105">
        <f t="shared" si="15"/>
        <v>28.59216838152242</v>
      </c>
      <c r="AN8" s="105">
        <f t="shared" si="16"/>
        <v>4340083.6609578766</v>
      </c>
      <c r="AO8" s="106">
        <f t="shared" si="17"/>
        <v>2026091.856131227</v>
      </c>
      <c r="AP8" s="105">
        <f>AN8*'Baseline Given'!K9/'Baseline Given'!L9</f>
        <v>25659225.539461292</v>
      </c>
      <c r="AQ8" s="105">
        <f>AO8/'Baseline Given'!M9</f>
        <v>173712.88484298115</v>
      </c>
      <c r="AR8" s="105">
        <f t="shared" si="18"/>
        <v>25.832938424304274</v>
      </c>
      <c r="AT8" s="105">
        <f t="shared" si="19"/>
        <v>3645185.7227440868</v>
      </c>
      <c r="AU8" s="106">
        <f t="shared" si="20"/>
        <v>1606868.8157522324</v>
      </c>
      <c r="AV8" s="105">
        <f>AT8*'Baseline Given'!K9/'Baseline Given'!L9</f>
        <v>21550884.706326526</v>
      </c>
      <c r="AW8" s="105">
        <f>AU8/'Baseline Given'!M9</f>
        <v>137769.57678589373</v>
      </c>
      <c r="AX8" s="105">
        <f t="shared" si="21"/>
        <v>21.688654283112417</v>
      </c>
      <c r="AZ8" s="105">
        <f t="shared" si="22"/>
        <v>2779578.1588424202</v>
      </c>
      <c r="BA8" s="106">
        <f t="shared" si="23"/>
        <v>1327180.8745950942</v>
      </c>
      <c r="BB8" s="105">
        <f>AZ8*'Baseline Given'!K9/'Baseline Given'!L9</f>
        <v>16433282.962696893</v>
      </c>
      <c r="BC8" s="105">
        <f>BA8/'Baseline Given'!M9</f>
        <v>113789.71675774425</v>
      </c>
      <c r="BD8" s="105">
        <f t="shared" si="24"/>
        <v>16.547072679454637</v>
      </c>
      <c r="BF8" s="105">
        <f t="shared" si="25"/>
        <v>1789100.9339931514</v>
      </c>
      <c r="BG8" s="106">
        <f t="shared" si="26"/>
        <v>1144060.2873283562</v>
      </c>
      <c r="BH8" s="105">
        <f>BF8*'Baseline Given'!K9/'Baseline Given'!L9</f>
        <v>10577433.055301808</v>
      </c>
      <c r="BI8" s="105">
        <f>BG8/'Baseline Given'!M9</f>
        <v>98089.339999413482</v>
      </c>
      <c r="BJ8" s="105">
        <f t="shared" si="27"/>
        <v>10.67552239530122</v>
      </c>
      <c r="BL8" s="105">
        <f t="shared" si="28"/>
        <v>713191.39380151872</v>
      </c>
      <c r="BM8" s="106">
        <f t="shared" si="29"/>
        <v>1038463.536906696</v>
      </c>
      <c r="BN8" s="105">
        <f>BL8*'Baseline Given'!K9/'Baseline Given'!L9</f>
        <v>4216494.4862645911</v>
      </c>
      <c r="BO8" s="105">
        <f>BM8/'Baseline Given'!M9</f>
        <v>89035.695126264764</v>
      </c>
      <c r="BP8" s="105">
        <f t="shared" si="30"/>
        <v>4.3055301813908553</v>
      </c>
      <c r="BR8" s="105">
        <f t="shared" si="31"/>
        <v>-411025.54146862618</v>
      </c>
      <c r="BS8" s="106">
        <f t="shared" si="32"/>
        <v>1001920</v>
      </c>
      <c r="BT8" s="105">
        <f>BR8*'Baseline Given'!K9/'Baseline Given'!L9</f>
        <v>-2430044.6477326653</v>
      </c>
      <c r="BU8" s="105">
        <f>BS8/'Baseline Given'!M9</f>
        <v>85902.528582399551</v>
      </c>
      <c r="BV8" s="105">
        <f t="shared" si="33"/>
        <v>-2.3441421191502654</v>
      </c>
      <c r="BX8" s="104">
        <v>150</v>
      </c>
      <c r="BY8" s="104">
        <v>-150</v>
      </c>
    </row>
    <row r="9" spans="1:172" x14ac:dyDescent="0.25">
      <c r="A9" s="18">
        <f>'Baseline Given'!E10</f>
        <v>7</v>
      </c>
      <c r="B9" s="18">
        <f t="shared" si="0"/>
        <v>61</v>
      </c>
      <c r="C9" s="18">
        <f t="shared" si="34"/>
        <v>30.5</v>
      </c>
      <c r="D9" s="18">
        <f t="shared" si="35"/>
        <v>7</v>
      </c>
      <c r="E9" s="18">
        <f t="shared" si="1"/>
        <v>20.75</v>
      </c>
      <c r="F9" s="18">
        <f t="shared" si="36"/>
        <v>61</v>
      </c>
      <c r="H9" s="104">
        <f t="shared" si="37"/>
        <v>6</v>
      </c>
      <c r="I9" s="104">
        <f t="shared" si="38"/>
        <v>0.10471975511965977</v>
      </c>
      <c r="J9" s="111">
        <f>'Baseline Given'!$B$28*SIN('Baseline-tilt up (1 pt)'!I9)</f>
        <v>2.9006648556773835</v>
      </c>
      <c r="K9" s="104">
        <f>'Baseline Given'!$B$26*COS('Baseline-tilt up (1 pt)'!I9)*'Baseline Given'!$B$28</f>
        <v>29878955.858067796</v>
      </c>
      <c r="L9" s="107">
        <f t="shared" si="2"/>
        <v>10300726.676364083</v>
      </c>
      <c r="M9" s="104">
        <f>'Baseline Given'!$B$26*COS('Baseline-tilt up (1 pt)'!I9)</f>
        <v>1076719.130020461</v>
      </c>
      <c r="N9" s="104">
        <f t="shared" si="3"/>
        <v>10244298.217848143</v>
      </c>
      <c r="P9" s="105">
        <f t="shared" si="4"/>
        <v>6618977.9397328086</v>
      </c>
      <c r="Q9" s="106">
        <f t="shared" si="5"/>
        <v>31953753.402688153</v>
      </c>
      <c r="R9" s="105">
        <f>P9*'Baseline Given'!K10/'Baseline Given'!L10</f>
        <v>39395809.541163824</v>
      </c>
      <c r="S9" s="105">
        <f>Q9/'Baseline Given'!M10</f>
        <v>2767918.9168669609</v>
      </c>
      <c r="T9" s="105">
        <f t="shared" si="6"/>
        <v>42.163728458030782</v>
      </c>
      <c r="U9" s="116"/>
      <c r="V9" s="105">
        <f t="shared" si="7"/>
        <v>4016117.1176132374</v>
      </c>
      <c r="W9" s="106">
        <f t="shared" si="8"/>
        <v>7701335.2109460672</v>
      </c>
      <c r="X9" s="105">
        <f>V9*'Baseline Given'!K10/'Baseline Given'!L10</f>
        <v>23903718.444314048</v>
      </c>
      <c r="Y9" s="105">
        <f>W9/'Baseline Given'!M10</f>
        <v>667110.09335504018</v>
      </c>
      <c r="Z9" s="105">
        <f t="shared" si="9"/>
        <v>24.57082853766909</v>
      </c>
      <c r="AB9" s="105">
        <f t="shared" si="10"/>
        <v>5019337.8571856804</v>
      </c>
      <c r="AC9" s="106">
        <f t="shared" si="11"/>
        <v>3924222.7970918277</v>
      </c>
      <c r="AD9" s="105">
        <f>AB9*'Baseline Given'!K10/'Baseline Given'!L10</f>
        <v>29874835.668726027</v>
      </c>
      <c r="AE9" s="105">
        <f>AC9/'Baseline Given'!M10</f>
        <v>339926.59257229144</v>
      </c>
      <c r="AF9" s="105">
        <f t="shared" si="12"/>
        <v>30.214762261298318</v>
      </c>
      <c r="AH9" s="105">
        <f t="shared" si="13"/>
        <v>4926991.8094939627</v>
      </c>
      <c r="AI9" s="106">
        <f t="shared" si="14"/>
        <v>2677239.5112038916</v>
      </c>
      <c r="AJ9" s="105">
        <f>AH9*'Baseline Given'!K10/'Baseline Given'!L10</f>
        <v>29325196.836285833</v>
      </c>
      <c r="AK9" s="105">
        <f>AI9/'Baseline Given'!M10</f>
        <v>231909.59117251931</v>
      </c>
      <c r="AL9" s="105">
        <f t="shared" si="15"/>
        <v>29.557106427458354</v>
      </c>
      <c r="AN9" s="105">
        <f t="shared" si="16"/>
        <v>4450519.5565511808</v>
      </c>
      <c r="AO9" s="106">
        <f t="shared" si="17"/>
        <v>2009931.856131227</v>
      </c>
      <c r="AP9" s="105">
        <f>AN9*'Baseline Given'!K10/'Baseline Given'!L10</f>
        <v>26489258.977072962</v>
      </c>
      <c r="AQ9" s="105">
        <f>AO9/'Baseline Given'!M10</f>
        <v>174105.63122550491</v>
      </c>
      <c r="AR9" s="105">
        <f t="shared" si="18"/>
        <v>26.663364608298465</v>
      </c>
      <c r="AT9" s="105">
        <f t="shared" si="19"/>
        <v>3737695.0570140854</v>
      </c>
      <c r="AU9" s="106">
        <f t="shared" si="20"/>
        <v>1590708.8157522324</v>
      </c>
      <c r="AV9" s="105">
        <f>AT9*'Baseline Given'!K10/'Baseline Given'!L10</f>
        <v>22246564.942475162</v>
      </c>
      <c r="AW9" s="105">
        <f>AU9/'Baseline Given'!M10</f>
        <v>137791.41895666131</v>
      </c>
      <c r="AX9" s="105">
        <f t="shared" si="21"/>
        <v>22.384356361431824</v>
      </c>
      <c r="AZ9" s="105">
        <f t="shared" si="22"/>
        <v>2854106.5193554144</v>
      </c>
      <c r="BA9" s="106">
        <f t="shared" si="23"/>
        <v>1311020.8745950942</v>
      </c>
      <c r="BB9" s="105">
        <f>AZ9*'Baseline Given'!K10/'Baseline Given'!L10</f>
        <v>16987492.309312459</v>
      </c>
      <c r="BC9" s="105">
        <f>BA9/'Baseline Given'!M10</f>
        <v>113564.10727304265</v>
      </c>
      <c r="BD9" s="105">
        <f t="shared" si="24"/>
        <v>17.1010564165855</v>
      </c>
      <c r="BF9" s="105">
        <f t="shared" si="25"/>
        <v>1845241.9100959599</v>
      </c>
      <c r="BG9" s="106">
        <f t="shared" si="26"/>
        <v>1127900.2873283562</v>
      </c>
      <c r="BH9" s="105">
        <f>BF9*'Baseline Given'!K10/'Baseline Given'!L10</f>
        <v>10982783.068536451</v>
      </c>
      <c r="BI9" s="105">
        <f>BG9/'Baseline Given'!M10</f>
        <v>97701.716048581642</v>
      </c>
      <c r="BJ9" s="105">
        <f t="shared" si="27"/>
        <v>11.080484784585032</v>
      </c>
      <c r="BL9" s="105">
        <f t="shared" si="28"/>
        <v>750667.73994358815</v>
      </c>
      <c r="BM9" s="106">
        <f t="shared" si="29"/>
        <v>1022303.536906696</v>
      </c>
      <c r="BN9" s="105">
        <f>BL9*'Baseline Given'!K10/'Baseline Given'!L10</f>
        <v>4467935.0166722704</v>
      </c>
      <c r="BO9" s="105">
        <f>BM9/'Baseline Given'!M10</f>
        <v>88554.64530016674</v>
      </c>
      <c r="BP9" s="105">
        <f t="shared" si="30"/>
        <v>4.5564896619724369</v>
      </c>
      <c r="BR9" s="105">
        <f t="shared" si="31"/>
        <v>-392127.81542409159</v>
      </c>
      <c r="BS9" s="106">
        <f t="shared" si="32"/>
        <v>985760</v>
      </c>
      <c r="BT9" s="105">
        <f>BR9*'Baseline Given'!K10/'Baseline Given'!L10</f>
        <v>-2333924.1908492837</v>
      </c>
      <c r="BU9" s="105">
        <f>BS9/'Baseline Given'!M10</f>
        <v>85389.147156065752</v>
      </c>
      <c r="BV9" s="105">
        <f t="shared" si="33"/>
        <v>-2.2485350436932179</v>
      </c>
      <c r="BX9" s="104">
        <v>150</v>
      </c>
      <c r="BY9" s="104">
        <v>-150</v>
      </c>
    </row>
    <row r="10" spans="1:172" x14ac:dyDescent="0.25">
      <c r="A10" s="18">
        <f>'Baseline Given'!E11</f>
        <v>8</v>
      </c>
      <c r="B10" s="18">
        <f t="shared" si="0"/>
        <v>60</v>
      </c>
      <c r="C10" s="18">
        <f t="shared" si="34"/>
        <v>30</v>
      </c>
      <c r="D10" s="18">
        <f t="shared" si="35"/>
        <v>8</v>
      </c>
      <c r="E10" s="18">
        <f t="shared" si="1"/>
        <v>19.75</v>
      </c>
      <c r="F10" s="18">
        <f t="shared" si="36"/>
        <v>60</v>
      </c>
      <c r="H10" s="104">
        <f t="shared" si="37"/>
        <v>7</v>
      </c>
      <c r="I10" s="104">
        <f t="shared" si="38"/>
        <v>0.12217304763960307</v>
      </c>
      <c r="J10" s="111">
        <f>'Baseline Given'!$B$28*SIN('Baseline-tilt up (1 pt)'!I10)</f>
        <v>3.3818742794928425</v>
      </c>
      <c r="K10" s="104">
        <f>'Baseline Given'!$B$26*COS('Baseline-tilt up (1 pt)'!I10)*'Baseline Given'!$B$28</f>
        <v>29819597.527316742</v>
      </c>
      <c r="L10" s="107">
        <f t="shared" si="2"/>
        <v>8817476.6602466945</v>
      </c>
      <c r="M10" s="104">
        <f>'Baseline Given'!$B$26*COS('Baseline-tilt up (1 pt)'!I10)</f>
        <v>1074580.0910744772</v>
      </c>
      <c r="N10" s="104">
        <f t="shared" si="3"/>
        <v>8751752.5263150334</v>
      </c>
      <c r="P10" s="105">
        <f t="shared" si="4"/>
        <v>6740034.1506096348</v>
      </c>
      <c r="Q10" s="106">
        <f t="shared" si="5"/>
        <v>31937593.402688153</v>
      </c>
      <c r="R10" s="105">
        <f>P10*'Baseline Given'!K11/'Baseline Given'!L11</f>
        <v>40388202.475814633</v>
      </c>
      <c r="S10" s="105">
        <f>Q10/'Baseline Given'!M11</f>
        <v>2795215.2657811176</v>
      </c>
      <c r="T10" s="105">
        <f t="shared" si="6"/>
        <v>43.183417741595754</v>
      </c>
      <c r="U10" s="116"/>
      <c r="V10" s="105">
        <f t="shared" si="7"/>
        <v>4256191.3116119243</v>
      </c>
      <c r="W10" s="106">
        <f t="shared" si="8"/>
        <v>7685175.2109460672</v>
      </c>
      <c r="X10" s="105">
        <f>V10*'Baseline Given'!K11/'Baseline Given'!L11</f>
        <v>25504309.418615799</v>
      </c>
      <c r="Y10" s="105">
        <f>W10/'Baseline Given'!M11</f>
        <v>672615.45974941785</v>
      </c>
      <c r="Z10" s="105">
        <f t="shared" si="9"/>
        <v>26.17692487836522</v>
      </c>
      <c r="AB10" s="105">
        <f t="shared" si="10"/>
        <v>5191199.3600733876</v>
      </c>
      <c r="AC10" s="106">
        <f t="shared" si="11"/>
        <v>3908062.7970918277</v>
      </c>
      <c r="AD10" s="105">
        <f>AB10*'Baseline Given'!K11/'Baseline Given'!L11</f>
        <v>31107143.697187249</v>
      </c>
      <c r="AE10" s="105">
        <f>AC10/'Baseline Given'!M11</f>
        <v>342038.1946857298</v>
      </c>
      <c r="AF10" s="105">
        <f t="shared" si="12"/>
        <v>31.449181891872978</v>
      </c>
      <c r="AH10" s="105">
        <f t="shared" si="13"/>
        <v>5070867.2143694535</v>
      </c>
      <c r="AI10" s="106">
        <f t="shared" si="14"/>
        <v>2661079.5112038916</v>
      </c>
      <c r="AJ10" s="105">
        <f>AH10*'Baseline Given'!K11/'Baseline Given'!L11</f>
        <v>30386079.240177028</v>
      </c>
      <c r="AK10" s="105">
        <f>AI10/'Baseline Given'!M11</f>
        <v>232900.76930306212</v>
      </c>
      <c r="AL10" s="105">
        <f t="shared" si="15"/>
        <v>30.61898000948009</v>
      </c>
      <c r="AN10" s="105">
        <f t="shared" si="16"/>
        <v>4573334.7303452827</v>
      </c>
      <c r="AO10" s="106">
        <f t="shared" si="17"/>
        <v>1993771.856131227</v>
      </c>
      <c r="AP10" s="105">
        <f>AN10*'Baseline Given'!K11/'Baseline Given'!L11</f>
        <v>27404723.025350474</v>
      </c>
      <c r="AQ10" s="105">
        <f>AO10/'Baseline Given'!M11</f>
        <v>174497.22834387654</v>
      </c>
      <c r="AR10" s="105">
        <f t="shared" si="18"/>
        <v>27.579220253694352</v>
      </c>
      <c r="AT10" s="105">
        <f t="shared" si="19"/>
        <v>3840591.8390566222</v>
      </c>
      <c r="AU10" s="106">
        <f t="shared" si="20"/>
        <v>1574548.8157522324</v>
      </c>
      <c r="AV10" s="105">
        <f>AT10*'Baseline Given'!K11/'Baseline Given'!L11</f>
        <v>23013919.12216796</v>
      </c>
      <c r="AW10" s="105">
        <f>AU10/'Baseline Given'!M11</f>
        <v>137806.34097927291</v>
      </c>
      <c r="AX10" s="105">
        <f t="shared" si="21"/>
        <v>23.151725463147233</v>
      </c>
      <c r="AZ10" s="105">
        <f t="shared" si="22"/>
        <v>2936714.8798684068</v>
      </c>
      <c r="BA10" s="106">
        <f t="shared" si="23"/>
        <v>1294860.8745950942</v>
      </c>
      <c r="BB10" s="105">
        <f>AZ10*'Baseline Given'!K11/'Baseline Given'!L11</f>
        <v>17597631.188728433</v>
      </c>
      <c r="BC10" s="105">
        <f>BA10/'Baseline Given'!M11</f>
        <v>113327.72754963604</v>
      </c>
      <c r="BD10" s="105">
        <f t="shared" si="24"/>
        <v>17.710958916278067</v>
      </c>
      <c r="BF10" s="105">
        <f t="shared" si="25"/>
        <v>1906909.9317149138</v>
      </c>
      <c r="BG10" s="106">
        <f t="shared" si="26"/>
        <v>1111740.2873283562</v>
      </c>
      <c r="BH10" s="105">
        <f>BF10*'Baseline Given'!K11/'Baseline Given'!L11</f>
        <v>11426746.913185544</v>
      </c>
      <c r="BI10" s="105">
        <f>BG10/'Baseline Given'!M11</f>
        <v>97300.801082355421</v>
      </c>
      <c r="BJ10" s="105">
        <f t="shared" si="27"/>
        <v>11.524047714267899</v>
      </c>
      <c r="BL10" s="105">
        <f t="shared" si="28"/>
        <v>790950.24063675571</v>
      </c>
      <c r="BM10" s="106">
        <f t="shared" si="29"/>
        <v>1006143.536906696</v>
      </c>
      <c r="BN10" s="105">
        <f>BL10*'Baseline Given'!K11/'Baseline Given'!L11</f>
        <v>4739598.9031067705</v>
      </c>
      <c r="BO10" s="105">
        <f>BM10/'Baseline Given'!M11</f>
        <v>88058.850849165363</v>
      </c>
      <c r="BP10" s="105">
        <f t="shared" si="30"/>
        <v>4.8276577539559362</v>
      </c>
      <c r="BR10" s="105">
        <f t="shared" si="31"/>
        <v>-373230.08937955706</v>
      </c>
      <c r="BS10" s="106">
        <f t="shared" si="32"/>
        <v>969600</v>
      </c>
      <c r="BT10" s="105">
        <f>BR10*'Baseline Given'!K11/'Baseline Given'!L11</f>
        <v>-2236500.8964479049</v>
      </c>
      <c r="BU10" s="105">
        <f>BS10/'Baseline Given'!M11</f>
        <v>84860.518058735557</v>
      </c>
      <c r="BV10" s="105">
        <f t="shared" si="33"/>
        <v>-2.1516403783891693</v>
      </c>
      <c r="BX10" s="104">
        <v>150</v>
      </c>
      <c r="BY10" s="104">
        <v>-150</v>
      </c>
    </row>
    <row r="11" spans="1:172" x14ac:dyDescent="0.25">
      <c r="A11" s="18">
        <f>'Baseline Given'!E12</f>
        <v>9</v>
      </c>
      <c r="B11" s="18">
        <f t="shared" si="0"/>
        <v>59</v>
      </c>
      <c r="C11" s="18">
        <f t="shared" si="34"/>
        <v>29.5</v>
      </c>
      <c r="D11" s="18">
        <f t="shared" si="35"/>
        <v>9</v>
      </c>
      <c r="E11" s="18">
        <f t="shared" si="1"/>
        <v>18.75</v>
      </c>
      <c r="F11" s="18">
        <f t="shared" si="36"/>
        <v>59</v>
      </c>
      <c r="H11" s="104">
        <f t="shared" si="37"/>
        <v>8</v>
      </c>
      <c r="I11" s="104">
        <f t="shared" si="38"/>
        <v>0.13962634015954636</v>
      </c>
      <c r="J11" s="111">
        <f>'Baseline Given'!$B$28*SIN('Baseline-tilt up (1 pt)'!I11)</f>
        <v>3.8620535516418157</v>
      </c>
      <c r="K11" s="104">
        <f>'Baseline Given'!$B$26*COS('Baseline-tilt up (1 pt)'!I11)*'Baseline Given'!$B$28</f>
        <v>29751155.85828995</v>
      </c>
      <c r="L11" s="107">
        <f t="shared" si="2"/>
        <v>7703455.029939265</v>
      </c>
      <c r="M11" s="104">
        <f>'Baseline Given'!$B$26*COS('Baseline-tilt up (1 pt)'!I11)</f>
        <v>1072113.7246230613</v>
      </c>
      <c r="N11" s="104">
        <f t="shared" si="3"/>
        <v>7628485.5351354918</v>
      </c>
      <c r="P11" s="105">
        <f t="shared" si="4"/>
        <v>6877240.5172510818</v>
      </c>
      <c r="Q11" s="106">
        <f t="shared" si="5"/>
        <v>31921433.402688153</v>
      </c>
      <c r="R11" s="105">
        <f>P11*'Baseline Given'!K12/'Baseline Given'!L12</f>
        <v>41491574.968813598</v>
      </c>
      <c r="S11" s="105">
        <f>Q11/'Baseline Given'!M12</f>
        <v>2822931.1580828801</v>
      </c>
      <c r="T11" s="105">
        <f t="shared" si="6"/>
        <v>44.314506126896475</v>
      </c>
      <c r="U11" s="116"/>
      <c r="V11" s="105">
        <f t="shared" si="7"/>
        <v>4512179.998899281</v>
      </c>
      <c r="W11" s="106">
        <f t="shared" si="8"/>
        <v>7669015.2109460672</v>
      </c>
      <c r="X11" s="105">
        <f>V11*'Baseline Given'!K12/'Baseline Given'!L12</f>
        <v>27222758.056445569</v>
      </c>
      <c r="Y11" s="105">
        <f>W11/'Baseline Given'!M12</f>
        <v>678199.55694621475</v>
      </c>
      <c r="Z11" s="105">
        <f t="shared" si="9"/>
        <v>27.900957613391782</v>
      </c>
      <c r="AB11" s="105">
        <f t="shared" si="10"/>
        <v>5378246.295713</v>
      </c>
      <c r="AC11" s="106">
        <f t="shared" si="11"/>
        <v>3891902.7970918277</v>
      </c>
      <c r="AD11" s="105">
        <f>AB11*'Baseline Given'!K12/'Baseline Given'!L12</f>
        <v>32447884.993924361</v>
      </c>
      <c r="AE11" s="105">
        <f>AC11/'Baseline Given'!M12</f>
        <v>344175.44887615344</v>
      </c>
      <c r="AF11" s="105">
        <f t="shared" si="12"/>
        <v>32.792060442800512</v>
      </c>
      <c r="AH11" s="105">
        <f t="shared" si="13"/>
        <v>5228737.5897700973</v>
      </c>
      <c r="AI11" s="106">
        <f t="shared" si="14"/>
        <v>2644919.5112038916</v>
      </c>
      <c r="AJ11" s="105">
        <f>AH11*'Baseline Given'!K12/'Baseline Given'!L12</f>
        <v>31545873.254541453</v>
      </c>
      <c r="AK11" s="105">
        <f>AI11/'Baseline Given'!M12</f>
        <v>233900.07599627553</v>
      </c>
      <c r="AL11" s="105">
        <f t="shared" si="15"/>
        <v>31.779773330537729</v>
      </c>
      <c r="AN11" s="105">
        <f t="shared" si="16"/>
        <v>4708529.1823401861</v>
      </c>
      <c r="AO11" s="106">
        <f t="shared" si="17"/>
        <v>1977611.856131227</v>
      </c>
      <c r="AP11" s="105">
        <f>AN11*'Baseline Given'!K12/'Baseline Given'!L12</f>
        <v>28407366.453428034</v>
      </c>
      <c r="AQ11" s="105">
        <f>AO11/'Baseline Given'!M12</f>
        <v>174887.5765333531</v>
      </c>
      <c r="AR11" s="105">
        <f t="shared" si="18"/>
        <v>28.582254029961387</v>
      </c>
      <c r="AT11" s="105">
        <f t="shared" si="19"/>
        <v>3953876.06887169</v>
      </c>
      <c r="AU11" s="106">
        <f t="shared" si="20"/>
        <v>1558388.8157522324</v>
      </c>
      <c r="AV11" s="105">
        <f>AT11*'Baseline Given'!K12/'Baseline Given'!L12</f>
        <v>23854414.414832998</v>
      </c>
      <c r="AW11" s="105">
        <f>AU11/'Baseline Given'!M12</f>
        <v>137814.12284651329</v>
      </c>
      <c r="AX11" s="105">
        <f t="shared" si="21"/>
        <v>23.992228537679512</v>
      </c>
      <c r="AZ11" s="105">
        <f t="shared" si="22"/>
        <v>3027403.2403813973</v>
      </c>
      <c r="BA11" s="106">
        <f t="shared" si="23"/>
        <v>1278700.8745950942</v>
      </c>
      <c r="BB11" s="105">
        <f>AZ11*'Baseline Given'!K12/'Baseline Given'!L12</f>
        <v>18264844.481449448</v>
      </c>
      <c r="BC11" s="105">
        <f>BA11/'Baseline Given'!M12</f>
        <v>113080.27729288446</v>
      </c>
      <c r="BD11" s="105">
        <f t="shared" si="24"/>
        <v>18.377924758742331</v>
      </c>
      <c r="BF11" s="105">
        <f t="shared" si="25"/>
        <v>1974104.9988500094</v>
      </c>
      <c r="BG11" s="106">
        <f t="shared" si="26"/>
        <v>1095580.2873283562</v>
      </c>
      <c r="BH11" s="105">
        <f>BF11*'Baseline Given'!K12/'Baseline Given'!L12</f>
        <v>11910115.016427372</v>
      </c>
      <c r="BI11" s="105">
        <f>BG11/'Baseline Given'!M12</f>
        <v>96886.242239365296</v>
      </c>
      <c r="BJ11" s="105">
        <f t="shared" si="27"/>
        <v>12.007001258666737</v>
      </c>
      <c r="BL11" s="105">
        <f t="shared" si="28"/>
        <v>834038.89588102</v>
      </c>
      <c r="BM11" s="106">
        <f t="shared" si="29"/>
        <v>989983.53690669604</v>
      </c>
      <c r="BN11" s="105">
        <f>BL11*'Baseline Given'!K12/'Baseline Given'!L12</f>
        <v>5031900.1187392157</v>
      </c>
      <c r="BO11" s="105">
        <f>BM11/'Baseline Given'!M12</f>
        <v>87547.928599210805</v>
      </c>
      <c r="BP11" s="105">
        <f t="shared" si="30"/>
        <v>5.1194480473384258</v>
      </c>
      <c r="BR11" s="105">
        <f t="shared" si="31"/>
        <v>-354332.36333502247</v>
      </c>
      <c r="BS11" s="106">
        <f t="shared" si="32"/>
        <v>953440</v>
      </c>
      <c r="BT11" s="105">
        <f>BR11*'Baseline Given'!K12/'Baseline Given'!L12</f>
        <v>-2137748.0953753935</v>
      </c>
      <c r="BU11" s="105">
        <f>BS11/'Baseline Given'!M12</f>
        <v>84316.247626144701</v>
      </c>
      <c r="BV11" s="105">
        <f t="shared" si="33"/>
        <v>-2.0534318477492488</v>
      </c>
      <c r="BX11" s="104">
        <v>150</v>
      </c>
      <c r="BY11" s="104">
        <v>-150</v>
      </c>
    </row>
    <row r="12" spans="1:172" x14ac:dyDescent="0.25">
      <c r="A12" s="18">
        <f>'Baseline Given'!E13</f>
        <v>10</v>
      </c>
      <c r="B12" s="18">
        <f t="shared" si="0"/>
        <v>58</v>
      </c>
      <c r="C12" s="18">
        <f t="shared" si="34"/>
        <v>29</v>
      </c>
      <c r="D12" s="18">
        <f t="shared" si="35"/>
        <v>10</v>
      </c>
      <c r="E12" s="18">
        <f t="shared" si="1"/>
        <v>17.75</v>
      </c>
      <c r="F12" s="18">
        <f t="shared" si="36"/>
        <v>58</v>
      </c>
      <c r="H12" s="104">
        <f t="shared" si="37"/>
        <v>9</v>
      </c>
      <c r="I12" s="104">
        <f t="shared" si="38"/>
        <v>0.15707963267948966</v>
      </c>
      <c r="J12" s="111">
        <f>'Baseline Given'!$B$28*SIN('Baseline-tilt up (1 pt)'!I12)</f>
        <v>4.3410564048664062</v>
      </c>
      <c r="K12" s="104">
        <f>'Baseline Given'!$B$26*COS('Baseline-tilt up (1 pt)'!I12)*'Baseline Given'!$B$28</f>
        <v>29673651.698982794</v>
      </c>
      <c r="L12" s="107">
        <f t="shared" si="2"/>
        <v>6835583.077362936</v>
      </c>
      <c r="M12" s="104">
        <f>'Baseline Given'!$B$26*COS('Baseline-tilt up (1 pt)'!I12)</f>
        <v>1069320.7819453259</v>
      </c>
      <c r="N12" s="104">
        <f t="shared" si="3"/>
        <v>6751425.7066808036</v>
      </c>
      <c r="P12" s="105">
        <f t="shared" si="4"/>
        <v>7030597.0396571681</v>
      </c>
      <c r="Q12" s="106">
        <f t="shared" si="5"/>
        <v>31905273.402688153</v>
      </c>
      <c r="R12" s="105">
        <f>P12*'Baseline Given'!K13/'Baseline Given'!L13</f>
        <v>42708214.385103881</v>
      </c>
      <c r="S12" s="105">
        <f>Q12/'Baseline Given'!M13</f>
        <v>2851075.3112365142</v>
      </c>
      <c r="T12" s="105">
        <f t="shared" si="6"/>
        <v>45.5592896963404</v>
      </c>
      <c r="U12" s="116"/>
      <c r="V12" s="105">
        <f t="shared" si="7"/>
        <v>4784083.1794753224</v>
      </c>
      <c r="W12" s="106">
        <f t="shared" si="8"/>
        <v>7652855.2109460672</v>
      </c>
      <c r="X12" s="105">
        <f>V12*'Baseline Given'!K13/'Baseline Given'!L13</f>
        <v>29061493.485219669</v>
      </c>
      <c r="Y12" s="105">
        <f>W12/'Baseline Given'!M13</f>
        <v>683863.95806775033</v>
      </c>
      <c r="Z12" s="105">
        <f t="shared" si="9"/>
        <v>29.745357443287418</v>
      </c>
      <c r="AB12" s="105">
        <f t="shared" si="10"/>
        <v>5580478.6641045064</v>
      </c>
      <c r="AC12" s="106">
        <f t="shared" si="11"/>
        <v>3875742.7970918277</v>
      </c>
      <c r="AD12" s="105">
        <f>AB12*'Baseline Given'!K13/'Baseline Given'!L13</f>
        <v>33899294.443092577</v>
      </c>
      <c r="AE12" s="105">
        <f>AC12/'Baseline Given'!M13</f>
        <v>346338.8155940469</v>
      </c>
      <c r="AF12" s="105">
        <f t="shared" si="12"/>
        <v>34.245633258686624</v>
      </c>
      <c r="AH12" s="105">
        <f t="shared" si="13"/>
        <v>5400602.9356959015</v>
      </c>
      <c r="AI12" s="106">
        <f t="shared" si="14"/>
        <v>2628759.5112038916</v>
      </c>
      <c r="AJ12" s="105">
        <f>AH12*'Baseline Given'!K13/'Baseline Given'!L13</f>
        <v>32806617.515625544</v>
      </c>
      <c r="AK12" s="105">
        <f>AI12/'Baseline Given'!M13</f>
        <v>234907.60436298643</v>
      </c>
      <c r="AL12" s="105">
        <f t="shared" si="15"/>
        <v>33.041525119988528</v>
      </c>
      <c r="AN12" s="105">
        <f t="shared" si="16"/>
        <v>4856102.9125358965</v>
      </c>
      <c r="AO12" s="106">
        <f t="shared" si="17"/>
        <v>1961451.856131227</v>
      </c>
      <c r="AP12" s="105">
        <f>AN12*'Baseline Given'!K13/'Baseline Given'!L13</f>
        <v>29498986.088217571</v>
      </c>
      <c r="AQ12" s="105">
        <f>AO12/'Baseline Given'!M13</f>
        <v>175276.57232749515</v>
      </c>
      <c r="AR12" s="105">
        <f t="shared" si="18"/>
        <v>29.674262660545065</v>
      </c>
      <c r="AT12" s="105">
        <f t="shared" si="19"/>
        <v>4077547.746459296</v>
      </c>
      <c r="AU12" s="106">
        <f t="shared" si="20"/>
        <v>1542228.8157522324</v>
      </c>
      <c r="AV12" s="105">
        <f>AT12*'Baseline Given'!K13/'Baseline Given'!L13</f>
        <v>24769558.30905829</v>
      </c>
      <c r="AW12" s="105">
        <f>AU12/'Baseline Given'!M13</f>
        <v>137814.53759610318</v>
      </c>
      <c r="AX12" s="105">
        <f t="shared" si="21"/>
        <v>24.907372846654393</v>
      </c>
      <c r="AZ12" s="105">
        <f t="shared" si="22"/>
        <v>3126171.6008943897</v>
      </c>
      <c r="BA12" s="106">
        <f t="shared" si="23"/>
        <v>1262540.8745950942</v>
      </c>
      <c r="BB12" s="105">
        <f>AZ12*'Baseline Given'!K13/'Baseline Given'!L13</f>
        <v>18990308.530345168</v>
      </c>
      <c r="BC12" s="105">
        <f>BA12/'Baseline Given'!M13</f>
        <v>112821.44714929</v>
      </c>
      <c r="BD12" s="105">
        <f t="shared" si="24"/>
        <v>19.103129977494458</v>
      </c>
      <c r="BF12" s="105">
        <f t="shared" si="25"/>
        <v>2046827.1115012486</v>
      </c>
      <c r="BG12" s="106">
        <f t="shared" si="26"/>
        <v>1079420.2873283562</v>
      </c>
      <c r="BH12" s="105">
        <f>BF12*'Baseline Given'!K13/'Baseline Given'!L13</f>
        <v>12433699.527103165</v>
      </c>
      <c r="BI12" s="105">
        <f>BG12/'Baseline Given'!M13</f>
        <v>96457.676221962975</v>
      </c>
      <c r="BJ12" s="105">
        <f t="shared" si="27"/>
        <v>12.530157203325128</v>
      </c>
      <c r="BL12" s="105">
        <f t="shared" si="28"/>
        <v>879933.70567638241</v>
      </c>
      <c r="BM12" s="106">
        <f t="shared" si="29"/>
        <v>973823.53690669604</v>
      </c>
      <c r="BN12" s="105">
        <f>BL12*'Baseline Given'!K13/'Baseline Given'!L13</f>
        <v>5345264.0131027009</v>
      </c>
      <c r="BO12" s="105">
        <f>BM12/'Baseline Given'!M13</f>
        <v>87021.484145682785</v>
      </c>
      <c r="BP12" s="105">
        <f t="shared" si="30"/>
        <v>5.4322854972483841</v>
      </c>
      <c r="BR12" s="105">
        <f t="shared" si="31"/>
        <v>-335434.63729048788</v>
      </c>
      <c r="BS12" s="106">
        <f t="shared" si="32"/>
        <v>937280</v>
      </c>
      <c r="BT12" s="105">
        <f>BR12*'Baseline Given'!K13/'Baseline Given'!L13</f>
        <v>-2037638.3855858543</v>
      </c>
      <c r="BU12" s="105">
        <f>BS12/'Baseline Given'!M13</f>
        <v>83755.930688580513</v>
      </c>
      <c r="BV12" s="105">
        <f t="shared" si="33"/>
        <v>-1.9538824548972737</v>
      </c>
      <c r="BX12" s="104">
        <v>150</v>
      </c>
      <c r="BY12" s="104">
        <v>-150</v>
      </c>
    </row>
    <row r="13" spans="1:172" x14ac:dyDescent="0.25">
      <c r="A13" s="18">
        <f>'Baseline Given'!E14</f>
        <v>11</v>
      </c>
      <c r="B13" s="18">
        <f t="shared" si="0"/>
        <v>57</v>
      </c>
      <c r="C13" s="18">
        <f t="shared" si="34"/>
        <v>28.5</v>
      </c>
      <c r="D13" s="18">
        <f t="shared" si="35"/>
        <v>11</v>
      </c>
      <c r="E13" s="18">
        <f t="shared" si="1"/>
        <v>16.75</v>
      </c>
      <c r="F13" s="18">
        <f t="shared" si="36"/>
        <v>57</v>
      </c>
      <c r="H13" s="104">
        <f t="shared" si="37"/>
        <v>10</v>
      </c>
      <c r="I13" s="109">
        <f t="shared" si="38"/>
        <v>0.17453292519943295</v>
      </c>
      <c r="J13" s="111">
        <f>'Baseline Given'!$B$28*SIN('Baseline-tilt up (1 pt)'!I13)</f>
        <v>4.8187369302573169</v>
      </c>
      <c r="K13" s="104">
        <f>'Baseline Given'!$B$26*COS('Baseline-tilt up (1 pt)'!I13)*'Baseline Given'!$B$28</f>
        <v>29587108.657913007</v>
      </c>
      <c r="L13" s="107">
        <f t="shared" si="2"/>
        <v>6140013.2620091131</v>
      </c>
      <c r="M13" s="109">
        <f>'Baseline Given'!$B$26*COS('Baseline-tilt up (1 pt)'!I13)</f>
        <v>1066202.113798667</v>
      </c>
      <c r="N13" s="109">
        <f t="shared" si="3"/>
        <v>6046732.6640243521</v>
      </c>
      <c r="P13" s="105">
        <f t="shared" si="4"/>
        <v>7200103.7178278714</v>
      </c>
      <c r="Q13" s="106">
        <f t="shared" si="5"/>
        <v>31889113.402688153</v>
      </c>
      <c r="R13" s="105">
        <f>P13*'Baseline Given'!K14/'Baseline Given'!L14</f>
        <v>44040471.383354723</v>
      </c>
      <c r="S13" s="105">
        <f>Q13/'Baseline Given'!M14</f>
        <v>2879656.6711143241</v>
      </c>
      <c r="T13" s="105">
        <f t="shared" si="6"/>
        <v>46.920128054469046</v>
      </c>
      <c r="U13" s="116"/>
      <c r="V13" s="105">
        <f t="shared" si="7"/>
        <v>5071900.8533400372</v>
      </c>
      <c r="W13" s="106">
        <f t="shared" si="8"/>
        <v>7636695.2109460672</v>
      </c>
      <c r="X13" s="105">
        <f>V13*'Baseline Given'!K14/'Baseline Given'!L14</f>
        <v>31023012.048793133</v>
      </c>
      <c r="Y13" s="105">
        <f>W13/'Baseline Given'!M14</f>
        <v>689610.27645296266</v>
      </c>
      <c r="Z13" s="105">
        <f t="shared" si="9"/>
        <v>31.712622325246095</v>
      </c>
      <c r="AB13" s="105">
        <f t="shared" si="10"/>
        <v>5797896.4652479179</v>
      </c>
      <c r="AC13" s="106">
        <f t="shared" si="11"/>
        <v>3859582.7970918277</v>
      </c>
      <c r="AD13" s="105">
        <f>AB13*'Baseline Given'!K14/'Baseline Given'!L14</f>
        <v>35463668.770376556</v>
      </c>
      <c r="AE13" s="105">
        <f>AC13/'Baseline Given'!M14</f>
        <v>348528.76619726483</v>
      </c>
      <c r="AF13" s="105">
        <f t="shared" si="12"/>
        <v>35.812197536573819</v>
      </c>
      <c r="AH13" s="105">
        <f t="shared" si="13"/>
        <v>5586463.2521468587</v>
      </c>
      <c r="AI13" s="106">
        <f t="shared" si="14"/>
        <v>2612599.5112038916</v>
      </c>
      <c r="AJ13" s="105">
        <f>AH13*'Baseline Given'!K14/'Baseline Given'!L14</f>
        <v>34170407.070824668</v>
      </c>
      <c r="AK13" s="105">
        <f>AI13/'Baseline Given'!M14</f>
        <v>235923.44874517931</v>
      </c>
      <c r="AL13" s="105">
        <f t="shared" si="15"/>
        <v>34.406330519569842</v>
      </c>
      <c r="AN13" s="105">
        <f t="shared" si="16"/>
        <v>5016055.9209324084</v>
      </c>
      <c r="AO13" s="106">
        <f t="shared" si="17"/>
        <v>1945291.856131227</v>
      </c>
      <c r="AP13" s="105">
        <f>AN13*'Baseline Given'!K14/'Baseline Given'!L14</f>
        <v>30681428.476668492</v>
      </c>
      <c r="AQ13" s="105">
        <f>AO13/'Baseline Given'!M14</f>
        <v>175664.1083129154</v>
      </c>
      <c r="AR13" s="105">
        <f t="shared" si="18"/>
        <v>30.857092584981409</v>
      </c>
      <c r="AT13" s="105">
        <f t="shared" si="19"/>
        <v>4211606.8718194328</v>
      </c>
      <c r="AU13" s="106">
        <f t="shared" si="20"/>
        <v>1526068.8157522324</v>
      </c>
      <c r="AV13" s="105">
        <f>AT13*'Baseline Given'!K14/'Baseline Given'!L14</f>
        <v>25760900.007182091</v>
      </c>
      <c r="AW13" s="105">
        <f>AU13/'Baseline Given'!M14</f>
        <v>137807.35106577171</v>
      </c>
      <c r="AX13" s="105">
        <f t="shared" si="21"/>
        <v>25.898707358247865</v>
      </c>
      <c r="AZ13" s="105">
        <f t="shared" si="22"/>
        <v>3233019.9614073839</v>
      </c>
      <c r="BA13" s="106">
        <f t="shared" si="23"/>
        <v>1246380.8745950942</v>
      </c>
      <c r="BB13" s="105">
        <f>AZ13*'Baseline Given'!K14/'Baseline Given'!L14</f>
        <v>19775232.228895005</v>
      </c>
      <c r="BC13" s="105">
        <f>BA13/'Baseline Given'!M14</f>
        <v>112550.91839506943</v>
      </c>
      <c r="BD13" s="105">
        <f t="shared" si="24"/>
        <v>19.887783147290072</v>
      </c>
      <c r="BF13" s="105">
        <f t="shared" si="25"/>
        <v>2125076.2696686313</v>
      </c>
      <c r="BG13" s="106">
        <f t="shared" si="26"/>
        <v>1063260.2873283562</v>
      </c>
      <c r="BH13" s="105">
        <f>BF13*'Baseline Given'!K14/'Baseline Given'!L14</f>
        <v>12998335.067042841</v>
      </c>
      <c r="BI13" s="105">
        <f>BG13/'Baseline Given'!M14</f>
        <v>96014.728941254652</v>
      </c>
      <c r="BJ13" s="105">
        <f t="shared" si="27"/>
        <v>13.094349795984096</v>
      </c>
      <c r="BL13" s="105">
        <f t="shared" si="28"/>
        <v>928634.67002284201</v>
      </c>
      <c r="BM13" s="106">
        <f t="shared" si="29"/>
        <v>957663.53690669604</v>
      </c>
      <c r="BN13" s="105">
        <f>BL13*'Baseline Given'!K14/'Baseline Given'!L14</f>
        <v>5680127.7055867184</v>
      </c>
      <c r="BO13" s="105">
        <f>BM13/'Baseline Given'!M14</f>
        <v>86479.111473316691</v>
      </c>
      <c r="BP13" s="105">
        <f t="shared" si="30"/>
        <v>5.7666068170600351</v>
      </c>
      <c r="BR13" s="105">
        <f t="shared" si="31"/>
        <v>-316536.91124595335</v>
      </c>
      <c r="BS13" s="106">
        <f t="shared" si="32"/>
        <v>921120</v>
      </c>
      <c r="BT13" s="105">
        <f>BR13*'Baseline Given'!K14/'Baseline Given'!L14</f>
        <v>-1936143.6067907719</v>
      </c>
      <c r="BU13" s="105">
        <f>BS13/'Baseline Given'!M14</f>
        <v>83179.150182119134</v>
      </c>
      <c r="BV13" s="105">
        <f t="shared" si="33"/>
        <v>-1.8529644566086529</v>
      </c>
      <c r="BX13" s="104">
        <v>150</v>
      </c>
      <c r="BY13" s="104">
        <v>-150</v>
      </c>
    </row>
    <row r="14" spans="1:172" x14ac:dyDescent="0.25">
      <c r="A14" s="18">
        <f>'Baseline Given'!E15</f>
        <v>12</v>
      </c>
      <c r="B14" s="18">
        <f t="shared" si="0"/>
        <v>56</v>
      </c>
      <c r="C14" s="18">
        <f t="shared" si="34"/>
        <v>28</v>
      </c>
      <c r="D14" s="18">
        <f t="shared" si="35"/>
        <v>12</v>
      </c>
      <c r="E14" s="18">
        <f t="shared" si="1"/>
        <v>15.75</v>
      </c>
      <c r="F14" s="18">
        <f t="shared" si="36"/>
        <v>56</v>
      </c>
      <c r="H14" s="104">
        <f t="shared" si="37"/>
        <v>11</v>
      </c>
      <c r="I14" s="104">
        <f t="shared" si="38"/>
        <v>0.19198621771937624</v>
      </c>
      <c r="J14" s="111">
        <f>'Baseline Given'!$B$28*SIN('Baseline-tilt up (1 pt)'!I14)</f>
        <v>5.2949496216991188</v>
      </c>
      <c r="K14" s="104">
        <f>'Baseline Given'!$B$26*COS('Baseline-tilt up (1 pt)'!I14)*'Baseline Given'!$B$28</f>
        <v>29491553.096929274</v>
      </c>
      <c r="L14" s="107">
        <f t="shared" si="2"/>
        <v>5569751.405390257</v>
      </c>
      <c r="M14" s="104">
        <f>'Baseline Given'!$B$26*COS('Baseline-tilt up (1 pt)'!I14)</f>
        <v>1062758.6701596135</v>
      </c>
      <c r="N14" s="104">
        <f t="shared" si="3"/>
        <v>5467419.3845769065</v>
      </c>
      <c r="P14" s="105">
        <f t="shared" si="4"/>
        <v>7385760.5517632142</v>
      </c>
      <c r="Q14" s="106">
        <f t="shared" si="5"/>
        <v>31872953.402688153</v>
      </c>
      <c r="R14" s="105">
        <f>P14*'Baseline Given'!K15/'Baseline Given'!L15</f>
        <v>45490762.120464817</v>
      </c>
      <c r="S14" s="105">
        <f>Q14/'Baseline Given'!M15</f>
        <v>2908684.4192288881</v>
      </c>
      <c r="T14" s="105">
        <f t="shared" si="6"/>
        <v>48.399446539693706</v>
      </c>
      <c r="U14" s="116"/>
      <c r="V14" s="105">
        <f t="shared" si="7"/>
        <v>5375633.0204934292</v>
      </c>
      <c r="W14" s="106">
        <f t="shared" si="8"/>
        <v>7620535.2109460672</v>
      </c>
      <c r="X14" s="105">
        <f>V14*'Baseline Given'!K15/'Baseline Given'!L15</f>
        <v>33109879.648589823</v>
      </c>
      <c r="Y14" s="105">
        <f>W14/'Baseline Given'!M15</f>
        <v>695440.16690949339</v>
      </c>
      <c r="Z14" s="105">
        <f t="shared" si="9"/>
        <v>33.80531981549931</v>
      </c>
      <c r="AB14" s="105">
        <f t="shared" si="10"/>
        <v>6030499.6991432235</v>
      </c>
      <c r="AC14" s="106">
        <f t="shared" si="11"/>
        <v>3843422.7970918277</v>
      </c>
      <c r="AD14" s="105">
        <f>AB14*'Baseline Given'!K15/'Baseline Given'!L15</f>
        <v>37143368.696913324</v>
      </c>
      <c r="AE14" s="105">
        <f>AC14/'Baseline Given'!M15</f>
        <v>350745.78327175835</v>
      </c>
      <c r="AF14" s="105">
        <f t="shared" si="12"/>
        <v>37.494114480185083</v>
      </c>
      <c r="AH14" s="105">
        <f t="shared" si="13"/>
        <v>5786318.5391229764</v>
      </c>
      <c r="AI14" s="106">
        <f t="shared" si="14"/>
        <v>2596439.5112038916</v>
      </c>
      <c r="AJ14" s="105">
        <f>AH14*'Baseline Given'!K15/'Baseline Given'!L15</f>
        <v>35639395.343467906</v>
      </c>
      <c r="AK14" s="105">
        <f>AI14/'Baseline Given'!M15</f>
        <v>236947.70472924161</v>
      </c>
      <c r="AL14" s="105">
        <f t="shared" si="15"/>
        <v>35.87634304819715</v>
      </c>
      <c r="AN14" s="105">
        <f t="shared" si="16"/>
        <v>5188388.2075297199</v>
      </c>
      <c r="AO14" s="106">
        <f t="shared" si="17"/>
        <v>1929131.856131227</v>
      </c>
      <c r="AP14" s="105">
        <f>AN14*'Baseline Given'!K15/'Baseline Given'!L15</f>
        <v>31956591.617502823</v>
      </c>
      <c r="AQ14" s="105">
        <f>AO14/'Baseline Given'!M15</f>
        <v>176050.07297797999</v>
      </c>
      <c r="AR14" s="105">
        <f t="shared" si="18"/>
        <v>32.132641690480803</v>
      </c>
      <c r="AT14" s="105">
        <f t="shared" si="19"/>
        <v>4356053.4449521061</v>
      </c>
      <c r="AU14" s="106">
        <f t="shared" si="20"/>
        <v>1509908.8157522324</v>
      </c>
      <c r="AV14" s="105">
        <f>AT14*'Baseline Given'!K15/'Baseline Given'!L15</f>
        <v>26830031.878171362</v>
      </c>
      <c r="AW14" s="105">
        <f>AU14/'Baseline Given'!M15</f>
        <v>137792.32163858571</v>
      </c>
      <c r="AX14" s="105">
        <f t="shared" si="21"/>
        <v>26.967824199809947</v>
      </c>
      <c r="AZ14" s="105">
        <f t="shared" si="22"/>
        <v>3347948.3219203744</v>
      </c>
      <c r="BA14" s="106">
        <f t="shared" si="23"/>
        <v>1230220.8745950942</v>
      </c>
      <c r="BB14" s="105">
        <f>AZ14*'Baseline Given'!K15/'Baseline Given'!L15</f>
        <v>20620858.154916782</v>
      </c>
      <c r="BC14" s="105">
        <f>BA14/'Baseline Given'!M15</f>
        <v>112268.3626125181</v>
      </c>
      <c r="BD14" s="105">
        <f t="shared" si="24"/>
        <v>20.7331265175293</v>
      </c>
      <c r="BF14" s="105">
        <f t="shared" si="25"/>
        <v>2208852.4733521547</v>
      </c>
      <c r="BG14" s="106">
        <f t="shared" si="26"/>
        <v>1047100.2873283562</v>
      </c>
      <c r="BH14" s="105">
        <f>BF14*'Baseline Given'!K15/'Baseline Given'!L15</f>
        <v>13604879.513792919</v>
      </c>
      <c r="BI14" s="105">
        <f>BG14/'Baseline Given'!M15</f>
        <v>95557.015148310966</v>
      </c>
      <c r="BJ14" s="105">
        <f t="shared" si="27"/>
        <v>13.70043652894123</v>
      </c>
      <c r="BL14" s="105">
        <f t="shared" si="28"/>
        <v>980141.7889203988</v>
      </c>
      <c r="BM14" s="106">
        <f t="shared" si="29"/>
        <v>941503.53690669604</v>
      </c>
      <c r="BN14" s="105">
        <f>BL14*'Baseline Given'!K15/'Baseline Given'!L15</f>
        <v>6036940.4953779997</v>
      </c>
      <c r="BO14" s="105">
        <f>BM14/'Baseline Given'!M15</f>
        <v>85920.392561375571</v>
      </c>
      <c r="BP14" s="105">
        <f t="shared" si="30"/>
        <v>6.1228608879393747</v>
      </c>
      <c r="BR14" s="105">
        <f t="shared" si="31"/>
        <v>-297639.18520141876</v>
      </c>
      <c r="BS14" s="106">
        <f t="shared" si="32"/>
        <v>904960</v>
      </c>
      <c r="BT14" s="105">
        <f>BR14*'Baseline Given'!K15/'Baseline Given'!L15</f>
        <v>-1833234.8140496279</v>
      </c>
      <c r="BU14" s="105">
        <f>BS14/'Baseline Given'!M15</f>
        <v>82585.476744786763</v>
      </c>
      <c r="BV14" s="105">
        <f t="shared" si="33"/>
        <v>-1.7506493373048411</v>
      </c>
      <c r="BX14" s="104">
        <v>150</v>
      </c>
      <c r="BY14" s="104">
        <v>-150</v>
      </c>
    </row>
    <row r="15" spans="1:172" x14ac:dyDescent="0.25">
      <c r="A15" s="18">
        <f>'Baseline Given'!E16</f>
        <v>13</v>
      </c>
      <c r="B15" s="18">
        <f t="shared" si="0"/>
        <v>55</v>
      </c>
      <c r="C15" s="18">
        <f t="shared" si="34"/>
        <v>27.5</v>
      </c>
      <c r="D15" s="18">
        <f t="shared" si="35"/>
        <v>13</v>
      </c>
      <c r="E15" s="18">
        <f t="shared" si="1"/>
        <v>14.75</v>
      </c>
      <c r="F15" s="18">
        <f t="shared" si="36"/>
        <v>55</v>
      </c>
      <c r="H15" s="104">
        <f t="shared" si="37"/>
        <v>12</v>
      </c>
      <c r="I15" s="104">
        <f t="shared" si="38"/>
        <v>0.20943951023931953</v>
      </c>
      <c r="J15" s="111">
        <f>'Baseline Given'!$B$28*SIN('Baseline-tilt up (1 pt)'!I15)</f>
        <v>5.7695494201928206</v>
      </c>
      <c r="K15" s="104">
        <f>'Baseline Given'!$B$26*COS('Baseline-tilt up (1 pt)'!I15)*'Baseline Given'!$B$28</f>
        <v>29387014.123181116</v>
      </c>
      <c r="L15" s="107">
        <f t="shared" si="2"/>
        <v>5093467.7880268488</v>
      </c>
      <c r="M15" s="104">
        <f>'Baseline Given'!$B$26*COS('Baseline-tilt up (1 pt)'!I15)</f>
        <v>1058991.4999344547</v>
      </c>
      <c r="N15" s="104">
        <f t="shared" si="3"/>
        <v>4982163.2962733861</v>
      </c>
      <c r="P15" s="105">
        <f t="shared" si="4"/>
        <v>7587567.5414631777</v>
      </c>
      <c r="Q15" s="106">
        <f t="shared" si="5"/>
        <v>31856793.402688153</v>
      </c>
      <c r="R15" s="105">
        <f>P15*'Baseline Given'!K16/'Baseline Given'!L16</f>
        <v>47061570.548849657</v>
      </c>
      <c r="S15" s="105">
        <f>Q15/'Baseline Given'!M16</f>
        <v>2938167.9802341401</v>
      </c>
      <c r="T15" s="105">
        <f t="shared" si="6"/>
        <v>49.999738529083793</v>
      </c>
      <c r="U15" s="116"/>
      <c r="V15" s="105">
        <f t="shared" si="7"/>
        <v>5695279.6809355021</v>
      </c>
      <c r="W15" s="106">
        <f t="shared" si="8"/>
        <v>7604375.2109460672</v>
      </c>
      <c r="X15" s="105">
        <f>V15*'Baseline Given'!K16/'Baseline Given'!L16</f>
        <v>35324734.183267616</v>
      </c>
      <c r="Y15" s="105">
        <f>W15/'Baseline Given'!M16</f>
        <v>701355.32701174566</v>
      </c>
      <c r="Z15" s="105">
        <f t="shared" si="9"/>
        <v>36.026089510279363</v>
      </c>
      <c r="AB15" s="105">
        <f t="shared" si="10"/>
        <v>6278288.3657904323</v>
      </c>
      <c r="AC15" s="106">
        <f t="shared" si="11"/>
        <v>3827262.7970918277</v>
      </c>
      <c r="AD15" s="105">
        <f>AB15*'Baseline Given'!K16/'Baseline Given'!L16</f>
        <v>38940821.18387194</v>
      </c>
      <c r="AE15" s="105">
        <f>AC15/'Baseline Given'!M16</f>
        <v>352990.36096356355</v>
      </c>
      <c r="AF15" s="105">
        <f t="shared" si="12"/>
        <v>39.293811544835499</v>
      </c>
      <c r="AH15" s="105">
        <f t="shared" si="13"/>
        <v>6000168.7966242488</v>
      </c>
      <c r="AI15" s="106">
        <f t="shared" si="14"/>
        <v>2580279.5112038916</v>
      </c>
      <c r="AJ15" s="105">
        <f>AH15*'Baseline Given'!K16/'Baseline Given'!L16</f>
        <v>37215796.180298001</v>
      </c>
      <c r="AK15" s="105">
        <f>AI15/'Baseline Given'!M16</f>
        <v>237980.46915901286</v>
      </c>
      <c r="AL15" s="105">
        <f t="shared" si="15"/>
        <v>37.453776649457012</v>
      </c>
      <c r="AN15" s="105">
        <f t="shared" si="16"/>
        <v>5373099.7723278385</v>
      </c>
      <c r="AO15" s="106">
        <f t="shared" si="17"/>
        <v>1912971.856131227</v>
      </c>
      <c r="AP15" s="105">
        <f>AN15*'Baseline Given'!K16/'Baseline Given'!L16</f>
        <v>33326426.765837014</v>
      </c>
      <c r="AQ15" s="105">
        <f>AO15/'Baseline Given'!M16</f>
        <v>176434.35055518046</v>
      </c>
      <c r="AR15" s="105">
        <f t="shared" si="18"/>
        <v>33.502861116392197</v>
      </c>
      <c r="AT15" s="105">
        <f t="shared" si="19"/>
        <v>4510887.4658573121</v>
      </c>
      <c r="AU15" s="106">
        <f t="shared" si="20"/>
        <v>1493748.8157522324</v>
      </c>
      <c r="AV15" s="105">
        <f>AT15*'Baseline Given'!K16/'Baseline Given'!L16</f>
        <v>27978590.971649908</v>
      </c>
      <c r="AW15" s="105">
        <f>AU15/'Baseline Given'!M16</f>
        <v>137769.19997809731</v>
      </c>
      <c r="AX15" s="105">
        <f t="shared" si="21"/>
        <v>28.116360171628006</v>
      </c>
      <c r="AZ15" s="105">
        <f t="shared" si="22"/>
        <v>3470956.6824333658</v>
      </c>
      <c r="BA15" s="106">
        <f t="shared" si="23"/>
        <v>1214060.8745950942</v>
      </c>
      <c r="BB15" s="105">
        <f>AZ15*'Baseline Given'!K16/'Baseline Given'!L16</f>
        <v>21528463.752012815</v>
      </c>
      <c r="BC15" s="105">
        <f>BA15/'Baseline Given'!M16</f>
        <v>111973.44135362224</v>
      </c>
      <c r="BD15" s="105">
        <f t="shared" si="24"/>
        <v>21.640437193366438</v>
      </c>
      <c r="BF15" s="105">
        <f t="shared" si="25"/>
        <v>2298155.7225518227</v>
      </c>
      <c r="BG15" s="106">
        <f t="shared" si="26"/>
        <v>1030940.2873283562</v>
      </c>
      <c r="BH15" s="105">
        <f>BF15*'Baseline Given'!K16/'Baseline Given'!L16</f>
        <v>14254214.816288633</v>
      </c>
      <c r="BI15" s="105">
        <f>BG15/'Baseline Given'!M16</f>
        <v>95084.138050942682</v>
      </c>
      <c r="BJ15" s="105">
        <f t="shared" si="27"/>
        <v>14.349298954339575</v>
      </c>
      <c r="BL15" s="105">
        <f t="shared" si="28"/>
        <v>1034455.0623690542</v>
      </c>
      <c r="BM15" s="106">
        <f t="shared" si="29"/>
        <v>925343.53690669604</v>
      </c>
      <c r="BN15" s="105">
        <f>BL15*'Baseline Given'!K16/'Baseline Given'!L16</f>
        <v>6416164.2886552708</v>
      </c>
      <c r="BO15" s="105">
        <f>BM15/'Baseline Given'!M16</f>
        <v>85344.896973417373</v>
      </c>
      <c r="BP15" s="105">
        <f t="shared" si="30"/>
        <v>6.501509185628688</v>
      </c>
      <c r="BR15" s="105">
        <f t="shared" si="31"/>
        <v>-278741.45915688423</v>
      </c>
      <c r="BS15" s="106">
        <f t="shared" si="32"/>
        <v>888800</v>
      </c>
      <c r="BT15" s="105">
        <f>BR15*'Baseline Given'!K16/'Baseline Given'!L16</f>
        <v>-1728882.250248983</v>
      </c>
      <c r="BU15" s="105">
        <f>BS15/'Baseline Given'!M16</f>
        <v>81974.468296980078</v>
      </c>
      <c r="BV15" s="105">
        <f t="shared" si="33"/>
        <v>-1.646907781952003</v>
      </c>
      <c r="BX15" s="104">
        <v>150</v>
      </c>
      <c r="BY15" s="104">
        <v>-150</v>
      </c>
    </row>
    <row r="16" spans="1:172" x14ac:dyDescent="0.25">
      <c r="A16" s="18">
        <f>'Baseline Given'!E17</f>
        <v>14</v>
      </c>
      <c r="B16" s="18">
        <f t="shared" si="0"/>
        <v>54</v>
      </c>
      <c r="C16" s="18">
        <f t="shared" si="34"/>
        <v>27</v>
      </c>
      <c r="D16" s="18">
        <f t="shared" si="35"/>
        <v>14</v>
      </c>
      <c r="E16" s="18">
        <f t="shared" si="1"/>
        <v>13.75</v>
      </c>
      <c r="F16" s="18">
        <f t="shared" si="36"/>
        <v>54</v>
      </c>
      <c r="H16" s="104">
        <f t="shared" si="37"/>
        <v>13</v>
      </c>
      <c r="I16" s="104">
        <f t="shared" si="38"/>
        <v>0.22689280275926285</v>
      </c>
      <c r="J16" s="111">
        <f>'Baseline Given'!$B$28*SIN('Baseline-tilt up (1 pt)'!I16)</f>
        <v>6.2423917580422534</v>
      </c>
      <c r="K16" s="104">
        <f>'Baseline Given'!$B$26*COS('Baseline-tilt up (1 pt)'!I16)*'Baseline Given'!$B$28</f>
        <v>29273523.580252647</v>
      </c>
      <c r="L16" s="107">
        <f t="shared" si="2"/>
        <v>4689472.3552937414</v>
      </c>
      <c r="M16" s="104">
        <f>'Baseline Given'!$B$26*COS('Baseline-tilt up (1 pt)'!I16)</f>
        <v>1054901.750639735</v>
      </c>
      <c r="N16" s="104">
        <f t="shared" si="3"/>
        <v>4569281.4826361323</v>
      </c>
      <c r="P16" s="105">
        <f t="shared" si="4"/>
        <v>7805524.6869277731</v>
      </c>
      <c r="Q16" s="106">
        <f t="shared" si="5"/>
        <v>31840633.402688153</v>
      </c>
      <c r="R16" s="105">
        <f>P16*'Baseline Given'!K17/'Baseline Given'!L17</f>
        <v>48755450.811103024</v>
      </c>
      <c r="S16" s="105">
        <f>Q16/'Baseline Given'!M17</f>
        <v>2968117.0297068059</v>
      </c>
      <c r="T16" s="105">
        <f t="shared" si="6"/>
        <v>51.723567840809828</v>
      </c>
      <c r="U16" s="116"/>
      <c r="V16" s="105">
        <f t="shared" si="7"/>
        <v>6030840.8346662465</v>
      </c>
      <c r="W16" s="106">
        <f t="shared" si="8"/>
        <v>7588215.2109460672</v>
      </c>
      <c r="X16" s="105">
        <f>V16*'Baseline Given'!K17/'Baseline Given'!L17</f>
        <v>37670288.091791734</v>
      </c>
      <c r="Y16" s="105">
        <f>W16/'Baseline Given'!M17</f>
        <v>707357.49844686699</v>
      </c>
      <c r="Z16" s="105">
        <f t="shared" si="9"/>
        <v>38.3776455902386</v>
      </c>
      <c r="AB16" s="105">
        <f t="shared" si="10"/>
        <v>6541262.4651895426</v>
      </c>
      <c r="AC16" s="106">
        <f t="shared" si="11"/>
        <v>3811102.7970918277</v>
      </c>
      <c r="AD16" s="105">
        <f>AB16*'Baseline Given'!K17/'Baseline Given'!L17</f>
        <v>40858521.77217184</v>
      </c>
      <c r="AE16" s="105">
        <f>AC16/'Baseline Given'!M17</f>
        <v>355263.00532251643</v>
      </c>
      <c r="AF16" s="105">
        <f t="shared" si="12"/>
        <v>41.213784777494354</v>
      </c>
      <c r="AH16" s="105">
        <f t="shared" si="13"/>
        <v>6228014.024650678</v>
      </c>
      <c r="AI16" s="106">
        <f t="shared" si="14"/>
        <v>2564119.5112038916</v>
      </c>
      <c r="AJ16" s="105">
        <f>AH16*'Baseline Given'!K17/'Baseline Given'!L17</f>
        <v>38901885.985736512</v>
      </c>
      <c r="AK16" s="105">
        <f>AI16/'Baseline Given'!M17</f>
        <v>239021.8401486082</v>
      </c>
      <c r="AL16" s="105">
        <f t="shared" si="15"/>
        <v>39.140907825885115</v>
      </c>
      <c r="AN16" s="105">
        <f t="shared" si="16"/>
        <v>5570190.6153267585</v>
      </c>
      <c r="AO16" s="106">
        <f t="shared" si="17"/>
        <v>1896811.856131227</v>
      </c>
      <c r="AP16" s="105">
        <f>AN16*'Baseline Given'!K17/'Baseline Given'!L17</f>
        <v>34792940.314294651</v>
      </c>
      <c r="AQ16" s="105">
        <f>AO16/'Baseline Given'!M17</f>
        <v>176816.82085688534</v>
      </c>
      <c r="AR16" s="105">
        <f t="shared" si="18"/>
        <v>34.969757135151532</v>
      </c>
      <c r="AT16" s="105">
        <f t="shared" si="19"/>
        <v>4676108.9345350526</v>
      </c>
      <c r="AU16" s="106">
        <f t="shared" si="20"/>
        <v>1477588.8157522324</v>
      </c>
      <c r="AV16" s="105">
        <f>AT16*'Baseline Given'!K17/'Baseline Given'!L17</f>
        <v>29208260.596100621</v>
      </c>
      <c r="AW16" s="105">
        <f>AU16/'Baseline Given'!M17</f>
        <v>137737.72875285367</v>
      </c>
      <c r="AX16" s="105">
        <f t="shared" si="21"/>
        <v>29.345998324853475</v>
      </c>
      <c r="AZ16" s="105">
        <f t="shared" si="22"/>
        <v>3602045.0429463582</v>
      </c>
      <c r="BA16" s="106">
        <f t="shared" si="23"/>
        <v>1197900.8745950942</v>
      </c>
      <c r="BB16" s="105">
        <f>AZ16*'Baseline Given'!K17/'Baseline Given'!L17</f>
        <v>22499362.561092839</v>
      </c>
      <c r="BC16" s="105">
        <f>BA16/'Baseline Given'!M17</f>
        <v>111665.8057903522</v>
      </c>
      <c r="BD16" s="105">
        <f t="shared" si="24"/>
        <v>22.611028366883193</v>
      </c>
      <c r="BF16" s="105">
        <f t="shared" si="25"/>
        <v>2392986.0172676323</v>
      </c>
      <c r="BG16" s="106">
        <f t="shared" si="26"/>
        <v>1014780.2873283562</v>
      </c>
      <c r="BH16" s="105">
        <f>BF16*'Baseline Given'!K17/'Baseline Given'!L17</f>
        <v>14947247.845099151</v>
      </c>
      <c r="BI16" s="105">
        <f>BG16/'Baseline Given'!M17</f>
        <v>94595.688915402425</v>
      </c>
      <c r="BJ16" s="105">
        <f t="shared" si="27"/>
        <v>15.041843534014554</v>
      </c>
      <c r="BL16" s="105">
        <f t="shared" si="28"/>
        <v>1091574.4903688063</v>
      </c>
      <c r="BM16" s="106">
        <f t="shared" si="29"/>
        <v>909183.53690669604</v>
      </c>
      <c r="BN16" s="105">
        <f>BL16*'Baseline Given'!K17/'Baseline Given'!L17</f>
        <v>6818274.043891144</v>
      </c>
      <c r="BO16" s="105">
        <f>BM16/'Baseline Given'!M17</f>
        <v>84752.181430976314</v>
      </c>
      <c r="BP16" s="105">
        <f t="shared" si="30"/>
        <v>6.9030262253221197</v>
      </c>
      <c r="BR16" s="105">
        <f t="shared" si="31"/>
        <v>-259843.73311234964</v>
      </c>
      <c r="BS16" s="106">
        <f t="shared" si="32"/>
        <v>872640</v>
      </c>
      <c r="BT16" s="105">
        <f>BR16*'Baseline Given'!K17/'Baseline Given'!L17</f>
        <v>-1623055.3174150472</v>
      </c>
      <c r="BU16" s="105">
        <f>BS16/'Baseline Given'!M17</f>
        <v>81345.669605450676</v>
      </c>
      <c r="BV16" s="105">
        <f t="shared" si="33"/>
        <v>-1.5417096478095964</v>
      </c>
      <c r="BX16" s="104">
        <v>150</v>
      </c>
      <c r="BY16" s="104">
        <v>-150</v>
      </c>
    </row>
    <row r="17" spans="1:77" x14ac:dyDescent="0.25">
      <c r="A17" s="18">
        <f>'Baseline Given'!E18</f>
        <v>15</v>
      </c>
      <c r="B17" s="18">
        <f t="shared" si="0"/>
        <v>53</v>
      </c>
      <c r="C17" s="18">
        <f t="shared" si="34"/>
        <v>26.5</v>
      </c>
      <c r="D17" s="18">
        <f t="shared" si="35"/>
        <v>15</v>
      </c>
      <c r="E17" s="18">
        <f t="shared" si="1"/>
        <v>12.75</v>
      </c>
      <c r="F17" s="18">
        <f t="shared" si="36"/>
        <v>53</v>
      </c>
      <c r="H17" s="104">
        <f t="shared" si="37"/>
        <v>14</v>
      </c>
      <c r="I17" s="104">
        <f t="shared" si="38"/>
        <v>0.24434609527920614</v>
      </c>
      <c r="J17" s="111">
        <f>'Baseline Given'!$B$28*SIN('Baseline-tilt up (1 pt)'!I17)</f>
        <v>6.7133326028907794</v>
      </c>
      <c r="K17" s="104">
        <f>'Baseline Given'!$B$26*COS('Baseline-tilt up (1 pt)'!I17)*'Baseline Given'!$B$28</f>
        <v>29151116.038462635</v>
      </c>
      <c r="L17" s="107">
        <f t="shared" si="2"/>
        <v>4342271.9776925826</v>
      </c>
      <c r="M17" s="104">
        <f>'Baseline Given'!$B$26*COS('Baseline-tilt up (1 pt)'!I17)</f>
        <v>1050490.6680527076</v>
      </c>
      <c r="N17" s="104">
        <f t="shared" si="3"/>
        <v>4213287.9422831321</v>
      </c>
      <c r="P17" s="105">
        <f t="shared" si="4"/>
        <v>8039631.9881569948</v>
      </c>
      <c r="Q17" s="106">
        <f t="shared" si="5"/>
        <v>31824473.402688153</v>
      </c>
      <c r="R17" s="105">
        <f>P17*'Baseline Given'!K18/'Baseline Given'!L18</f>
        <v>50575029.736880578</v>
      </c>
      <c r="S17" s="105">
        <f>Q17/'Baseline Given'!M18</f>
        <v>2998541.5022202441</v>
      </c>
      <c r="T17" s="105">
        <f t="shared" si="6"/>
        <v>53.573571239100822</v>
      </c>
      <c r="U17" s="116"/>
      <c r="V17" s="105">
        <f t="shared" si="7"/>
        <v>6382316.481685672</v>
      </c>
      <c r="W17" s="106">
        <f t="shared" si="8"/>
        <v>7572055.2109460672</v>
      </c>
      <c r="X17" s="105">
        <f>V17*'Baseline Given'!K18/'Baseline Given'!L18</f>
        <v>40149331.005066484</v>
      </c>
      <c r="Y17" s="105">
        <f>W17/'Baseline Given'!M18</f>
        <v>713448.46841069777</v>
      </c>
      <c r="Z17" s="105">
        <f t="shared" si="9"/>
        <v>40.862779473477183</v>
      </c>
      <c r="AB17" s="105">
        <f t="shared" si="10"/>
        <v>6819421.9973405525</v>
      </c>
      <c r="AC17" s="106">
        <f t="shared" si="11"/>
        <v>3794942.7970918277</v>
      </c>
      <c r="AD17" s="105">
        <f>AB17*'Baseline Given'!K18/'Baseline Given'!L18</f>
        <v>42899037.022078812</v>
      </c>
      <c r="AE17" s="105">
        <f>AC17/'Baseline Given'!M18</f>
        <v>357564.23465817462</v>
      </c>
      <c r="AF17" s="105">
        <f t="shared" si="12"/>
        <v>43.256601256736985</v>
      </c>
      <c r="AH17" s="105">
        <f t="shared" si="13"/>
        <v>6469854.2232022639</v>
      </c>
      <c r="AI17" s="106">
        <f t="shared" si="14"/>
        <v>2547959.5112038916</v>
      </c>
      <c r="AJ17" s="105">
        <f>AH17*'Baseline Given'!K18/'Baseline Given'!L18</f>
        <v>40700005.947255708</v>
      </c>
      <c r="AK17" s="105">
        <f>AI17/'Baseline Given'!M18</f>
        <v>240071.91709498409</v>
      </c>
      <c r="AL17" s="105">
        <f t="shared" si="15"/>
        <v>40.940077864350691</v>
      </c>
      <c r="AN17" s="105">
        <f t="shared" si="16"/>
        <v>5779660.7365264799</v>
      </c>
      <c r="AO17" s="106">
        <f t="shared" si="17"/>
        <v>1880651.856131227</v>
      </c>
      <c r="AP17" s="105">
        <f>AN17*'Baseline Given'!K18/'Baseline Given'!L18</f>
        <v>36358195.754419878</v>
      </c>
      <c r="AQ17" s="105">
        <f>AO17/'Baseline Given'!M18</f>
        <v>177197.3591041631</v>
      </c>
      <c r="AR17" s="105">
        <f t="shared" si="18"/>
        <v>36.535393113524044</v>
      </c>
      <c r="AT17" s="105">
        <f t="shared" si="19"/>
        <v>4851717.8509853296</v>
      </c>
      <c r="AU17" s="106">
        <f t="shared" si="20"/>
        <v>1461428.8157522324</v>
      </c>
      <c r="AV17" s="105">
        <f>AT17*'Baseline Given'!K18/'Baseline Given'!L18</f>
        <v>30520771.964437556</v>
      </c>
      <c r="AW17" s="105">
        <f>AU17/'Baseline Given'!M18</f>
        <v>137697.64234978668</v>
      </c>
      <c r="AX17" s="105">
        <f t="shared" si="21"/>
        <v>30.658469606787342</v>
      </c>
      <c r="AZ17" s="105">
        <f t="shared" si="22"/>
        <v>3741213.4034593506</v>
      </c>
      <c r="BA17" s="106">
        <f t="shared" si="23"/>
        <v>1181740.8745950942</v>
      </c>
      <c r="BB17" s="105">
        <f>AZ17*'Baseline Given'!K18/'Baseline Given'!L18</f>
        <v>23534905.504467975</v>
      </c>
      <c r="BC17" s="105">
        <f>BA17/'Baseline Given'!M18</f>
        <v>111345.09635104053</v>
      </c>
      <c r="BD17" s="105">
        <f t="shared" si="24"/>
        <v>23.646250600819013</v>
      </c>
      <c r="BF17" s="105">
        <f t="shared" si="25"/>
        <v>2493343.3574995855</v>
      </c>
      <c r="BG17" s="106">
        <f t="shared" si="26"/>
        <v>998620.28732835618</v>
      </c>
      <c r="BH17" s="105">
        <f>BF17*'Baseline Given'!K18/'Baseline Given'!L18</f>
        <v>15684911.278967954</v>
      </c>
      <c r="BI17" s="105">
        <f>BG17/'Baseline Given'!M18</f>
        <v>94091.246652340502</v>
      </c>
      <c r="BJ17" s="105">
        <f t="shared" si="27"/>
        <v>15.779002525620294</v>
      </c>
      <c r="BL17" s="105">
        <f t="shared" si="28"/>
        <v>1151500.072919657</v>
      </c>
      <c r="BM17" s="106">
        <f t="shared" si="29"/>
        <v>893023.53690669604</v>
      </c>
      <c r="BN17" s="105">
        <f>BL17*'Baseline Given'!K18/'Baseline Given'!L18</f>
        <v>7243758.236163009</v>
      </c>
      <c r="BO17" s="105">
        <f>BM17/'Baseline Given'!M18</f>
        <v>84141.789370442624</v>
      </c>
      <c r="BP17" s="105">
        <f t="shared" si="30"/>
        <v>7.3279000255334514</v>
      </c>
      <c r="BR17" s="105">
        <f t="shared" si="31"/>
        <v>-240946.00706781508</v>
      </c>
      <c r="BS17" s="106">
        <f t="shared" si="32"/>
        <v>856480</v>
      </c>
      <c r="BT17" s="105">
        <f>BR17*'Baseline Given'!K18/'Baseline Given'!L18</f>
        <v>-1515722.5468016567</v>
      </c>
      <c r="BU17" s="105">
        <f>BS17/'Baseline Given'!M18</f>
        <v>80698.611830122682</v>
      </c>
      <c r="BV17" s="105">
        <f t="shared" si="33"/>
        <v>-1.4350239349715339</v>
      </c>
      <c r="BX17" s="104">
        <v>150</v>
      </c>
      <c r="BY17" s="104">
        <v>-150</v>
      </c>
    </row>
    <row r="18" spans="1:77" x14ac:dyDescent="0.25">
      <c r="A18" s="18">
        <f>'Baseline Given'!E19</f>
        <v>16</v>
      </c>
      <c r="B18" s="18">
        <f t="shared" si="0"/>
        <v>52</v>
      </c>
      <c r="C18" s="18">
        <f t="shared" si="34"/>
        <v>26</v>
      </c>
      <c r="D18" s="18">
        <f t="shared" si="35"/>
        <v>16</v>
      </c>
      <c r="E18" s="18">
        <f t="shared" si="1"/>
        <v>11.75</v>
      </c>
      <c r="F18" s="18">
        <f t="shared" si="36"/>
        <v>52</v>
      </c>
      <c r="H18" s="104">
        <f t="shared" si="37"/>
        <v>15</v>
      </c>
      <c r="I18" s="104">
        <f t="shared" si="38"/>
        <v>0.26179938779914941</v>
      </c>
      <c r="J18" s="111">
        <f>'Baseline Given'!$B$28*SIN('Baseline-tilt up (1 pt)'!I18)</f>
        <v>7.1822285015949507</v>
      </c>
      <c r="K18" s="104">
        <f>'Baseline Given'!$B$26*COS('Baseline-tilt up (1 pt)'!I18)*'Baseline Given'!$B$28</f>
        <v>29019828.784334112</v>
      </c>
      <c r="L18" s="107">
        <f t="shared" si="2"/>
        <v>4040504.8068144456</v>
      </c>
      <c r="M18" s="104">
        <f>'Baseline Given'!$B$26*COS('Baseline-tilt up (1 pt)'!I18)</f>
        <v>1045759.5958318599</v>
      </c>
      <c r="N18" s="104">
        <f t="shared" si="3"/>
        <v>3902827.9441471957</v>
      </c>
      <c r="P18" s="105">
        <f t="shared" si="4"/>
        <v>8289889.4451508466</v>
      </c>
      <c r="Q18" s="106">
        <f t="shared" si="5"/>
        <v>31808313.402688153</v>
      </c>
      <c r="R18" s="105">
        <f>P18*'Baseline Given'!K19/'Baseline Given'!L19</f>
        <v>52523009.447133921</v>
      </c>
      <c r="S18" s="105">
        <f>Q18/'Baseline Given'!M19</f>
        <v>3029451.5997232944</v>
      </c>
      <c r="T18" s="105">
        <f t="shared" si="6"/>
        <v>55.552461046857218</v>
      </c>
      <c r="U18" s="116"/>
      <c r="V18" s="105">
        <f t="shared" si="7"/>
        <v>6749706.6219937708</v>
      </c>
      <c r="W18" s="106">
        <f t="shared" si="8"/>
        <v>7555895.2109460672</v>
      </c>
      <c r="X18" s="105">
        <f>V18*'Baseline Given'!K19/'Baseline Given'!L19</f>
        <v>42764732.511569738</v>
      </c>
      <c r="Y18" s="105">
        <f>W18/'Baseline Given'!M19</f>
        <v>719630.07105581602</v>
      </c>
      <c r="Z18" s="105">
        <f t="shared" si="9"/>
        <v>43.48436258262555</v>
      </c>
      <c r="AB18" s="105">
        <f t="shared" si="10"/>
        <v>7112766.962243462</v>
      </c>
      <c r="AC18" s="106">
        <f t="shared" si="11"/>
        <v>3778782.7970918277</v>
      </c>
      <c r="AD18" s="105">
        <f>AB18*'Baseline Given'!K19/'Baseline Given'!L19</f>
        <v>45065007.057687908</v>
      </c>
      <c r="AE18" s="105">
        <f>AC18/'Baseline Given'!M19</f>
        <v>359894.57990844781</v>
      </c>
      <c r="AF18" s="105">
        <f t="shared" si="12"/>
        <v>45.424901637596356</v>
      </c>
      <c r="AH18" s="105">
        <f t="shared" si="13"/>
        <v>6725689.3922790047</v>
      </c>
      <c r="AI18" s="106">
        <f t="shared" si="14"/>
        <v>2531799.5112038916</v>
      </c>
      <c r="AJ18" s="105">
        <f>AH18*'Baseline Given'!K19/'Baseline Given'!L19</f>
        <v>42612564.356427386</v>
      </c>
      <c r="AK18" s="105">
        <f>AI18/'Baseline Given'!M19</f>
        <v>241130.80069020847</v>
      </c>
      <c r="AL18" s="105">
        <f t="shared" si="15"/>
        <v>42.853695157117599</v>
      </c>
      <c r="AN18" s="105">
        <f t="shared" si="16"/>
        <v>6001510.1359270047</v>
      </c>
      <c r="AO18" s="106">
        <f t="shared" si="17"/>
        <v>1864491.856131227</v>
      </c>
      <c r="AP18" s="105">
        <f>AN18*'Baseline Given'!K19/'Baseline Given'!L19</f>
        <v>38024315.722418927</v>
      </c>
      <c r="AQ18" s="105">
        <f>AO18/'Baseline Given'!M19</f>
        <v>177575.83574835028</v>
      </c>
      <c r="AR18" s="105">
        <f t="shared" si="18"/>
        <v>38.201891558167276</v>
      </c>
      <c r="AT18" s="105">
        <f t="shared" si="19"/>
        <v>5037714.2152081393</v>
      </c>
      <c r="AU18" s="106">
        <f t="shared" si="20"/>
        <v>1445268.8157522324</v>
      </c>
      <c r="AV18" s="105">
        <f>AT18*'Baseline Given'!K19/'Baseline Given'!L19</f>
        <v>31917905.91032704</v>
      </c>
      <c r="AW18" s="105">
        <f>AU18/'Baseline Given'!M19</f>
        <v>137648.66657597668</v>
      </c>
      <c r="AX18" s="105">
        <f t="shared" si="21"/>
        <v>32.055554576903013</v>
      </c>
      <c r="AZ18" s="105">
        <f t="shared" si="22"/>
        <v>3888461.7639723429</v>
      </c>
      <c r="BA18" s="106">
        <f t="shared" si="23"/>
        <v>1165580.8745950942</v>
      </c>
      <c r="BB18" s="105">
        <f>AZ18*'Baseline Given'!K19/'Baseline Given'!L19</f>
        <v>24636482.22515253</v>
      </c>
      <c r="BC18" s="105">
        <f>BA18/'Baseline Given'!M19</f>
        <v>111010.94234221707</v>
      </c>
      <c r="BD18" s="105">
        <f t="shared" si="24"/>
        <v>24.747493167494749</v>
      </c>
      <c r="BF18" s="105">
        <f t="shared" si="25"/>
        <v>2599227.7432476813</v>
      </c>
      <c r="BG18" s="106">
        <f t="shared" si="26"/>
        <v>982460.28732835618</v>
      </c>
      <c r="BH18" s="105">
        <f>BF18*'Baseline Given'!K19/'Baseline Given'!L19</f>
        <v>16468164.529468749</v>
      </c>
      <c r="BI18" s="105">
        <f>BG18/'Baseline Given'!M19</f>
        <v>93570.377386308217</v>
      </c>
      <c r="BJ18" s="105">
        <f t="shared" si="27"/>
        <v>16.561734906855055</v>
      </c>
      <c r="BL18" s="105">
        <f t="shared" si="28"/>
        <v>1214231.8100216044</v>
      </c>
      <c r="BM18" s="106">
        <f t="shared" si="29"/>
        <v>876863.53690669604</v>
      </c>
      <c r="BN18" s="105">
        <f>BL18*'Baseline Given'!K19/'Baseline Given'!L19</f>
        <v>7693119.341426244</v>
      </c>
      <c r="BO18" s="105">
        <f>BM18/'Baseline Given'!M19</f>
        <v>83513.25048238867</v>
      </c>
      <c r="BP18" s="105">
        <f t="shared" si="30"/>
        <v>7.7766325919086325</v>
      </c>
      <c r="BR18" s="105">
        <f t="shared" si="31"/>
        <v>-222048.28102328052</v>
      </c>
      <c r="BS18" s="106">
        <f t="shared" si="32"/>
        <v>840320</v>
      </c>
      <c r="BT18" s="105">
        <f>BR18*'Baseline Given'!K19/'Baseline Given'!L19</f>
        <v>-1406851.5676922144</v>
      </c>
      <c r="BU18" s="105">
        <f>BS18/'Baseline Given'!M19</f>
        <v>80032.81205297538</v>
      </c>
      <c r="BV18" s="105">
        <f t="shared" si="33"/>
        <v>-1.326818755639239</v>
      </c>
      <c r="BX18" s="104">
        <v>150</v>
      </c>
      <c r="BY18" s="104">
        <v>-150</v>
      </c>
    </row>
    <row r="19" spans="1:77" x14ac:dyDescent="0.25">
      <c r="A19" s="18">
        <f>'Baseline Given'!E20</f>
        <v>17</v>
      </c>
      <c r="B19" s="18">
        <f t="shared" si="0"/>
        <v>51</v>
      </c>
      <c r="C19" s="18">
        <f t="shared" si="34"/>
        <v>25.5</v>
      </c>
      <c r="D19" s="18">
        <f t="shared" si="35"/>
        <v>17</v>
      </c>
      <c r="E19" s="18">
        <f t="shared" si="1"/>
        <v>10.75</v>
      </c>
      <c r="F19" s="18">
        <f t="shared" si="36"/>
        <v>51</v>
      </c>
      <c r="H19" s="104">
        <f t="shared" si="37"/>
        <v>16</v>
      </c>
      <c r="I19" s="104">
        <f t="shared" si="38"/>
        <v>0.27925268031909273</v>
      </c>
      <c r="J19" s="111">
        <f>'Baseline Given'!$B$28*SIN('Baseline-tilt up (1 pt)'!I19)</f>
        <v>7.6489366239217267</v>
      </c>
      <c r="K19" s="104">
        <f>'Baseline Given'!$B$26*COS('Baseline-tilt up (1 pt)'!I19)*'Baseline Given'!$B$28</f>
        <v>28879701.809236482</v>
      </c>
      <c r="L19" s="107">
        <f t="shared" si="2"/>
        <v>3775649.2476243605</v>
      </c>
      <c r="M19" s="104">
        <f>'Baseline Given'!$B$26*COS('Baseline-tilt up (1 pt)'!I19)</f>
        <v>1040709.9751076209</v>
      </c>
      <c r="N19" s="104">
        <f t="shared" si="3"/>
        <v>3629386.9990396304</v>
      </c>
      <c r="P19" s="105">
        <f t="shared" si="4"/>
        <v>8556297.0579093266</v>
      </c>
      <c r="Q19" s="106">
        <f t="shared" si="5"/>
        <v>31792153.402688153</v>
      </c>
      <c r="R19" s="105">
        <f>P19*'Baseline Given'!K20/'Baseline Given'!L20</f>
        <v>54602170.0711179</v>
      </c>
      <c r="S19" s="105">
        <f>Q19/'Baseline Given'!M20</f>
        <v>3060857.8002374354</v>
      </c>
      <c r="T19" s="105">
        <f t="shared" si="6"/>
        <v>57.663027871355332</v>
      </c>
      <c r="U19" s="116"/>
      <c r="V19" s="105">
        <f t="shared" si="7"/>
        <v>7133011.2555905506</v>
      </c>
      <c r="W19" s="106">
        <f t="shared" si="8"/>
        <v>7539735.2109460672</v>
      </c>
      <c r="X19" s="105">
        <f>V19*'Baseline Given'!K20/'Baseline Given'!L20</f>
        <v>45519445.042750739</v>
      </c>
      <c r="Y19" s="105">
        <f>W19/'Baseline Given'!M20</f>
        <v>725904.18899393501</v>
      </c>
      <c r="Z19" s="105">
        <f t="shared" si="9"/>
        <v>46.245349231744676</v>
      </c>
      <c r="AB19" s="105">
        <f t="shared" si="10"/>
        <v>7421297.3598982729</v>
      </c>
      <c r="AC19" s="106">
        <f t="shared" si="11"/>
        <v>3762622.7970918277</v>
      </c>
      <c r="AD19" s="105">
        <f>AB19*'Baseline Given'!K20/'Baseline Given'!L20</f>
        <v>47359148.221592508</v>
      </c>
      <c r="AE19" s="105">
        <f>AC19/'Baseline Given'!M20</f>
        <v>362254.58502147021</v>
      </c>
      <c r="AF19" s="105">
        <f t="shared" si="12"/>
        <v>47.72140280661398</v>
      </c>
      <c r="AH19" s="105">
        <f t="shared" si="13"/>
        <v>6995519.531880904</v>
      </c>
      <c r="AI19" s="106">
        <f t="shared" si="14"/>
        <v>2515639.5112038916</v>
      </c>
      <c r="AJ19" s="105">
        <f>AH19*'Baseline Given'!K20/'Baseline Given'!L20</f>
        <v>44642039.030482195</v>
      </c>
      <c r="AK19" s="105">
        <f>AI19/'Baseline Given'!M20</f>
        <v>242198.59293340144</v>
      </c>
      <c r="AL19" s="105">
        <f t="shared" si="15"/>
        <v>44.884237623415594</v>
      </c>
      <c r="AN19" s="105">
        <f t="shared" si="16"/>
        <v>6235738.813528331</v>
      </c>
      <c r="AO19" s="106">
        <f t="shared" si="17"/>
        <v>1848331.856131227</v>
      </c>
      <c r="AP19" s="105">
        <f>AN19*'Baseline Given'!K20/'Baseline Given'!L20</f>
        <v>39793484.133490339</v>
      </c>
      <c r="AQ19" s="105">
        <f>AO19/'Baseline Given'!M20</f>
        <v>177952.11628502776</v>
      </c>
      <c r="AR19" s="105">
        <f t="shared" si="18"/>
        <v>39.971436249775365</v>
      </c>
      <c r="AT19" s="105">
        <f t="shared" si="19"/>
        <v>5234098.0272034854</v>
      </c>
      <c r="AU19" s="106">
        <f t="shared" si="20"/>
        <v>1429108.8157522324</v>
      </c>
      <c r="AV19" s="105">
        <f>AT19*'Baseline Given'!K20/'Baseline Given'!L20</f>
        <v>33401494.678832363</v>
      </c>
      <c r="AW19" s="105">
        <f>AU19/'Baseline Given'!M20</f>
        <v>137590.51834826139</v>
      </c>
      <c r="AX19" s="105">
        <f t="shared" si="21"/>
        <v>33.539085197180626</v>
      </c>
      <c r="AZ19" s="105">
        <f t="shared" si="22"/>
        <v>4043790.1244853353</v>
      </c>
      <c r="BA19" s="106">
        <f t="shared" si="23"/>
        <v>1149420.8745950942</v>
      </c>
      <c r="BB19" s="105">
        <f>AZ19*'Baseline Given'!K20/'Baseline Given'!L20</f>
        <v>25805522.484162815</v>
      </c>
      <c r="BC19" s="105">
        <f>BA19/'Baseline Given'!M20</f>
        <v>110662.96155524497</v>
      </c>
      <c r="BD19" s="105">
        <f t="shared" si="24"/>
        <v>25.91618544571806</v>
      </c>
      <c r="BF19" s="105">
        <f t="shared" si="25"/>
        <v>2710639.1745119188</v>
      </c>
      <c r="BG19" s="106">
        <f t="shared" si="26"/>
        <v>966300.28732835618</v>
      </c>
      <c r="BH19" s="105">
        <f>BF19*'Baseline Given'!K20/'Baseline Given'!L20</f>
        <v>17297994.705702618</v>
      </c>
      <c r="BI19" s="105">
        <f>BG19/'Baseline Given'!M20</f>
        <v>93032.634008069057</v>
      </c>
      <c r="BJ19" s="105">
        <f t="shared" si="27"/>
        <v>17.391027339710686</v>
      </c>
      <c r="BL19" s="105">
        <f t="shared" si="28"/>
        <v>1279769.70167465</v>
      </c>
      <c r="BM19" s="106">
        <f t="shared" si="29"/>
        <v>860703.53690669604</v>
      </c>
      <c r="BN19" s="105">
        <f>BL19*'Baseline Given'!K20/'Baseline Given'!L20</f>
        <v>8166874.3417584561</v>
      </c>
      <c r="BO19" s="105">
        <f>BM19/'Baseline Given'!M20</f>
        <v>82866.08023255365</v>
      </c>
      <c r="BP19" s="105">
        <f t="shared" si="30"/>
        <v>8.2497404219910084</v>
      </c>
      <c r="BR19" s="105">
        <f t="shared" si="31"/>
        <v>-203150.55497874593</v>
      </c>
      <c r="BS19" s="106">
        <f t="shared" si="32"/>
        <v>824160</v>
      </c>
      <c r="BT19" s="105">
        <f>BR19*'Baseline Given'!K20/'Baseline Given'!L20</f>
        <v>-1296409.0748506386</v>
      </c>
      <c r="BU19" s="105">
        <f>BS19/'Baseline Given'!M20</f>
        <v>79347.77278818698</v>
      </c>
      <c r="BV19" s="105">
        <f t="shared" si="33"/>
        <v>-1.2170613020624517</v>
      </c>
      <c r="BX19" s="104">
        <v>150</v>
      </c>
      <c r="BY19" s="104">
        <v>-150</v>
      </c>
    </row>
    <row r="20" spans="1:77" x14ac:dyDescent="0.25">
      <c r="A20" s="18">
        <f>'Baseline Given'!E21</f>
        <v>18</v>
      </c>
      <c r="B20" s="18">
        <f t="shared" si="0"/>
        <v>50</v>
      </c>
      <c r="C20" s="18">
        <f t="shared" si="34"/>
        <v>25</v>
      </c>
      <c r="D20" s="18">
        <f t="shared" si="35"/>
        <v>18</v>
      </c>
      <c r="E20" s="18">
        <f t="shared" si="1"/>
        <v>9.75</v>
      </c>
      <c r="F20" s="18">
        <f t="shared" si="36"/>
        <v>50</v>
      </c>
      <c r="H20" s="104">
        <f t="shared" si="37"/>
        <v>17</v>
      </c>
      <c r="I20" s="104">
        <f t="shared" si="38"/>
        <v>0.29670597283903605</v>
      </c>
      <c r="J20" s="111">
        <f>'Baseline Given'!$B$28*SIN('Baseline-tilt up (1 pt)'!I20)</f>
        <v>8.1133148060559446</v>
      </c>
      <c r="K20" s="104">
        <f>'Baseline Given'!$B$26*COS('Baseline-tilt up (1 pt)'!I20)*'Baseline Given'!$B$28</f>
        <v>28730777.797203805</v>
      </c>
      <c r="L20" s="107">
        <f t="shared" si="2"/>
        <v>3541188.5874018548</v>
      </c>
      <c r="M20" s="104">
        <f>'Baseline Given'!$B$26*COS('Baseline-tilt up (1 pt)'!I20)</f>
        <v>1035343.3440433803</v>
      </c>
      <c r="N20" s="104">
        <f t="shared" si="3"/>
        <v>3386455.4878944168</v>
      </c>
      <c r="P20" s="105">
        <f t="shared" si="4"/>
        <v>8838854.8264324348</v>
      </c>
      <c r="Q20" s="106">
        <f t="shared" si="5"/>
        <v>31775993.402688153</v>
      </c>
      <c r="R20" s="105">
        <f>P20*'Baseline Given'!K21/'Baseline Given'!L21</f>
        <v>56815372.581910655</v>
      </c>
      <c r="S20" s="105">
        <f>Q20/'Baseline Given'!M21</f>
        <v>3092770.8668860975</v>
      </c>
      <c r="T20" s="105">
        <f t="shared" si="6"/>
        <v>59.90814344879675</v>
      </c>
      <c r="U20" s="116"/>
      <c r="V20" s="105">
        <f t="shared" si="7"/>
        <v>7532230.3824760057</v>
      </c>
      <c r="W20" s="106">
        <f t="shared" si="8"/>
        <v>7523575.2109460672</v>
      </c>
      <c r="X20" s="105">
        <f>V20*'Baseline Given'!K21/'Baseline Given'!L21</f>
        <v>48416506.884284995</v>
      </c>
      <c r="Y20" s="105">
        <f>W20/'Baseline Given'!M21</f>
        <v>732272.75485498935</v>
      </c>
      <c r="Z20" s="105">
        <f t="shared" si="9"/>
        <v>49.148779639139988</v>
      </c>
      <c r="AB20" s="105">
        <f t="shared" si="10"/>
        <v>7745013.1903049853</v>
      </c>
      <c r="AC20" s="106">
        <f t="shared" si="11"/>
        <v>3746462.7970918277</v>
      </c>
      <c r="AD20" s="105">
        <f>AB20*'Baseline Given'!K21/'Baseline Given'!L21</f>
        <v>49784255.845346741</v>
      </c>
      <c r="AE20" s="105">
        <f>AC20/'Baseline Given'!M21</f>
        <v>364644.80735126237</v>
      </c>
      <c r="AF20" s="105">
        <f t="shared" si="12"/>
        <v>50.148900652698003</v>
      </c>
      <c r="AH20" s="105">
        <f t="shared" si="13"/>
        <v>7279344.6420079563</v>
      </c>
      <c r="AI20" s="106">
        <f t="shared" si="14"/>
        <v>2499479.5112038916</v>
      </c>
      <c r="AJ20" s="105">
        <f>AH20*'Baseline Given'!K21/'Baseline Given'!L21</f>
        <v>46790979.839494318</v>
      </c>
      <c r="AK20" s="105">
        <f>AI20/'Baseline Given'!M21</f>
        <v>243275.39714230105</v>
      </c>
      <c r="AL20" s="105">
        <f t="shared" si="15"/>
        <v>47.034255236636618</v>
      </c>
      <c r="AN20" s="105">
        <f t="shared" si="16"/>
        <v>6482346.7693304606</v>
      </c>
      <c r="AO20" s="106">
        <f t="shared" si="17"/>
        <v>1832171.856131227</v>
      </c>
      <c r="AP20" s="105">
        <f>AN20*'Baseline Given'!K21/'Baseline Given'!L21</f>
        <v>41667948.409252025</v>
      </c>
      <c r="AQ20" s="105">
        <f>AO20/'Baseline Given'!M21</f>
        <v>178326.06106004282</v>
      </c>
      <c r="AR20" s="105">
        <f t="shared" si="18"/>
        <v>41.846274470312068</v>
      </c>
      <c r="AT20" s="105">
        <f t="shared" si="19"/>
        <v>5440869.2869713651</v>
      </c>
      <c r="AU20" s="106">
        <f t="shared" si="20"/>
        <v>1412948.8157522324</v>
      </c>
      <c r="AV20" s="105">
        <f>AT20*'Baseline Given'!K21/'Baseline Given'!L21</f>
        <v>34973423.795164041</v>
      </c>
      <c r="AW20" s="105">
        <f>AU20/'Baseline Given'!M21</f>
        <v>137522.90537012869</v>
      </c>
      <c r="AX20" s="105">
        <f t="shared" si="21"/>
        <v>35.110946700534171</v>
      </c>
      <c r="AZ20" s="105">
        <f t="shared" si="22"/>
        <v>4207198.4849983267</v>
      </c>
      <c r="BA20" s="106">
        <f t="shared" si="23"/>
        <v>1133260.8745950942</v>
      </c>
      <c r="BB20" s="105">
        <f>AZ20*'Baseline Given'!K21/'Baseline Given'!L21</f>
        <v>27043497.618764423</v>
      </c>
      <c r="BC20" s="105">
        <f>BA20/'Baseline Given'!M21</f>
        <v>110300.75985706433</v>
      </c>
      <c r="BD20" s="105">
        <f t="shared" si="24"/>
        <v>27.153798378621488</v>
      </c>
      <c r="BF20" s="105">
        <f t="shared" si="25"/>
        <v>2827577.6512923008</v>
      </c>
      <c r="BG20" s="106">
        <f t="shared" si="26"/>
        <v>950140.28732835618</v>
      </c>
      <c r="BH20" s="105">
        <f>BF20*'Baseline Given'!K21/'Baseline Given'!L21</f>
        <v>18175417.621074099</v>
      </c>
      <c r="BI20" s="105">
        <f>BG20/'Baseline Given'!M21</f>
        <v>92477.555708937551</v>
      </c>
      <c r="BJ20" s="105">
        <f t="shared" si="27"/>
        <v>18.267895176783036</v>
      </c>
      <c r="BL20" s="105">
        <f t="shared" si="28"/>
        <v>1348113.7478787929</v>
      </c>
      <c r="BM20" s="106">
        <f t="shared" si="29"/>
        <v>844543.53690669604</v>
      </c>
      <c r="BN20" s="105">
        <f>BL20*'Baseline Given'!K21/'Baseline Given'!L21</f>
        <v>8665555.2526417635</v>
      </c>
      <c r="BO20" s="105">
        <f>BM20/'Baseline Given'!M21</f>
        <v>82199.779363656577</v>
      </c>
      <c r="BP20" s="105">
        <f t="shared" si="30"/>
        <v>8.7477550320054203</v>
      </c>
      <c r="BR20" s="105">
        <f t="shared" si="31"/>
        <v>-184252.82893421137</v>
      </c>
      <c r="BS20" s="106">
        <f t="shared" si="32"/>
        <v>808000</v>
      </c>
      <c r="BT20" s="105">
        <f>BR20*'Baseline Given'!K21/'Baseline Given'!L21</f>
        <v>-1184360.7945525621</v>
      </c>
      <c r="BU20" s="105">
        <f>BS20/'Baseline Given'!M21</f>
        <v>78642.981472691346</v>
      </c>
      <c r="BV20" s="105">
        <f t="shared" si="33"/>
        <v>-1.1057178130798708</v>
      </c>
      <c r="BX20" s="104">
        <v>150</v>
      </c>
      <c r="BY20" s="104">
        <v>-150</v>
      </c>
    </row>
    <row r="21" spans="1:77" x14ac:dyDescent="0.25">
      <c r="A21" s="18">
        <f>'Baseline Given'!E22</f>
        <v>19</v>
      </c>
      <c r="B21" s="18">
        <f t="shared" si="0"/>
        <v>49</v>
      </c>
      <c r="C21" s="18">
        <f t="shared" si="34"/>
        <v>24.5</v>
      </c>
      <c r="D21" s="18">
        <f t="shared" si="35"/>
        <v>19</v>
      </c>
      <c r="E21" s="18">
        <f t="shared" si="1"/>
        <v>8.75</v>
      </c>
      <c r="F21" s="18">
        <f t="shared" si="36"/>
        <v>49</v>
      </c>
      <c r="H21" s="104">
        <f t="shared" si="37"/>
        <v>18</v>
      </c>
      <c r="I21" s="104">
        <f t="shared" si="38"/>
        <v>0.31415926535897931</v>
      </c>
      <c r="J21" s="111">
        <f>'Baseline Given'!$B$28*SIN('Baseline-tilt up (1 pt)'!I21)</f>
        <v>8.5752215939047911</v>
      </c>
      <c r="K21" s="104">
        <f>'Baseline Given'!$B$26*COS('Baseline-tilt up (1 pt)'!I21)*'Baseline Given'!$B$28</f>
        <v>28573102.111932807</v>
      </c>
      <c r="L21" s="107">
        <f t="shared" si="2"/>
        <v>3332054.0815227879</v>
      </c>
      <c r="M21" s="104">
        <f>'Baseline Given'!$B$26*COS('Baseline-tilt up (1 pt)'!I21)</f>
        <v>1029661.337366948</v>
      </c>
      <c r="N21" s="104">
        <f t="shared" si="3"/>
        <v>3168971.7468801104</v>
      </c>
      <c r="P21" s="105">
        <f t="shared" si="4"/>
        <v>9137562.7507201713</v>
      </c>
      <c r="Q21" s="106">
        <f t="shared" si="5"/>
        <v>31759833.402688153</v>
      </c>
      <c r="R21" s="105">
        <f>P21*'Baseline Given'!K22/'Baseline Given'!L22</f>
        <v>59165561.756521009</v>
      </c>
      <c r="S21" s="105">
        <f>Q21/'Baseline Given'!M22</f>
        <v>3125201.8572707609</v>
      </c>
      <c r="T21" s="105">
        <f t="shared" si="6"/>
        <v>62.290763613791768</v>
      </c>
      <c r="U21" s="116"/>
      <c r="V21" s="105">
        <f t="shared" si="7"/>
        <v>7947364.0026501417</v>
      </c>
      <c r="W21" s="106">
        <f t="shared" si="8"/>
        <v>7507415.2109460672</v>
      </c>
      <c r="X21" s="105">
        <f>V21*'Baseline Given'!K22/'Baseline Given'!L22</f>
        <v>51459045.319638394</v>
      </c>
      <c r="Y21" s="105">
        <f>W21/'Baseline Given'!M22</f>
        <v>738737.75290539057</v>
      </c>
      <c r="Z21" s="105">
        <f t="shared" si="9"/>
        <v>52.197783072543785</v>
      </c>
      <c r="AB21" s="105">
        <f t="shared" si="10"/>
        <v>8083914.4534635954</v>
      </c>
      <c r="AC21" s="106">
        <f t="shared" si="11"/>
        <v>3730302.7970918277</v>
      </c>
      <c r="AD21" s="105">
        <f>AB21*'Baseline Given'!K22/'Baseline Given'!L22</f>
        <v>52343207.141656786</v>
      </c>
      <c r="AE21" s="105">
        <f>AC21/'Baseline Given'!M22</f>
        <v>367065.81806776626</v>
      </c>
      <c r="AF21" s="105">
        <f t="shared" si="12"/>
        <v>52.710272959724556</v>
      </c>
      <c r="AH21" s="105">
        <f t="shared" si="13"/>
        <v>7577164.722660169</v>
      </c>
      <c r="AI21" s="106">
        <f t="shared" si="14"/>
        <v>2483319.5112038916</v>
      </c>
      <c r="AJ21" s="105">
        <f>AH21*'Baseline Given'!K22/'Baseline Given'!L22</f>
        <v>49062011.344606042</v>
      </c>
      <c r="AK21" s="105">
        <f>AI21/'Baseline Given'!M22</f>
        <v>244361.31796441477</v>
      </c>
      <c r="AL21" s="105">
        <f t="shared" si="15"/>
        <v>49.306372662570453</v>
      </c>
      <c r="AN21" s="105">
        <f t="shared" si="16"/>
        <v>6741334.0033333926</v>
      </c>
      <c r="AO21" s="106">
        <f t="shared" si="17"/>
        <v>1816011.856131227</v>
      </c>
      <c r="AP21" s="105">
        <f>AN21*'Baseline Given'!K22/'Baseline Given'!L22</f>
        <v>43650021.803037286</v>
      </c>
      <c r="AQ21" s="105">
        <f>AO21/'Baseline Given'!M22</f>
        <v>178697.52506720222</v>
      </c>
      <c r="AR21" s="105">
        <f t="shared" si="18"/>
        <v>43.828719328104491</v>
      </c>
      <c r="AT21" s="105">
        <f t="shared" si="19"/>
        <v>5658027.9945117785</v>
      </c>
      <c r="AU21" s="106">
        <f t="shared" si="20"/>
        <v>1396788.8157522324</v>
      </c>
      <c r="AV21" s="105">
        <f>AT21*'Baseline Given'!K22/'Baseline Given'!L22</f>
        <v>36635634.015539579</v>
      </c>
      <c r="AW21" s="105">
        <f>AU21/'Baseline Given'!M22</f>
        <v>137445.5257953094</v>
      </c>
      <c r="AX21" s="105">
        <f t="shared" si="21"/>
        <v>36.773079541334887</v>
      </c>
      <c r="AZ21" s="105">
        <f t="shared" si="22"/>
        <v>4378686.8455113191</v>
      </c>
      <c r="BA21" s="106">
        <f t="shared" si="23"/>
        <v>1117100.8745950942</v>
      </c>
      <c r="BB21" s="105">
        <f>AZ21*'Baseline Given'!K22/'Baseline Given'!L22</f>
        <v>28351922.064792156</v>
      </c>
      <c r="BC21" s="105">
        <f>BA21/'Baseline Given'!M22</f>
        <v>109923.93076431843</v>
      </c>
      <c r="BD21" s="105">
        <f t="shared" si="24"/>
        <v>28.461845995556473</v>
      </c>
      <c r="BF21" s="105">
        <f t="shared" si="25"/>
        <v>2950043.1735888249</v>
      </c>
      <c r="BG21" s="106">
        <f t="shared" si="26"/>
        <v>933980.28732835618</v>
      </c>
      <c r="BH21" s="105">
        <f>BF21*'Baseline Given'!K22/'Baseline Given'!L22</f>
        <v>19101478.844303038</v>
      </c>
      <c r="BI21" s="105">
        <f>BG21/'Baseline Given'!M22</f>
        <v>91904.667496328999</v>
      </c>
      <c r="BJ21" s="105">
        <f t="shared" si="27"/>
        <v>19.193383511799365</v>
      </c>
      <c r="BL21" s="105">
        <f t="shared" si="28"/>
        <v>1419263.9486340333</v>
      </c>
      <c r="BM21" s="106">
        <f t="shared" si="29"/>
        <v>828383.53690669604</v>
      </c>
      <c r="BN21" s="105">
        <f>BL21*'Baseline Given'!K22/'Baseline Given'!L22</f>
        <v>9189709.6734129246</v>
      </c>
      <c r="BO21" s="105">
        <f>BM21/'Baseline Given'!M22</f>
        <v>81513.833377167743</v>
      </c>
      <c r="BP21" s="105">
        <f t="shared" si="30"/>
        <v>9.2712235067900917</v>
      </c>
      <c r="BR21" s="105">
        <f t="shared" si="31"/>
        <v>-165355.10288967681</v>
      </c>
      <c r="BS21" s="106">
        <f t="shared" si="32"/>
        <v>791840</v>
      </c>
      <c r="BT21" s="105">
        <f>BR21*'Baseline Given'!K22/'Baseline Given'!L22</f>
        <v>-1070671.449124001</v>
      </c>
      <c r="BU21" s="105">
        <f>BS21/'Baseline Given'!M22</f>
        <v>77917.909936260068</v>
      </c>
      <c r="BV21" s="105">
        <f t="shared" si="33"/>
        <v>-0.9927535391877409</v>
      </c>
      <c r="BX21" s="104">
        <v>150</v>
      </c>
      <c r="BY21" s="104">
        <v>-150</v>
      </c>
    </row>
    <row r="22" spans="1:77" x14ac:dyDescent="0.25">
      <c r="A22" s="18">
        <f>'Baseline Given'!E23</f>
        <v>20</v>
      </c>
      <c r="B22" s="18">
        <f t="shared" si="0"/>
        <v>48</v>
      </c>
      <c r="C22" s="18">
        <f t="shared" si="34"/>
        <v>24</v>
      </c>
      <c r="D22" s="18">
        <f t="shared" si="35"/>
        <v>20</v>
      </c>
      <c r="E22" s="18">
        <f t="shared" si="1"/>
        <v>7.75</v>
      </c>
      <c r="F22" s="18">
        <f t="shared" si="36"/>
        <v>48</v>
      </c>
      <c r="H22" s="104">
        <f t="shared" si="37"/>
        <v>19</v>
      </c>
      <c r="I22" s="104">
        <f t="shared" si="38"/>
        <v>0.33161255787892258</v>
      </c>
      <c r="J22" s="111">
        <f>'Baseline Given'!$B$28*SIN('Baseline-tilt up (1 pt)'!I22)</f>
        <v>9.034516286186097</v>
      </c>
      <c r="K22" s="104">
        <f>'Baseline Given'!$B$26*COS('Baseline-tilt up (1 pt)'!I22)*'Baseline Given'!$B$28</f>
        <v>28406722.782964662</v>
      </c>
      <c r="L22" s="107">
        <f t="shared" si="2"/>
        <v>3144243.9067157302</v>
      </c>
      <c r="M22" s="104">
        <f>'Baseline Given'!$B$26*COS('Baseline-tilt up (1 pt)'!I22)</f>
        <v>1023665.6858726004</v>
      </c>
      <c r="N22" s="107">
        <f t="shared" si="3"/>
        <v>2972941.0200146884</v>
      </c>
      <c r="P22" s="105">
        <f t="shared" si="4"/>
        <v>9452420.8307725396</v>
      </c>
      <c r="Q22" s="106">
        <f t="shared" si="5"/>
        <v>31743673.402688153</v>
      </c>
      <c r="R22" s="105">
        <f>P22*'Baseline Given'!K23/'Baseline Given'!L23</f>
        <v>61655769.267017081</v>
      </c>
      <c r="S22" s="105">
        <f>Q22/'Baseline Given'!M23</f>
        <v>3158162.1332091345</v>
      </c>
      <c r="T22" s="105">
        <f t="shared" si="6"/>
        <v>64.81393140022621</v>
      </c>
      <c r="U22" s="116"/>
      <c r="V22" s="105">
        <f t="shared" si="7"/>
        <v>8378412.1161129512</v>
      </c>
      <c r="W22" s="106">
        <f t="shared" si="8"/>
        <v>7491255.2109460672</v>
      </c>
      <c r="X22" s="105">
        <f>V22*'Baseline Given'!K23/'Baseline Given'!L23</f>
        <v>54650279.912772454</v>
      </c>
      <c r="Y22" s="105">
        <f>W22/'Baseline Given'!M23</f>
        <v>745301.22072803311</v>
      </c>
      <c r="Z22" s="105">
        <f t="shared" si="9"/>
        <v>55.395581133500485</v>
      </c>
      <c r="AB22" s="105">
        <f t="shared" si="10"/>
        <v>8438001.1493741088</v>
      </c>
      <c r="AC22" s="106">
        <f t="shared" si="11"/>
        <v>3714142.7970918277</v>
      </c>
      <c r="AD22" s="105">
        <f>AB22*'Baseline Given'!K23/'Baseline Given'!L23</f>
        <v>55038964.224587448</v>
      </c>
      <c r="AE22" s="105">
        <f>AC22/'Baseline Given'!M23</f>
        <v>369518.20258185832</v>
      </c>
      <c r="AF22" s="105">
        <f t="shared" si="12"/>
        <v>55.408482427169311</v>
      </c>
      <c r="AH22" s="105">
        <f t="shared" si="13"/>
        <v>7888979.7738375366</v>
      </c>
      <c r="AI22" s="106">
        <f t="shared" si="14"/>
        <v>2467159.5112038916</v>
      </c>
      <c r="AJ22" s="105">
        <f>AH22*'Baseline Given'!K23/'Baseline Given'!L23</f>
        <v>51457835.55302611</v>
      </c>
      <c r="AK22" s="105">
        <f>AI22/'Baseline Given'!M23</f>
        <v>245456.46138770643</v>
      </c>
      <c r="AL22" s="105">
        <f t="shared" si="15"/>
        <v>51.703292014413819</v>
      </c>
      <c r="AN22" s="105">
        <f t="shared" si="16"/>
        <v>7012700.5155371288</v>
      </c>
      <c r="AO22" s="106">
        <f t="shared" si="17"/>
        <v>1799851.856131227</v>
      </c>
      <c r="AP22" s="105">
        <f>AN22*'Baseline Given'!K23/'Baseline Given'!L23</f>
        <v>45742085.828113869</v>
      </c>
      <c r="AQ22" s="105">
        <f>AO22/'Baseline Given'!M23</f>
        <v>179066.35773723837</v>
      </c>
      <c r="AR22" s="105">
        <f t="shared" si="18"/>
        <v>45.921152185851106</v>
      </c>
      <c r="AT22" s="105">
        <f t="shared" si="19"/>
        <v>5885574.1498247255</v>
      </c>
      <c r="AU22" s="106">
        <f t="shared" si="20"/>
        <v>1380628.8157522324</v>
      </c>
      <c r="AV22" s="105">
        <f>AT22*'Baseline Given'!K23/'Baseline Given'!L23</f>
        <v>38390123.364392743</v>
      </c>
      <c r="AW22" s="105">
        <f>AU22/'Baseline Given'!M23</f>
        <v>137358.06787745087</v>
      </c>
      <c r="AX22" s="105">
        <f t="shared" si="21"/>
        <v>38.527481432270193</v>
      </c>
      <c r="AZ22" s="105">
        <f t="shared" si="22"/>
        <v>4558255.2060243115</v>
      </c>
      <c r="BA22" s="106">
        <f t="shared" si="23"/>
        <v>1100940.8745950942</v>
      </c>
      <c r="BB22" s="105">
        <f>AZ22*'Baseline Given'!K23/'Baseline Given'!L23</f>
        <v>29732354.946351342</v>
      </c>
      <c r="BC22" s="105">
        <f>BA22/'Baseline Given'!M23</f>
        <v>109532.05500009756</v>
      </c>
      <c r="BD22" s="105">
        <f t="shared" si="24"/>
        <v>29.841887001351438</v>
      </c>
      <c r="BF22" s="105">
        <f t="shared" si="25"/>
        <v>3078035.7414014917</v>
      </c>
      <c r="BG22" s="106">
        <f t="shared" si="26"/>
        <v>917820.28732835618</v>
      </c>
      <c r="BH22" s="105">
        <f>BF22*'Baseline Given'!K23/'Baseline Given'!L23</f>
        <v>20077254.796956785</v>
      </c>
      <c r="BI22" s="105">
        <f>BG22/'Baseline Given'!M23</f>
        <v>91313.479689659274</v>
      </c>
      <c r="BJ22" s="105">
        <f t="shared" si="27"/>
        <v>20.168568276646443</v>
      </c>
      <c r="BL22" s="105">
        <f t="shared" si="28"/>
        <v>1493220.3039403714</v>
      </c>
      <c r="BM22" s="106">
        <f t="shared" si="29"/>
        <v>812223.53690669604</v>
      </c>
      <c r="BN22" s="105">
        <f>BL22*'Baseline Given'!K23/'Baseline Given'!L23</f>
        <v>9739901.3620776534</v>
      </c>
      <c r="BO22" s="105">
        <f>BM22/'Baseline Given'!M23</f>
        <v>80807.711994122772</v>
      </c>
      <c r="BP22" s="105">
        <f t="shared" si="30"/>
        <v>9.8207090740717753</v>
      </c>
      <c r="BR22" s="105">
        <f t="shared" si="31"/>
        <v>-146457.37684514222</v>
      </c>
      <c r="BS22" s="106">
        <f t="shared" si="32"/>
        <v>775680</v>
      </c>
      <c r="BT22" s="105">
        <f>BR22*'Baseline Given'!K23/'Baseline Given'!L23</f>
        <v>-955304.71991042828</v>
      </c>
      <c r="BU22" s="105">
        <f>BS22/'Baseline Given'!M23</f>
        <v>77172.013850174349</v>
      </c>
      <c r="BV22" s="105">
        <f t="shared" si="33"/>
        <v>-0.87813270606025395</v>
      </c>
      <c r="BX22" s="104">
        <v>150</v>
      </c>
      <c r="BY22" s="104">
        <v>-150</v>
      </c>
    </row>
    <row r="23" spans="1:77" x14ac:dyDescent="0.25">
      <c r="A23" s="18">
        <f>'Baseline Given'!E24</f>
        <v>21</v>
      </c>
      <c r="B23" s="18">
        <f t="shared" si="0"/>
        <v>47</v>
      </c>
      <c r="C23" s="18">
        <f t="shared" si="34"/>
        <v>23.5</v>
      </c>
      <c r="D23" s="18">
        <f t="shared" si="35"/>
        <v>21</v>
      </c>
      <c r="E23" s="18">
        <f t="shared" si="1"/>
        <v>6.75</v>
      </c>
      <c r="F23" s="18">
        <f t="shared" si="36"/>
        <v>47</v>
      </c>
      <c r="H23" s="104">
        <f t="shared" si="37"/>
        <v>20</v>
      </c>
      <c r="I23" s="109">
        <f t="shared" si="38"/>
        <v>0.3490658503988659</v>
      </c>
      <c r="J23" s="111">
        <f>'Baseline Given'!$B$28*SIN('Baseline-tilt up (1 pt)'!I23)</f>
        <v>9.491058977287306</v>
      </c>
      <c r="K23" s="104">
        <f>'Baseline Given'!$B$26*COS('Baseline-tilt up (1 pt)'!I23)*'Baseline Given'!$B$28</f>
        <v>28231690.491054721</v>
      </c>
      <c r="L23" s="107">
        <f t="shared" si="2"/>
        <v>2974556.4281725474</v>
      </c>
      <c r="M23" s="109">
        <f>'Baseline Given'!$B$26*COS('Baseline-tilt up (1 pt)'!I23)</f>
        <v>1017358.2158938638</v>
      </c>
      <c r="N23" s="109">
        <f t="shared" si="3"/>
        <v>2795168.7256650319</v>
      </c>
      <c r="P23" s="105">
        <f t="shared" si="4"/>
        <v>9783429.0665895343</v>
      </c>
      <c r="Q23" s="106">
        <f t="shared" si="5"/>
        <v>31727513.402688153</v>
      </c>
      <c r="R23" s="105">
        <f>P23*'Baseline Given'!K24/'Baseline Given'!L24</f>
        <v>64289116.909492075</v>
      </c>
      <c r="S23" s="105">
        <f>Q23/'Baseline Given'!M24</f>
        <v>3191663.3708514911</v>
      </c>
      <c r="T23" s="105">
        <f>(R23+S23)/1000000</f>
        <v>67.480780280343566</v>
      </c>
      <c r="U23" s="116"/>
      <c r="V23" s="105">
        <f t="shared" si="7"/>
        <v>8825374.7228644378</v>
      </c>
      <c r="W23" s="106">
        <f t="shared" si="8"/>
        <v>7475095.2109460672</v>
      </c>
      <c r="X23" s="105">
        <f>V23*'Baseline Given'!K24/'Baseline Given'!L24</f>
        <v>57993525.93722979</v>
      </c>
      <c r="Y23" s="105">
        <f>W23/'Baseline Given'!M24</f>
        <v>751965.25096677023</v>
      </c>
      <c r="Z23" s="105">
        <f t="shared" si="9"/>
        <v>58.74549118819656</v>
      </c>
      <c r="AB23" s="105">
        <f t="shared" si="10"/>
        <v>8807273.278036518</v>
      </c>
      <c r="AC23" s="106">
        <f t="shared" si="11"/>
        <v>3697982.7970918277</v>
      </c>
      <c r="AD23" s="105">
        <f>AB23*'Baseline Given'!K24/'Baseline Given'!L24</f>
        <v>57874577.264443174</v>
      </c>
      <c r="AE23" s="105">
        <f>AC23/'Baseline Given'!M24</f>
        <v>372002.56098597782</v>
      </c>
      <c r="AF23" s="105">
        <f t="shared" si="12"/>
        <v>58.246579825429151</v>
      </c>
      <c r="AH23" s="105">
        <f t="shared" si="13"/>
        <v>8214789.7955400608</v>
      </c>
      <c r="AI23" s="106">
        <f t="shared" si="14"/>
        <v>2450999.5112038916</v>
      </c>
      <c r="AJ23" s="105">
        <f>AH23*'Baseline Given'!K24/'Baseline Given'!L24</f>
        <v>53981234.795877002</v>
      </c>
      <c r="AK23" s="105">
        <f>AI23/'Baseline Given'!M24</f>
        <v>246560.93475076984</v>
      </c>
      <c r="AL23" s="105">
        <f t="shared" si="15"/>
        <v>54.227795730627776</v>
      </c>
      <c r="AN23" s="105">
        <f t="shared" si="16"/>
        <v>7296446.3059416665</v>
      </c>
      <c r="AO23" s="106">
        <f t="shared" si="17"/>
        <v>1783691.856131227</v>
      </c>
      <c r="AP23" s="105">
        <f>AN23*'Baseline Given'!K24/'Baseline Given'!L24</f>
        <v>47946592.794180244</v>
      </c>
      <c r="AQ23" s="105">
        <f>AO23/'Baseline Given'!M24</f>
        <v>179432.40271763003</v>
      </c>
      <c r="AR23" s="105">
        <f t="shared" si="18"/>
        <v>48.126025196897871</v>
      </c>
      <c r="AT23" s="105">
        <f t="shared" si="19"/>
        <v>6123507.7529102089</v>
      </c>
      <c r="AU23" s="106">
        <f t="shared" si="20"/>
        <v>1364468.8157522324</v>
      </c>
      <c r="AV23" s="105">
        <f>AT23*'Baseline Given'!K24/'Baseline Given'!L24</f>
        <v>40238949.262424514</v>
      </c>
      <c r="AW23" s="105">
        <f>AU23/'Baseline Given'!M24</f>
        <v>137260.20960522344</v>
      </c>
      <c r="AX23" s="105">
        <f t="shared" si="21"/>
        <v>40.376209472029736</v>
      </c>
      <c r="AZ23" s="105">
        <f t="shared" si="22"/>
        <v>4745903.5665373039</v>
      </c>
      <c r="BA23" s="106">
        <f t="shared" si="23"/>
        <v>1084780.8745950942</v>
      </c>
      <c r="BB23" s="105">
        <f>AZ23*'Baseline Given'!K24/'Baseline Given'!L24</f>
        <v>31186401.736405931</v>
      </c>
      <c r="BC23" s="105">
        <f>BA23/'Baseline Given'!M24</f>
        <v>109124.70003249808</v>
      </c>
      <c r="BD23" s="105">
        <f t="shared" si="24"/>
        <v>31.295526436438429</v>
      </c>
      <c r="BF23" s="105">
        <f t="shared" si="25"/>
        <v>3211555.3547303015</v>
      </c>
      <c r="BG23" s="106">
        <f t="shared" si="26"/>
        <v>901660.28732835618</v>
      </c>
      <c r="BH23" s="105">
        <f>BF23*'Baseline Given'!K24/'Baseline Given'!L24</f>
        <v>21103853.899922598</v>
      </c>
      <c r="BI23" s="105">
        <f>BG23/'Baseline Given'!M24</f>
        <v>90703.487395691103</v>
      </c>
      <c r="BJ23" s="105">
        <f t="shared" si="27"/>
        <v>21.194557387318291</v>
      </c>
      <c r="BL23" s="105">
        <f t="shared" si="28"/>
        <v>1569982.8137978071</v>
      </c>
      <c r="BM23" s="106">
        <f t="shared" si="29"/>
        <v>796063.53690669604</v>
      </c>
      <c r="BN23" s="105">
        <f>BL23*'Baseline Given'!K24/'Baseline Given'!L24</f>
        <v>10316710.835756622</v>
      </c>
      <c r="BO23" s="105">
        <f>BM23/'Baseline Given'!M24</f>
        <v>80080.868594017084</v>
      </c>
      <c r="BP23" s="105">
        <f t="shared" si="30"/>
        <v>10.396791704350639</v>
      </c>
      <c r="BR23" s="105">
        <f t="shared" si="31"/>
        <v>-127559.65080060765</v>
      </c>
      <c r="BS23" s="106">
        <f t="shared" si="32"/>
        <v>759520</v>
      </c>
      <c r="BT23" s="105">
        <f>BR23*'Baseline Given'!K24/'Baseline Given'!L24</f>
        <v>-838223.20859458949</v>
      </c>
      <c r="BU23" s="105">
        <f>BS23/'Baseline Given'!M24</f>
        <v>76404.732153504883</v>
      </c>
      <c r="BV23" s="105">
        <f t="shared" si="33"/>
        <v>-0.76181847644108469</v>
      </c>
      <c r="BX23" s="104">
        <v>150</v>
      </c>
      <c r="BY23" s="104">
        <v>-150</v>
      </c>
    </row>
    <row r="24" spans="1:77" x14ac:dyDescent="0.25">
      <c r="A24" s="18">
        <f>'Baseline Given'!E25</f>
        <v>22</v>
      </c>
      <c r="B24" s="18">
        <f t="shared" si="0"/>
        <v>46</v>
      </c>
      <c r="C24" s="18">
        <f t="shared" si="34"/>
        <v>23</v>
      </c>
      <c r="D24" s="18">
        <f t="shared" si="35"/>
        <v>22</v>
      </c>
      <c r="E24" s="18">
        <f t="shared" si="1"/>
        <v>5.75</v>
      </c>
      <c r="F24" s="18">
        <f t="shared" si="36"/>
        <v>46</v>
      </c>
      <c r="H24" s="104">
        <f t="shared" si="37"/>
        <v>21</v>
      </c>
      <c r="I24" s="104">
        <f t="shared" si="38"/>
        <v>0.36651914291880922</v>
      </c>
      <c r="J24" s="111">
        <f>'Baseline Given'!$B$28*SIN('Baseline-tilt up (1 pt)'!I24)</f>
        <v>9.9447105998820824</v>
      </c>
      <c r="K24" s="104">
        <f>'Baseline Given'!$B$26*COS('Baseline-tilt up (1 pt)'!I24)*'Baseline Given'!$B$28</f>
        <v>28048058.552734673</v>
      </c>
      <c r="L24" s="107">
        <f t="shared" si="2"/>
        <v>2820399.6758907442</v>
      </c>
      <c r="M24" s="104">
        <f>'Baseline Given'!$B$26*COS('Baseline-tilt up (1 pt)'!I24)</f>
        <v>1010740.8487471954</v>
      </c>
      <c r="N24" s="104">
        <f t="shared" si="3"/>
        <v>2633069.9323106506</v>
      </c>
      <c r="P24" s="105">
        <f t="shared" si="4"/>
        <v>10130587.458171159</v>
      </c>
      <c r="Q24" s="106">
        <f t="shared" si="5"/>
        <v>31711353.402688153</v>
      </c>
      <c r="R24" s="105">
        <f>P24*'Baseline Given'!K25/'Baseline Given'!L25</f>
        <v>67068819.978091955</v>
      </c>
      <c r="S24" s="105">
        <f>Q24/'Baseline Given'!M25</f>
        <v>3225717.5711920615</v>
      </c>
      <c r="T24" s="105">
        <f t="shared" ref="T24:T68" si="39">(R24+S24)/1000000</f>
        <v>70.294537549284016</v>
      </c>
      <c r="U24" s="116"/>
      <c r="V24" s="105">
        <f t="shared" si="7"/>
        <v>9288251.8229046036</v>
      </c>
      <c r="W24" s="106">
        <f t="shared" si="8"/>
        <v>7458935.2109460672</v>
      </c>
      <c r="X24" s="105">
        <f>V24*'Baseline Given'!K25/'Baseline Given'!L25</f>
        <v>61492197.959271431</v>
      </c>
      <c r="Y24" s="105">
        <f>W24/'Baseline Given'!M25</f>
        <v>758731.99313821492</v>
      </c>
      <c r="Z24" s="105">
        <f t="shared" si="9"/>
        <v>62.250929952409649</v>
      </c>
      <c r="AB24" s="105">
        <f t="shared" si="10"/>
        <v>9191730.8394508287</v>
      </c>
      <c r="AC24" s="106">
        <f t="shared" si="11"/>
        <v>3681822.7970918277</v>
      </c>
      <c r="AD24" s="105">
        <f>AB24*'Baseline Given'!K25/'Baseline Given'!L25</f>
        <v>60853187.784382895</v>
      </c>
      <c r="AE24" s="105">
        <f>AC24/'Baseline Given'!M25</f>
        <v>374519.50851103844</v>
      </c>
      <c r="AF24" s="105">
        <f t="shared" si="12"/>
        <v>61.227707292893932</v>
      </c>
      <c r="AH24" s="105">
        <f t="shared" si="13"/>
        <v>8554594.7877677437</v>
      </c>
      <c r="AI24" s="106">
        <f t="shared" si="14"/>
        <v>2434839.5112038916</v>
      </c>
      <c r="AJ24" s="105">
        <f>AH24*'Baseline Given'!K25/'Baseline Given'!L25</f>
        <v>56635074.735329822</v>
      </c>
      <c r="AK24" s="105">
        <f>AI24/'Baseline Given'!M25</f>
        <v>247674.84675243459</v>
      </c>
      <c r="AL24" s="105">
        <f t="shared" si="15"/>
        <v>56.882749582082255</v>
      </c>
      <c r="AN24" s="105">
        <f t="shared" si="16"/>
        <v>7592571.3745470075</v>
      </c>
      <c r="AO24" s="106">
        <f t="shared" si="17"/>
        <v>1767531.856131227</v>
      </c>
      <c r="AP24" s="105">
        <f>AN24*'Baseline Given'!K25/'Baseline Given'!L25</f>
        <v>50266068.457814403</v>
      </c>
      <c r="AQ24" s="105">
        <f>AO24/'Baseline Given'!M25</f>
        <v>179795.4976428379</v>
      </c>
      <c r="AR24" s="105">
        <f t="shared" si="18"/>
        <v>50.445863955457241</v>
      </c>
      <c r="AT24" s="105">
        <f t="shared" si="19"/>
        <v>6371828.8037682269</v>
      </c>
      <c r="AU24" s="106">
        <f t="shared" si="20"/>
        <v>1348308.8157522324</v>
      </c>
      <c r="AV24" s="105">
        <f>AT24*'Baseline Given'!K25/'Baseline Given'!L25</f>
        <v>42184230.750257052</v>
      </c>
      <c r="AW24" s="105">
        <f>AU24/'Baseline Given'!M25</f>
        <v>137151.61832217642</v>
      </c>
      <c r="AX24" s="105">
        <f t="shared" si="21"/>
        <v>42.321382368579229</v>
      </c>
      <c r="AZ24" s="105">
        <f t="shared" si="22"/>
        <v>4941631.9270502962</v>
      </c>
      <c r="BA24" s="106">
        <f t="shared" si="23"/>
        <v>1068620.8745950942</v>
      </c>
      <c r="BB24" s="105">
        <f>AZ24*'Baseline Given'!K25/'Baseline Given'!L25</f>
        <v>32715715.991968721</v>
      </c>
      <c r="BC24" s="105">
        <f>BA24/'Baseline Given'!M25</f>
        <v>108701.41959415135</v>
      </c>
      <c r="BD24" s="105">
        <f t="shared" si="24"/>
        <v>32.82441741156287</v>
      </c>
      <c r="BF24" s="105">
        <f t="shared" si="25"/>
        <v>3350602.0135752545</v>
      </c>
      <c r="BG24" s="106">
        <f t="shared" si="26"/>
        <v>885500.28732835618</v>
      </c>
      <c r="BH24" s="105">
        <f>BF24*'Baseline Given'!K25/'Baseline Given'!L25</f>
        <v>22182417.771385517</v>
      </c>
      <c r="BI24" s="105">
        <f>BG24/'Baseline Given'!M25</f>
        <v>90074.169962375832</v>
      </c>
      <c r="BJ24" s="105">
        <f t="shared" si="27"/>
        <v>22.272491941347894</v>
      </c>
      <c r="BL24" s="105">
        <f t="shared" si="28"/>
        <v>1649551.4782063405</v>
      </c>
      <c r="BM24" s="106">
        <f t="shared" si="29"/>
        <v>779903.53690669604</v>
      </c>
      <c r="BN24" s="106">
        <f>BL24*'Baseline Given'!K25/'Baseline Given'!L25</f>
        <v>10920735.998106552</v>
      </c>
      <c r="BO24" s="105">
        <f>BM24/'Baseline Given'!M25</f>
        <v>79332.739630769196</v>
      </c>
      <c r="BP24" s="105">
        <f t="shared" si="30"/>
        <v>11.000068737737323</v>
      </c>
      <c r="BR24" s="105">
        <f t="shared" si="31"/>
        <v>-108661.92475607307</v>
      </c>
      <c r="BS24" s="106">
        <f t="shared" si="32"/>
        <v>743360</v>
      </c>
      <c r="BT24" s="105">
        <f>BR24*'Baseline Given'!K25/'Baseline Given'!L25</f>
        <v>-719388.39677651681</v>
      </c>
      <c r="BU24" s="105">
        <f>BS24/'Baseline Given'!M25</f>
        <v>75615.486455966427</v>
      </c>
      <c r="BV24" s="105">
        <f t="shared" si="33"/>
        <v>-0.6437729103205504</v>
      </c>
      <c r="BX24" s="104">
        <v>150</v>
      </c>
      <c r="BY24" s="104">
        <v>-150</v>
      </c>
    </row>
    <row r="25" spans="1:77" x14ac:dyDescent="0.25">
      <c r="A25" s="18">
        <f>'Baseline Given'!E26</f>
        <v>23</v>
      </c>
      <c r="B25" s="18">
        <f t="shared" si="0"/>
        <v>45</v>
      </c>
      <c r="C25" s="18">
        <f t="shared" si="34"/>
        <v>22.5</v>
      </c>
      <c r="D25" s="18">
        <f t="shared" si="35"/>
        <v>23</v>
      </c>
      <c r="E25" s="18">
        <f t="shared" si="1"/>
        <v>4.75</v>
      </c>
      <c r="F25" s="18">
        <f t="shared" si="36"/>
        <v>45</v>
      </c>
      <c r="H25" s="104">
        <f t="shared" si="37"/>
        <v>22</v>
      </c>
      <c r="I25" s="104">
        <f t="shared" si="38"/>
        <v>0.38397243543875248</v>
      </c>
      <c r="J25" s="111">
        <f>'Baseline Given'!$B$28*SIN('Baseline-tilt up (1 pt)'!I25)</f>
        <v>10.395332967291559</v>
      </c>
      <c r="K25" s="104">
        <f>'Baseline Given'!$B$26*COS('Baseline-tilt up (1 pt)'!I25)*'Baseline Given'!$B$28</f>
        <v>27855882.904071823</v>
      </c>
      <c r="L25" s="107">
        <f t="shared" si="2"/>
        <v>2679652.7818511529</v>
      </c>
      <c r="M25" s="104">
        <f>'Baseline Given'!$B$26*COS('Baseline-tilt up (1 pt)'!I25)</f>
        <v>1003815.6001467324</v>
      </c>
      <c r="N25" s="104">
        <f t="shared" si="3"/>
        <v>2484530.7951773666</v>
      </c>
      <c r="P25" s="105">
        <f t="shared" si="4"/>
        <v>10493896.005517408</v>
      </c>
      <c r="Q25" s="106">
        <f t="shared" si="5"/>
        <v>31695193.402688153</v>
      </c>
      <c r="R25" s="105">
        <f>P25*'Baseline Given'!K26/'Baseline Given'!L26</f>
        <v>69998190.791765049</v>
      </c>
      <c r="S25" s="105">
        <f>Q25/'Baseline Given'!M26</f>
        <v>3260337.0709932167</v>
      </c>
      <c r="T25" s="105">
        <f t="shared" si="39"/>
        <v>73.258527862758271</v>
      </c>
      <c r="U25" s="116"/>
      <c r="V25" s="105">
        <f t="shared" si="7"/>
        <v>9767043.4162334464</v>
      </c>
      <c r="W25" s="106">
        <f t="shared" si="8"/>
        <v>7442775.2109460672</v>
      </c>
      <c r="X25" s="105">
        <f>V25*'Baseline Given'!K26/'Baseline Given'!L26</f>
        <v>65149813.583201438</v>
      </c>
      <c r="Y25" s="105">
        <f>W25/'Baseline Given'!M26</f>
        <v>765603.6555138597</v>
      </c>
      <c r="Z25" s="105">
        <f t="shared" si="9"/>
        <v>65.915417238715293</v>
      </c>
      <c r="AB25" s="105">
        <f t="shared" si="10"/>
        <v>9591373.8336170428</v>
      </c>
      <c r="AC25" s="106">
        <f t="shared" si="11"/>
        <v>3665662.7970918277</v>
      </c>
      <c r="AD25" s="105">
        <f>AB25*'Baseline Given'!K26/'Baseline Given'!L26</f>
        <v>63978032.106252603</v>
      </c>
      <c r="AE25" s="105">
        <f>AC25/'Baseline Given'!M26</f>
        <v>377069.67600032222</v>
      </c>
      <c r="AF25" s="105">
        <f t="shared" si="12"/>
        <v>64.355101782252916</v>
      </c>
      <c r="AH25" s="105">
        <f t="shared" si="13"/>
        <v>8908394.7505205795</v>
      </c>
      <c r="AI25" s="106">
        <f t="shared" si="14"/>
        <v>2418679.5112038916</v>
      </c>
      <c r="AJ25" s="105">
        <f>AH25*'Baseline Given'!K26/'Baseline Given'!L26</f>
        <v>59422307.507854141</v>
      </c>
      <c r="AK25" s="105">
        <f>AI25/'Baseline Given'!M26</f>
        <v>248798.30746074553</v>
      </c>
      <c r="AL25" s="105">
        <f t="shared" si="15"/>
        <v>59.671105815314888</v>
      </c>
      <c r="AN25" s="105">
        <f t="shared" si="16"/>
        <v>7901075.721353149</v>
      </c>
      <c r="AO25" s="106">
        <f t="shared" si="17"/>
        <v>1751371.856131227</v>
      </c>
      <c r="AP25" s="105">
        <f>AN25*'Baseline Given'!K26/'Baseline Given'!L26</f>
        <v>52703114.792892531</v>
      </c>
      <c r="AQ25" s="105">
        <f>AO25/'Baseline Given'!M26</f>
        <v>180155.4738944913</v>
      </c>
      <c r="AR25" s="105">
        <f t="shared" si="18"/>
        <v>52.883270266787022</v>
      </c>
      <c r="AT25" s="105">
        <f t="shared" si="19"/>
        <v>6630537.3023987766</v>
      </c>
      <c r="AU25" s="106">
        <f t="shared" si="20"/>
        <v>1332148.8157522324</v>
      </c>
      <c r="AV25" s="105">
        <f>AT25*'Baseline Given'!K26/'Baseline Given'!L26</f>
        <v>44228150.812739126</v>
      </c>
      <c r="AW25" s="105">
        <f>AU25/'Baseline Given'!M26</f>
        <v>137031.950330625</v>
      </c>
      <c r="AX25" s="105">
        <f t="shared" si="21"/>
        <v>44.365182763069747</v>
      </c>
      <c r="AZ25" s="105">
        <f t="shared" si="22"/>
        <v>5145440.2875632886</v>
      </c>
      <c r="BA25" s="106">
        <f t="shared" si="23"/>
        <v>1052460.8745950942</v>
      </c>
      <c r="BB25" s="105">
        <f>AZ25*'Baseline Given'!K26/'Baseline Given'!L26</f>
        <v>34322001.167833276</v>
      </c>
      <c r="BC25" s="105">
        <f>BA25/'Baseline Given'!M26</f>
        <v>108261.75318183433</v>
      </c>
      <c r="BD25" s="105">
        <f t="shared" si="24"/>
        <v>34.430262921015114</v>
      </c>
      <c r="BF25" s="105">
        <f t="shared" si="25"/>
        <v>3495175.7179363496</v>
      </c>
      <c r="BG25" s="106">
        <f t="shared" si="26"/>
        <v>869340.28732835618</v>
      </c>
      <c r="BH25" s="105">
        <f>BF25*'Baseline Given'!K26/'Baseline Given'!L26</f>
        <v>23314122.479031563</v>
      </c>
      <c r="BI25" s="105">
        <f>BG25/'Baseline Given'!M26</f>
        <v>89424.990410190905</v>
      </c>
      <c r="BJ25" s="105">
        <f t="shared" si="27"/>
        <v>23.403547469441754</v>
      </c>
      <c r="BL25" s="105">
        <f t="shared" si="28"/>
        <v>1731926.2971659712</v>
      </c>
      <c r="BM25" s="106">
        <f t="shared" si="29"/>
        <v>763743.53690669604</v>
      </c>
      <c r="BN25" s="106">
        <f>BL25*'Baseline Given'!K26/'Baseline Given'!L26</f>
        <v>11552592.79514095</v>
      </c>
      <c r="BO25" s="105">
        <f>BM25/'Baseline Given'!M26</f>
        <v>78562.744024688247</v>
      </c>
      <c r="BP25" s="105">
        <f t="shared" si="30"/>
        <v>11.631155539165638</v>
      </c>
      <c r="BR25" s="105">
        <f t="shared" si="31"/>
        <v>-89764.198711538498</v>
      </c>
      <c r="BS25" s="106">
        <f t="shared" si="32"/>
        <v>727200</v>
      </c>
      <c r="BT25" s="105">
        <f>BR25*'Baseline Given'!K26/'Baseline Given'!L26</f>
        <v>-598760.60372397199</v>
      </c>
      <c r="BU25" s="105">
        <f>BS25/'Baseline Given'!M26</f>
        <v>74803.680416260948</v>
      </c>
      <c r="BV25" s="105">
        <f t="shared" si="33"/>
        <v>-0.52395692330771104</v>
      </c>
      <c r="BX25" s="104">
        <v>150</v>
      </c>
      <c r="BY25" s="104">
        <v>-150</v>
      </c>
    </row>
    <row r="26" spans="1:77" x14ac:dyDescent="0.25">
      <c r="A26" s="18">
        <f>'Baseline Given'!E27</f>
        <v>24</v>
      </c>
      <c r="B26" s="18">
        <f t="shared" si="0"/>
        <v>44</v>
      </c>
      <c r="C26" s="18">
        <f t="shared" si="34"/>
        <v>22</v>
      </c>
      <c r="D26" s="18">
        <f t="shared" si="35"/>
        <v>24</v>
      </c>
      <c r="E26" s="18">
        <f t="shared" si="1"/>
        <v>3.75</v>
      </c>
      <c r="F26" s="18">
        <f t="shared" si="36"/>
        <v>44</v>
      </c>
      <c r="H26" s="104">
        <f t="shared" si="37"/>
        <v>23</v>
      </c>
      <c r="I26" s="104">
        <f t="shared" si="38"/>
        <v>0.40142572795869574</v>
      </c>
      <c r="J26" s="111">
        <f>'Baseline Given'!$B$28*SIN('Baseline-tilt up (1 pt)'!I26)</f>
        <v>10.842788815577345</v>
      </c>
      <c r="K26" s="104">
        <f>'Baseline Given'!$B$26*COS('Baseline-tilt up (1 pt)'!I26)*'Baseline Given'!$B$28</f>
        <v>27655222.083630398</v>
      </c>
      <c r="L26" s="107">
        <f t="shared" si="2"/>
        <v>2550563.5638590865</v>
      </c>
      <c r="M26" s="104">
        <f>'Baseline Given'!$B$26*COS('Baseline-tilt up (1 pt)'!I26)</f>
        <v>996584.57959028461</v>
      </c>
      <c r="N26" s="104">
        <f t="shared" si="3"/>
        <v>2347806.1395712425</v>
      </c>
      <c r="P26" s="105">
        <f t="shared" si="4"/>
        <v>10873354.708628288</v>
      </c>
      <c r="Q26" s="106">
        <f t="shared" si="5"/>
        <v>31679033.402688153</v>
      </c>
      <c r="R26" s="105">
        <f>P26*'Baseline Given'!K27/'Baseline Given'!L27</f>
        <v>73080642.381860167</v>
      </c>
      <c r="S26" s="105">
        <f>Q26/'Baseline Given'!M27</f>
        <v>3295534.5541410758</v>
      </c>
      <c r="T26" s="105">
        <f t="shared" si="39"/>
        <v>76.376176936001244</v>
      </c>
      <c r="U26" s="116"/>
      <c r="V26" s="105">
        <f t="shared" si="7"/>
        <v>10261749.502850968</v>
      </c>
      <c r="W26" s="106">
        <f t="shared" si="8"/>
        <v>7426615.2109460672</v>
      </c>
      <c r="X26" s="105">
        <f>V26*'Baseline Given'!K27/'Baseline Given'!L27</f>
        <v>68969997.367508844</v>
      </c>
      <c r="Y26" s="105">
        <f>W26/'Baseline Given'!M27</f>
        <v>772582.50707566284</v>
      </c>
      <c r="Z26" s="105">
        <f t="shared" si="9"/>
        <v>69.742579874584507</v>
      </c>
      <c r="AB26" s="105">
        <f t="shared" si="10"/>
        <v>10006202.260535153</v>
      </c>
      <c r="AC26" s="106">
        <f t="shared" si="11"/>
        <v>3649502.7970918277</v>
      </c>
      <c r="AD26" s="105">
        <f>AB26*'Baseline Given'!K27/'Baseline Given'!L27</f>
        <v>67252444.953575984</v>
      </c>
      <c r="AE26" s="105">
        <f>AC26/'Baseline Given'!M27</f>
        <v>379653.71040108998</v>
      </c>
      <c r="AF26" s="105">
        <f t="shared" si="12"/>
        <v>67.632098663977075</v>
      </c>
      <c r="AH26" s="105">
        <f t="shared" si="13"/>
        <v>9276189.6837985739</v>
      </c>
      <c r="AI26" s="106">
        <f t="shared" si="14"/>
        <v>2402519.5112038916</v>
      </c>
      <c r="AJ26" s="105">
        <f>AH26*'Baseline Given'!K27/'Baseline Given'!L27</f>
        <v>62345975.010825783</v>
      </c>
      <c r="AK26" s="105">
        <f>AI26/'Baseline Given'!M27</f>
        <v>249931.42832125357</v>
      </c>
      <c r="AL26" s="105">
        <f t="shared" si="15"/>
        <v>62.595906439147043</v>
      </c>
      <c r="AN26" s="105">
        <f t="shared" si="16"/>
        <v>8221959.3463600967</v>
      </c>
      <c r="AO26" s="106">
        <f t="shared" si="17"/>
        <v>1735211.856131227</v>
      </c>
      <c r="AP26" s="105">
        <f>AN26*'Baseline Given'!K27/'Baseline Given'!L27</f>
        <v>55260412.887361452</v>
      </c>
      <c r="AQ26" s="105">
        <f>AO26/'Baseline Given'!M27</f>
        <v>180512.15635103587</v>
      </c>
      <c r="AR26" s="105">
        <f t="shared" si="18"/>
        <v>55.44092504371249</v>
      </c>
      <c r="AT26" s="105">
        <f t="shared" si="19"/>
        <v>6899633.2488018647</v>
      </c>
      <c r="AU26" s="106">
        <f t="shared" si="20"/>
        <v>1315988.8157522324</v>
      </c>
      <c r="AV26" s="105">
        <f>AT26*'Baseline Given'!K27/'Baseline Given'!L27</f>
        <v>46372958.809258915</v>
      </c>
      <c r="AW26" s="105">
        <f>AU26/'Baseline Given'!M27</f>
        <v>136900.85047881116</v>
      </c>
      <c r="AX26" s="105">
        <f t="shared" si="21"/>
        <v>46.509859659737728</v>
      </c>
      <c r="AZ26" s="105">
        <f t="shared" si="22"/>
        <v>5357328.648076281</v>
      </c>
      <c r="BA26" s="106">
        <f t="shared" si="23"/>
        <v>1036300.8745950942</v>
      </c>
      <c r="BB26" s="105">
        <f>AZ26*'Baseline Given'!K27/'Baseline Given'!L27</f>
        <v>36007012.513026744</v>
      </c>
      <c r="BC26" s="105">
        <f>BA26/'Baseline Given'!M27</f>
        <v>107805.22553522588</v>
      </c>
      <c r="BD26" s="105">
        <f t="shared" si="24"/>
        <v>36.114817738561975</v>
      </c>
      <c r="BF26" s="105">
        <f t="shared" si="25"/>
        <v>3645276.4678135877</v>
      </c>
      <c r="BG26" s="106">
        <f t="shared" si="26"/>
        <v>853180.28732835618</v>
      </c>
      <c r="BH26" s="105">
        <f>BF26*'Baseline Given'!K27/'Baseline Given'!L27</f>
        <v>24500179.849361543</v>
      </c>
      <c r="BI26" s="105">
        <f>BG26/'Baseline Given'!M27</f>
        <v>88755.394839920235</v>
      </c>
      <c r="BJ26" s="105">
        <f t="shared" si="27"/>
        <v>24.588935244201462</v>
      </c>
      <c r="BL26" s="105">
        <f t="shared" si="28"/>
        <v>1817107.2706766997</v>
      </c>
      <c r="BM26" s="106">
        <f t="shared" si="29"/>
        <v>747583.53690669604</v>
      </c>
      <c r="BN26" s="106">
        <f>BL26*'Baseline Given'!K27/'Baseline Given'!L27</f>
        <v>12212915.900961578</v>
      </c>
      <c r="BO26" s="105">
        <f>BM26/'Baseline Given'!M27</f>
        <v>77770.282529326112</v>
      </c>
      <c r="BP26" s="105">
        <f t="shared" si="30"/>
        <v>12.290686183490903</v>
      </c>
      <c r="BR26" s="105">
        <f t="shared" si="31"/>
        <v>-70866.472667003909</v>
      </c>
      <c r="BS26" s="106">
        <f t="shared" si="32"/>
        <v>711040</v>
      </c>
      <c r="BT26" s="105">
        <f>BR26*'Baseline Given'!K27/'Baseline Given'!L27</f>
        <v>-476298.94219596608</v>
      </c>
      <c r="BU26" s="105">
        <f>BS26/'Baseline Given'!M27</f>
        <v>73968.69909476566</v>
      </c>
      <c r="BV26" s="105">
        <f t="shared" si="33"/>
        <v>-0.40233024310120041</v>
      </c>
      <c r="BX26" s="104">
        <v>150</v>
      </c>
      <c r="BY26" s="104">
        <v>-150</v>
      </c>
    </row>
    <row r="27" spans="1:77" x14ac:dyDescent="0.25">
      <c r="A27" s="18">
        <f>'Baseline Given'!E28</f>
        <v>25</v>
      </c>
      <c r="B27" s="18">
        <f t="shared" si="0"/>
        <v>43</v>
      </c>
      <c r="C27" s="18">
        <f t="shared" si="34"/>
        <v>21.5</v>
      </c>
      <c r="D27" s="18">
        <f t="shared" si="35"/>
        <v>25</v>
      </c>
      <c r="E27" s="18">
        <f t="shared" si="1"/>
        <v>2.75</v>
      </c>
      <c r="F27" s="18">
        <f t="shared" si="36"/>
        <v>43</v>
      </c>
      <c r="H27" s="104">
        <f t="shared" si="37"/>
        <v>24</v>
      </c>
      <c r="I27" s="104">
        <f t="shared" si="38"/>
        <v>0.41887902047863906</v>
      </c>
      <c r="J27" s="111">
        <f>'Baseline Given'!$B$28*SIN('Baseline-tilt up (1 pt)'!I27)</f>
        <v>11.286941845353454</v>
      </c>
      <c r="K27" s="104">
        <f>'Baseline Given'!$B$26*COS('Baseline-tilt up (1 pt)'!I27)*'Baseline Given'!$B$28</f>
        <v>27446137.214640141</v>
      </c>
      <c r="L27" s="107">
        <f t="shared" si="2"/>
        <v>2431671.7132673999</v>
      </c>
      <c r="M27" s="104">
        <f>'Baseline Given'!$B$26*COS('Baseline-tilt up (1 pt)'!I27)</f>
        <v>989049.98971676186</v>
      </c>
      <c r="N27" s="104">
        <f t="shared" si="3"/>
        <v>2221442.6481334344</v>
      </c>
      <c r="P27" s="105">
        <f t="shared" si="4"/>
        <v>11268963.567503799</v>
      </c>
      <c r="Q27" s="106">
        <f t="shared" si="5"/>
        <v>31662873.402688153</v>
      </c>
      <c r="R27" s="105">
        <f>P27*'Baseline Given'!K28/'Baseline Given'!L28</f>
        <v>76319692.349197224</v>
      </c>
      <c r="S27" s="105">
        <f>Q27/'Baseline Given'!M28</f>
        <v>3331323.063452153</v>
      </c>
      <c r="T27" s="105">
        <f t="shared" si="39"/>
        <v>79.651015412649372</v>
      </c>
      <c r="U27" s="116"/>
      <c r="V27" s="105">
        <f t="shared" si="7"/>
        <v>10772370.082757164</v>
      </c>
      <c r="W27" s="106">
        <f t="shared" si="8"/>
        <v>7410455.2109460672</v>
      </c>
      <c r="X27" s="105">
        <f>V27*'Baseline Given'!K28/'Baseline Given'!L28</f>
        <v>72956484.920985252</v>
      </c>
      <c r="Y27" s="105">
        <f>W27/'Baseline Given'!M28</f>
        <v>779670.87954840984</v>
      </c>
      <c r="Z27" s="105">
        <f t="shared" si="9"/>
        <v>73.736155800533666</v>
      </c>
      <c r="AB27" s="105">
        <f t="shared" si="10"/>
        <v>10436216.120205168</v>
      </c>
      <c r="AC27" s="106">
        <f t="shared" si="11"/>
        <v>3633342.7970918277</v>
      </c>
      <c r="AD27" s="105">
        <f>AB27*'Baseline Given'!K28/'Baseline Given'!L28</f>
        <v>70679863.220129505</v>
      </c>
      <c r="AE27" s="105">
        <f>AC27/'Baseline Given'!M28</f>
        <v>382272.2752746804</v>
      </c>
      <c r="AF27" s="105">
        <f t="shared" si="12"/>
        <v>71.062135495404178</v>
      </c>
      <c r="AH27" s="105">
        <f t="shared" si="13"/>
        <v>9657979.587601725</v>
      </c>
      <c r="AI27" s="106">
        <f t="shared" si="14"/>
        <v>2386359.5112038916</v>
      </c>
      <c r="AJ27" s="105">
        <f>AH27*'Baseline Given'!K28/'Baseline Given'!L28</f>
        <v>65409212.340178408</v>
      </c>
      <c r="AK27" s="105">
        <f>AI27/'Baseline Given'!M28</f>
        <v>251074.32216455138</v>
      </c>
      <c r="AL27" s="105">
        <f t="shared" si="15"/>
        <v>65.660286662342955</v>
      </c>
      <c r="AN27" s="105">
        <f t="shared" si="16"/>
        <v>8555222.2495678458</v>
      </c>
      <c r="AO27" s="106">
        <f t="shared" si="17"/>
        <v>1719051.856131227</v>
      </c>
      <c r="AP27" s="105">
        <f>AN27*'Baseline Given'!K28/'Baseline Given'!L28</f>
        <v>57940725.973139048</v>
      </c>
      <c r="AQ27" s="105">
        <f>AO27/'Baseline Given'!M28</f>
        <v>180865.36312632938</v>
      </c>
      <c r="AR27" s="105">
        <f t="shared" si="18"/>
        <v>58.121591336265375</v>
      </c>
      <c r="AT27" s="105">
        <f t="shared" si="19"/>
        <v>7179116.6429774836</v>
      </c>
      <c r="AU27" s="106">
        <f t="shared" si="20"/>
        <v>1299828.8157522324</v>
      </c>
      <c r="AV27" s="105">
        <f>AT27*'Baseline Given'!K28/'Baseline Given'!L28</f>
        <v>48620973.015747435</v>
      </c>
      <c r="AW27" s="105">
        <f>AU27/'Baseline Given'!M28</f>
        <v>136757.95173054273</v>
      </c>
      <c r="AX27" s="105">
        <f t="shared" si="21"/>
        <v>48.757730967477976</v>
      </c>
      <c r="AZ27" s="105">
        <f t="shared" si="22"/>
        <v>5577297.0085892733</v>
      </c>
      <c r="BA27" s="106">
        <f t="shared" si="23"/>
        <v>1020140.8745950942</v>
      </c>
      <c r="BB27" s="105">
        <f>AZ27*'Baseline Given'!K28/'Baseline Given'!L28</f>
        <v>37772559.05441881</v>
      </c>
      <c r="BC27" s="105">
        <f>BA27/'Baseline Given'!M28</f>
        <v>107331.34609382499</v>
      </c>
      <c r="BD27" s="105">
        <f t="shared" si="24"/>
        <v>37.879890400512636</v>
      </c>
      <c r="BF27" s="105">
        <f t="shared" si="25"/>
        <v>3800904.263206969</v>
      </c>
      <c r="BG27" s="106">
        <f t="shared" si="26"/>
        <v>837020.28732835618</v>
      </c>
      <c r="BH27" s="105">
        <f>BF27*'Baseline Given'!K28/'Baseline Given'!L28</f>
        <v>25741838.837177537</v>
      </c>
      <c r="BI27" s="105">
        <f>BG27/'Baseline Given'!M28</f>
        <v>88064.811815770619</v>
      </c>
      <c r="BJ27" s="105">
        <f t="shared" si="27"/>
        <v>25.829903648993309</v>
      </c>
      <c r="BL27" s="105">
        <f t="shared" si="28"/>
        <v>1905094.3987385263</v>
      </c>
      <c r="BM27" s="106">
        <f t="shared" si="29"/>
        <v>731423.53690669604</v>
      </c>
      <c r="BN27" s="106">
        <f>BL27*'Baseline Given'!K28/'Baseline Given'!L28</f>
        <v>12902359.435004374</v>
      </c>
      <c r="BO27" s="105">
        <f>BM27/'Baseline Given'!M28</f>
        <v>76954.737072035845</v>
      </c>
      <c r="BP27" s="105">
        <f t="shared" si="30"/>
        <v>12.97931417207641</v>
      </c>
      <c r="BR27" s="105">
        <f t="shared" si="31"/>
        <v>-51968.746622469334</v>
      </c>
      <c r="BS27" s="106">
        <f t="shared" si="32"/>
        <v>694880</v>
      </c>
      <c r="BT27" s="105">
        <f>BR27*'Baseline Given'!K28/'Baseline Given'!L28</f>
        <v>-351961.2722360419</v>
      </c>
      <c r="BU27" s="105">
        <f>BS27/'Baseline Given'!M28</f>
        <v>73109.908279363604</v>
      </c>
      <c r="BV27" s="105">
        <f t="shared" si="33"/>
        <v>-0.27885136395667831</v>
      </c>
      <c r="BX27" s="104">
        <v>150</v>
      </c>
      <c r="BY27" s="104">
        <v>-150</v>
      </c>
    </row>
    <row r="28" spans="1:77" x14ac:dyDescent="0.25">
      <c r="A28" s="18">
        <f>'Baseline Given'!E29</f>
        <v>26</v>
      </c>
      <c r="B28" s="18">
        <f t="shared" si="0"/>
        <v>42</v>
      </c>
      <c r="C28" s="18">
        <f t="shared" si="34"/>
        <v>21</v>
      </c>
      <c r="D28" s="18">
        <f t="shared" si="35"/>
        <v>26</v>
      </c>
      <c r="E28" s="18">
        <f t="shared" si="1"/>
        <v>1.75</v>
      </c>
      <c r="F28" s="18">
        <f t="shared" si="36"/>
        <v>42</v>
      </c>
      <c r="H28" s="104">
        <f t="shared" si="37"/>
        <v>25</v>
      </c>
      <c r="I28" s="104">
        <f t="shared" si="38"/>
        <v>0.43633231299858238</v>
      </c>
      <c r="J28" s="111">
        <f>'Baseline Given'!$B$28*SIN('Baseline-tilt up (1 pt)'!I28)</f>
        <v>11.72765676330441</v>
      </c>
      <c r="K28" s="104">
        <f>'Baseline Given'!$B$26*COS('Baseline-tilt up (1 pt)'!I28)*'Baseline Given'!$B$28</f>
        <v>27228691.986377604</v>
      </c>
      <c r="L28" s="107">
        <f t="shared" si="2"/>
        <v>2321750.4174896735</v>
      </c>
      <c r="M28" s="104">
        <f>'Baseline Given'!$B$26*COS('Baseline-tilt up (1 pt)'!I28)</f>
        <v>981214.12563522905</v>
      </c>
      <c r="N28" s="104">
        <f t="shared" si="3"/>
        <v>2104220.4829264842</v>
      </c>
      <c r="P28" s="105">
        <f t="shared" si="4"/>
        <v>11680722.582143936</v>
      </c>
      <c r="Q28" s="106">
        <f t="shared" si="5"/>
        <v>31646713.402688153</v>
      </c>
      <c r="R28" s="105">
        <f>P28*'Baseline Given'!K29/'Baseline Given'!L29</f>
        <v>79718966.899767235</v>
      </c>
      <c r="S28" s="105">
        <f>Q28/'Baseline Given'!M29</f>
        <v>3367716.0129516339</v>
      </c>
      <c r="T28" s="105">
        <f t="shared" si="39"/>
        <v>83.086682912718857</v>
      </c>
      <c r="U28" s="116"/>
      <c r="V28" s="105">
        <f t="shared" si="7"/>
        <v>11298905.155952036</v>
      </c>
      <c r="W28" s="106">
        <f t="shared" si="8"/>
        <v>7394295.2109460672</v>
      </c>
      <c r="X28" s="105">
        <f>V28*'Baseline Given'!K29/'Baseline Given'!L29</f>
        <v>77113127.188542828</v>
      </c>
      <c r="Y28" s="105">
        <f>W28/'Baseline Given'!M29</f>
        <v>786871.16951232671</v>
      </c>
      <c r="Z28" s="105">
        <f t="shared" si="9"/>
        <v>77.899998358055157</v>
      </c>
      <c r="AB28" s="105">
        <f t="shared" si="10"/>
        <v>10881415.41262708</v>
      </c>
      <c r="AC28" s="106">
        <f t="shared" si="11"/>
        <v>3617182.7970918277</v>
      </c>
      <c r="AD28" s="105">
        <f>AB28*'Baseline Given'!K29/'Baseline Given'!L29</f>
        <v>74263829.913047925</v>
      </c>
      <c r="AE28" s="105">
        <f>AC28/'Baseline Given'!M29</f>
        <v>384926.0513259045</v>
      </c>
      <c r="AF28" s="105">
        <f t="shared" si="12"/>
        <v>74.648755964373834</v>
      </c>
      <c r="AH28" s="105">
        <f t="shared" si="13"/>
        <v>10053764.461930033</v>
      </c>
      <c r="AI28" s="106">
        <f t="shared" si="14"/>
        <v>2370199.5112038916</v>
      </c>
      <c r="AJ28" s="105">
        <f>AH28*'Baseline Given'!K29/'Baseline Given'!L29</f>
        <v>68615251.387260467</v>
      </c>
      <c r="AK28" s="105">
        <f>AI28/'Baseline Given'!M29</f>
        <v>252227.10321298186</v>
      </c>
      <c r="AL28" s="105">
        <f t="shared" si="15"/>
        <v>68.867478490473445</v>
      </c>
      <c r="AN28" s="105">
        <f t="shared" si="16"/>
        <v>8900864.4309763964</v>
      </c>
      <c r="AO28" s="106">
        <f t="shared" si="17"/>
        <v>1702891.856131227</v>
      </c>
      <c r="AP28" s="105">
        <f>AN28*'Baseline Given'!K29/'Baseline Given'!L29</f>
        <v>60746902.596336246</v>
      </c>
      <c r="AQ28" s="105">
        <f>AO28/'Baseline Given'!M29</f>
        <v>181214.90529664067</v>
      </c>
      <c r="AR28" s="105">
        <f t="shared" si="18"/>
        <v>60.928117501632883</v>
      </c>
      <c r="AT28" s="105">
        <f t="shared" si="19"/>
        <v>7468987.4849256398</v>
      </c>
      <c r="AU28" s="106">
        <f t="shared" si="20"/>
        <v>1283668.8157522324</v>
      </c>
      <c r="AV28" s="105">
        <f>AT28*'Baseline Given'!K29/'Baseline Given'!L29</f>
        <v>50974583.28440813</v>
      </c>
      <c r="AW28" s="105">
        <f>AU28/'Baseline Given'!M29</f>
        <v>136602.8747164704</v>
      </c>
      <c r="AX28" s="105">
        <f t="shared" si="21"/>
        <v>51.1111861591246</v>
      </c>
      <c r="AZ28" s="105">
        <f t="shared" si="22"/>
        <v>5805345.3691022657</v>
      </c>
      <c r="BA28" s="106">
        <f t="shared" si="23"/>
        <v>1003980.8745950942</v>
      </c>
      <c r="BB28" s="105">
        <f>AZ28*'Baseline Given'!K29/'Baseline Given'!L29</f>
        <v>39620505.672195897</v>
      </c>
      <c r="BC28" s="105">
        <f>BA28/'Baseline Given'!M29</f>
        <v>106839.60843099379</v>
      </c>
      <c r="BD28" s="105">
        <f t="shared" si="24"/>
        <v>39.727345280626892</v>
      </c>
      <c r="BF28" s="105">
        <f t="shared" si="25"/>
        <v>3962059.104116492</v>
      </c>
      <c r="BG28" s="106">
        <f t="shared" si="26"/>
        <v>820860.28732835618</v>
      </c>
      <c r="BH28" s="105">
        <f>BF28*'Baseline Given'!K29/'Baseline Given'!L29</f>
        <v>27040386.958493385</v>
      </c>
      <c r="BI28" s="105">
        <f>BG28/'Baseline Given'!M29</f>
        <v>87352.651722657785</v>
      </c>
      <c r="BJ28" s="105">
        <f t="shared" si="27"/>
        <v>27.127739610216043</v>
      </c>
      <c r="BL28" s="105">
        <f t="shared" si="28"/>
        <v>1995887.6813514498</v>
      </c>
      <c r="BM28" s="106">
        <f t="shared" si="29"/>
        <v>715263.53690669604</v>
      </c>
      <c r="BN28" s="106">
        <f>BL28*'Baseline Given'!K29/'Baseline Given'!L29</f>
        <v>13621597.712502608</v>
      </c>
      <c r="BO28" s="105">
        <f>BM28/'Baseline Given'!M29</f>
        <v>76115.470066995724</v>
      </c>
      <c r="BP28" s="105">
        <f t="shared" si="30"/>
        <v>13.697713182569604</v>
      </c>
      <c r="BR28" s="105">
        <f t="shared" si="31"/>
        <v>-33071.02057793476</v>
      </c>
      <c r="BS28" s="106">
        <f t="shared" si="32"/>
        <v>678720</v>
      </c>
      <c r="BT28" s="105">
        <f>BR28*'Baseline Given'!K29/'Baseline Given'!L29</f>
        <v>-225704.15282562142</v>
      </c>
      <c r="BU28" s="105">
        <f>BS28/'Baseline Given'!M29</f>
        <v>72226.65378315009</v>
      </c>
      <c r="BV28" s="105">
        <f t="shared" si="33"/>
        <v>-0.15347749904247135</v>
      </c>
      <c r="BX28" s="104">
        <v>150</v>
      </c>
      <c r="BY28" s="104">
        <v>-150</v>
      </c>
    </row>
    <row r="29" spans="1:77" x14ac:dyDescent="0.25">
      <c r="A29" s="18">
        <f>'Baseline Given'!E30</f>
        <v>27</v>
      </c>
      <c r="B29" s="18">
        <f t="shared" si="0"/>
        <v>41</v>
      </c>
      <c r="C29" s="18">
        <f t="shared" si="34"/>
        <v>20.5</v>
      </c>
      <c r="D29" s="18">
        <f t="shared" si="35"/>
        <v>27</v>
      </c>
      <c r="E29" s="18">
        <v>0.75</v>
      </c>
      <c r="F29" s="18">
        <f t="shared" si="36"/>
        <v>41</v>
      </c>
      <c r="H29" s="104">
        <f t="shared" si="37"/>
        <v>26</v>
      </c>
      <c r="I29" s="104">
        <f t="shared" si="38"/>
        <v>0.4537856055185257</v>
      </c>
      <c r="J29" s="111">
        <f>'Baseline Given'!$B$28*SIN('Baseline-tilt up (1 pt)'!I29)</f>
        <v>12.164799323396897</v>
      </c>
      <c r="K29" s="104">
        <f>'Baseline Given'!$B$26*COS('Baseline-tilt up (1 pt)'!I29)*'Baseline Given'!$B$28</f>
        <v>27002952.634765759</v>
      </c>
      <c r="L29" s="107">
        <f t="shared" si="2"/>
        <v>2219761.454085825</v>
      </c>
      <c r="M29" s="104">
        <f>'Baseline Given'!$B$26*COS('Baseline-tilt up (1 pt)'!I29)</f>
        <v>973079.37422579317</v>
      </c>
      <c r="N29" s="104">
        <f t="shared" si="3"/>
        <v>1995108.3791367214</v>
      </c>
      <c r="P29" s="105">
        <f t="shared" si="4"/>
        <v>12108631.752548702</v>
      </c>
      <c r="Q29" s="106">
        <f t="shared" si="5"/>
        <v>31630553.402688153</v>
      </c>
      <c r="R29" s="105">
        <f>P29*'Baseline Given'!K30/'Baseline Given'!L30</f>
        <v>83282205.06878826</v>
      </c>
      <c r="S29" s="105">
        <f>Q29/'Baseline Given'!M30</f>
        <v>3404727.2006449383</v>
      </c>
      <c r="T29" s="105">
        <f t="shared" si="39"/>
        <v>86.6869322694332</v>
      </c>
      <c r="U29" s="116"/>
      <c r="V29" s="105">
        <f t="shared" si="7"/>
        <v>11841354.722435588</v>
      </c>
      <c r="W29" s="106">
        <f t="shared" si="8"/>
        <v>7378135.2109460672</v>
      </c>
      <c r="X29" s="105">
        <f>V29*'Baseline Given'!K30/'Baseline Given'!L30</f>
        <v>81443894.937061638</v>
      </c>
      <c r="Y29" s="105">
        <f>W29/'Baseline Given'!M30</f>
        <v>794185.8405995944</v>
      </c>
      <c r="Z29" s="105">
        <f t="shared" si="9"/>
        <v>82.238080777661239</v>
      </c>
      <c r="AB29" s="105">
        <f t="shared" si="10"/>
        <v>11341800.137800895</v>
      </c>
      <c r="AC29" s="106">
        <f t="shared" si="11"/>
        <v>3601022.7970918277</v>
      </c>
      <c r="AD29" s="105">
        <f>AB29*'Baseline Given'!K30/'Baseline Given'!L30</f>
        <v>78007998.279964715</v>
      </c>
      <c r="AE29" s="105">
        <f>AC29/'Baseline Given'!M30</f>
        <v>387615.73695258499</v>
      </c>
      <c r="AF29" s="105">
        <f t="shared" si="12"/>
        <v>78.395614016917307</v>
      </c>
      <c r="AH29" s="105">
        <f t="shared" si="13"/>
        <v>10463544.306783495</v>
      </c>
      <c r="AI29" s="106">
        <f t="shared" si="14"/>
        <v>2354039.5112038916</v>
      </c>
      <c r="AJ29" s="105">
        <f>AH29*'Baseline Given'!K30/'Baseline Given'!L30</f>
        <v>71967424.60356608</v>
      </c>
      <c r="AK29" s="105">
        <f>AI29/'Baseline Given'!M30</f>
        <v>253389.88708644136</v>
      </c>
      <c r="AL29" s="105">
        <f t="shared" si="15"/>
        <v>72.220814490652515</v>
      </c>
      <c r="AN29" s="105">
        <f t="shared" si="16"/>
        <v>9258885.8905857503</v>
      </c>
      <c r="AO29" s="106">
        <f t="shared" si="17"/>
        <v>1686731.856131227</v>
      </c>
      <c r="AP29" s="105">
        <f>AN29*'Baseline Given'!K30/'Baseline Given'!L30</f>
        <v>63681879.935440816</v>
      </c>
      <c r="AQ29" s="105">
        <f>AO29/'Baseline Given'!M30</f>
        <v>181560.58661547952</v>
      </c>
      <c r="AR29" s="105">
        <f t="shared" si="18"/>
        <v>63.863440522056294</v>
      </c>
      <c r="AT29" s="105">
        <f t="shared" si="19"/>
        <v>7769245.7746463288</v>
      </c>
      <c r="AU29" s="106">
        <f t="shared" si="20"/>
        <v>1267508.8157522324</v>
      </c>
      <c r="AV29" s="105">
        <f>AT29*'Baseline Given'!K30/'Baseline Given'!L30</f>
        <v>53436253.827582061</v>
      </c>
      <c r="AW29" s="105">
        <f>AU29/'Baseline Given'!M30</f>
        <v>136435.22726611924</v>
      </c>
      <c r="AX29" s="105">
        <f t="shared" si="21"/>
        <v>53.572689054848176</v>
      </c>
      <c r="AZ29" s="105">
        <f t="shared" si="22"/>
        <v>6041473.7296152581</v>
      </c>
      <c r="BA29" s="106">
        <f t="shared" si="23"/>
        <v>987820.87459509424</v>
      </c>
      <c r="BB29" s="105">
        <f>AZ29*'Baseline Given'!K30/'Baseline Given'!L30</f>
        <v>41552775.272202767</v>
      </c>
      <c r="BC29" s="105">
        <f>BA29/'Baseline Given'!M30</f>
        <v>106329.48966403351</v>
      </c>
      <c r="BD29" s="105">
        <f t="shared" si="24"/>
        <v>41.6591047618668</v>
      </c>
      <c r="BF29" s="105">
        <f t="shared" si="25"/>
        <v>4128740.9905421585</v>
      </c>
      <c r="BG29" s="106">
        <f t="shared" si="26"/>
        <v>804700.28732835618</v>
      </c>
      <c r="BH29" s="105">
        <f>BF29*'Baseline Given'!K30/'Baseline Given'!L30</f>
        <v>28397151.790322483</v>
      </c>
      <c r="BI29" s="105">
        <f>BG29/'Baseline Given'!M30</f>
        <v>86618.306096434229</v>
      </c>
      <c r="BJ29" s="105">
        <f t="shared" si="27"/>
        <v>28.483770096418919</v>
      </c>
      <c r="BL29" s="105">
        <f t="shared" si="28"/>
        <v>2089487.1185154708</v>
      </c>
      <c r="BM29" s="106">
        <f t="shared" si="29"/>
        <v>699103.53690669604</v>
      </c>
      <c r="BN29" s="106">
        <f>BL29*'Baseline Given'!K30/'Baseline Given'!L30</f>
        <v>14371326.029975988</v>
      </c>
      <c r="BO29" s="105">
        <f>BM29/'Baseline Given'!M30</f>
        <v>75251.823699392568</v>
      </c>
      <c r="BP29" s="105">
        <f t="shared" si="30"/>
        <v>14.446577853675381</v>
      </c>
      <c r="BR29" s="105">
        <f t="shared" si="31"/>
        <v>-14173.294533400176</v>
      </c>
      <c r="BS29" s="106">
        <f t="shared" si="32"/>
        <v>662560</v>
      </c>
      <c r="BT29" s="105">
        <f>BR29*'Baseline Given'!K30/'Baseline Given'!L30</f>
        <v>-97482.791280898819</v>
      </c>
      <c r="BU29" s="105">
        <f>BS29/'Baseline Given'!M30</f>
        <v>71318.260712681556</v>
      </c>
      <c r="BV29" s="105">
        <f t="shared" si="33"/>
        <v>-2.6164530568217263E-2</v>
      </c>
      <c r="BX29" s="104">
        <v>150</v>
      </c>
      <c r="BY29" s="104">
        <v>-150</v>
      </c>
    </row>
    <row r="30" spans="1:77" x14ac:dyDescent="0.25">
      <c r="A30" s="18">
        <f>'Baseline Given'!E31</f>
        <v>28</v>
      </c>
      <c r="B30" s="18">
        <f t="shared" si="0"/>
        <v>40</v>
      </c>
      <c r="C30" s="18">
        <f t="shared" si="34"/>
        <v>20</v>
      </c>
      <c r="D30" s="18">
        <f t="shared" si="35"/>
        <v>28</v>
      </c>
      <c r="E30" s="10">
        <v>0</v>
      </c>
      <c r="F30" s="18">
        <f t="shared" si="36"/>
        <v>40</v>
      </c>
      <c r="H30" s="104">
        <f t="shared" si="37"/>
        <v>27</v>
      </c>
      <c r="I30" s="104">
        <f t="shared" si="38"/>
        <v>0.47123889803846897</v>
      </c>
      <c r="J30" s="111">
        <f>'Baseline Given'!$B$28*SIN('Baseline-tilt up (1 pt)'!I30)</f>
        <v>12.598236367772422</v>
      </c>
      <c r="K30" s="104">
        <f>'Baseline Given'!$B$26*COS('Baseline-tilt up (1 pt)'!I30)*'Baseline Given'!$B$28</f>
        <v>26768987.92219789</v>
      </c>
      <c r="L30" s="107">
        <f t="shared" si="2"/>
        <v>2124820.2637851518</v>
      </c>
      <c r="M30" s="104">
        <f>'Baseline Given'!$B$26*COS('Baseline-tilt up (1 pt)'!I30)</f>
        <v>964648.21341253654</v>
      </c>
      <c r="N30" s="104">
        <f t="shared" si="3"/>
        <v>1893228.717760219</v>
      </c>
      <c r="P30" s="105">
        <f t="shared" si="4"/>
        <v>12282193.459000042</v>
      </c>
      <c r="Q30" s="106">
        <f t="shared" ref="Q30:Q68" si="40">16160*F31</f>
        <v>630240</v>
      </c>
      <c r="R30" s="105">
        <f>P30*'Baseline Given'!K31/'Baseline Given'!L31</f>
        <v>85138216.556502491</v>
      </c>
      <c r="S30" s="105">
        <f>Q30/'Baseline Given'!M31</f>
        <v>68624.431887728759</v>
      </c>
      <c r="T30" s="105">
        <f t="shared" si="39"/>
        <v>85.206840988390226</v>
      </c>
      <c r="U30" s="116"/>
      <c r="V30" s="105">
        <f t="shared" si="7"/>
        <v>12102972.146039072</v>
      </c>
      <c r="W30" s="106">
        <f t="shared" ref="W30:W68" si="41">16160*F31</f>
        <v>630240</v>
      </c>
      <c r="X30" s="105">
        <f>V30*'Baseline Given'!K31/'Baseline Given'!L31</f>
        <v>83895882.847515777</v>
      </c>
      <c r="Y30" s="105">
        <f>W30/'Baseline Given'!M31</f>
        <v>68624.431887728759</v>
      </c>
      <c r="Z30" s="105">
        <f t="shared" si="9"/>
        <v>83.964507279403506</v>
      </c>
      <c r="AB30" s="105">
        <f t="shared" si="10"/>
        <v>11548521.607820163</v>
      </c>
      <c r="AC30" s="106">
        <f t="shared" ref="AC30:AC68" si="42">16160*F31</f>
        <v>630240</v>
      </c>
      <c r="AD30" s="105">
        <f>AB30*'Baseline Given'!K31/'Baseline Given'!L31</f>
        <v>80052519.677058592</v>
      </c>
      <c r="AE30" s="105">
        <f>AC30/'Baseline Given'!M31</f>
        <v>68624.431887728759</v>
      </c>
      <c r="AF30" s="105">
        <f t="shared" si="12"/>
        <v>80.121144108946325</v>
      </c>
      <c r="AH30" s="105">
        <f t="shared" si="13"/>
        <v>10643175.084381541</v>
      </c>
      <c r="AI30" s="106">
        <f t="shared" ref="AI30:AI68" si="43">16160*F31</f>
        <v>630240</v>
      </c>
      <c r="AJ30" s="105">
        <f>AH30*'Baseline Given'!K31/'Baseline Given'!L31</f>
        <v>73776801.204743519</v>
      </c>
      <c r="AK30" s="105">
        <f>AI30/'Baseline Given'!M31</f>
        <v>68624.431887728759</v>
      </c>
      <c r="AL30" s="105">
        <f t="shared" si="15"/>
        <v>73.845425636631248</v>
      </c>
      <c r="AN30" s="105">
        <f t="shared" si="16"/>
        <v>9414441.0717104413</v>
      </c>
      <c r="AO30" s="106">
        <f t="shared" ref="AO30:AO68" si="44">16160*F31</f>
        <v>630240</v>
      </c>
      <c r="AP30" s="105">
        <f>AN30*'Baseline Given'!K31/'Baseline Given'!L31</f>
        <v>65259411.960685045</v>
      </c>
      <c r="AQ30" s="105">
        <f>AO30/'Baseline Given'!M31</f>
        <v>68624.431887728759</v>
      </c>
      <c r="AR30" s="105">
        <f t="shared" si="18"/>
        <v>65.32803639257277</v>
      </c>
      <c r="AT30" s="105">
        <f t="shared" si="19"/>
        <v>7899654.031012469</v>
      </c>
      <c r="AU30" s="106">
        <f t="shared" ref="AU30:AU68" si="45">16160*F31</f>
        <v>630240</v>
      </c>
      <c r="AV30" s="105">
        <f>AT30*'Baseline Given'!K31/'Baseline Given'!L31</f>
        <v>54759148.507057004</v>
      </c>
      <c r="AW30" s="105">
        <f>AU30/'Baseline Given'!M31</f>
        <v>68624.431887728759</v>
      </c>
      <c r="AX30" s="105">
        <f t="shared" si="21"/>
        <v>54.827772938944733</v>
      </c>
      <c r="AZ30" s="105">
        <f t="shared" si="22"/>
        <v>6144840.0000000009</v>
      </c>
      <c r="BA30" s="106">
        <f t="shared" ref="BA30:BA68" si="46">16160*F31</f>
        <v>630240</v>
      </c>
      <c r="BB30" s="105">
        <f>AZ30*'Baseline Given'!K31/'Baseline Given'!L31</f>
        <v>42595056.035508178</v>
      </c>
      <c r="BC30" s="105">
        <f>BA30/'Baseline Given'!M31</f>
        <v>68624.431887728759</v>
      </c>
      <c r="BD30" s="105">
        <f t="shared" si="24"/>
        <v>42.663680467395906</v>
      </c>
      <c r="BF30" s="105">
        <f t="shared" si="25"/>
        <v>4203318.1150266053</v>
      </c>
      <c r="BG30" s="106">
        <f t="shared" ref="BG30:BG67" si="47">16160*B31</f>
        <v>630240</v>
      </c>
      <c r="BH30" s="105">
        <f>BF30*'Baseline Given'!K31/'Baseline Given'!L31</f>
        <v>29136734.340458799</v>
      </c>
      <c r="BI30" s="105">
        <f>BG30/'Baseline Given'!M31</f>
        <v>68624.431887728759</v>
      </c>
      <c r="BJ30" s="105">
        <f t="shared" si="27"/>
        <v>29.205358772346525</v>
      </c>
      <c r="BL30" s="105">
        <f t="shared" si="28"/>
        <v>2134080.5361097213</v>
      </c>
      <c r="BM30" s="106">
        <f t="shared" ref="BM30:BM68" si="48">16160*F31</f>
        <v>630240</v>
      </c>
      <c r="BN30" s="106">
        <f>BL30*'Baseline Given'!K31/'Baseline Given'!L31</f>
        <v>14793107.716373559</v>
      </c>
      <c r="BO30" s="105">
        <f>BM30/'Baseline Given'!M31</f>
        <v>68624.431887728759</v>
      </c>
      <c r="BP30" s="105">
        <f t="shared" si="30"/>
        <v>14.861732148261288</v>
      </c>
      <c r="BR30" s="105">
        <f t="shared" si="31"/>
        <v>7.5283412316606846E-10</v>
      </c>
      <c r="BS30" s="106">
        <f t="shared" ref="BS30:BS68" si="49">16160*F31</f>
        <v>630240</v>
      </c>
      <c r="BT30" s="106">
        <f>BR30*'Baseline Given'!K31/'Baseline Given'!L31</f>
        <v>5.2185267088648929E-9</v>
      </c>
      <c r="BU30" s="105">
        <f>BS30/'Baseline Given'!M31</f>
        <v>68624.431887728759</v>
      </c>
      <c r="BV30" s="105">
        <f t="shared" si="33"/>
        <v>6.8624431887733983E-2</v>
      </c>
      <c r="BX30" s="104">
        <v>150</v>
      </c>
      <c r="BY30" s="104">
        <v>-150</v>
      </c>
    </row>
    <row r="31" spans="1:77" x14ac:dyDescent="0.25">
      <c r="A31" s="18">
        <f>'Baseline Given'!E32</f>
        <v>29</v>
      </c>
      <c r="B31" s="18">
        <f t="shared" si="0"/>
        <v>39</v>
      </c>
      <c r="C31" s="18">
        <f t="shared" si="34"/>
        <v>19.5</v>
      </c>
      <c r="D31" s="18">
        <f t="shared" si="35"/>
        <v>29</v>
      </c>
      <c r="E31" s="18">
        <v>0</v>
      </c>
      <c r="F31" s="18">
        <f t="shared" si="36"/>
        <v>39</v>
      </c>
      <c r="H31" s="104">
        <f t="shared" si="37"/>
        <v>28</v>
      </c>
      <c r="I31" s="104">
        <f t="shared" si="38"/>
        <v>0.48869219055841229</v>
      </c>
      <c r="J31" s="111">
        <f>'Baseline Given'!$B$28*SIN('Baseline-tilt up (1 pt)'!I31)</f>
        <v>13.02783586730847</v>
      </c>
      <c r="K31" s="104">
        <f>'Baseline Given'!$B$26*COS('Baseline-tilt up (1 pt)'!I31)*'Baseline Given'!$B$28</f>
        <v>26526869.116591904</v>
      </c>
      <c r="L31" s="107">
        <f t="shared" si="2"/>
        <v>2036168.5077072063</v>
      </c>
      <c r="M31" s="104">
        <f>'Baseline Given'!$B$26*COS('Baseline-tilt up (1 pt)'!I31)</f>
        <v>955923.21140871732</v>
      </c>
      <c r="N31" s="104">
        <f t="shared" si="3"/>
        <v>1797830.0825352313</v>
      </c>
      <c r="P31" s="105">
        <f t="shared" si="4"/>
        <v>11660412.462061841</v>
      </c>
      <c r="Q31" s="106">
        <f t="shared" si="40"/>
        <v>614080</v>
      </c>
      <c r="R31" s="105">
        <f>P31*'Baseline Given'!K32/'Baseline Given'!L32</f>
        <v>81466806.381315887</v>
      </c>
      <c r="S31" s="105">
        <f>Q31/'Baseline Given'!M32</f>
        <v>67643.167772069632</v>
      </c>
      <c r="T31" s="105">
        <f t="shared" si="39"/>
        <v>81.534449549087952</v>
      </c>
      <c r="U31" s="116"/>
      <c r="V31" s="105">
        <f t="shared" si="7"/>
        <v>11490264.154424997</v>
      </c>
      <c r="W31" s="106">
        <f t="shared" si="41"/>
        <v>614080</v>
      </c>
      <c r="X31" s="105">
        <f>V31*'Baseline Given'!K32/'Baseline Given'!L32</f>
        <v>80278045.753897369</v>
      </c>
      <c r="Y31" s="105">
        <f>W31/'Baseline Given'!M32</f>
        <v>67643.167772069632</v>
      </c>
      <c r="Z31" s="105">
        <f t="shared" si="9"/>
        <v>80.345688921669435</v>
      </c>
      <c r="AB31" s="105">
        <f t="shared" si="10"/>
        <v>10963882.446872002</v>
      </c>
      <c r="AC31" s="106">
        <f t="shared" si="42"/>
        <v>614080</v>
      </c>
      <c r="AD31" s="105">
        <f>AB31*'Baseline Given'!K32/'Baseline Given'!L32</f>
        <v>76600419.701524958</v>
      </c>
      <c r="AE31" s="105">
        <f>AC31/'Baseline Given'!M32</f>
        <v>67643.167772069632</v>
      </c>
      <c r="AF31" s="105">
        <f t="shared" si="12"/>
        <v>76.668062869297032</v>
      </c>
      <c r="AH31" s="105">
        <f t="shared" si="13"/>
        <v>10104368.719163014</v>
      </c>
      <c r="AI31" s="106">
        <f t="shared" si="43"/>
        <v>614080</v>
      </c>
      <c r="AJ31" s="105">
        <f>AH31*'Baseline Given'!K32/'Baseline Given'!L32</f>
        <v>70595328.658204392</v>
      </c>
      <c r="AK31" s="105">
        <f>AI31/'Baseline Given'!M32</f>
        <v>67643.167772069632</v>
      </c>
      <c r="AL31" s="105">
        <f t="shared" si="15"/>
        <v>70.662971825976456</v>
      </c>
      <c r="AN31" s="105">
        <f t="shared" si="16"/>
        <v>8937838.8609795384</v>
      </c>
      <c r="AO31" s="106">
        <f t="shared" si="44"/>
        <v>614080</v>
      </c>
      <c r="AP31" s="105">
        <f>AN31*'Baseline Given'!K32/'Baseline Given'!L32</f>
        <v>62445234.276564233</v>
      </c>
      <c r="AQ31" s="105">
        <f>AO31/'Baseline Given'!M32</f>
        <v>67643.167772069632</v>
      </c>
      <c r="AR31" s="105">
        <f t="shared" si="18"/>
        <v>62.512877444336304</v>
      </c>
      <c r="AT31" s="105">
        <f t="shared" si="19"/>
        <v>7499737.291769892</v>
      </c>
      <c r="AU31" s="106">
        <f t="shared" si="45"/>
        <v>614080</v>
      </c>
      <c r="AV31" s="105">
        <f>AT31*'Baseline Given'!K32/'Baseline Given'!L32</f>
        <v>52397773.050243899</v>
      </c>
      <c r="AW31" s="105">
        <f>AU31/'Baseline Given'!M32</f>
        <v>67643.167772069632</v>
      </c>
      <c r="AX31" s="105">
        <f t="shared" si="21"/>
        <v>52.465416218015967</v>
      </c>
      <c r="AZ31" s="105">
        <f t="shared" si="22"/>
        <v>5833760.0000000009</v>
      </c>
      <c r="BA31" s="106">
        <f t="shared" si="46"/>
        <v>614080</v>
      </c>
      <c r="BB31" s="105">
        <f>AZ31*'Baseline Given'!K32/'Baseline Given'!L32</f>
        <v>40758232.004344411</v>
      </c>
      <c r="BC31" s="105">
        <f>BA31/'Baseline Given'!M32</f>
        <v>67643.167772069632</v>
      </c>
      <c r="BD31" s="105">
        <f t="shared" si="24"/>
        <v>40.825875172116483</v>
      </c>
      <c r="BF31" s="105">
        <f t="shared" si="25"/>
        <v>3990526.8626551074</v>
      </c>
      <c r="BG31" s="106">
        <f t="shared" si="47"/>
        <v>614080</v>
      </c>
      <c r="BH31" s="105">
        <f>BF31*'Baseline Given'!K32/'Baseline Given'!L32</f>
        <v>27880272.703653473</v>
      </c>
      <c r="BI31" s="105">
        <f>BG31/'Baseline Given'!M32</f>
        <v>67643.167772069632</v>
      </c>
      <c r="BJ31" s="105">
        <f t="shared" si="27"/>
        <v>27.947915871425543</v>
      </c>
      <c r="BL31" s="105">
        <f t="shared" si="28"/>
        <v>2026043.585892464</v>
      </c>
      <c r="BM31" s="106">
        <f t="shared" si="48"/>
        <v>614080</v>
      </c>
      <c r="BN31" s="106">
        <f>BL31*'Baseline Given'!K32/'Baseline Given'!L32</f>
        <v>14155185.424960734</v>
      </c>
      <c r="BO31" s="105">
        <f>BM31/'Baseline Given'!M32</f>
        <v>67643.167772069632</v>
      </c>
      <c r="BP31" s="105">
        <f t="shared" si="30"/>
        <v>14.222828592732803</v>
      </c>
      <c r="BR31" s="105">
        <f t="shared" si="31"/>
        <v>7.1472220503077111E-10</v>
      </c>
      <c r="BS31" s="106">
        <f t="shared" si="49"/>
        <v>614080</v>
      </c>
      <c r="BT31" s="106">
        <f>BR31*'Baseline Given'!K32/'Baseline Given'!L32</f>
        <v>4.9934884964929616E-9</v>
      </c>
      <c r="BU31" s="105">
        <f>BS31/'Baseline Given'!M32</f>
        <v>67643.167772069632</v>
      </c>
      <c r="BV31" s="105">
        <f t="shared" si="33"/>
        <v>6.7643167772074617E-2</v>
      </c>
      <c r="BX31" s="104">
        <v>150</v>
      </c>
      <c r="BY31" s="104">
        <v>-150</v>
      </c>
    </row>
    <row r="32" spans="1:77" x14ac:dyDescent="0.25">
      <c r="A32" s="18">
        <f>'Baseline Given'!E33</f>
        <v>30</v>
      </c>
      <c r="B32" s="18">
        <f t="shared" si="0"/>
        <v>38</v>
      </c>
      <c r="C32" s="18">
        <f t="shared" si="34"/>
        <v>19</v>
      </c>
      <c r="D32" s="18">
        <f t="shared" si="35"/>
        <v>30</v>
      </c>
      <c r="E32" s="18">
        <v>0</v>
      </c>
      <c r="F32" s="18">
        <f t="shared" si="36"/>
        <v>38</v>
      </c>
      <c r="H32" s="104">
        <f t="shared" si="37"/>
        <v>29</v>
      </c>
      <c r="I32" s="104">
        <f t="shared" si="38"/>
        <v>0.50614548307835561</v>
      </c>
      <c r="J32" s="111">
        <f>'Baseline Given'!$B$28*SIN('Baseline-tilt up (1 pt)'!I32)</f>
        <v>13.453466961835854</v>
      </c>
      <c r="K32" s="104">
        <f>'Baseline Given'!$B$26*COS('Baseline-tilt up (1 pt)'!I32)*'Baseline Given'!$B$28</f>
        <v>26276669.969681453</v>
      </c>
      <c r="L32" s="107">
        <f t="shared" si="2"/>
        <v>1953152.3022446067</v>
      </c>
      <c r="M32" s="104">
        <f>'Baseline Given'!$B$26*COS('Baseline-tilt up (1 pt)'!I32)</f>
        <v>946907.02593446674</v>
      </c>
      <c r="N32" s="104">
        <f t="shared" si="3"/>
        <v>1708265.4945878144</v>
      </c>
      <c r="P32" s="105">
        <f t="shared" si="4"/>
        <v>11054781.620888269</v>
      </c>
      <c r="Q32" s="106">
        <f t="shared" si="40"/>
        <v>597920</v>
      </c>
      <c r="R32" s="105">
        <f>P32*'Baseline Given'!K33/'Baseline Given'!L33</f>
        <v>77850647.16319491</v>
      </c>
      <c r="S32" s="105">
        <f>Q32/'Baseline Given'!M33</f>
        <v>66634.248641449914</v>
      </c>
      <c r="T32" s="105">
        <f t="shared" si="39"/>
        <v>77.917281411836356</v>
      </c>
      <c r="U32" s="116"/>
      <c r="V32" s="105">
        <f t="shared" si="7"/>
        <v>10893470.656099599</v>
      </c>
      <c r="W32" s="106">
        <f t="shared" si="41"/>
        <v>597920</v>
      </c>
      <c r="X32" s="105">
        <f>V32*'Baseline Given'!K33/'Baseline Given'!L33</f>
        <v>76714653.397421345</v>
      </c>
      <c r="Y32" s="105">
        <f>W32/'Baseline Given'!M33</f>
        <v>66634.248641449914</v>
      </c>
      <c r="Z32" s="105">
        <f t="shared" si="9"/>
        <v>76.781287646062793</v>
      </c>
      <c r="AB32" s="105">
        <f t="shared" si="10"/>
        <v>10394428.718675742</v>
      </c>
      <c r="AC32" s="106">
        <f t="shared" si="42"/>
        <v>597920</v>
      </c>
      <c r="AD32" s="105">
        <f>AB32*'Baseline Given'!K33/'Baseline Given'!L33</f>
        <v>73200270.289516926</v>
      </c>
      <c r="AE32" s="105">
        <f>AC32/'Baseline Given'!M33</f>
        <v>66634.248641449914</v>
      </c>
      <c r="AF32" s="105">
        <f t="shared" si="12"/>
        <v>73.266904538158371</v>
      </c>
      <c r="AH32" s="105">
        <f t="shared" si="13"/>
        <v>9579557.3244696446</v>
      </c>
      <c r="AI32" s="106">
        <f t="shared" si="43"/>
        <v>597920</v>
      </c>
      <c r="AJ32" s="105">
        <f>AH32*'Baseline Given'!K33/'Baseline Given'!L33</f>
        <v>67461734.009989575</v>
      </c>
      <c r="AK32" s="105">
        <f>AI32/'Baseline Given'!M33</f>
        <v>66634.248641449914</v>
      </c>
      <c r="AL32" s="105">
        <f t="shared" si="15"/>
        <v>67.528368258631019</v>
      </c>
      <c r="AN32" s="105">
        <f t="shared" si="16"/>
        <v>8473615.928449437</v>
      </c>
      <c r="AO32" s="106">
        <f t="shared" si="44"/>
        <v>597920</v>
      </c>
      <c r="AP32" s="105">
        <f>AN32*'Baseline Given'!K33/'Baseline Given'!L33</f>
        <v>59673407.079853229</v>
      </c>
      <c r="AQ32" s="105">
        <f>AO32/'Baseline Given'!M33</f>
        <v>66634.248641449914</v>
      </c>
      <c r="AR32" s="105">
        <f t="shared" si="18"/>
        <v>59.740041328494677</v>
      </c>
      <c r="AT32" s="105">
        <f t="shared" si="19"/>
        <v>7110208.0002998486</v>
      </c>
      <c r="AU32" s="106">
        <f t="shared" si="45"/>
        <v>597920</v>
      </c>
      <c r="AV32" s="105">
        <f>AT32*'Baseline Given'!K33/'Baseline Given'!L33</f>
        <v>50071933.871796541</v>
      </c>
      <c r="AW32" s="105">
        <f>AU32/'Baseline Given'!M33</f>
        <v>66634.248641449914</v>
      </c>
      <c r="AX32" s="105">
        <f t="shared" si="21"/>
        <v>50.138568120437988</v>
      </c>
      <c r="AZ32" s="105">
        <f t="shared" si="22"/>
        <v>5530760.0000000009</v>
      </c>
      <c r="BA32" s="106">
        <f t="shared" si="46"/>
        <v>597920</v>
      </c>
      <c r="BB32" s="105">
        <f>AZ32*'Baseline Given'!K33/'Baseline Given'!L33</f>
        <v>38949050.290666416</v>
      </c>
      <c r="BC32" s="105">
        <f>BA32/'Baseline Given'!M33</f>
        <v>66634.248641449914</v>
      </c>
      <c r="BD32" s="105">
        <f t="shared" si="24"/>
        <v>39.015684539307863</v>
      </c>
      <c r="BF32" s="105">
        <f t="shared" si="25"/>
        <v>3783262.6557997521</v>
      </c>
      <c r="BG32" s="106">
        <f t="shared" si="47"/>
        <v>597920</v>
      </c>
      <c r="BH32" s="105">
        <f>BF32*'Baseline Given'!K33/'Baseline Given'!L33</f>
        <v>26642719.525624815</v>
      </c>
      <c r="BI32" s="105">
        <f>BG32/'Baseline Given'!M33</f>
        <v>66634.248641449914</v>
      </c>
      <c r="BJ32" s="105">
        <f t="shared" si="27"/>
        <v>26.709353774266265</v>
      </c>
      <c r="BL32" s="105">
        <f t="shared" si="28"/>
        <v>1920812.7902263042</v>
      </c>
      <c r="BM32" s="106">
        <f t="shared" si="48"/>
        <v>597920</v>
      </c>
      <c r="BN32" s="106">
        <f>BL32*'Baseline Given'!K33/'Baseline Given'!L33</f>
        <v>13526863.209663697</v>
      </c>
      <c r="BO32" s="105">
        <f>BM32/'Baseline Given'!M33</f>
        <v>66634.248641449914</v>
      </c>
      <c r="BP32" s="105">
        <f t="shared" si="30"/>
        <v>13.593497458305146</v>
      </c>
      <c r="BR32" s="105">
        <f t="shared" si="31"/>
        <v>6.7760020684703992E-10</v>
      </c>
      <c r="BS32" s="106">
        <f t="shared" si="49"/>
        <v>597920</v>
      </c>
      <c r="BT32" s="106">
        <f>BR32*'Baseline Given'!K33/'Baseline Given'!L33</f>
        <v>4.7718368783768087E-9</v>
      </c>
      <c r="BU32" s="105">
        <f>BS32/'Baseline Given'!M33</f>
        <v>66634.248641449914</v>
      </c>
      <c r="BV32" s="105">
        <f t="shared" si="33"/>
        <v>6.6634248641454688E-2</v>
      </c>
      <c r="BX32" s="104">
        <v>150</v>
      </c>
      <c r="BY32" s="104">
        <v>-150</v>
      </c>
    </row>
    <row r="33" spans="1:77" x14ac:dyDescent="0.25">
      <c r="A33" s="18">
        <f>'Baseline Given'!E34</f>
        <v>31</v>
      </c>
      <c r="B33" s="18">
        <f t="shared" si="0"/>
        <v>37</v>
      </c>
      <c r="C33" s="18">
        <f t="shared" si="34"/>
        <v>18.5</v>
      </c>
      <c r="D33" s="18">
        <f t="shared" si="35"/>
        <v>31</v>
      </c>
      <c r="E33" s="18">
        <v>0</v>
      </c>
      <c r="F33" s="18">
        <f t="shared" si="36"/>
        <v>37</v>
      </c>
      <c r="H33" s="104">
        <f t="shared" si="37"/>
        <v>30</v>
      </c>
      <c r="I33" s="109">
        <f t="shared" si="38"/>
        <v>0.52359877559829882</v>
      </c>
      <c r="J33" s="111">
        <f>'Baseline Given'!$B$28*SIN('Baseline-tilt up (1 pt)'!I33)</f>
        <v>13.874999999999998</v>
      </c>
      <c r="K33" s="104">
        <f>'Baseline Given'!$B$26*COS('Baseline-tilt up (1 pt)'!I33)*'Baseline Given'!$B$28</f>
        <v>26018466.694550429</v>
      </c>
      <c r="L33" s="107">
        <f t="shared" si="2"/>
        <v>1875204.8068144456</v>
      </c>
      <c r="M33" s="109">
        <f>'Baseline Given'!$B$26*COS('Baseline-tilt up (1 pt)'!I33)</f>
        <v>937602.40340722259</v>
      </c>
      <c r="N33" s="109">
        <f t="shared" si="3"/>
        <v>1623975.0000000007</v>
      </c>
      <c r="P33" s="105">
        <f t="shared" si="4"/>
        <v>10465300.935479324</v>
      </c>
      <c r="Q33" s="106">
        <f t="shared" si="40"/>
        <v>581760</v>
      </c>
      <c r="R33" s="105">
        <f>P33*'Baseline Given'!K34/'Baseline Given'!L34</f>
        <v>74291069.656680882</v>
      </c>
      <c r="S33" s="105">
        <f>Q33/'Baseline Given'!M34</f>
        <v>65596.900345380389</v>
      </c>
      <c r="T33" s="105">
        <f t="shared" si="39"/>
        <v>74.356666557026273</v>
      </c>
      <c r="U33" s="116"/>
      <c r="V33" s="105">
        <f t="shared" si="7"/>
        <v>10312591.651062878</v>
      </c>
      <c r="W33" s="106">
        <f t="shared" si="41"/>
        <v>581760</v>
      </c>
      <c r="X33" s="105">
        <f>V33*'Baseline Given'!K34/'Baseline Given'!L34</f>
        <v>73207017.114307955</v>
      </c>
      <c r="Y33" s="105">
        <f>W33/'Baseline Given'!M34</f>
        <v>65596.900345380389</v>
      </c>
      <c r="Z33" s="105">
        <f t="shared" si="9"/>
        <v>73.272614014653342</v>
      </c>
      <c r="AB33" s="105">
        <f t="shared" si="10"/>
        <v>9840160.4232313819</v>
      </c>
      <c r="AC33" s="106">
        <f t="shared" si="42"/>
        <v>581760</v>
      </c>
      <c r="AD33" s="105">
        <f>AB33*'Baseline Given'!K34/'Baseline Given'!L34</f>
        <v>69853322.703492299</v>
      </c>
      <c r="AE33" s="105">
        <f>AC33/'Baseline Given'!M34</f>
        <v>65596.900345380389</v>
      </c>
      <c r="AF33" s="105">
        <f t="shared" si="12"/>
        <v>69.918919603837679</v>
      </c>
      <c r="AH33" s="105">
        <f t="shared" si="13"/>
        <v>9068740.9003014304</v>
      </c>
      <c r="AI33" s="106">
        <f t="shared" si="43"/>
        <v>581760</v>
      </c>
      <c r="AJ33" s="105">
        <f>AH33*'Baseline Given'!K34/'Baseline Given'!L34</f>
        <v>64377170.429817833</v>
      </c>
      <c r="AK33" s="105">
        <f>AI33/'Baseline Given'!M34</f>
        <v>65596.900345380389</v>
      </c>
      <c r="AL33" s="105">
        <f t="shared" si="15"/>
        <v>64.442767330163207</v>
      </c>
      <c r="AN33" s="105">
        <f t="shared" si="16"/>
        <v>8021772.2741201399</v>
      </c>
      <c r="AO33" s="106">
        <f t="shared" si="44"/>
        <v>581760</v>
      </c>
      <c r="AP33" s="105">
        <f>AN33*'Baseline Given'!K34/'Baseline Given'!L34</f>
        <v>56944950.409053445</v>
      </c>
      <c r="AQ33" s="105">
        <f>AO33/'Baseline Given'!M34</f>
        <v>65596.900345380389</v>
      </c>
      <c r="AR33" s="105">
        <f t="shared" si="18"/>
        <v>57.010547309398824</v>
      </c>
      <c r="AT33" s="105">
        <f t="shared" si="19"/>
        <v>6731066.1566023408</v>
      </c>
      <c r="AU33" s="106">
        <f t="shared" si="45"/>
        <v>581760</v>
      </c>
      <c r="AV33" s="105">
        <f>AT33*'Baseline Given'!K34/'Baseline Given'!L34</f>
        <v>47782486.885645248</v>
      </c>
      <c r="AW33" s="105">
        <f>AU33/'Baseline Given'!M34</f>
        <v>65596.900345380389</v>
      </c>
      <c r="AX33" s="105">
        <f t="shared" si="21"/>
        <v>47.848083785990625</v>
      </c>
      <c r="AZ33" s="105">
        <f t="shared" si="22"/>
        <v>5235840.0000000009</v>
      </c>
      <c r="BA33" s="106">
        <f t="shared" si="46"/>
        <v>581760</v>
      </c>
      <c r="BB33" s="105">
        <f>AZ33*'Baseline Given'!K34/'Baseline Given'!L34</f>
        <v>37168176.677321754</v>
      </c>
      <c r="BC33" s="105">
        <f>BA33/'Baseline Given'!M34</f>
        <v>65596.900345380389</v>
      </c>
      <c r="BD33" s="105">
        <f t="shared" si="24"/>
        <v>37.233773577667129</v>
      </c>
      <c r="BF33" s="105">
        <f t="shared" si="25"/>
        <v>3581525.4944605399</v>
      </c>
      <c r="BG33" s="106">
        <f t="shared" si="47"/>
        <v>581760</v>
      </c>
      <c r="BH33" s="105">
        <f>BF33*'Baseline Given'!K34/'Baseline Given'!L34</f>
        <v>25424530.228662726</v>
      </c>
      <c r="BI33" s="105">
        <f>BG33/'Baseline Given'!M34</f>
        <v>65596.900345380389</v>
      </c>
      <c r="BJ33" s="105">
        <f t="shared" si="27"/>
        <v>25.490127129008108</v>
      </c>
      <c r="BL33" s="105">
        <f t="shared" si="28"/>
        <v>1818388.1491112418</v>
      </c>
      <c r="BM33" s="106">
        <f t="shared" si="48"/>
        <v>581760</v>
      </c>
      <c r="BN33" s="106">
        <f>BL33*'Baseline Given'!K34/'Baseline Given'!L34</f>
        <v>12908372.29443885</v>
      </c>
      <c r="BO33" s="105">
        <f>BM33/'Baseline Given'!M34</f>
        <v>65596.900345380389</v>
      </c>
      <c r="BP33" s="105">
        <f t="shared" si="30"/>
        <v>12.97396919478423</v>
      </c>
      <c r="BR33" s="105">
        <f t="shared" si="31"/>
        <v>6.414681286148749E-10</v>
      </c>
      <c r="BS33" s="106">
        <f t="shared" si="49"/>
        <v>581760</v>
      </c>
      <c r="BT33" s="106">
        <f>BR33*'Baseline Given'!K34/'Baseline Given'!L34</f>
        <v>4.5536534227991343E-9</v>
      </c>
      <c r="BU33" s="105">
        <f>BS33/'Baseline Given'!M34</f>
        <v>65596.900345380389</v>
      </c>
      <c r="BV33" s="105">
        <f t="shared" si="33"/>
        <v>6.5596900345384943E-2</v>
      </c>
      <c r="BX33" s="104">
        <v>150</v>
      </c>
      <c r="BY33" s="104">
        <v>-150</v>
      </c>
    </row>
    <row r="34" spans="1:77" x14ac:dyDescent="0.25">
      <c r="A34" s="18">
        <f>'Baseline Given'!E35</f>
        <v>32</v>
      </c>
      <c r="B34" s="18">
        <f t="shared" si="0"/>
        <v>36</v>
      </c>
      <c r="C34" s="18">
        <f t="shared" si="34"/>
        <v>18</v>
      </c>
      <c r="D34" s="18">
        <f t="shared" si="35"/>
        <v>32</v>
      </c>
      <c r="E34" s="18">
        <v>0</v>
      </c>
      <c r="F34" s="18">
        <f t="shared" si="36"/>
        <v>36</v>
      </c>
      <c r="H34" s="104">
        <f t="shared" si="37"/>
        <v>31</v>
      </c>
      <c r="I34" s="104">
        <f t="shared" si="38"/>
        <v>0.54105206811824214</v>
      </c>
      <c r="J34" s="111">
        <f>'Baseline Given'!$B$28*SIN('Baseline-tilt up (1 pt)'!I34)</f>
        <v>14.292306578754003</v>
      </c>
      <c r="K34" s="104">
        <f>'Baseline Given'!$B$26*COS('Baseline-tilt up (1 pt)'!I34)*'Baseline Given'!$B$28</f>
        <v>25752337.942417689</v>
      </c>
      <c r="L34" s="107">
        <f t="shared" si="2"/>
        <v>1801832.1815667886</v>
      </c>
      <c r="M34" s="104">
        <f>'Baseline Given'!$B$26*COS('Baseline-tilt up (1 pt)'!I34)</f>
        <v>928012.17810514197</v>
      </c>
      <c r="N34" s="104">
        <f t="shared" si="3"/>
        <v>1544471.6273918026</v>
      </c>
      <c r="P34" s="105">
        <f t="shared" si="4"/>
        <v>9891970.4058350101</v>
      </c>
      <c r="Q34" s="106">
        <f t="shared" si="40"/>
        <v>565600</v>
      </c>
      <c r="R34" s="105">
        <f>P34*'Baseline Given'!K35/'Baseline Given'!L35</f>
        <v>70789447.698296651</v>
      </c>
      <c r="S34" s="105">
        <f>Q34/'Baseline Given'!M35</f>
        <v>64530.323623365286</v>
      </c>
      <c r="T34" s="105">
        <f t="shared" si="39"/>
        <v>70.853978021920014</v>
      </c>
      <c r="U34" s="116"/>
      <c r="V34" s="105">
        <f t="shared" si="7"/>
        <v>9747627.1393148359</v>
      </c>
      <c r="W34" s="106">
        <f t="shared" si="41"/>
        <v>565600</v>
      </c>
      <c r="X34" s="105">
        <f>V34*'Baseline Given'!K35/'Baseline Given'!L35</f>
        <v>69756490.694108292</v>
      </c>
      <c r="Y34" s="105">
        <f>W34/'Baseline Given'!M35</f>
        <v>64530.323623365286</v>
      </c>
      <c r="Z34" s="105">
        <f t="shared" si="9"/>
        <v>69.821021017731653</v>
      </c>
      <c r="AB34" s="105">
        <f t="shared" si="10"/>
        <v>9301077.5605389215</v>
      </c>
      <c r="AC34" s="106">
        <f t="shared" si="42"/>
        <v>565600</v>
      </c>
      <c r="AD34" s="105">
        <f>AB34*'Baseline Given'!K35/'Baseline Given'!L35</f>
        <v>66560868.714405701</v>
      </c>
      <c r="AE34" s="105">
        <f>AC34/'Baseline Given'!M35</f>
        <v>64530.323623365286</v>
      </c>
      <c r="AF34" s="105">
        <f t="shared" si="12"/>
        <v>66.625399038029073</v>
      </c>
      <c r="AH34" s="105">
        <f t="shared" si="13"/>
        <v>8571919.4466583747</v>
      </c>
      <c r="AI34" s="106">
        <f t="shared" si="43"/>
        <v>565600</v>
      </c>
      <c r="AJ34" s="105">
        <f>AH34*'Baseline Given'!K35/'Baseline Given'!L35</f>
        <v>61342828.420240618</v>
      </c>
      <c r="AK34" s="105">
        <f>AI34/'Baseline Given'!M35</f>
        <v>64530.323623365286</v>
      </c>
      <c r="AL34" s="105">
        <f t="shared" si="15"/>
        <v>61.407358743863988</v>
      </c>
      <c r="AN34" s="105">
        <f t="shared" si="16"/>
        <v>7582307.8979916442</v>
      </c>
      <c r="AO34" s="106">
        <f t="shared" si="44"/>
        <v>565600</v>
      </c>
      <c r="AP34" s="105">
        <f>AN34*'Baseline Given'!K35/'Baseline Given'!L35</f>
        <v>54260917.325495444</v>
      </c>
      <c r="AQ34" s="105">
        <f>AO34/'Baseline Given'!M35</f>
        <v>64530.323623365286</v>
      </c>
      <c r="AR34" s="105">
        <f t="shared" si="18"/>
        <v>54.325447649118814</v>
      </c>
      <c r="AT34" s="105">
        <f t="shared" si="19"/>
        <v>6362311.7606773665</v>
      </c>
      <c r="AU34" s="106">
        <f t="shared" si="45"/>
        <v>565600</v>
      </c>
      <c r="AV34" s="105">
        <f>AT34*'Baseline Given'!K35/'Baseline Given'!L35</f>
        <v>45530315.71516411</v>
      </c>
      <c r="AW34" s="105">
        <f>AU34/'Baseline Given'!M35</f>
        <v>64530.323623365286</v>
      </c>
      <c r="AX34" s="105">
        <f t="shared" si="21"/>
        <v>45.594846038787473</v>
      </c>
      <c r="AZ34" s="105">
        <f t="shared" si="22"/>
        <v>4949000.0000000009</v>
      </c>
      <c r="BA34" s="106">
        <f t="shared" si="46"/>
        <v>565600</v>
      </c>
      <c r="BB34" s="105">
        <f>AZ34*'Baseline Given'!K35/'Baseline Given'!L35</f>
        <v>35416298.501278952</v>
      </c>
      <c r="BC34" s="105">
        <f>BA34/'Baseline Given'!M35</f>
        <v>64530.323623365286</v>
      </c>
      <c r="BD34" s="105">
        <f t="shared" si="24"/>
        <v>35.480828824902318</v>
      </c>
      <c r="BF34" s="105">
        <f t="shared" si="25"/>
        <v>3385315.3786374698</v>
      </c>
      <c r="BG34" s="106">
        <f t="shared" si="47"/>
        <v>565600</v>
      </c>
      <c r="BH34" s="105">
        <f>BF34*'Baseline Given'!K35/'Baseline Given'!L35</f>
        <v>24226174.978944186</v>
      </c>
      <c r="BI34" s="105">
        <f>BG34/'Baseline Given'!M35</f>
        <v>64530.323623365286</v>
      </c>
      <c r="BJ34" s="105">
        <f t="shared" si="27"/>
        <v>24.290705302567552</v>
      </c>
      <c r="BL34" s="105">
        <f t="shared" si="28"/>
        <v>1718769.6625472773</v>
      </c>
      <c r="BM34" s="106">
        <f t="shared" si="48"/>
        <v>565600</v>
      </c>
      <c r="BN34" s="106">
        <f>BL34*'Baseline Given'!K35/'Baseline Given'!L35</f>
        <v>12299951.388910256</v>
      </c>
      <c r="BO34" s="105">
        <f>BM34/'Baseline Given'!M35</f>
        <v>64530.323623365286</v>
      </c>
      <c r="BP34" s="105">
        <f t="shared" si="30"/>
        <v>12.364481712533621</v>
      </c>
      <c r="BR34" s="105">
        <f t="shared" si="31"/>
        <v>6.0632597033427604E-10</v>
      </c>
      <c r="BS34" s="106">
        <f t="shared" si="49"/>
        <v>565600</v>
      </c>
      <c r="BT34" s="106">
        <f>BR34*'Baseline Given'!K35/'Baseline Given'!L35</f>
        <v>4.3390223387424372E-9</v>
      </c>
      <c r="BU34" s="105">
        <f>BS34/'Baseline Given'!M35</f>
        <v>64530.323623365286</v>
      </c>
      <c r="BV34" s="105">
        <f t="shared" si="33"/>
        <v>6.453032362336962E-2</v>
      </c>
      <c r="BX34" s="104">
        <v>150</v>
      </c>
      <c r="BY34" s="104">
        <v>-150</v>
      </c>
    </row>
    <row r="35" spans="1:77" x14ac:dyDescent="0.25">
      <c r="A35" s="18">
        <f>'Baseline Given'!E36</f>
        <v>33</v>
      </c>
      <c r="B35" s="18">
        <f t="shared" ref="B35:B68" si="50">B36+1</f>
        <v>35</v>
      </c>
      <c r="C35" s="18">
        <f t="shared" si="34"/>
        <v>17.5</v>
      </c>
      <c r="D35" s="18">
        <f t="shared" si="35"/>
        <v>33</v>
      </c>
      <c r="E35" s="18">
        <v>0</v>
      </c>
      <c r="F35" s="18">
        <f t="shared" si="36"/>
        <v>35</v>
      </c>
      <c r="H35" s="104">
        <f t="shared" si="37"/>
        <v>32</v>
      </c>
      <c r="I35" s="104">
        <f t="shared" si="38"/>
        <v>0.55850536063818546</v>
      </c>
      <c r="J35" s="111">
        <f>'Baseline Given'!$B$28*SIN('Baseline-tilt up (1 pt)'!I35)</f>
        <v>14.705259582471436</v>
      </c>
      <c r="K35" s="104">
        <f>'Baseline Given'!$B$26*COS('Baseline-tilt up (1 pt)'!I35)*'Baseline Given'!$B$28</f>
        <v>25478364.778679188</v>
      </c>
      <c r="L35" s="107">
        <f t="shared" ref="L35:L66" si="51">K35/J35</f>
        <v>1732602.1778662931</v>
      </c>
      <c r="M35" s="104">
        <f>'Baseline Given'!$B$26*COS('Baseline-tilt up (1 pt)'!I35)</f>
        <v>918139.27130375453</v>
      </c>
      <c r="N35" s="104">
        <f t="shared" ref="N35:N66" si="52">L35*COS(I35)</f>
        <v>1469329.9783359871</v>
      </c>
      <c r="P35" s="105">
        <f t="shared" ref="P35:P68" si="53">16160*B36*C36*COS($I$5)-$L$5*(E35*SIN($I$5))</f>
        <v>9334790.0319553241</v>
      </c>
      <c r="Q35" s="106">
        <f t="shared" si="40"/>
        <v>549440</v>
      </c>
      <c r="R35" s="105">
        <f>P35*'Baseline Given'!K36/'Baseline Given'!L36</f>
        <v>67347199.964197665</v>
      </c>
      <c r="S35" s="105">
        <f>Q35/'Baseline Given'!M36</f>
        <v>63433.693155144865</v>
      </c>
      <c r="T35" s="105">
        <f t="shared" si="39"/>
        <v>67.410633657352804</v>
      </c>
      <c r="U35" s="116"/>
      <c r="V35" s="105">
        <f t="shared" ref="V35:V68" si="54">16160*B36*C36*COS($I$13)-$L$12*(E35*SIN($I$13))</f>
        <v>9198577.1208554693</v>
      </c>
      <c r="W35" s="106">
        <f t="shared" si="41"/>
        <v>549440</v>
      </c>
      <c r="X35" s="105">
        <f>V35*'Baseline Given'!K36/'Baseline Given'!L36</f>
        <v>66364472.111707792</v>
      </c>
      <c r="Y35" s="105">
        <f>W35/'Baseline Given'!M36</f>
        <v>63433.693155144865</v>
      </c>
      <c r="Z35" s="105">
        <f t="shared" ref="Z35:Z66" si="55">(X35+Y35)/1000000</f>
        <v>66.427905804862945</v>
      </c>
      <c r="AB35" s="105">
        <f t="shared" ref="AB35:AB68" si="56">16160*B36*C36*COS($I$23)-$L$22*(E35*SIN($I$23))</f>
        <v>8777180.1305983625</v>
      </c>
      <c r="AC35" s="106">
        <f t="shared" si="42"/>
        <v>549440</v>
      </c>
      <c r="AD35" s="105">
        <f>AB35*'Baseline Given'!K36/'Baseline Given'!L36</f>
        <v>63324242.254367143</v>
      </c>
      <c r="AE35" s="105">
        <f>AC35/'Baseline Given'!M36</f>
        <v>63433.693155144865</v>
      </c>
      <c r="AF35" s="105">
        <f t="shared" ref="AF35:AF66" si="57">(AD35+AE35)/1000000</f>
        <v>63.38767594752229</v>
      </c>
      <c r="AH35" s="105">
        <f t="shared" ref="AH35:AH68" si="58">16160*B36*C36*COS($I$33)-$L$32*(E35*SIN($I$33))</f>
        <v>8089092.963540474</v>
      </c>
      <c r="AI35" s="106">
        <f t="shared" si="43"/>
        <v>549440</v>
      </c>
      <c r="AJ35" s="105">
        <f>AH35*'Baseline Given'!K36/'Baseline Given'!L36</f>
        <v>58359937.339740254</v>
      </c>
      <c r="AK35" s="105">
        <f>AI35/'Baseline Given'!M36</f>
        <v>63433.693155144865</v>
      </c>
      <c r="AL35" s="105">
        <f t="shared" ref="AL35:AL66" si="59">(AJ35+AK35)/1000000</f>
        <v>58.423371032895403</v>
      </c>
      <c r="AN35" s="105">
        <f t="shared" ref="AN35:AN68" si="60">16160*B36*C36*COS($I$43)-$L$42*(E35*SIN($I$43))</f>
        <v>7155222.8000639519</v>
      </c>
      <c r="AO35" s="106">
        <f t="shared" si="44"/>
        <v>549440</v>
      </c>
      <c r="AP35" s="105">
        <f>AN35*'Baseline Given'!K36/'Baseline Given'!L36</f>
        <v>51622395.260598578</v>
      </c>
      <c r="AQ35" s="105">
        <f>AO35/'Baseline Given'!M36</f>
        <v>63433.693155144865</v>
      </c>
      <c r="AR35" s="105">
        <f t="shared" ref="AR35:AR66" si="61">(AP35+AQ35)/1000000</f>
        <v>51.685828953753727</v>
      </c>
      <c r="AT35" s="105">
        <f t="shared" ref="AT35:AT68" si="62">16160*B36*C36*COS($I$53)-$L$52*(E35*SIN($I$53))</f>
        <v>6003944.8125249268</v>
      </c>
      <c r="AU35" s="106">
        <f t="shared" si="45"/>
        <v>549440</v>
      </c>
      <c r="AV35" s="105">
        <f>AT35*'Baseline Given'!K36/'Baseline Given'!L36</f>
        <v>43316332.82365603</v>
      </c>
      <c r="AW35" s="105">
        <f>AU35/'Baseline Given'!M36</f>
        <v>63433.693155144865</v>
      </c>
      <c r="AX35" s="105">
        <f t="shared" ref="AX35:AX66" si="63">(AV35+AW35)/1000000</f>
        <v>43.379766516811181</v>
      </c>
      <c r="AZ35" s="105">
        <f t="shared" ref="AZ35:AZ68" si="64">16160*B36*C36*COS($I$63)-$L$62*(E35*SIN($I$63))</f>
        <v>4670240.0000000009</v>
      </c>
      <c r="BA35" s="106">
        <f t="shared" si="46"/>
        <v>549440</v>
      </c>
      <c r="BB35" s="105">
        <f>AZ35*'Baseline Given'!K36/'Baseline Given'!L36</f>
        <v>33694125.532988735</v>
      </c>
      <c r="BC35" s="105">
        <f>BA35/'Baseline Given'!M36</f>
        <v>63433.693155144865</v>
      </c>
      <c r="BD35" s="105">
        <f t="shared" ref="BD35:BD66" si="65">(BB35+BC35)/1000000</f>
        <v>33.757559226143883</v>
      </c>
      <c r="BF35" s="105">
        <f t="shared" ref="BF35:BF68" si="66">16160*B36*C36*COS($I$73)-$L$72*(E35*SIN($I$73))</f>
        <v>3194632.3083305433</v>
      </c>
      <c r="BG35" s="106">
        <f t="shared" si="47"/>
        <v>549440</v>
      </c>
      <c r="BH35" s="105">
        <f>BF35*'Baseline Given'!K36/'Baseline Given'!L36</f>
        <v>23048139.288051765</v>
      </c>
      <c r="BI35" s="105">
        <f>BG35/'Baseline Given'!M36</f>
        <v>63433.693155144865</v>
      </c>
      <c r="BJ35" s="105">
        <f t="shared" ref="BJ35:BJ66" si="67">(BH35+BI35)/1000000</f>
        <v>23.111572981206908</v>
      </c>
      <c r="BL35" s="105">
        <f t="shared" ref="BL35:BL68" si="68">16160*B36*C36*COS($I$83)-$L$82*(E35*SIN($I$83))</f>
        <v>1621957.3305344102</v>
      </c>
      <c r="BM35" s="106">
        <f t="shared" si="48"/>
        <v>549440</v>
      </c>
      <c r="BN35" s="106">
        <f>BL35*'Baseline Given'!K36/'Baseline Given'!L36</f>
        <v>11701846.993768565</v>
      </c>
      <c r="BO35" s="105">
        <f>BM35/'Baseline Given'!M36</f>
        <v>63433.693155144865</v>
      </c>
      <c r="BP35" s="105">
        <f t="shared" ref="BP35:BP66" si="69">(BN35+BO35)/1000000</f>
        <v>11.765280686923711</v>
      </c>
      <c r="BR35" s="105">
        <f t="shared" ref="BR35:BR68" si="70">16160*B36*C36*COS($I$93)-$L$92*(E35*SIN($I$93))</f>
        <v>5.7217373200524335E-10</v>
      </c>
      <c r="BS35" s="106">
        <f t="shared" si="49"/>
        <v>549440</v>
      </c>
      <c r="BT35" s="106">
        <f>BR35*'Baseline Given'!K36/'Baseline Given'!L36</f>
        <v>4.128030583623822E-9</v>
      </c>
      <c r="BU35" s="105">
        <f>BS35/'Baseline Given'!M36</f>
        <v>63433.693155144865</v>
      </c>
      <c r="BV35" s="105">
        <f t="shared" ref="BV35:BV66" si="71">(BT35+BU35)/1000000</f>
        <v>6.343369315514899E-2</v>
      </c>
      <c r="BX35" s="104">
        <v>150</v>
      </c>
      <c r="BY35" s="104">
        <v>-150</v>
      </c>
    </row>
    <row r="36" spans="1:77" x14ac:dyDescent="0.25">
      <c r="A36" s="18">
        <f>'Baseline Given'!E37</f>
        <v>34</v>
      </c>
      <c r="B36" s="18">
        <f t="shared" si="50"/>
        <v>34</v>
      </c>
      <c r="C36" s="18">
        <f t="shared" ref="C36:C69" si="72">C35-0.5</f>
        <v>17</v>
      </c>
      <c r="D36" s="18">
        <f t="shared" ref="D36:D69" si="73">D35+1</f>
        <v>34</v>
      </c>
      <c r="E36" s="18">
        <v>0</v>
      </c>
      <c r="F36" s="18">
        <f t="shared" ref="F36:F69" si="74">F35-1</f>
        <v>34</v>
      </c>
      <c r="H36" s="104">
        <f t="shared" ref="H36:H67" si="75">H35+1</f>
        <v>33</v>
      </c>
      <c r="I36" s="104">
        <f t="shared" ref="I36:I67" si="76">H36*PI()/180</f>
        <v>0.57595865315812877</v>
      </c>
      <c r="J36" s="111">
        <f>'Baseline Given'!$B$28*SIN('Baseline-tilt up (1 pt)'!I36)</f>
        <v>15.113733221667001</v>
      </c>
      <c r="K36" s="104">
        <f>'Baseline Given'!$B$26*COS('Baseline-tilt up (1 pt)'!I36)*'Baseline Given'!$B$28</f>
        <v>25196630.658214647</v>
      </c>
      <c r="L36" s="107">
        <f t="shared" si="51"/>
        <v>1667134.8030738584</v>
      </c>
      <c r="M36" s="104">
        <f>'Baseline Given'!$B$26*COS('Baseline-tilt up (1 pt)'!I36)</f>
        <v>907986.69038611336</v>
      </c>
      <c r="N36" s="104">
        <f t="shared" si="52"/>
        <v>1398176.8921355356</v>
      </c>
      <c r="P36" s="105">
        <f t="shared" si="53"/>
        <v>8793759.8138402663</v>
      </c>
      <c r="Q36" s="106">
        <f t="shared" si="40"/>
        <v>533280</v>
      </c>
      <c r="R36" s="105">
        <f>P36*'Baseline Given'!K37/'Baseline Given'!L37</f>
        <v>63965791.814581119</v>
      </c>
      <c r="S36" s="105">
        <f>Q36/'Baseline Given'!M37</f>
        <v>62306.156569525861</v>
      </c>
      <c r="T36" s="105">
        <f t="shared" si="39"/>
        <v>64.028097971150643</v>
      </c>
      <c r="U36" s="116"/>
      <c r="V36" s="105">
        <f t="shared" si="54"/>
        <v>8665441.5956847798</v>
      </c>
      <c r="W36" s="106">
        <f t="shared" si="41"/>
        <v>533280</v>
      </c>
      <c r="X36" s="105">
        <f>V36*'Baseline Given'!K37/'Baseline Given'!L37</f>
        <v>63032405.344821788</v>
      </c>
      <c r="Y36" s="105">
        <f>W36/'Baseline Given'!M37</f>
        <v>62306.156569525861</v>
      </c>
      <c r="Z36" s="105">
        <f t="shared" si="55"/>
        <v>63.094711501391316</v>
      </c>
      <c r="AB36" s="105">
        <f t="shared" si="56"/>
        <v>8268468.1334097022</v>
      </c>
      <c r="AC36" s="106">
        <f t="shared" si="42"/>
        <v>533280</v>
      </c>
      <c r="AD36" s="105">
        <f>AB36*'Baseline Given'!K37/'Baseline Given'!L37</f>
        <v>60144821.150875971</v>
      </c>
      <c r="AE36" s="105">
        <f>AC36/'Baseline Given'!M37</f>
        <v>62306.156569525861</v>
      </c>
      <c r="AF36" s="105">
        <f t="shared" si="57"/>
        <v>60.207127307445496</v>
      </c>
      <c r="AH36" s="105">
        <f t="shared" si="58"/>
        <v>7620261.4509477299</v>
      </c>
      <c r="AI36" s="106">
        <f t="shared" si="43"/>
        <v>533280</v>
      </c>
      <c r="AJ36" s="105">
        <f>AH36*'Baseline Given'!K37/'Baseline Given'!L37</f>
        <v>55429767.001008786</v>
      </c>
      <c r="AK36" s="105">
        <f>AI36/'Baseline Given'!M37</f>
        <v>62306.156569525861</v>
      </c>
      <c r="AL36" s="105">
        <f t="shared" si="59"/>
        <v>55.492073157578311</v>
      </c>
      <c r="AN36" s="105">
        <f t="shared" si="60"/>
        <v>6740516.9803370619</v>
      </c>
      <c r="AO36" s="106">
        <f t="shared" si="44"/>
        <v>533280</v>
      </c>
      <c r="AP36" s="105">
        <f>AN36*'Baseline Given'!K37/'Baseline Given'!L37</f>
        <v>49030507.429631434</v>
      </c>
      <c r="AQ36" s="105">
        <f>AO36/'Baseline Given'!M37</f>
        <v>62306.156569525861</v>
      </c>
      <c r="AR36" s="105">
        <f t="shared" si="61"/>
        <v>49.092813586200961</v>
      </c>
      <c r="AT36" s="105">
        <f t="shared" si="62"/>
        <v>5655965.3121450227</v>
      </c>
      <c r="AU36" s="106">
        <f t="shared" si="45"/>
        <v>533280</v>
      </c>
      <c r="AV36" s="105">
        <f>AT36*'Baseline Given'!K37/'Baseline Given'!L37</f>
        <v>41141480.700638629</v>
      </c>
      <c r="AW36" s="105">
        <f>AU36/'Baseline Given'!M37</f>
        <v>62306.156569525861</v>
      </c>
      <c r="AX36" s="105">
        <f t="shared" si="63"/>
        <v>41.203786857208158</v>
      </c>
      <c r="AZ36" s="105">
        <f t="shared" si="64"/>
        <v>4399560.0000000009</v>
      </c>
      <c r="BA36" s="106">
        <f t="shared" si="46"/>
        <v>533280</v>
      </c>
      <c r="BB36" s="105">
        <f>AZ36*'Baseline Given'!K37/'Baseline Given'!L37</f>
        <v>32002390.899150666</v>
      </c>
      <c r="BC36" s="105">
        <f>BA36/'Baseline Given'!M37</f>
        <v>62306.156569525861</v>
      </c>
      <c r="BD36" s="105">
        <f t="shared" si="65"/>
        <v>32.064697055720188</v>
      </c>
      <c r="BF36" s="105">
        <f t="shared" si="66"/>
        <v>3009476.283539759</v>
      </c>
      <c r="BG36" s="106">
        <f t="shared" si="47"/>
        <v>533280</v>
      </c>
      <c r="BH36" s="105">
        <f>BF36*'Baseline Given'!K37/'Baseline Given'!L37</f>
        <v>21890924.644183174</v>
      </c>
      <c r="BI36" s="105">
        <f>BG36/'Baseline Given'!M37</f>
        <v>62306.156569525861</v>
      </c>
      <c r="BJ36" s="105">
        <f t="shared" si="67"/>
        <v>21.953230800752699</v>
      </c>
      <c r="BL36" s="105">
        <f t="shared" si="68"/>
        <v>1527951.1530726408</v>
      </c>
      <c r="BM36" s="106">
        <f t="shared" si="48"/>
        <v>533280</v>
      </c>
      <c r="BN36" s="106">
        <f>BL36*'Baseline Given'!K37/'Baseline Given'!L37</f>
        <v>11114313.72124454</v>
      </c>
      <c r="BO36" s="105">
        <f>BM36/'Baseline Given'!M37</f>
        <v>62306.156569525861</v>
      </c>
      <c r="BP36" s="105">
        <f t="shared" si="69"/>
        <v>11.176619877814066</v>
      </c>
      <c r="BR36" s="105">
        <f t="shared" si="70"/>
        <v>5.3901141362777683E-10</v>
      </c>
      <c r="BS36" s="106">
        <f t="shared" si="49"/>
        <v>533280</v>
      </c>
      <c r="BT36" s="106">
        <f>BR36*'Baseline Given'!K37/'Baseline Given'!L37</f>
        <v>3.9207679763476113E-9</v>
      </c>
      <c r="BU36" s="105">
        <f>BS36/'Baseline Given'!M37</f>
        <v>62306.156569525861</v>
      </c>
      <c r="BV36" s="105">
        <f t="shared" si="71"/>
        <v>6.2306156569529786E-2</v>
      </c>
      <c r="BX36" s="104">
        <v>150</v>
      </c>
      <c r="BY36" s="104">
        <v>-150</v>
      </c>
    </row>
    <row r="37" spans="1:77" x14ac:dyDescent="0.25">
      <c r="A37" s="18">
        <f>'Baseline Given'!E38</f>
        <v>35</v>
      </c>
      <c r="B37" s="18">
        <f t="shared" si="50"/>
        <v>33</v>
      </c>
      <c r="C37" s="18">
        <f t="shared" si="72"/>
        <v>16.5</v>
      </c>
      <c r="D37" s="18">
        <f t="shared" si="73"/>
        <v>35</v>
      </c>
      <c r="E37" s="18">
        <v>0</v>
      </c>
      <c r="F37" s="18">
        <f t="shared" si="74"/>
        <v>33</v>
      </c>
      <c r="H37" s="104">
        <f t="shared" si="75"/>
        <v>34</v>
      </c>
      <c r="I37" s="104">
        <f t="shared" si="76"/>
        <v>0.59341194567807209</v>
      </c>
      <c r="J37" s="111">
        <f>'Baseline Given'!$B$28*SIN('Baseline-tilt up (1 pt)'!I37)</f>
        <v>15.517603071313227</v>
      </c>
      <c r="K37" s="104">
        <f>'Baseline Given'!$B$26*COS('Baseline-tilt up (1 pt)'!I37)*'Baseline Given'!$B$28</f>
        <v>24907221.399966363</v>
      </c>
      <c r="L37" s="107">
        <f t="shared" si="51"/>
        <v>1605094.6325603179</v>
      </c>
      <c r="M37" s="104">
        <f>'Baseline Given'!$B$26*COS('Baseline-tilt up (1 pt)'!I37)</f>
        <v>897557.52792671579</v>
      </c>
      <c r="N37" s="104">
        <f t="shared" si="52"/>
        <v>1330683.7578989323</v>
      </c>
      <c r="P37" s="105">
        <f t="shared" si="53"/>
        <v>8268879.7514898367</v>
      </c>
      <c r="Q37" s="106">
        <f t="shared" si="40"/>
        <v>517120</v>
      </c>
      <c r="R37" s="105">
        <f>P37*'Baseline Given'!K38/'Baseline Given'!L38</f>
        <v>60646737.229890347</v>
      </c>
      <c r="S37" s="105">
        <f>Q37/'Baseline Given'!M38</f>
        <v>61146.833409745035</v>
      </c>
      <c r="T37" s="105">
        <f t="shared" si="39"/>
        <v>60.707884063300085</v>
      </c>
      <c r="U37" s="116"/>
      <c r="V37" s="105">
        <f t="shared" si="54"/>
        <v>8148220.5638027685</v>
      </c>
      <c r="W37" s="106">
        <f t="shared" si="41"/>
        <v>517120</v>
      </c>
      <c r="X37" s="105">
        <f>V37*'Baseline Given'!K38/'Baseline Given'!L38</f>
        <v>59761782.281946987</v>
      </c>
      <c r="Y37" s="105">
        <f>W37/'Baseline Given'!M38</f>
        <v>61146.833409745035</v>
      </c>
      <c r="Z37" s="105">
        <f t="shared" si="55"/>
        <v>59.822929115356729</v>
      </c>
      <c r="AB37" s="105">
        <f t="shared" si="56"/>
        <v>7774941.5689729434</v>
      </c>
      <c r="AC37" s="106">
        <f t="shared" si="42"/>
        <v>517120</v>
      </c>
      <c r="AD37" s="105">
        <f>AB37*'Baseline Given'!K38/'Baseline Given'!L38</f>
        <v>57024028.94736702</v>
      </c>
      <c r="AE37" s="105">
        <f>AC37/'Baseline Given'!M38</f>
        <v>61146.833409745035</v>
      </c>
      <c r="AF37" s="105">
        <f t="shared" si="57"/>
        <v>57.085175780776758</v>
      </c>
      <c r="AH37" s="105">
        <f t="shared" si="58"/>
        <v>7165424.9088801434</v>
      </c>
      <c r="AI37" s="106">
        <f t="shared" si="43"/>
        <v>517120</v>
      </c>
      <c r="AJ37" s="105">
        <f>AH37*'Baseline Given'!K38/'Baseline Given'!L38</f>
        <v>52553629.348772272</v>
      </c>
      <c r="AK37" s="105">
        <f>AI37/'Baseline Given'!M38</f>
        <v>61146.833409745035</v>
      </c>
      <c r="AL37" s="105">
        <f t="shared" si="59"/>
        <v>52.614776182182013</v>
      </c>
      <c r="AN37" s="105">
        <f t="shared" si="60"/>
        <v>6338190.4388109744</v>
      </c>
      <c r="AO37" s="106">
        <f t="shared" si="44"/>
        <v>517120</v>
      </c>
      <c r="AP37" s="105">
        <f>AN37*'Baseline Given'!K38/'Baseline Given'!L38</f>
        <v>46486414.315834671</v>
      </c>
      <c r="AQ37" s="105">
        <f>AO37/'Baseline Given'!M38</f>
        <v>61146.833409745035</v>
      </c>
      <c r="AR37" s="105">
        <f t="shared" si="61"/>
        <v>46.547561149244416</v>
      </c>
      <c r="AT37" s="105">
        <f t="shared" si="62"/>
        <v>5318373.2595376521</v>
      </c>
      <c r="AU37" s="106">
        <f t="shared" si="45"/>
        <v>517120</v>
      </c>
      <c r="AV37" s="105">
        <f>AT37*'Baseline Given'!K38/'Baseline Given'!L38</f>
        <v>39006733.107171111</v>
      </c>
      <c r="AW37" s="105">
        <f>AU37/'Baseline Given'!M38</f>
        <v>61146.833409745035</v>
      </c>
      <c r="AX37" s="105">
        <f t="shared" si="63"/>
        <v>39.067879940580852</v>
      </c>
      <c r="AZ37" s="105">
        <f t="shared" si="64"/>
        <v>4136960.0000000009</v>
      </c>
      <c r="BA37" s="106">
        <f t="shared" si="46"/>
        <v>517120</v>
      </c>
      <c r="BB37" s="105">
        <f>AZ37*'Baseline Given'!K38/'Baseline Given'!L38</f>
        <v>30341852.051405493</v>
      </c>
      <c r="BC37" s="105">
        <f>BA37/'Baseline Given'!M38</f>
        <v>61146.833409745035</v>
      </c>
      <c r="BD37" s="105">
        <f t="shared" si="65"/>
        <v>30.40299888481524</v>
      </c>
      <c r="BF37" s="105">
        <f t="shared" si="66"/>
        <v>2829847.3042651177</v>
      </c>
      <c r="BG37" s="106">
        <f t="shared" si="47"/>
        <v>517120</v>
      </c>
      <c r="BH37" s="105">
        <f>BF37*'Baseline Given'!K38/'Baseline Given'!L38</f>
        <v>20755049.174775887</v>
      </c>
      <c r="BI37" s="105">
        <f>BG37/'Baseline Given'!M38</f>
        <v>61146.833409745035</v>
      </c>
      <c r="BJ37" s="105">
        <f t="shared" si="67"/>
        <v>20.816196008185631</v>
      </c>
      <c r="BL37" s="105">
        <f t="shared" si="68"/>
        <v>1436751.130161969</v>
      </c>
      <c r="BM37" s="106">
        <f t="shared" si="48"/>
        <v>517120</v>
      </c>
      <c r="BN37" s="106">
        <f>BL37*'Baseline Given'!K38/'Baseline Given'!L38</f>
        <v>10537614.631532354</v>
      </c>
      <c r="BO37" s="105">
        <f>BM37/'Baseline Given'!M38</f>
        <v>61146.833409745035</v>
      </c>
      <c r="BP37" s="105">
        <f t="shared" si="69"/>
        <v>10.598761464942099</v>
      </c>
      <c r="BR37" s="105">
        <f t="shared" si="70"/>
        <v>5.0683901520187646E-10</v>
      </c>
      <c r="BS37" s="106">
        <f t="shared" si="49"/>
        <v>517120</v>
      </c>
      <c r="BT37" s="106">
        <f>BR37*'Baseline Given'!K38/'Baseline Given'!L38</f>
        <v>3.7173273159845374E-9</v>
      </c>
      <c r="BU37" s="105">
        <f>BS37/'Baseline Given'!M38</f>
        <v>61146.833409745035</v>
      </c>
      <c r="BV37" s="105">
        <f t="shared" si="71"/>
        <v>6.1146833409748753E-2</v>
      </c>
      <c r="BX37" s="104">
        <v>150</v>
      </c>
      <c r="BY37" s="104">
        <v>-150</v>
      </c>
    </row>
    <row r="38" spans="1:77" x14ac:dyDescent="0.25">
      <c r="A38" s="18">
        <f>'Baseline Given'!E39</f>
        <v>36</v>
      </c>
      <c r="B38" s="18">
        <f t="shared" si="50"/>
        <v>32</v>
      </c>
      <c r="C38" s="18">
        <f t="shared" si="72"/>
        <v>16</v>
      </c>
      <c r="D38" s="18">
        <f t="shared" si="73"/>
        <v>36</v>
      </c>
      <c r="E38" s="18">
        <v>0</v>
      </c>
      <c r="F38" s="18">
        <f t="shared" si="74"/>
        <v>32</v>
      </c>
      <c r="H38" s="104">
        <f t="shared" si="75"/>
        <v>35</v>
      </c>
      <c r="I38" s="104">
        <f t="shared" si="76"/>
        <v>0.6108652381980153</v>
      </c>
      <c r="J38" s="111">
        <f>'Baseline Given'!$B$28*SIN('Baseline-tilt up (1 pt)'!I38)</f>
        <v>15.916746108741528</v>
      </c>
      <c r="K38" s="104">
        <f>'Baseline Given'!$B$26*COS('Baseline-tilt up (1 pt)'!I38)*'Baseline Given'!$B$28</f>
        <v>24610225.160797983</v>
      </c>
      <c r="L38" s="107">
        <f t="shared" si="51"/>
        <v>1546184.4394993503</v>
      </c>
      <c r="M38" s="104">
        <f>'Baseline Given'!$B$26*COS('Baseline-tilt up (1 pt)'!I38)</f>
        <v>886854.96074947692</v>
      </c>
      <c r="N38" s="104">
        <f t="shared" si="52"/>
        <v>1266560.1444637217</v>
      </c>
      <c r="P38" s="105">
        <f t="shared" si="53"/>
        <v>7760149.8449040363</v>
      </c>
      <c r="Q38" s="106">
        <f t="shared" si="40"/>
        <v>500960</v>
      </c>
      <c r="R38" s="105">
        <f>P38*'Baseline Given'!K39/'Baseline Given'!L39</f>
        <v>57391600.844189465</v>
      </c>
      <c r="S38" s="105">
        <f>Q38/'Baseline Given'!M39</f>
        <v>59954.81405319777</v>
      </c>
      <c r="T38" s="105">
        <f t="shared" si="39"/>
        <v>57.451555658242668</v>
      </c>
      <c r="U38" s="116"/>
      <c r="V38" s="105">
        <f t="shared" si="54"/>
        <v>7646914.0252094334</v>
      </c>
      <c r="W38" s="106">
        <f t="shared" si="41"/>
        <v>500960</v>
      </c>
      <c r="X38" s="105">
        <f>V38*'Baseline Given'!K39/'Baseline Given'!L39</f>
        <v>56554144.726065032</v>
      </c>
      <c r="Y38" s="105">
        <f>W38/'Baseline Given'!M39</f>
        <v>59954.81405319777</v>
      </c>
      <c r="Z38" s="105">
        <f t="shared" si="55"/>
        <v>56.614099540118232</v>
      </c>
      <c r="AB38" s="105">
        <f t="shared" si="56"/>
        <v>7296600.437288085</v>
      </c>
      <c r="AC38" s="106">
        <f t="shared" si="42"/>
        <v>500960</v>
      </c>
      <c r="AD38" s="105">
        <f>AB38*'Baseline Given'!K39/'Baseline Given'!L39</f>
        <v>53963336.815122366</v>
      </c>
      <c r="AE38" s="105">
        <f>AC38/'Baseline Given'!M39</f>
        <v>59954.81405319777</v>
      </c>
      <c r="AF38" s="105">
        <f t="shared" si="57"/>
        <v>54.023291629175567</v>
      </c>
      <c r="AH38" s="105">
        <f t="shared" si="58"/>
        <v>6724583.3373377128</v>
      </c>
      <c r="AI38" s="106">
        <f t="shared" si="43"/>
        <v>500960</v>
      </c>
      <c r="AJ38" s="105">
        <f>AH38*'Baseline Given'!K39/'Baseline Given'!L39</f>
        <v>49732880.221818194</v>
      </c>
      <c r="AK38" s="105">
        <f>AI38/'Baseline Given'!M39</f>
        <v>59954.81405319777</v>
      </c>
      <c r="AL38" s="105">
        <f t="shared" si="59"/>
        <v>49.792835035871391</v>
      </c>
      <c r="AN38" s="105">
        <f t="shared" si="60"/>
        <v>5948243.1754856901</v>
      </c>
      <c r="AO38" s="106">
        <f t="shared" si="44"/>
        <v>500960</v>
      </c>
      <c r="AP38" s="105">
        <f>AN38*'Baseline Given'!K39/'Baseline Given'!L39</f>
        <v>43991315.229025759</v>
      </c>
      <c r="AQ38" s="105">
        <f>AO38/'Baseline Given'!M39</f>
        <v>59954.81405319777</v>
      </c>
      <c r="AR38" s="105">
        <f t="shared" si="61"/>
        <v>44.051270043078958</v>
      </c>
      <c r="AT38" s="105">
        <f t="shared" si="62"/>
        <v>4991168.6547028162</v>
      </c>
      <c r="AU38" s="106">
        <f t="shared" si="45"/>
        <v>500960</v>
      </c>
      <c r="AV38" s="105">
        <f>AT38*'Baseline Given'!K39/'Baseline Given'!L39</f>
        <v>36913096.38367898</v>
      </c>
      <c r="AW38" s="105">
        <f>AU38/'Baseline Given'!M39</f>
        <v>59954.81405319777</v>
      </c>
      <c r="AX38" s="105">
        <f t="shared" si="63"/>
        <v>36.973051197732183</v>
      </c>
      <c r="AZ38" s="105">
        <f t="shared" si="64"/>
        <v>3882440.0000000009</v>
      </c>
      <c r="BA38" s="106">
        <f t="shared" si="46"/>
        <v>500960</v>
      </c>
      <c r="BB38" s="105">
        <f>AZ38*'Baseline Given'!K39/'Baseline Given'!L39</f>
        <v>28713291.783642154</v>
      </c>
      <c r="BC38" s="105">
        <f>BA38/'Baseline Given'!M39</f>
        <v>59954.81405319777</v>
      </c>
      <c r="BD38" s="105">
        <f t="shared" si="65"/>
        <v>28.773246597695351</v>
      </c>
      <c r="BF38" s="105">
        <f t="shared" si="66"/>
        <v>2655745.3705066196</v>
      </c>
      <c r="BG38" s="106">
        <f t="shared" si="47"/>
        <v>500960</v>
      </c>
      <c r="BH38" s="105">
        <f>BF38*'Baseline Given'!K39/'Baseline Given'!L39</f>
        <v>19641048.342386078</v>
      </c>
      <c r="BI38" s="105">
        <f>BG38/'Baseline Given'!M39</f>
        <v>59954.81405319777</v>
      </c>
      <c r="BJ38" s="105">
        <f t="shared" si="67"/>
        <v>19.701003156439274</v>
      </c>
      <c r="BL38" s="105">
        <f t="shared" si="68"/>
        <v>1348357.2618023946</v>
      </c>
      <c r="BM38" s="106">
        <f t="shared" si="48"/>
        <v>500960</v>
      </c>
      <c r="BN38" s="106">
        <f>BL38*'Baseline Given'!K39/'Baseline Given'!L39</f>
        <v>9972021.5860966109</v>
      </c>
      <c r="BO38" s="105">
        <f>BM38/'Baseline Given'!M39</f>
        <v>59954.81405319777</v>
      </c>
      <c r="BP38" s="105">
        <f t="shared" si="69"/>
        <v>10.031976400149809</v>
      </c>
      <c r="BR38" s="105">
        <f t="shared" si="70"/>
        <v>4.7565653672754227E-10</v>
      </c>
      <c r="BS38" s="106">
        <f t="shared" si="49"/>
        <v>500960</v>
      </c>
      <c r="BT38" s="106">
        <f>BR38*'Baseline Given'!K39/'Baseline Given'!L39</f>
        <v>3.5178045064069553E-9</v>
      </c>
      <c r="BU38" s="105">
        <f>BS38/'Baseline Given'!M39</f>
        <v>59954.81405319777</v>
      </c>
      <c r="BV38" s="105">
        <f t="shared" si="71"/>
        <v>5.9954814053201286E-2</v>
      </c>
      <c r="BX38" s="104">
        <v>150</v>
      </c>
      <c r="BY38" s="104">
        <v>-150</v>
      </c>
    </row>
    <row r="39" spans="1:77" x14ac:dyDescent="0.25">
      <c r="A39" s="18">
        <f>'Baseline Given'!E40</f>
        <v>37</v>
      </c>
      <c r="B39" s="18">
        <f t="shared" si="50"/>
        <v>31</v>
      </c>
      <c r="C39" s="18">
        <f t="shared" si="72"/>
        <v>15.5</v>
      </c>
      <c r="D39" s="18">
        <f t="shared" si="73"/>
        <v>37</v>
      </c>
      <c r="E39" s="18">
        <v>0</v>
      </c>
      <c r="F39" s="18">
        <f t="shared" si="74"/>
        <v>31</v>
      </c>
      <c r="H39" s="104">
        <f t="shared" si="75"/>
        <v>36</v>
      </c>
      <c r="I39" s="104">
        <f t="shared" si="76"/>
        <v>0.62831853071795862</v>
      </c>
      <c r="J39" s="111">
        <f>'Baseline Given'!$B$28*SIN('Baseline-tilt up (1 pt)'!I39)</f>
        <v>16.311040751116131</v>
      </c>
      <c r="K39" s="104">
        <f>'Baseline Given'!$B$26*COS('Baseline-tilt up (1 pt)'!I39)*'Baseline Given'!$B$28</f>
        <v>24305732.408641025</v>
      </c>
      <c r="L39" s="107">
        <f t="shared" si="51"/>
        <v>1490139.886198116</v>
      </c>
      <c r="M39" s="104">
        <f>'Baseline Given'!$B$26*COS('Baseline-tilt up (1 pt)'!I39)</f>
        <v>875882.2489600369</v>
      </c>
      <c r="N39" s="104">
        <f t="shared" si="52"/>
        <v>1205548.4919302261</v>
      </c>
      <c r="P39" s="105">
        <f t="shared" si="53"/>
        <v>7267570.094082864</v>
      </c>
      <c r="Q39" s="106">
        <f t="shared" si="40"/>
        <v>484800</v>
      </c>
      <c r="R39" s="105">
        <f>P39*'Baseline Given'!K40/'Baseline Given'!L40</f>
        <v>54202000.081445418</v>
      </c>
      <c r="S39" s="105">
        <f>Q39/'Baseline Given'!M40</f>
        <v>58729.15858323987</v>
      </c>
      <c r="T39" s="105">
        <f t="shared" si="39"/>
        <v>54.26072924002866</v>
      </c>
      <c r="U39" s="116"/>
      <c r="V39" s="105">
        <f t="shared" si="54"/>
        <v>7161521.9799047764</v>
      </c>
      <c r="W39" s="106">
        <f t="shared" si="41"/>
        <v>484800</v>
      </c>
      <c r="X39" s="105">
        <f>V39*'Baseline Given'!K40/'Baseline Given'!L40</f>
        <v>53411086.499752171</v>
      </c>
      <c r="Y39" s="105">
        <f>W39/'Baseline Given'!M40</f>
        <v>58729.15858323987</v>
      </c>
      <c r="Z39" s="105">
        <f t="shared" si="55"/>
        <v>53.469815658335413</v>
      </c>
      <c r="AB39" s="105">
        <f t="shared" si="56"/>
        <v>6833444.7383551262</v>
      </c>
      <c r="AC39" s="106">
        <f t="shared" si="42"/>
        <v>484800</v>
      </c>
      <c r="AD39" s="105">
        <f>AB39*'Baseline Given'!K40/'Baseline Given'!L40</f>
        <v>50964265.561943442</v>
      </c>
      <c r="AE39" s="105">
        <f>AC39/'Baseline Given'!M40</f>
        <v>58729.15858323987</v>
      </c>
      <c r="AF39" s="105">
        <f t="shared" si="57"/>
        <v>51.022994720526682</v>
      </c>
      <c r="AH39" s="105">
        <f t="shared" si="58"/>
        <v>6297736.7363204379</v>
      </c>
      <c r="AI39" s="106">
        <f t="shared" si="43"/>
        <v>484800</v>
      </c>
      <c r="AJ39" s="105">
        <f>AH39*'Baseline Given'!K40/'Baseline Given'!L40</f>
        <v>46968921.204197772</v>
      </c>
      <c r="AK39" s="105">
        <f>AI39/'Baseline Given'!M40</f>
        <v>58729.15858323987</v>
      </c>
      <c r="AL39" s="105">
        <f t="shared" si="59"/>
        <v>47.02765036278101</v>
      </c>
      <c r="AN39" s="105">
        <f t="shared" si="60"/>
        <v>5570675.1903612083</v>
      </c>
      <c r="AO39" s="106">
        <f t="shared" si="44"/>
        <v>484800</v>
      </c>
      <c r="AP39" s="105">
        <f>AN39*'Baseline Given'!K40/'Baseline Given'!L40</f>
        <v>41546449.94308348</v>
      </c>
      <c r="AQ39" s="105">
        <f>AO39/'Baseline Given'!M40</f>
        <v>58729.15858323987</v>
      </c>
      <c r="AR39" s="105">
        <f t="shared" si="61"/>
        <v>41.605179101666721</v>
      </c>
      <c r="AT39" s="105">
        <f t="shared" si="62"/>
        <v>4674351.4976405138</v>
      </c>
      <c r="AU39" s="106">
        <f t="shared" si="45"/>
        <v>484800</v>
      </c>
      <c r="AV39" s="105">
        <f>AT39*'Baseline Given'!K40/'Baseline Given'!L40</f>
        <v>34861610.823966675</v>
      </c>
      <c r="AW39" s="105">
        <f>AU39/'Baseline Given'!M40</f>
        <v>58729.15858323987</v>
      </c>
      <c r="AX39" s="105">
        <f t="shared" si="63"/>
        <v>34.920339982549912</v>
      </c>
      <c r="AZ39" s="105">
        <f t="shared" si="64"/>
        <v>3636000.0000000009</v>
      </c>
      <c r="BA39" s="106">
        <f t="shared" si="46"/>
        <v>484800</v>
      </c>
      <c r="BB39" s="105">
        <f>AZ39*'Baseline Given'!K40/'Baseline Given'!L40</f>
        <v>27117519.300789911</v>
      </c>
      <c r="BC39" s="105">
        <f>BA39/'Baseline Given'!M40</f>
        <v>58729.15858323987</v>
      </c>
      <c r="BD39" s="105">
        <f t="shared" si="65"/>
        <v>27.176248459373149</v>
      </c>
      <c r="BF39" s="105">
        <f t="shared" si="66"/>
        <v>2487170.4822642636</v>
      </c>
      <c r="BG39" s="106">
        <f t="shared" si="47"/>
        <v>484800</v>
      </c>
      <c r="BH39" s="105">
        <f>BF39*'Baseline Given'!K40/'Baseline Given'!L40</f>
        <v>18549475.675785508</v>
      </c>
      <c r="BI39" s="105">
        <f>BG39/'Baseline Given'!M40</f>
        <v>58729.15858323987</v>
      </c>
      <c r="BJ39" s="105">
        <f t="shared" si="67"/>
        <v>18.608204834368745</v>
      </c>
      <c r="BL39" s="105">
        <f t="shared" si="68"/>
        <v>1262769.5479939179</v>
      </c>
      <c r="BM39" s="106">
        <f t="shared" si="48"/>
        <v>484800</v>
      </c>
      <c r="BN39" s="106">
        <f>BL39*'Baseline Given'!K40/'Baseline Given'!L40</f>
        <v>9417815.6188599598</v>
      </c>
      <c r="BO39" s="105">
        <f>BM39/'Baseline Given'!M40</f>
        <v>58729.15858323987</v>
      </c>
      <c r="BP39" s="105">
        <f t="shared" si="69"/>
        <v>9.4765447774432001</v>
      </c>
      <c r="BR39" s="105">
        <f t="shared" si="70"/>
        <v>4.4546397820477424E-10</v>
      </c>
      <c r="BS39" s="106">
        <f t="shared" si="49"/>
        <v>484800</v>
      </c>
      <c r="BT39" s="106">
        <f>BR39*'Baseline Given'!K40/'Baseline Given'!L40</f>
        <v>3.322298687231743E-9</v>
      </c>
      <c r="BU39" s="105">
        <f>BS39/'Baseline Given'!M40</f>
        <v>58729.15858323987</v>
      </c>
      <c r="BV39" s="105">
        <f t="shared" si="71"/>
        <v>5.8729158583243193E-2</v>
      </c>
      <c r="BX39" s="104">
        <v>150</v>
      </c>
      <c r="BY39" s="104">
        <v>-150</v>
      </c>
    </row>
    <row r="40" spans="1:77" x14ac:dyDescent="0.25">
      <c r="A40" s="18">
        <f>'Baseline Given'!E41</f>
        <v>38</v>
      </c>
      <c r="B40" s="18">
        <f t="shared" si="50"/>
        <v>30</v>
      </c>
      <c r="C40" s="18">
        <f t="shared" si="72"/>
        <v>15</v>
      </c>
      <c r="D40" s="18">
        <f t="shared" si="73"/>
        <v>38</v>
      </c>
      <c r="E40" s="18">
        <v>0</v>
      </c>
      <c r="F40" s="18">
        <f t="shared" si="74"/>
        <v>30</v>
      </c>
      <c r="H40" s="104">
        <f t="shared" si="75"/>
        <v>37</v>
      </c>
      <c r="I40" s="104">
        <f t="shared" si="76"/>
        <v>0.64577182323790194</v>
      </c>
      <c r="J40" s="111">
        <f>'Baseline Given'!$B$28*SIN('Baseline-tilt up (1 pt)'!I40)</f>
        <v>16.70036689246934</v>
      </c>
      <c r="K40" s="104">
        <f>'Baseline Given'!$B$26*COS('Baseline-tilt up (1 pt)'!I40)*'Baseline Given'!$B$28</f>
        <v>23993835.894937471</v>
      </c>
      <c r="L40" s="107">
        <f t="shared" si="51"/>
        <v>1436725.0761273371</v>
      </c>
      <c r="M40" s="104">
        <f>'Baseline Given'!$B$26*COS('Baseline-tilt up (1 pt)'!I40)</f>
        <v>864642.7349527016</v>
      </c>
      <c r="N40" s="104">
        <f t="shared" si="52"/>
        <v>1147419.6639706914</v>
      </c>
      <c r="P40" s="105">
        <f t="shared" si="53"/>
        <v>6791140.4990263209</v>
      </c>
      <c r="Q40" s="106">
        <f t="shared" si="40"/>
        <v>468640</v>
      </c>
      <c r="R40" s="105">
        <f>P40*'Baseline Given'!K41/'Baseline Given'!L41</f>
        <v>51079607.4008452</v>
      </c>
      <c r="S40" s="105">
        <f>Q40/'Baseline Given'!M41</f>
        <v>57468.895610643827</v>
      </c>
      <c r="T40" s="105">
        <f t="shared" si="39"/>
        <v>51.137076296455845</v>
      </c>
      <c r="U40" s="116"/>
      <c r="V40" s="105">
        <f t="shared" si="54"/>
        <v>6692044.4278887967</v>
      </c>
      <c r="W40" s="106">
        <f t="shared" si="41"/>
        <v>468640</v>
      </c>
      <c r="X40" s="105">
        <f>V40*'Baseline Given'!K41/'Baseline Given'!L41</f>
        <v>50334255.657732733</v>
      </c>
      <c r="Y40" s="105">
        <f>W40/'Baseline Given'!M41</f>
        <v>57468.895610643827</v>
      </c>
      <c r="Z40" s="105">
        <f t="shared" si="55"/>
        <v>50.39172455334338</v>
      </c>
      <c r="AB40" s="105">
        <f t="shared" si="56"/>
        <v>6385474.472174068</v>
      </c>
      <c r="AC40" s="106">
        <f t="shared" si="42"/>
        <v>468640</v>
      </c>
      <c r="AD40" s="105">
        <f>AB40*'Baseline Given'!K41/'Baseline Given'!L41</f>
        <v>48028387.743345149</v>
      </c>
      <c r="AE40" s="105">
        <f>AC40/'Baseline Given'!M41</f>
        <v>57468.895610643827</v>
      </c>
      <c r="AF40" s="105">
        <f t="shared" si="57"/>
        <v>48.085856638955796</v>
      </c>
      <c r="AH40" s="105">
        <f t="shared" si="58"/>
        <v>5884885.1058283206</v>
      </c>
      <c r="AI40" s="106">
        <f t="shared" si="43"/>
        <v>468640</v>
      </c>
      <c r="AJ40" s="105">
        <f>AH40*'Baseline Given'!K41/'Baseline Given'!L41</f>
        <v>44263201.570912883</v>
      </c>
      <c r="AK40" s="105">
        <f>AI40/'Baseline Given'!M41</f>
        <v>57468.895610643827</v>
      </c>
      <c r="AL40" s="105">
        <f t="shared" si="59"/>
        <v>44.320670466523531</v>
      </c>
      <c r="AN40" s="105">
        <f t="shared" si="60"/>
        <v>5205486.4834375288</v>
      </c>
      <c r="AO40" s="106">
        <f t="shared" si="44"/>
        <v>468640</v>
      </c>
      <c r="AP40" s="105">
        <f>AN40*'Baseline Given'!K41/'Baseline Given'!L41</f>
        <v>39153100.41700916</v>
      </c>
      <c r="AQ40" s="105">
        <f>AO40/'Baseline Given'!M41</f>
        <v>57468.895610643827</v>
      </c>
      <c r="AR40" s="105">
        <f t="shared" si="61"/>
        <v>39.210569312619803</v>
      </c>
      <c r="AT40" s="105">
        <f t="shared" si="62"/>
        <v>4367921.788350747</v>
      </c>
      <c r="AU40" s="106">
        <f t="shared" si="45"/>
        <v>468640</v>
      </c>
      <c r="AV40" s="105">
        <f>AT40*'Baseline Given'!K41/'Baseline Given'!L41</f>
        <v>32853352.1193594</v>
      </c>
      <c r="AW40" s="105">
        <f>AU40/'Baseline Given'!M41</f>
        <v>57468.895610643827</v>
      </c>
      <c r="AX40" s="105">
        <f t="shared" si="63"/>
        <v>32.910821014970047</v>
      </c>
      <c r="AZ40" s="105">
        <f t="shared" si="64"/>
        <v>3397640.0000000009</v>
      </c>
      <c r="BA40" s="106">
        <f t="shared" si="46"/>
        <v>468640</v>
      </c>
      <c r="BB40" s="105">
        <f>AZ40*'Baseline Given'!K41/'Baseline Given'!L41</f>
        <v>25555371.342161227</v>
      </c>
      <c r="BC40" s="105">
        <f>BA40/'Baseline Given'!M41</f>
        <v>57468.895610643827</v>
      </c>
      <c r="BD40" s="105">
        <f t="shared" si="65"/>
        <v>25.612840237771874</v>
      </c>
      <c r="BF40" s="105">
        <f t="shared" si="66"/>
        <v>2324122.6395380506</v>
      </c>
      <c r="BG40" s="106">
        <f t="shared" si="47"/>
        <v>468640</v>
      </c>
      <c r="BH40" s="105">
        <f>BF40*'Baseline Given'!K41/'Baseline Given'!L41</f>
        <v>17480903.53837334</v>
      </c>
      <c r="BI40" s="105">
        <f>BG40/'Baseline Given'!M41</f>
        <v>57468.895610643827</v>
      </c>
      <c r="BJ40" s="105">
        <f t="shared" si="67"/>
        <v>17.538372433983984</v>
      </c>
      <c r="BL40" s="105">
        <f t="shared" si="68"/>
        <v>1179987.9887365389</v>
      </c>
      <c r="BM40" s="106">
        <f t="shared" si="48"/>
        <v>468640</v>
      </c>
      <c r="BN40" s="106">
        <f>BL40*'Baseline Given'!K41/'Baseline Given'!L41</f>
        <v>8875287.3263359871</v>
      </c>
      <c r="BO40" s="105">
        <f>BM40/'Baseline Given'!M41</f>
        <v>57468.895610643827</v>
      </c>
      <c r="BP40" s="105">
        <f t="shared" si="69"/>
        <v>8.9327562219466312</v>
      </c>
      <c r="BR40" s="105">
        <f t="shared" si="70"/>
        <v>4.1626133963357237E-10</v>
      </c>
      <c r="BS40" s="106">
        <f t="shared" si="49"/>
        <v>468640</v>
      </c>
      <c r="BT40" s="106">
        <f>BR40*'Baseline Given'!K41/'Baseline Given'!L41</f>
        <v>3.1309123714464844E-9</v>
      </c>
      <c r="BU40" s="105">
        <f>BS40/'Baseline Given'!M41</f>
        <v>57468.895610643827</v>
      </c>
      <c r="BV40" s="105">
        <f t="shared" si="71"/>
        <v>5.7468895610646956E-2</v>
      </c>
      <c r="BX40" s="104">
        <v>150</v>
      </c>
      <c r="BY40" s="104">
        <v>-150</v>
      </c>
    </row>
    <row r="41" spans="1:77" x14ac:dyDescent="0.25">
      <c r="A41" s="18">
        <f>'Baseline Given'!E42</f>
        <v>39</v>
      </c>
      <c r="B41" s="18">
        <f t="shared" si="50"/>
        <v>29</v>
      </c>
      <c r="C41" s="18">
        <f t="shared" si="72"/>
        <v>14.5</v>
      </c>
      <c r="D41" s="18">
        <f t="shared" si="73"/>
        <v>39</v>
      </c>
      <c r="E41" s="18">
        <v>0</v>
      </c>
      <c r="F41" s="18">
        <f t="shared" si="74"/>
        <v>29</v>
      </c>
      <c r="H41" s="104">
        <f t="shared" si="75"/>
        <v>38</v>
      </c>
      <c r="I41" s="104">
        <f t="shared" si="76"/>
        <v>0.66322511575784515</v>
      </c>
      <c r="J41" s="111">
        <f>'Baseline Given'!$B$28*SIN('Baseline-tilt up (1 pt)'!I41)</f>
        <v>17.084605940287016</v>
      </c>
      <c r="K41" s="104">
        <f>'Baseline Given'!$B$26*COS('Baseline-tilt up (1 pt)'!I41)*'Baseline Given'!$B$28</f>
        <v>23674630.626386814</v>
      </c>
      <c r="L41" s="107">
        <f t="shared" si="51"/>
        <v>1385728.808093837</v>
      </c>
      <c r="M41" s="104">
        <f>'Baseline Given'!$B$26*COS('Baseline-tilt up (1 pt)'!I41)</f>
        <v>853139.8423923176</v>
      </c>
      <c r="N41" s="104">
        <f t="shared" si="52"/>
        <v>1091969.2023605693</v>
      </c>
      <c r="P41" s="105">
        <f t="shared" si="53"/>
        <v>6330861.0597344059</v>
      </c>
      <c r="Q41" s="106">
        <f t="shared" si="40"/>
        <v>452480</v>
      </c>
      <c r="R41" s="105">
        <f>P41*'Baseline Given'!K42/'Baseline Given'!L42</f>
        <v>48026152.657696605</v>
      </c>
      <c r="S41" s="105">
        <f>Q41/'Baseline Given'!M42</f>
        <v>56173.021042151668</v>
      </c>
      <c r="T41" s="105">
        <f t="shared" si="39"/>
        <v>48.082325678738755</v>
      </c>
      <c r="U41" s="116"/>
      <c r="V41" s="105">
        <f t="shared" si="54"/>
        <v>6238481.3691614941</v>
      </c>
      <c r="W41" s="106">
        <f t="shared" si="41"/>
        <v>452480</v>
      </c>
      <c r="X41" s="105">
        <f>V41*'Baseline Given'!K42/'Baseline Given'!L42</f>
        <v>47325356.813329816</v>
      </c>
      <c r="Y41" s="105">
        <f>W41/'Baseline Given'!M42</f>
        <v>56173.021042151668</v>
      </c>
      <c r="Z41" s="105">
        <f t="shared" si="55"/>
        <v>47.381529834371968</v>
      </c>
      <c r="AB41" s="105">
        <f t="shared" si="56"/>
        <v>5952689.6387449102</v>
      </c>
      <c r="AC41" s="106">
        <f t="shared" si="42"/>
        <v>452480</v>
      </c>
      <c r="AD41" s="105">
        <f>AB41*'Baseline Given'!K42/'Baseline Given'!L42</f>
        <v>45157329.882429205</v>
      </c>
      <c r="AE41" s="105">
        <f>AC41/'Baseline Given'!M42</f>
        <v>56173.021042151668</v>
      </c>
      <c r="AF41" s="105">
        <f t="shared" si="57"/>
        <v>45.213502903471358</v>
      </c>
      <c r="AH41" s="105">
        <f t="shared" si="58"/>
        <v>5486028.4458613591</v>
      </c>
      <c r="AI41" s="106">
        <f t="shared" si="43"/>
        <v>452480</v>
      </c>
      <c r="AJ41" s="105">
        <f>AH41*'Baseline Given'!K42/'Baseline Given'!L42</f>
        <v>41617220.333762467</v>
      </c>
      <c r="AK41" s="105">
        <f>AI41/'Baseline Given'!M42</f>
        <v>56173.021042151668</v>
      </c>
      <c r="AL41" s="105">
        <f t="shared" si="59"/>
        <v>41.673393354804617</v>
      </c>
      <c r="AN41" s="105">
        <f t="shared" si="60"/>
        <v>4852677.0547146527</v>
      </c>
      <c r="AO41" s="106">
        <f t="shared" si="44"/>
        <v>452480</v>
      </c>
      <c r="AP41" s="105">
        <f>AN41*'Baseline Given'!K42/'Baseline Given'!L42</f>
        <v>36812592.604583971</v>
      </c>
      <c r="AQ41" s="105">
        <f>AO41/'Baseline Given'!M42</f>
        <v>56173.021042151668</v>
      </c>
      <c r="AR41" s="105">
        <f t="shared" si="61"/>
        <v>36.868765625626125</v>
      </c>
      <c r="AT41" s="105">
        <f t="shared" si="62"/>
        <v>4071879.5268335147</v>
      </c>
      <c r="AU41" s="106">
        <f t="shared" si="45"/>
        <v>452480</v>
      </c>
      <c r="AV41" s="105">
        <f>AT41*'Baseline Given'!K42/'Baseline Given'!L42</f>
        <v>30889432.877185881</v>
      </c>
      <c r="AW41" s="105">
        <f>AU41/'Baseline Given'!M42</f>
        <v>56173.021042151668</v>
      </c>
      <c r="AX41" s="105">
        <f t="shared" si="63"/>
        <v>30.945605898228035</v>
      </c>
      <c r="AZ41" s="105">
        <f t="shared" si="64"/>
        <v>3167360.0000000009</v>
      </c>
      <c r="BA41" s="106">
        <f t="shared" si="46"/>
        <v>452480</v>
      </c>
      <c r="BB41" s="105">
        <f>AZ41*'Baseline Given'!K42/'Baseline Given'!L42</f>
        <v>24027713.362621732</v>
      </c>
      <c r="BC41" s="105">
        <f>BA41/'Baseline Given'!M42</f>
        <v>56173.021042151668</v>
      </c>
      <c r="BD41" s="105">
        <f t="shared" si="65"/>
        <v>24.083886383663884</v>
      </c>
      <c r="BF41" s="105">
        <f t="shared" si="66"/>
        <v>2166601.8423279808</v>
      </c>
      <c r="BG41" s="106">
        <f t="shared" si="47"/>
        <v>452480</v>
      </c>
      <c r="BH41" s="105">
        <f>BF41*'Baseline Given'!K42/'Baseline Given'!L42</f>
        <v>16435923.936143942</v>
      </c>
      <c r="BI41" s="105">
        <f>BG41/'Baseline Given'!M42</f>
        <v>56173.021042151668</v>
      </c>
      <c r="BJ41" s="105">
        <f t="shared" si="67"/>
        <v>16.492096957186092</v>
      </c>
      <c r="BL41" s="105">
        <f t="shared" si="68"/>
        <v>1100012.5840302575</v>
      </c>
      <c r="BM41" s="106">
        <f t="shared" si="48"/>
        <v>452480</v>
      </c>
      <c r="BN41" s="106">
        <f>BL41*'Baseline Given'!K42/'Baseline Given'!L42</f>
        <v>8344737.2778452318</v>
      </c>
      <c r="BO41" s="105">
        <f>BM41/'Baseline Given'!M42</f>
        <v>56173.021042151668</v>
      </c>
      <c r="BP41" s="105">
        <f t="shared" si="69"/>
        <v>8.4009102988873838</v>
      </c>
      <c r="BR41" s="105">
        <f t="shared" si="70"/>
        <v>3.8804862101393667E-10</v>
      </c>
      <c r="BS41" s="106">
        <f t="shared" si="49"/>
        <v>452480</v>
      </c>
      <c r="BT41" s="106">
        <f>BR41*'Baseline Given'!K42/'Baseline Given'!L42</f>
        <v>2.9437515901203206E-9</v>
      </c>
      <c r="BU41" s="105">
        <f>BS41/'Baseline Given'!M42</f>
        <v>56173.021042151668</v>
      </c>
      <c r="BV41" s="105">
        <f t="shared" si="71"/>
        <v>5.6173021042154617E-2</v>
      </c>
      <c r="BX41" s="104">
        <v>150</v>
      </c>
      <c r="BY41" s="104">
        <v>-150</v>
      </c>
    </row>
    <row r="42" spans="1:77" x14ac:dyDescent="0.25">
      <c r="A42" s="18">
        <f>'Baseline Given'!E43</f>
        <v>40</v>
      </c>
      <c r="B42" s="18">
        <f t="shared" si="50"/>
        <v>28</v>
      </c>
      <c r="C42" s="18">
        <f t="shared" si="72"/>
        <v>14</v>
      </c>
      <c r="D42" s="18">
        <f t="shared" si="73"/>
        <v>40</v>
      </c>
      <c r="E42" s="18">
        <v>0</v>
      </c>
      <c r="F42" s="18">
        <f t="shared" si="74"/>
        <v>28</v>
      </c>
      <c r="H42" s="104">
        <f t="shared" si="75"/>
        <v>39</v>
      </c>
      <c r="I42" s="104">
        <f t="shared" si="76"/>
        <v>0.68067840827778847</v>
      </c>
      <c r="J42" s="111">
        <f>'Baseline Given'!$B$28*SIN('Baseline-tilt up (1 pt)'!I42)</f>
        <v>17.463640851632988</v>
      </c>
      <c r="K42" s="104">
        <f>'Baseline Given'!$B$26*COS('Baseline-tilt up (1 pt)'!I42)*'Baseline Given'!$B$28</f>
        <v>23348213.83600606</v>
      </c>
      <c r="L42" s="107">
        <f t="shared" si="51"/>
        <v>1336961.4065226736</v>
      </c>
      <c r="M42" s="104">
        <f>'Baseline Given'!$B$26*COS('Baseline-tilt up (1 pt)'!I42)</f>
        <v>841377.0751713895</v>
      </c>
      <c r="N42" s="104">
        <f t="shared" si="52"/>
        <v>1039014.1577029272</v>
      </c>
      <c r="P42" s="105">
        <f t="shared" si="53"/>
        <v>5886731.7762071202</v>
      </c>
      <c r="Q42" s="106">
        <f t="shared" si="40"/>
        <v>436320</v>
      </c>
      <c r="R42" s="105">
        <f>P42*'Baseline Given'!K43/'Baseline Given'!L43</f>
        <v>45043425.586914256</v>
      </c>
      <c r="S42" s="105">
        <f>Q42/'Baseline Given'!M43</f>
        <v>54840.496793420818</v>
      </c>
      <c r="T42" s="105">
        <f t="shared" si="39"/>
        <v>45.098266083707678</v>
      </c>
      <c r="U42" s="116"/>
      <c r="V42" s="105">
        <f t="shared" si="54"/>
        <v>5800832.8037228696</v>
      </c>
      <c r="W42" s="106">
        <f t="shared" si="41"/>
        <v>436320</v>
      </c>
      <c r="X42" s="105">
        <f>V42*'Baseline Given'!K43/'Baseline Given'!L43</f>
        <v>44386153.585712306</v>
      </c>
      <c r="Y42" s="105">
        <f>W42/'Baseline Given'!M43</f>
        <v>54840.496793420818</v>
      </c>
      <c r="Z42" s="105">
        <f t="shared" si="55"/>
        <v>44.440994082505725</v>
      </c>
      <c r="AB42" s="105">
        <f t="shared" si="56"/>
        <v>5535090.2380676521</v>
      </c>
      <c r="AC42" s="106">
        <f t="shared" si="42"/>
        <v>436320</v>
      </c>
      <c r="AD42" s="105">
        <f>AB42*'Baseline Given'!K43/'Baseline Given'!L43</f>
        <v>42352774.805020042</v>
      </c>
      <c r="AE42" s="105">
        <f>AC42/'Baseline Given'!M43</f>
        <v>54840.496793420818</v>
      </c>
      <c r="AF42" s="105">
        <f t="shared" si="57"/>
        <v>42.407615301813458</v>
      </c>
      <c r="AH42" s="105">
        <f t="shared" si="58"/>
        <v>5101166.7564195553</v>
      </c>
      <c r="AI42" s="106">
        <f t="shared" si="43"/>
        <v>436320</v>
      </c>
      <c r="AJ42" s="105">
        <f>AH42*'Baseline Given'!K43/'Baseline Given'!L43</f>
        <v>39032528.393415384</v>
      </c>
      <c r="AK42" s="105">
        <f>AI42/'Baseline Given'!M43</f>
        <v>54840.496793420818</v>
      </c>
      <c r="AL42" s="105">
        <f t="shared" si="59"/>
        <v>39.087368890208801</v>
      </c>
      <c r="AN42" s="105">
        <f t="shared" si="60"/>
        <v>4512246.904192579</v>
      </c>
      <c r="AO42" s="106">
        <f t="shared" si="44"/>
        <v>436320</v>
      </c>
      <c r="AP42" s="105">
        <f>AN42*'Baseline Given'!K43/'Baseline Given'!L43</f>
        <v>34526298.357989192</v>
      </c>
      <c r="AQ42" s="105">
        <f>AO42/'Baseline Given'!M43</f>
        <v>54840.496793420818</v>
      </c>
      <c r="AR42" s="105">
        <f t="shared" si="61"/>
        <v>34.581138854782608</v>
      </c>
      <c r="AT42" s="105">
        <f t="shared" si="62"/>
        <v>3786224.7130888165</v>
      </c>
      <c r="AU42" s="106">
        <f t="shared" si="45"/>
        <v>436320</v>
      </c>
      <c r="AV42" s="105">
        <f>AT42*'Baseline Given'!K43/'Baseline Given'!L43</f>
        <v>28971004.218105454</v>
      </c>
      <c r="AW42" s="105">
        <f>AU42/'Baseline Given'!M43</f>
        <v>54840.496793420818</v>
      </c>
      <c r="AX42" s="105">
        <f t="shared" si="63"/>
        <v>29.025844714898874</v>
      </c>
      <c r="AZ42" s="105">
        <f t="shared" si="64"/>
        <v>2945160.0000000005</v>
      </c>
      <c r="BA42" s="106">
        <f t="shared" si="46"/>
        <v>436320</v>
      </c>
      <c r="BB42" s="105">
        <f>AZ42*'Baseline Given'!K43/'Baseline Given'!L43</f>
        <v>22535440.775090083</v>
      </c>
      <c r="BC42" s="105">
        <f>BA42/'Baseline Given'!M43</f>
        <v>54840.496793420818</v>
      </c>
      <c r="BD42" s="105">
        <f t="shared" si="65"/>
        <v>22.590281271883502</v>
      </c>
      <c r="BF42" s="105">
        <f t="shared" si="66"/>
        <v>2014608.0906340536</v>
      </c>
      <c r="BG42" s="106">
        <f t="shared" si="47"/>
        <v>436320</v>
      </c>
      <c r="BH42" s="105">
        <f>BF42*'Baseline Given'!K43/'Baseline Given'!L43</f>
        <v>15415149.367606862</v>
      </c>
      <c r="BI42" s="105">
        <f>BG42/'Baseline Given'!M43</f>
        <v>54840.496793420818</v>
      </c>
      <c r="BJ42" s="105">
        <f t="shared" si="67"/>
        <v>15.469989864400283</v>
      </c>
      <c r="BL42" s="105">
        <f t="shared" si="68"/>
        <v>1022843.3338750736</v>
      </c>
      <c r="BM42" s="106">
        <f t="shared" si="48"/>
        <v>436320</v>
      </c>
      <c r="BN42" s="106">
        <f>BL42*'Baseline Given'!K43/'Baseline Given'!L43</f>
        <v>7826476.4470308619</v>
      </c>
      <c r="BO42" s="105">
        <f>BM42/'Baseline Given'!M43</f>
        <v>54840.496793420818</v>
      </c>
      <c r="BP42" s="105">
        <f t="shared" si="69"/>
        <v>7.8813169438242827</v>
      </c>
      <c r="BR42" s="105">
        <f t="shared" si="70"/>
        <v>3.6082582234586713E-10</v>
      </c>
      <c r="BS42" s="106">
        <f t="shared" si="49"/>
        <v>436320</v>
      </c>
      <c r="BT42" s="106">
        <f>BR42*'Baseline Given'!K43/'Baseline Given'!L43</f>
        <v>2.7609260446286327E-9</v>
      </c>
      <c r="BU42" s="105">
        <f>BS42/'Baseline Given'!M43</f>
        <v>54840.496793420818</v>
      </c>
      <c r="BV42" s="105">
        <f t="shared" si="71"/>
        <v>5.4840496793423572E-2</v>
      </c>
      <c r="BX42" s="104">
        <v>150</v>
      </c>
      <c r="BY42" s="104">
        <v>-150</v>
      </c>
    </row>
    <row r="43" spans="1:77" x14ac:dyDescent="0.25">
      <c r="A43" s="18">
        <f>'Baseline Given'!E44</f>
        <v>41</v>
      </c>
      <c r="B43" s="18">
        <f t="shared" si="50"/>
        <v>27</v>
      </c>
      <c r="C43" s="18">
        <f t="shared" si="72"/>
        <v>13.5</v>
      </c>
      <c r="D43" s="18">
        <f t="shared" si="73"/>
        <v>41</v>
      </c>
      <c r="E43" s="18">
        <v>0</v>
      </c>
      <c r="F43" s="18">
        <f t="shared" si="74"/>
        <v>27</v>
      </c>
      <c r="H43" s="104">
        <f t="shared" si="75"/>
        <v>40</v>
      </c>
      <c r="I43" s="109">
        <f t="shared" si="76"/>
        <v>0.69813170079773179</v>
      </c>
      <c r="J43" s="111">
        <f>'Baseline Given'!$B$28*SIN('Baseline-tilt up (1 pt)'!I43)</f>
        <v>17.837356168801463</v>
      </c>
      <c r="K43" s="104">
        <f>'Baseline Given'!$B$26*COS('Baseline-tilt up (1 pt)'!I43)*'Baseline Given'!$B$28</f>
        <v>23014684.953511633</v>
      </c>
      <c r="L43" s="107">
        <f t="shared" si="51"/>
        <v>1290252.0270221217</v>
      </c>
      <c r="M43" s="109">
        <f>'Baseline Given'!$B$26*COS('Baseline-tilt up (1 pt)'!I43)</f>
        <v>829358.01634276158</v>
      </c>
      <c r="N43" s="109">
        <f t="shared" si="52"/>
        <v>988390.39552329376</v>
      </c>
      <c r="P43" s="105">
        <f t="shared" si="53"/>
        <v>5458752.6484444626</v>
      </c>
      <c r="Q43" s="106">
        <f t="shared" si="40"/>
        <v>420160</v>
      </c>
      <c r="R43" s="105">
        <f>P43*'Baseline Given'!K44/'Baseline Given'!L44</f>
        <v>42133278.416581437</v>
      </c>
      <c r="S43" s="105">
        <f>Q43/'Baseline Given'!M44</f>
        <v>53470.249443504712</v>
      </c>
      <c r="T43" s="105">
        <f t="shared" si="39"/>
        <v>42.18674866602494</v>
      </c>
      <c r="U43" s="116"/>
      <c r="V43" s="105">
        <f t="shared" si="54"/>
        <v>5379098.7315729214</v>
      </c>
      <c r="W43" s="106">
        <f t="shared" si="41"/>
        <v>420160</v>
      </c>
      <c r="X43" s="105">
        <f>V43*'Baseline Given'!K44/'Baseline Given'!L44</f>
        <v>41518471.175319791</v>
      </c>
      <c r="Y43" s="105">
        <f>W43/'Baseline Given'!M44</f>
        <v>53470.249443504712</v>
      </c>
      <c r="Z43" s="105">
        <f t="shared" si="55"/>
        <v>41.571941424763295</v>
      </c>
      <c r="AB43" s="105">
        <f t="shared" si="56"/>
        <v>5132676.2701422945</v>
      </c>
      <c r="AC43" s="106">
        <f t="shared" si="42"/>
        <v>420160</v>
      </c>
      <c r="AD43" s="105">
        <f>AB43*'Baseline Given'!K44/'Baseline Given'!L44</f>
        <v>39616464.097106688</v>
      </c>
      <c r="AE43" s="105">
        <f>AC43/'Baseline Given'!M44</f>
        <v>53470.249443504712</v>
      </c>
      <c r="AF43" s="105">
        <f t="shared" si="57"/>
        <v>39.669934346550185</v>
      </c>
      <c r="AH43" s="105">
        <f t="shared" si="58"/>
        <v>4730300.0375029072</v>
      </c>
      <c r="AI43" s="106">
        <f t="shared" si="43"/>
        <v>420160</v>
      </c>
      <c r="AJ43" s="105">
        <f>AH43*'Baseline Given'!K44/'Baseline Given'!L44</f>
        <v>36510730.804201111</v>
      </c>
      <c r="AK43" s="105">
        <f>AI43/'Baseline Given'!M44</f>
        <v>53470.249443504712</v>
      </c>
      <c r="AL43" s="105">
        <f t="shared" si="59"/>
        <v>36.564201053644609</v>
      </c>
      <c r="AN43" s="105">
        <f t="shared" si="60"/>
        <v>4184196.0318713076</v>
      </c>
      <c r="AO43" s="106">
        <f t="shared" si="44"/>
        <v>420160</v>
      </c>
      <c r="AP43" s="105">
        <f>AN43*'Baseline Given'!K44/'Baseline Given'!L44</f>
        <v>32295637.431131113</v>
      </c>
      <c r="AQ43" s="105">
        <f>AO43/'Baseline Given'!M44</f>
        <v>53470.249443504712</v>
      </c>
      <c r="AR43" s="105">
        <f t="shared" si="61"/>
        <v>32.349107680574619</v>
      </c>
      <c r="AT43" s="105">
        <f t="shared" si="62"/>
        <v>3510957.3471166529</v>
      </c>
      <c r="AU43" s="106">
        <f t="shared" si="45"/>
        <v>420160</v>
      </c>
      <c r="AV43" s="105">
        <f>AT43*'Baseline Given'!K44/'Baseline Given'!L44</f>
        <v>27099257.457097277</v>
      </c>
      <c r="AW43" s="105">
        <f>AU43/'Baseline Given'!M44</f>
        <v>53470.249443504712</v>
      </c>
      <c r="AX43" s="105">
        <f t="shared" si="63"/>
        <v>27.152727706540784</v>
      </c>
      <c r="AZ43" s="105">
        <f t="shared" si="64"/>
        <v>2731040.0000000005</v>
      </c>
      <c r="BA43" s="106">
        <f t="shared" si="46"/>
        <v>420160</v>
      </c>
      <c r="BB43" s="105">
        <f>AZ43*'Baseline Given'!K44/'Baseline Given'!L44</f>
        <v>21079480.258115474</v>
      </c>
      <c r="BC43" s="105">
        <f>BA43/'Baseline Given'!M44</f>
        <v>53470.249443504712</v>
      </c>
      <c r="BD43" s="105">
        <f t="shared" si="65"/>
        <v>21.132950507558981</v>
      </c>
      <c r="BF43" s="105">
        <f t="shared" si="66"/>
        <v>1868141.3844562692</v>
      </c>
      <c r="BG43" s="106">
        <f t="shared" si="47"/>
        <v>420160</v>
      </c>
      <c r="BH43" s="105">
        <f>BF43*'Baseline Given'!K44/'Baseline Given'!L44</f>
        <v>14419213.718222518</v>
      </c>
      <c r="BI43" s="105">
        <f>BG43/'Baseline Given'!M44</f>
        <v>53470.249443504712</v>
      </c>
      <c r="BJ43" s="105">
        <f t="shared" si="67"/>
        <v>14.472683967666022</v>
      </c>
      <c r="BL43" s="105">
        <f t="shared" si="68"/>
        <v>948480.23827098729</v>
      </c>
      <c r="BM43" s="106">
        <f t="shared" si="48"/>
        <v>420160</v>
      </c>
      <c r="BN43" s="106">
        <f>BL43*'Baseline Given'!K44/'Baseline Given'!L44</f>
        <v>7320826.6659755753</v>
      </c>
      <c r="BO43" s="105">
        <f>BM43/'Baseline Given'!M44</f>
        <v>53470.249443504712</v>
      </c>
      <c r="BP43" s="105">
        <f t="shared" si="69"/>
        <v>7.3742969154190803</v>
      </c>
      <c r="BR43" s="105">
        <f t="shared" si="70"/>
        <v>3.3459294362936376E-10</v>
      </c>
      <c r="BS43" s="106">
        <f t="shared" si="49"/>
        <v>420160</v>
      </c>
      <c r="BT43" s="106">
        <f>BR43*'Baseline Given'!K44/'Baseline Given'!L44</f>
        <v>2.5825492668506928E-9</v>
      </c>
      <c r="BU43" s="105">
        <f>BS43/'Baseline Given'!M44</f>
        <v>53470.249443504712</v>
      </c>
      <c r="BV43" s="105">
        <f t="shared" si="71"/>
        <v>5.3470249443507298E-2</v>
      </c>
      <c r="BX43" s="104">
        <v>150</v>
      </c>
      <c r="BY43" s="104">
        <v>-150</v>
      </c>
    </row>
    <row r="44" spans="1:77" x14ac:dyDescent="0.25">
      <c r="A44" s="18">
        <f>'Baseline Given'!E45</f>
        <v>42</v>
      </c>
      <c r="B44" s="18">
        <f t="shared" si="50"/>
        <v>26</v>
      </c>
      <c r="C44" s="18">
        <f t="shared" si="72"/>
        <v>13</v>
      </c>
      <c r="D44" s="18">
        <f t="shared" si="73"/>
        <v>42</v>
      </c>
      <c r="E44" s="18">
        <v>0</v>
      </c>
      <c r="F44" s="18">
        <f t="shared" si="74"/>
        <v>26</v>
      </c>
      <c r="H44" s="104">
        <f t="shared" si="75"/>
        <v>41</v>
      </c>
      <c r="I44" s="104">
        <f t="shared" si="76"/>
        <v>0.715584993317675</v>
      </c>
      <c r="J44" s="111">
        <f>'Baseline Given'!$B$28*SIN('Baseline-tilt up (1 pt)'!I44)</f>
        <v>18.205638054486574</v>
      </c>
      <c r="K44" s="104">
        <f>'Baseline Given'!$B$26*COS('Baseline-tilt up (1 pt)'!I44)*'Baseline Given'!$B$28</f>
        <v>22674145.575032111</v>
      </c>
      <c r="L44" s="107">
        <f t="shared" si="51"/>
        <v>1245446.3560778263</v>
      </c>
      <c r="M44" s="104">
        <f>'Baseline Given'!$B$26*COS('Baseline-tilt up (1 pt)'!I44)</f>
        <v>817086.3270281842</v>
      </c>
      <c r="N44" s="104">
        <f t="shared" si="52"/>
        <v>939950.29658547754</v>
      </c>
      <c r="P44" s="105">
        <f t="shared" si="53"/>
        <v>5046923.6764464332</v>
      </c>
      <c r="Q44" s="106">
        <f t="shared" si="40"/>
        <v>404000</v>
      </c>
      <c r="R44" s="105">
        <f>P44*'Baseline Given'!K45/'Baseline Given'!L45</f>
        <v>39297628.619606338</v>
      </c>
      <c r="S44" s="105">
        <f>Q44/'Baseline Given'!M45</f>
        <v>52061.16882784375</v>
      </c>
      <c r="T44" s="105">
        <f t="shared" si="39"/>
        <v>39.349689788434183</v>
      </c>
      <c r="U44" s="116"/>
      <c r="V44" s="105">
        <f t="shared" si="54"/>
        <v>4973279.1527116504</v>
      </c>
      <c r="W44" s="106">
        <f t="shared" si="41"/>
        <v>404000</v>
      </c>
      <c r="X44" s="105">
        <f>V44*'Baseline Given'!K45/'Baseline Given'!L45</f>
        <v>38724199.075366624</v>
      </c>
      <c r="Y44" s="105">
        <f>W44/'Baseline Given'!M45</f>
        <v>52061.16882784375</v>
      </c>
      <c r="Z44" s="105">
        <f t="shared" si="55"/>
        <v>38.776260244194468</v>
      </c>
      <c r="AB44" s="105">
        <f t="shared" si="56"/>
        <v>4745447.7349688374</v>
      </c>
      <c r="AC44" s="106">
        <f t="shared" si="42"/>
        <v>404000</v>
      </c>
      <c r="AD44" s="105">
        <f>AB44*'Baseline Given'!K45/'Baseline Given'!L45</f>
        <v>36950200.692129835</v>
      </c>
      <c r="AE44" s="105">
        <f>AC44/'Baseline Given'!M45</f>
        <v>52061.16882784375</v>
      </c>
      <c r="AF44" s="105">
        <f t="shared" si="57"/>
        <v>37.002261860957681</v>
      </c>
      <c r="AH44" s="105">
        <f t="shared" si="58"/>
        <v>4373428.2891114159</v>
      </c>
      <c r="AI44" s="106">
        <f t="shared" si="43"/>
        <v>404000</v>
      </c>
      <c r="AJ44" s="105">
        <f>AH44*'Baseline Given'!K45/'Baseline Given'!L45</f>
        <v>34053489.158566415</v>
      </c>
      <c r="AK44" s="105">
        <f>AI44/'Baseline Given'!M45</f>
        <v>52061.16882784375</v>
      </c>
      <c r="AL44" s="105">
        <f t="shared" si="59"/>
        <v>34.105550327394262</v>
      </c>
      <c r="AN44" s="105">
        <f t="shared" si="60"/>
        <v>3868524.4377508392</v>
      </c>
      <c r="AO44" s="106">
        <f t="shared" si="44"/>
        <v>404000</v>
      </c>
      <c r="AP44" s="105">
        <f>AN44*'Baseline Given'!K45/'Baseline Given'!L45</f>
        <v>30122079.588816904</v>
      </c>
      <c r="AQ44" s="105">
        <f>AO44/'Baseline Given'!M45</f>
        <v>52061.16882784375</v>
      </c>
      <c r="AR44" s="105">
        <f t="shared" si="61"/>
        <v>30.174140757644746</v>
      </c>
      <c r="AT44" s="105">
        <f t="shared" si="62"/>
        <v>3246077.4289170238</v>
      </c>
      <c r="AU44" s="106">
        <f t="shared" si="45"/>
        <v>404000</v>
      </c>
      <c r="AV44" s="105">
        <f>AT44*'Baseline Given'!K45/'Baseline Given'!L45</f>
        <v>25275425.873268943</v>
      </c>
      <c r="AW44" s="105">
        <f>AU44/'Baseline Given'!M45</f>
        <v>52061.16882784375</v>
      </c>
      <c r="AX44" s="105">
        <f t="shared" si="63"/>
        <v>25.327487042096788</v>
      </c>
      <c r="AZ44" s="105">
        <f t="shared" si="64"/>
        <v>2525000.0000000005</v>
      </c>
      <c r="BA44" s="106">
        <f t="shared" si="46"/>
        <v>404000</v>
      </c>
      <c r="BB44" s="105">
        <f>AZ44*'Baseline Given'!K45/'Baseline Given'!L45</f>
        <v>19660791.13254432</v>
      </c>
      <c r="BC44" s="105">
        <f>BA44/'Baseline Given'!M45</f>
        <v>52061.16882784375</v>
      </c>
      <c r="BD44" s="105">
        <f t="shared" si="65"/>
        <v>19.712852301372163</v>
      </c>
      <c r="BF44" s="105">
        <f t="shared" si="66"/>
        <v>1727201.7237946275</v>
      </c>
      <c r="BG44" s="106">
        <f t="shared" si="47"/>
        <v>404000</v>
      </c>
      <c r="BH44" s="105">
        <f>BF44*'Baseline Given'!K45/'Baseline Given'!L45</f>
        <v>13448773.20209769</v>
      </c>
      <c r="BI44" s="105">
        <f>BG44/'Baseline Given'!M45</f>
        <v>52061.16882784375</v>
      </c>
      <c r="BJ44" s="105">
        <f t="shared" si="67"/>
        <v>13.500834370925533</v>
      </c>
      <c r="BL44" s="105">
        <f t="shared" si="68"/>
        <v>876923.29721799854</v>
      </c>
      <c r="BM44" s="106">
        <f t="shared" si="48"/>
        <v>404000</v>
      </c>
      <c r="BN44" s="106">
        <f>BL44*'Baseline Given'!K45/'Baseline Given'!L45</f>
        <v>6828121.103312931</v>
      </c>
      <c r="BO44" s="105">
        <f>BM44/'Baseline Given'!M45</f>
        <v>52061.16882784375</v>
      </c>
      <c r="BP44" s="105">
        <f t="shared" si="69"/>
        <v>6.8801822721407753</v>
      </c>
      <c r="BR44" s="105">
        <f t="shared" si="70"/>
        <v>3.0934998486442655E-10</v>
      </c>
      <c r="BS44" s="106">
        <f t="shared" si="49"/>
        <v>404000</v>
      </c>
      <c r="BT44" s="106">
        <f>BR44*'Baseline Given'!K45/'Baseline Given'!L45</f>
        <v>2.4087387878317767E-9</v>
      </c>
      <c r="BU44" s="105">
        <f>BS44/'Baseline Given'!M45</f>
        <v>52061.16882784375</v>
      </c>
      <c r="BV44" s="105">
        <f t="shared" si="71"/>
        <v>5.2061168827846158E-2</v>
      </c>
      <c r="BX44" s="104">
        <v>150</v>
      </c>
      <c r="BY44" s="104">
        <v>-150</v>
      </c>
    </row>
    <row r="45" spans="1:77" x14ac:dyDescent="0.25">
      <c r="A45" s="18">
        <f>'Baseline Given'!E46</f>
        <v>43</v>
      </c>
      <c r="B45" s="18">
        <f t="shared" si="50"/>
        <v>25</v>
      </c>
      <c r="C45" s="18">
        <f t="shared" si="72"/>
        <v>12.5</v>
      </c>
      <c r="D45" s="18">
        <f t="shared" si="73"/>
        <v>43</v>
      </c>
      <c r="E45" s="18">
        <v>0</v>
      </c>
      <c r="F45" s="18">
        <f t="shared" si="74"/>
        <v>25</v>
      </c>
      <c r="H45" s="104">
        <f t="shared" si="75"/>
        <v>42</v>
      </c>
      <c r="I45" s="104">
        <f t="shared" si="76"/>
        <v>0.73303828583761843</v>
      </c>
      <c r="J45" s="111">
        <f>'Baseline Given'!$B$28*SIN('Baseline-tilt up (1 pt)'!I45)</f>
        <v>18.568374326458315</v>
      </c>
      <c r="K45" s="104">
        <f>'Baseline Given'!$B$26*COS('Baseline-tilt up (1 pt)'!I45)*'Baseline Given'!$B$28</f>
        <v>22326699.432161052</v>
      </c>
      <c r="L45" s="107">
        <f t="shared" si="51"/>
        <v>1202404.6391798258</v>
      </c>
      <c r="M45" s="104">
        <f>'Baseline Given'!$B$26*COS('Baseline-tilt up (1 pt)'!I45)</f>
        <v>804565.74530310091</v>
      </c>
      <c r="N45" s="104">
        <f t="shared" si="52"/>
        <v>893560.78573650087</v>
      </c>
      <c r="P45" s="105">
        <f t="shared" si="53"/>
        <v>4651244.8602130329</v>
      </c>
      <c r="Q45" s="106">
        <f t="shared" si="40"/>
        <v>387840</v>
      </c>
      <c r="R45" s="105">
        <f>P45*'Baseline Given'!K46/'Baseline Given'!L46</f>
        <v>36538461.812060647</v>
      </c>
      <c r="S45" s="105">
        <f>Q45/'Baseline Given'!M46</f>
        <v>50612.106566566617</v>
      </c>
      <c r="T45" s="105">
        <f t="shared" si="39"/>
        <v>36.589073918627207</v>
      </c>
      <c r="U45" s="116"/>
      <c r="V45" s="105">
        <f t="shared" si="54"/>
        <v>4583374.0671390574</v>
      </c>
      <c r="W45" s="106">
        <f t="shared" si="41"/>
        <v>387840</v>
      </c>
      <c r="X45" s="105">
        <f>V45*'Baseline Given'!K46/'Baseline Given'!L46</f>
        <v>36005293.927888207</v>
      </c>
      <c r="Y45" s="105">
        <f>W45/'Baseline Given'!M46</f>
        <v>50612.106566566617</v>
      </c>
      <c r="Z45" s="105">
        <f t="shared" si="55"/>
        <v>36.055906034454772</v>
      </c>
      <c r="AB45" s="105">
        <f t="shared" si="56"/>
        <v>4373404.6325472808</v>
      </c>
      <c r="AC45" s="106">
        <f t="shared" si="42"/>
        <v>387840</v>
      </c>
      <c r="AD45" s="105">
        <f>AB45*'Baseline Given'!K46/'Baseline Given'!L46</f>
        <v>34355851.596189462</v>
      </c>
      <c r="AE45" s="105">
        <f>AC45/'Baseline Given'!M46</f>
        <v>50612.106566566617</v>
      </c>
      <c r="AF45" s="105">
        <f t="shared" si="57"/>
        <v>34.406463702756028</v>
      </c>
      <c r="AH45" s="105">
        <f t="shared" si="58"/>
        <v>4030551.5112450803</v>
      </c>
      <c r="AI45" s="106">
        <f t="shared" si="43"/>
        <v>387840</v>
      </c>
      <c r="AJ45" s="105">
        <f>AH45*'Baseline Given'!K46/'Baseline Given'!L46</f>
        <v>31662524.098640237</v>
      </c>
      <c r="AK45" s="105">
        <f>AI45/'Baseline Given'!M46</f>
        <v>50612.106566566617</v>
      </c>
      <c r="AL45" s="105">
        <f t="shared" si="59"/>
        <v>31.713136205206805</v>
      </c>
      <c r="AN45" s="105">
        <f t="shared" si="60"/>
        <v>3565232.1218311731</v>
      </c>
      <c r="AO45" s="106">
        <f t="shared" si="44"/>
        <v>387840</v>
      </c>
      <c r="AP45" s="105">
        <f>AN45*'Baseline Given'!K46/'Baseline Given'!L46</f>
        <v>28007146.828364104</v>
      </c>
      <c r="AQ45" s="105">
        <f>AO45/'Baseline Given'!M46</f>
        <v>50612.106566566617</v>
      </c>
      <c r="AR45" s="105">
        <f t="shared" si="61"/>
        <v>28.057758934930671</v>
      </c>
      <c r="AT45" s="105">
        <f t="shared" si="62"/>
        <v>2991584.9584899293</v>
      </c>
      <c r="AU45" s="106">
        <f t="shared" si="45"/>
        <v>387840</v>
      </c>
      <c r="AV45" s="105">
        <f>AT45*'Baseline Given'!K46/'Baseline Given'!L46</f>
        <v>23500786.574008249</v>
      </c>
      <c r="AW45" s="105">
        <f>AU45/'Baseline Given'!M46</f>
        <v>50612.106566566617</v>
      </c>
      <c r="AX45" s="105">
        <f t="shared" si="63"/>
        <v>23.551398680574817</v>
      </c>
      <c r="AZ45" s="105">
        <f t="shared" si="64"/>
        <v>2327040.0000000005</v>
      </c>
      <c r="BA45" s="106">
        <f t="shared" si="46"/>
        <v>387840</v>
      </c>
      <c r="BB45" s="105">
        <f>AZ45*'Baseline Given'!K46/'Baseline Given'!L46</f>
        <v>18280366.811572958</v>
      </c>
      <c r="BC45" s="105">
        <f>BA45/'Baseline Given'!M46</f>
        <v>50612.106566566617</v>
      </c>
      <c r="BD45" s="105">
        <f t="shared" si="65"/>
        <v>18.330978918139525</v>
      </c>
      <c r="BF45" s="105">
        <f t="shared" si="66"/>
        <v>1591789.1086491288</v>
      </c>
      <c r="BG45" s="106">
        <f t="shared" si="47"/>
        <v>387840</v>
      </c>
      <c r="BH45" s="105">
        <f>BF45*'Baseline Given'!K46/'Baseline Given'!L46</f>
        <v>12504507.353879964</v>
      </c>
      <c r="BI45" s="105">
        <f>BG45/'Baseline Given'!M46</f>
        <v>50612.106566566617</v>
      </c>
      <c r="BJ45" s="105">
        <f t="shared" si="67"/>
        <v>12.55511946044653</v>
      </c>
      <c r="BL45" s="105">
        <f t="shared" si="68"/>
        <v>808172.51071610756</v>
      </c>
      <c r="BM45" s="106">
        <f t="shared" si="48"/>
        <v>387840</v>
      </c>
      <c r="BN45" s="106">
        <f>BL45*'Baseline Given'!K46/'Baseline Given'!L46</f>
        <v>6348704.7678253576</v>
      </c>
      <c r="BO45" s="105">
        <f>BM45/'Baseline Given'!M46</f>
        <v>50612.106566566617</v>
      </c>
      <c r="BP45" s="105">
        <f t="shared" si="69"/>
        <v>6.3993168743919249</v>
      </c>
      <c r="BR45" s="105">
        <f t="shared" si="70"/>
        <v>2.8509694605105551E-10</v>
      </c>
      <c r="BS45" s="106">
        <f t="shared" si="49"/>
        <v>387840</v>
      </c>
      <c r="BT45" s="106">
        <f>BR45*'Baseline Given'!K46/'Baseline Given'!L46</f>
        <v>2.2396163154361421E-9</v>
      </c>
      <c r="BU45" s="105">
        <f>BS45/'Baseline Given'!M46</f>
        <v>50612.106566566617</v>
      </c>
      <c r="BV45" s="105">
        <f t="shared" si="71"/>
        <v>5.0612106566568858E-2</v>
      </c>
      <c r="BX45" s="104">
        <v>150</v>
      </c>
      <c r="BY45" s="104">
        <v>-150</v>
      </c>
    </row>
    <row r="46" spans="1:77" x14ac:dyDescent="0.25">
      <c r="A46" s="18">
        <f>'Baseline Given'!E47</f>
        <v>44</v>
      </c>
      <c r="B46" s="18">
        <f t="shared" si="50"/>
        <v>24</v>
      </c>
      <c r="C46" s="18">
        <f t="shared" si="72"/>
        <v>12</v>
      </c>
      <c r="D46" s="18">
        <f t="shared" si="73"/>
        <v>44</v>
      </c>
      <c r="E46" s="18">
        <v>0</v>
      </c>
      <c r="F46" s="18">
        <f t="shared" si="74"/>
        <v>24</v>
      </c>
      <c r="H46" s="104">
        <f t="shared" si="75"/>
        <v>43</v>
      </c>
      <c r="I46" s="104">
        <f t="shared" si="76"/>
        <v>0.75049157835756164</v>
      </c>
      <c r="J46" s="111">
        <f>'Baseline Given'!$B$28*SIN('Baseline-tilt up (1 pt)'!I46)</f>
        <v>18.925454491734332</v>
      </c>
      <c r="K46" s="104">
        <f>'Baseline Given'!$B$26*COS('Baseline-tilt up (1 pt)'!I46)*'Baseline Given'!$B$28</f>
        <v>21972452.360359363</v>
      </c>
      <c r="L46" s="107">
        <f t="shared" si="51"/>
        <v>1160999.9839082228</v>
      </c>
      <c r="M46" s="104">
        <f>'Baseline Given'!$B$26*COS('Baseline-tilt up (1 pt)'!I46)</f>
        <v>791800.08505799505</v>
      </c>
      <c r="N46" s="104">
        <f t="shared" si="52"/>
        <v>849101.63581107615</v>
      </c>
      <c r="P46" s="105">
        <f t="shared" si="53"/>
        <v>4271716.1997442618</v>
      </c>
      <c r="Q46" s="106">
        <f t="shared" si="40"/>
        <v>371680</v>
      </c>
      <c r="R46" s="105">
        <f>P46*'Baseline Given'!K47/'Baseline Given'!L47</f>
        <v>33857834.807405151</v>
      </c>
      <c r="S46" s="105">
        <f>Q46/'Baseline Given'!M47</f>
        <v>49121.874524714432</v>
      </c>
      <c r="T46" s="105">
        <f t="shared" si="39"/>
        <v>33.906956681929863</v>
      </c>
      <c r="U46" s="116"/>
      <c r="V46" s="105">
        <f t="shared" si="54"/>
        <v>4209383.4748551408</v>
      </c>
      <c r="W46" s="106">
        <f t="shared" si="41"/>
        <v>371680</v>
      </c>
      <c r="X46" s="105">
        <f>V46*'Baseline Given'!K47/'Baseline Given'!L47</f>
        <v>33363782.533399299</v>
      </c>
      <c r="Y46" s="105">
        <f>W46/'Baseline Given'!M47</f>
        <v>49121.874524714432</v>
      </c>
      <c r="Z46" s="105">
        <f t="shared" si="55"/>
        <v>33.412904407924017</v>
      </c>
      <c r="AB46" s="105">
        <f t="shared" si="56"/>
        <v>4016546.9628776242</v>
      </c>
      <c r="AC46" s="106">
        <f t="shared" si="42"/>
        <v>371680</v>
      </c>
      <c r="AD46" s="105">
        <f>AB46*'Baseline Given'!K47/'Baseline Given'!L47</f>
        <v>31835350.75982739</v>
      </c>
      <c r="AE46" s="105">
        <f>AC46/'Baseline Given'!M47</f>
        <v>49121.874524714432</v>
      </c>
      <c r="AF46" s="105">
        <f t="shared" si="57"/>
        <v>31.884472634352107</v>
      </c>
      <c r="AH46" s="105">
        <f t="shared" si="58"/>
        <v>3701669.7039039019</v>
      </c>
      <c r="AI46" s="106">
        <f t="shared" si="43"/>
        <v>371680</v>
      </c>
      <c r="AJ46" s="105">
        <f>AH46*'Baseline Given'!K47/'Baseline Given'!L47</f>
        <v>29339617.962882902</v>
      </c>
      <c r="AK46" s="105">
        <f>AI46/'Baseline Given'!M47</f>
        <v>49121.874524714432</v>
      </c>
      <c r="AL46" s="105">
        <f t="shared" si="59"/>
        <v>29.38873983740762</v>
      </c>
      <c r="AN46" s="105">
        <f t="shared" si="60"/>
        <v>3274319.0841123103</v>
      </c>
      <c r="AO46" s="106">
        <f t="shared" si="44"/>
        <v>371680</v>
      </c>
      <c r="AP46" s="105">
        <f>AN46*'Baseline Given'!K47/'Baseline Given'!L47</f>
        <v>25952415.720699269</v>
      </c>
      <c r="AQ46" s="105">
        <f>AO46/'Baseline Given'!M47</f>
        <v>49121.874524714432</v>
      </c>
      <c r="AR46" s="105">
        <f t="shared" si="61"/>
        <v>26.001537595223986</v>
      </c>
      <c r="AT46" s="105">
        <f t="shared" si="62"/>
        <v>2747479.9358353689</v>
      </c>
      <c r="AU46" s="106">
        <f t="shared" si="45"/>
        <v>371680</v>
      </c>
      <c r="AV46" s="105">
        <f>AT46*'Baseline Given'!K47/'Baseline Given'!L47</f>
        <v>21776662.459398206</v>
      </c>
      <c r="AW46" s="105">
        <f>AU46/'Baseline Given'!M47</f>
        <v>49121.874524714432</v>
      </c>
      <c r="AX46" s="105">
        <f t="shared" si="63"/>
        <v>21.825784333922922</v>
      </c>
      <c r="AZ46" s="105">
        <f t="shared" si="64"/>
        <v>2137160.0000000005</v>
      </c>
      <c r="BA46" s="106">
        <f t="shared" si="46"/>
        <v>371680</v>
      </c>
      <c r="BB46" s="105">
        <f>AZ46*'Baseline Given'!K47/'Baseline Given'!L47</f>
        <v>16939236.328791227</v>
      </c>
      <c r="BC46" s="105">
        <f>BA46/'Baseline Given'!M47</f>
        <v>49121.874524714432</v>
      </c>
      <c r="BD46" s="105">
        <f t="shared" si="65"/>
        <v>16.988358203315943</v>
      </c>
      <c r="BF46" s="105">
        <f t="shared" si="66"/>
        <v>1461903.5390197728</v>
      </c>
      <c r="BG46" s="106">
        <f t="shared" si="47"/>
        <v>371680</v>
      </c>
      <c r="BH46" s="105">
        <f>BF46*'Baseline Given'!K47/'Baseline Given'!L47</f>
        <v>11587120.074001102</v>
      </c>
      <c r="BI46" s="105">
        <f>BG46/'Baseline Given'!M47</f>
        <v>49121.874524714432</v>
      </c>
      <c r="BJ46" s="105">
        <f t="shared" si="67"/>
        <v>11.636241948525816</v>
      </c>
      <c r="BL46" s="105">
        <f t="shared" si="68"/>
        <v>742227.878765314</v>
      </c>
      <c r="BM46" s="106">
        <f t="shared" si="48"/>
        <v>371680</v>
      </c>
      <c r="BN46" s="106">
        <f>BL46*'Baseline Given'!K47/'Baseline Given'!L47</f>
        <v>5882935.039128121</v>
      </c>
      <c r="BO46" s="105">
        <f>BM46/'Baseline Given'!M47</f>
        <v>49121.874524714432</v>
      </c>
      <c r="BP46" s="105">
        <f t="shared" si="69"/>
        <v>5.9320569136528354</v>
      </c>
      <c r="BR46" s="105">
        <f t="shared" si="70"/>
        <v>2.6183382718925063E-10</v>
      </c>
      <c r="BS46" s="106">
        <f t="shared" si="49"/>
        <v>371680</v>
      </c>
      <c r="BT46" s="106">
        <f>BR46*'Baseline Given'!K47/'Baseline Given'!L47</f>
        <v>2.0753079215550534E-9</v>
      </c>
      <c r="BU46" s="105">
        <f>BS46/'Baseline Given'!M47</f>
        <v>49121.874524714432</v>
      </c>
      <c r="BV46" s="105">
        <f t="shared" si="71"/>
        <v>4.9121874524716509E-2</v>
      </c>
      <c r="BX46" s="104">
        <v>150</v>
      </c>
      <c r="BY46" s="104">
        <v>-150</v>
      </c>
    </row>
    <row r="47" spans="1:77" x14ac:dyDescent="0.25">
      <c r="A47" s="18">
        <f>'Baseline Given'!E48</f>
        <v>45</v>
      </c>
      <c r="B47" s="18">
        <f t="shared" si="50"/>
        <v>23</v>
      </c>
      <c r="C47" s="18">
        <f t="shared" si="72"/>
        <v>11.5</v>
      </c>
      <c r="D47" s="18">
        <f t="shared" si="73"/>
        <v>45</v>
      </c>
      <c r="E47" s="18">
        <v>0</v>
      </c>
      <c r="F47" s="18">
        <f t="shared" si="74"/>
        <v>23</v>
      </c>
      <c r="H47" s="104">
        <f t="shared" si="75"/>
        <v>44</v>
      </c>
      <c r="I47" s="104">
        <f t="shared" si="76"/>
        <v>0.76794487087750496</v>
      </c>
      <c r="J47" s="111">
        <f>'Baseline Given'!$B$28*SIN('Baseline-tilt up (1 pt)'!I47)</f>
        <v>19.276769780237174</v>
      </c>
      <c r="K47" s="104">
        <f>'Baseline Given'!$B$26*COS('Baseline-tilt up (1 pt)'!I47)*'Baseline Given'!$B$28</f>
        <v>21611512.266716782</v>
      </c>
      <c r="L47" s="107">
        <f t="shared" si="51"/>
        <v>1121116.8942253604</v>
      </c>
      <c r="M47" s="104">
        <f>'Baseline Given'!$B$26*COS('Baseline-tilt up (1 pt)'!I47)</f>
        <v>778793.23483664077</v>
      </c>
      <c r="N47" s="104">
        <f t="shared" si="52"/>
        <v>806464.00284835941</v>
      </c>
      <c r="P47" s="105">
        <f t="shared" si="53"/>
        <v>3908337.6950401179</v>
      </c>
      <c r="Q47" s="106">
        <f t="shared" si="40"/>
        <v>355520</v>
      </c>
      <c r="R47" s="105">
        <f>P47*'Baseline Given'!K48/'Baseline Given'!L48</f>
        <v>31257878.836472008</v>
      </c>
      <c r="S47" s="105">
        <f>Q47/'Baseline Given'!M48</f>
        <v>47589.243200800935</v>
      </c>
      <c r="T47" s="105">
        <f t="shared" si="39"/>
        <v>31.30546807967281</v>
      </c>
      <c r="U47" s="116"/>
      <c r="V47" s="105">
        <f t="shared" si="54"/>
        <v>3851307.3758599022</v>
      </c>
      <c r="W47" s="106">
        <f t="shared" si="41"/>
        <v>355520</v>
      </c>
      <c r="X47" s="105">
        <f>V47*'Baseline Given'!K48/'Baseline Given'!L48</f>
        <v>30801765.02389057</v>
      </c>
      <c r="Y47" s="105">
        <f>W47/'Baseline Given'!M48</f>
        <v>47589.243200800935</v>
      </c>
      <c r="Z47" s="105">
        <f t="shared" si="55"/>
        <v>30.849354267091371</v>
      </c>
      <c r="AB47" s="105">
        <f t="shared" si="56"/>
        <v>3674874.7259598677</v>
      </c>
      <c r="AC47" s="106">
        <f t="shared" si="42"/>
        <v>355520</v>
      </c>
      <c r="AD47" s="105">
        <f>AB47*'Baseline Given'!K48/'Baseline Given'!L48</f>
        <v>29390702.105665341</v>
      </c>
      <c r="AE47" s="105">
        <f>AC47/'Baseline Given'!M48</f>
        <v>47589.243200800935</v>
      </c>
      <c r="AF47" s="105">
        <f t="shared" si="57"/>
        <v>29.438291348866141</v>
      </c>
      <c r="AH47" s="105">
        <f t="shared" si="58"/>
        <v>3386782.8670878801</v>
      </c>
      <c r="AI47" s="106">
        <f t="shared" si="43"/>
        <v>355520</v>
      </c>
      <c r="AJ47" s="105">
        <f>AH47*'Baseline Given'!K48/'Baseline Given'!L48</f>
        <v>27086617.576372348</v>
      </c>
      <c r="AK47" s="105">
        <f>AI47/'Baseline Given'!M48</f>
        <v>47589.243200800935</v>
      </c>
      <c r="AL47" s="105">
        <f t="shared" si="59"/>
        <v>27.134206819573148</v>
      </c>
      <c r="AN47" s="105">
        <f t="shared" si="60"/>
        <v>2995785.3245942495</v>
      </c>
      <c r="AO47" s="106">
        <f t="shared" si="44"/>
        <v>355520</v>
      </c>
      <c r="AP47" s="105">
        <f>AN47*'Baseline Given'!K48/'Baseline Given'!L48</f>
        <v>23959519.878511116</v>
      </c>
      <c r="AQ47" s="105">
        <f>AO47/'Baseline Given'!M48</f>
        <v>47589.243200800935</v>
      </c>
      <c r="AR47" s="105">
        <f t="shared" si="61"/>
        <v>24.007109121711917</v>
      </c>
      <c r="AT47" s="105">
        <f t="shared" si="62"/>
        <v>2513762.3609533431</v>
      </c>
      <c r="AU47" s="106">
        <f t="shared" si="45"/>
        <v>355520</v>
      </c>
      <c r="AV47" s="105">
        <f>AT47*'Baseline Given'!K48/'Baseline Given'!L48</f>
        <v>20104424.29324339</v>
      </c>
      <c r="AW47" s="105">
        <f>AU47/'Baseline Given'!M48</f>
        <v>47589.243200800935</v>
      </c>
      <c r="AX47" s="105">
        <f t="shared" si="63"/>
        <v>20.152013536444191</v>
      </c>
      <c r="AZ47" s="105">
        <f t="shared" si="64"/>
        <v>1955360.0000000005</v>
      </c>
      <c r="BA47" s="106">
        <f t="shared" si="46"/>
        <v>355520</v>
      </c>
      <c r="BB47" s="105">
        <f>AZ47*'Baseline Given'!K48/'Baseline Given'!L48</f>
        <v>15638465.949155027</v>
      </c>
      <c r="BC47" s="105">
        <f>BA47/'Baseline Given'!M48</f>
        <v>47589.243200800935</v>
      </c>
      <c r="BD47" s="105">
        <f t="shared" si="65"/>
        <v>15.686055192355829</v>
      </c>
      <c r="BF47" s="105">
        <f t="shared" si="66"/>
        <v>1337545.0149065596</v>
      </c>
      <c r="BG47" s="106">
        <f t="shared" si="47"/>
        <v>355520</v>
      </c>
      <c r="BH47" s="105">
        <f>BF47*'Baseline Given'!K48/'Baseline Given'!L48</f>
        <v>10697340.730647184</v>
      </c>
      <c r="BI47" s="105">
        <f>BG47/'Baseline Given'!M48</f>
        <v>47589.243200800935</v>
      </c>
      <c r="BJ47" s="105">
        <f t="shared" si="67"/>
        <v>10.744929973847984</v>
      </c>
      <c r="BL47" s="105">
        <f t="shared" si="68"/>
        <v>679089.40136561811</v>
      </c>
      <c r="BM47" s="106">
        <f t="shared" si="48"/>
        <v>355520</v>
      </c>
      <c r="BN47" s="106">
        <f>BL47*'Baseline Given'!K48/'Baseline Given'!L48</f>
        <v>5431182.227154226</v>
      </c>
      <c r="BO47" s="105">
        <f>BM47/'Baseline Given'!M48</f>
        <v>47589.243200800935</v>
      </c>
      <c r="BP47" s="105">
        <f t="shared" si="69"/>
        <v>5.478771470355027</v>
      </c>
      <c r="BR47" s="105">
        <f t="shared" si="70"/>
        <v>2.3956062827901192E-10</v>
      </c>
      <c r="BS47" s="106">
        <f t="shared" si="49"/>
        <v>355520</v>
      </c>
      <c r="BT47" s="106">
        <f>BR47*'Baseline Given'!K48/'Baseline Given'!L48</f>
        <v>1.915944239474834E-9</v>
      </c>
      <c r="BU47" s="105">
        <f>BS47/'Baseline Given'!M48</f>
        <v>47589.243200800935</v>
      </c>
      <c r="BV47" s="105">
        <f t="shared" si="71"/>
        <v>4.758924320080285E-2</v>
      </c>
      <c r="BX47" s="104">
        <v>150</v>
      </c>
      <c r="BY47" s="104">
        <v>-150</v>
      </c>
    </row>
    <row r="48" spans="1:77" x14ac:dyDescent="0.25">
      <c r="A48" s="18">
        <f>'Baseline Given'!E49</f>
        <v>46</v>
      </c>
      <c r="B48" s="18">
        <f t="shared" si="50"/>
        <v>22</v>
      </c>
      <c r="C48" s="18">
        <f t="shared" si="72"/>
        <v>11</v>
      </c>
      <c r="D48" s="18">
        <f t="shared" si="73"/>
        <v>46</v>
      </c>
      <c r="E48" s="18">
        <v>0</v>
      </c>
      <c r="F48" s="18">
        <f t="shared" si="74"/>
        <v>22</v>
      </c>
      <c r="H48" s="104">
        <f t="shared" si="75"/>
        <v>45</v>
      </c>
      <c r="I48" s="104">
        <f t="shared" si="76"/>
        <v>0.78539816339744828</v>
      </c>
      <c r="J48" s="111">
        <f>'Baseline Given'!$B$28*SIN('Baseline-tilt up (1 pt)'!I48)</f>
        <v>19.622213177926692</v>
      </c>
      <c r="K48" s="104">
        <f>'Baseline Given'!$B$26*COS('Baseline-tilt up (1 pt)'!I48)*'Baseline Given'!$B$28</f>
        <v>21243989.097082336</v>
      </c>
      <c r="L48" s="107">
        <f t="shared" si="51"/>
        <v>1082650</v>
      </c>
      <c r="M48" s="104">
        <f>'Baseline Given'!$B$26*COS('Baseline-tilt up (1 pt)'!I48)</f>
        <v>765549.15665161575</v>
      </c>
      <c r="N48" s="104">
        <f t="shared" si="52"/>
        <v>765549.15665161575</v>
      </c>
      <c r="P48" s="105">
        <f t="shared" si="53"/>
        <v>3561109.3461006037</v>
      </c>
      <c r="Q48" s="106">
        <f t="shared" si="40"/>
        <v>339360</v>
      </c>
      <c r="R48" s="105">
        <f>P48*'Baseline Given'!K49/'Baseline Given'!L49</f>
        <v>28740802.943795234</v>
      </c>
      <c r="S48" s="105">
        <f>Q48/'Baseline Given'!M49</f>
        <v>46012.940039909015</v>
      </c>
      <c r="T48" s="105">
        <f t="shared" si="39"/>
        <v>28.786815883835143</v>
      </c>
      <c r="U48" s="116"/>
      <c r="V48" s="105">
        <f t="shared" si="54"/>
        <v>3509145.7701533404</v>
      </c>
      <c r="W48" s="106">
        <f t="shared" si="41"/>
        <v>339360</v>
      </c>
      <c r="X48" s="105">
        <f>V48*'Baseline Given'!K49/'Baseline Given'!L49</f>
        <v>28321418.209599815</v>
      </c>
      <c r="Y48" s="105">
        <f>W48/'Baseline Given'!M49</f>
        <v>46012.940039909015</v>
      </c>
      <c r="Z48" s="105">
        <f t="shared" si="55"/>
        <v>28.367431149639724</v>
      </c>
      <c r="AB48" s="105">
        <f t="shared" si="56"/>
        <v>3348387.9217940117</v>
      </c>
      <c r="AC48" s="106">
        <f t="shared" si="42"/>
        <v>339360</v>
      </c>
      <c r="AD48" s="105">
        <f>AB48*'Baseline Given'!K49/'Baseline Given'!L49</f>
        <v>27023982.72185687</v>
      </c>
      <c r="AE48" s="105">
        <f>AC48/'Baseline Given'!M49</f>
        <v>46012.940039909015</v>
      </c>
      <c r="AF48" s="105">
        <f t="shared" si="57"/>
        <v>27.06999566189678</v>
      </c>
      <c r="AH48" s="105">
        <f t="shared" si="58"/>
        <v>3085891.0007970147</v>
      </c>
      <c r="AI48" s="106">
        <f t="shared" si="43"/>
        <v>339360</v>
      </c>
      <c r="AJ48" s="105">
        <f>AH48*'Baseline Given'!K49/'Baseline Given'!L49</f>
        <v>24905437.193905387</v>
      </c>
      <c r="AK48" s="105">
        <f>AI48/'Baseline Given'!M49</f>
        <v>46012.940039909015</v>
      </c>
      <c r="AL48" s="105">
        <f t="shared" si="59"/>
        <v>24.951450133945297</v>
      </c>
      <c r="AN48" s="105">
        <f t="shared" si="60"/>
        <v>2729630.843276992</v>
      </c>
      <c r="AO48" s="106">
        <f t="shared" si="44"/>
        <v>339360</v>
      </c>
      <c r="AP48" s="105">
        <f>AN48*'Baseline Given'!K49/'Baseline Given'!L49</f>
        <v>22030152.559576396</v>
      </c>
      <c r="AQ48" s="105">
        <f>AO48/'Baseline Given'!M49</f>
        <v>46012.940039909015</v>
      </c>
      <c r="AR48" s="105">
        <f t="shared" si="61"/>
        <v>22.076165499616305</v>
      </c>
      <c r="AT48" s="105">
        <f t="shared" si="62"/>
        <v>2290432.2338438518</v>
      </c>
      <c r="AU48" s="106">
        <f t="shared" si="45"/>
        <v>339360</v>
      </c>
      <c r="AV48" s="105">
        <f>AT48*'Baseline Given'!K49/'Baseline Given'!L49</f>
        <v>18485492.887519766</v>
      </c>
      <c r="AW48" s="105">
        <f>AU48/'Baseline Given'!M49</f>
        <v>46012.940039909015</v>
      </c>
      <c r="AX48" s="105">
        <f t="shared" si="63"/>
        <v>18.531505827559677</v>
      </c>
      <c r="AZ48" s="105">
        <f t="shared" si="64"/>
        <v>1781640.0000000005</v>
      </c>
      <c r="BA48" s="106">
        <f t="shared" si="46"/>
        <v>339360</v>
      </c>
      <c r="BB48" s="105">
        <f>AZ48*'Baseline Given'!K49/'Baseline Given'!L49</f>
        <v>14379160.868186597</v>
      </c>
      <c r="BC48" s="105">
        <f>BA48/'Baseline Given'!M49</f>
        <v>46012.940039909015</v>
      </c>
      <c r="BD48" s="105">
        <f t="shared" si="65"/>
        <v>14.425173808226505</v>
      </c>
      <c r="BF48" s="105">
        <f t="shared" si="66"/>
        <v>1218713.5363094893</v>
      </c>
      <c r="BG48" s="106">
        <f t="shared" si="47"/>
        <v>339360</v>
      </c>
      <c r="BH48" s="105">
        <f>BF48*'Baseline Given'!K49/'Baseline Given'!L49</f>
        <v>9835925.3220800534</v>
      </c>
      <c r="BI48" s="105">
        <f>BG48/'Baseline Given'!M49</f>
        <v>46012.940039909015</v>
      </c>
      <c r="BJ48" s="105">
        <f t="shared" si="67"/>
        <v>9.8819382621199612</v>
      </c>
      <c r="BL48" s="105">
        <f t="shared" si="68"/>
        <v>618757.07851701987</v>
      </c>
      <c r="BM48" s="106">
        <f t="shared" si="48"/>
        <v>339360</v>
      </c>
      <c r="BN48" s="106">
        <f>BL48*'Baseline Given'!K49/'Baseline Given'!L49</f>
        <v>4993830.1622804776</v>
      </c>
      <c r="BO48" s="105">
        <f>BM48/'Baseline Given'!M49</f>
        <v>46012.940039909015</v>
      </c>
      <c r="BP48" s="105">
        <f t="shared" si="69"/>
        <v>5.0398431023203871</v>
      </c>
      <c r="BR48" s="105">
        <f t="shared" si="70"/>
        <v>2.1827734932033938E-10</v>
      </c>
      <c r="BS48" s="106">
        <f t="shared" si="49"/>
        <v>339360</v>
      </c>
      <c r="BT48" s="106">
        <f>BR48*'Baseline Given'!K49/'Baseline Given'!L49</f>
        <v>1.7616606720541293E-9</v>
      </c>
      <c r="BU48" s="105">
        <f>BS48/'Baseline Given'!M49</f>
        <v>46012.940039909015</v>
      </c>
      <c r="BV48" s="105">
        <f t="shared" si="71"/>
        <v>4.6012940039910778E-2</v>
      </c>
      <c r="BX48" s="104">
        <v>150</v>
      </c>
      <c r="BY48" s="104">
        <v>-150</v>
      </c>
    </row>
    <row r="49" spans="1:77" x14ac:dyDescent="0.25">
      <c r="A49" s="18">
        <f>'Baseline Given'!E50</f>
        <v>47</v>
      </c>
      <c r="B49" s="18">
        <f t="shared" si="50"/>
        <v>21</v>
      </c>
      <c r="C49" s="18">
        <f t="shared" si="72"/>
        <v>10.5</v>
      </c>
      <c r="D49" s="18">
        <f t="shared" si="73"/>
        <v>47</v>
      </c>
      <c r="E49" s="18">
        <v>0</v>
      </c>
      <c r="F49" s="18">
        <f t="shared" si="74"/>
        <v>21</v>
      </c>
      <c r="H49" s="104">
        <f t="shared" si="75"/>
        <v>46</v>
      </c>
      <c r="I49" s="104">
        <f t="shared" si="76"/>
        <v>0.80285145591739149</v>
      </c>
      <c r="J49" s="111">
        <f>'Baseline Given'!$B$28*SIN('Baseline-tilt up (1 pt)'!I49)</f>
        <v>19.961679459397569</v>
      </c>
      <c r="K49" s="104">
        <f>'Baseline Given'!$B$26*COS('Baseline-tilt up (1 pt)'!I49)*'Baseline Given'!$B$28</f>
        <v>20869994.802573778</v>
      </c>
      <c r="L49" s="107">
        <f t="shared" si="51"/>
        <v>1045502.9520448787</v>
      </c>
      <c r="M49" s="104">
        <f>'Baseline Given'!$B$26*COS('Baseline-tilt up (1 pt)'!I49)</f>
        <v>752071.88477743347</v>
      </c>
      <c r="N49" s="104">
        <f t="shared" si="52"/>
        <v>726267.37697756675</v>
      </c>
      <c r="P49" s="105">
        <f t="shared" si="53"/>
        <v>3230031.1529257176</v>
      </c>
      <c r="Q49" s="106">
        <f t="shared" si="40"/>
        <v>323200</v>
      </c>
      <c r="R49" s="105">
        <f>P49*'Baseline Given'!K50/'Baseline Given'!L50</f>
        <v>26308897.571660295</v>
      </c>
      <c r="S49" s="105">
        <f>Q49/'Baseline Given'!M50</f>
        <v>44391.6476672969</v>
      </c>
      <c r="T49" s="105">
        <f t="shared" si="39"/>
        <v>26.353289219327593</v>
      </c>
      <c r="U49" s="116"/>
      <c r="V49" s="105">
        <f t="shared" si="54"/>
        <v>3182898.6577354562</v>
      </c>
      <c r="W49" s="106">
        <f t="shared" si="41"/>
        <v>323200</v>
      </c>
      <c r="X49" s="105">
        <f>V49*'Baseline Given'!K50/'Baseline Given'!L50</f>
        <v>25924999.110763352</v>
      </c>
      <c r="Y49" s="105">
        <f>W49/'Baseline Given'!M50</f>
        <v>44391.6476672969</v>
      </c>
      <c r="Z49" s="105">
        <f t="shared" si="55"/>
        <v>25.969390758430649</v>
      </c>
      <c r="AB49" s="105">
        <f t="shared" si="56"/>
        <v>3037086.5503800563</v>
      </c>
      <c r="AC49" s="106">
        <f t="shared" si="42"/>
        <v>323200</v>
      </c>
      <c r="AD49" s="105">
        <f>AB49*'Baseline Given'!K50/'Baseline Given'!L50</f>
        <v>24737346.232045323</v>
      </c>
      <c r="AE49" s="105">
        <f>AC49/'Baseline Given'!M50</f>
        <v>44391.6476672969</v>
      </c>
      <c r="AF49" s="105">
        <f t="shared" si="57"/>
        <v>24.781737879712619</v>
      </c>
      <c r="AH49" s="105">
        <f t="shared" si="58"/>
        <v>2798994.1050313059</v>
      </c>
      <c r="AI49" s="106">
        <f t="shared" si="43"/>
        <v>323200</v>
      </c>
      <c r="AJ49" s="105">
        <f>AH49*'Baseline Given'!K50/'Baseline Given'!L50</f>
        <v>22798061.605767772</v>
      </c>
      <c r="AK49" s="105">
        <f>AI49/'Baseline Given'!M50</f>
        <v>44391.6476672969</v>
      </c>
      <c r="AL49" s="105">
        <f t="shared" si="59"/>
        <v>22.842453253435067</v>
      </c>
      <c r="AN49" s="105">
        <f t="shared" si="60"/>
        <v>2475855.6401605369</v>
      </c>
      <c r="AO49" s="106">
        <f t="shared" si="44"/>
        <v>323200</v>
      </c>
      <c r="AP49" s="105">
        <f>AN49*'Baseline Given'!K50/'Baseline Given'!L50</f>
        <v>20166069.413974773</v>
      </c>
      <c r="AQ49" s="105">
        <f>AO49/'Baseline Given'!M50</f>
        <v>44391.6476672969</v>
      </c>
      <c r="AR49" s="105">
        <f t="shared" si="61"/>
        <v>20.210461061642068</v>
      </c>
      <c r="AT49" s="105">
        <f t="shared" si="62"/>
        <v>2077489.5545068951</v>
      </c>
      <c r="AU49" s="106">
        <f t="shared" si="45"/>
        <v>323200</v>
      </c>
      <c r="AV49" s="105">
        <f>AT49*'Baseline Given'!K50/'Baseline Given'!L50</f>
        <v>16921341.40756166</v>
      </c>
      <c r="AW49" s="105">
        <f>AU49/'Baseline Given'!M50</f>
        <v>44391.6476672969</v>
      </c>
      <c r="AX49" s="105">
        <f t="shared" si="63"/>
        <v>16.965733055228956</v>
      </c>
      <c r="AZ49" s="105">
        <f t="shared" si="64"/>
        <v>1616000.0000000005</v>
      </c>
      <c r="BA49" s="106">
        <f t="shared" si="46"/>
        <v>323200</v>
      </c>
      <c r="BB49" s="105">
        <f>AZ49*'Baseline Given'!K50/'Baseline Given'!L50</f>
        <v>13162467.005091695</v>
      </c>
      <c r="BC49" s="105">
        <f>BA49/'Baseline Given'!M50</f>
        <v>44391.6476672969</v>
      </c>
      <c r="BD49" s="105">
        <f t="shared" si="65"/>
        <v>13.206858652758992</v>
      </c>
      <c r="BF49" s="105">
        <f t="shared" si="66"/>
        <v>1105409.1032285616</v>
      </c>
      <c r="BG49" s="106">
        <f t="shared" si="47"/>
        <v>323200</v>
      </c>
      <c r="BH49" s="105">
        <f>BF49*'Baseline Given'!K50/'Baseline Given'!L50</f>
        <v>9003657.7032016944</v>
      </c>
      <c r="BI49" s="105">
        <f>BG49/'Baseline Given'!M50</f>
        <v>44391.6476672969</v>
      </c>
      <c r="BJ49" s="105">
        <f t="shared" si="67"/>
        <v>9.0480493508689914</v>
      </c>
      <c r="BL49" s="105">
        <f t="shared" si="68"/>
        <v>561230.91021951905</v>
      </c>
      <c r="BM49" s="106">
        <f t="shared" si="48"/>
        <v>323200</v>
      </c>
      <c r="BN49" s="106">
        <f>BL49*'Baseline Given'!K50/'Baseline Given'!L50</f>
        <v>4571276.818070543</v>
      </c>
      <c r="BO49" s="105">
        <f>BM49/'Baseline Given'!M50</f>
        <v>44391.6476672969</v>
      </c>
      <c r="BP49" s="105">
        <f t="shared" si="69"/>
        <v>4.6156684657378397</v>
      </c>
      <c r="BR49" s="105">
        <f t="shared" si="70"/>
        <v>1.9798399031323299E-10</v>
      </c>
      <c r="BS49" s="106">
        <f t="shared" si="49"/>
        <v>323200</v>
      </c>
      <c r="BT49" s="106">
        <f>BR49*'Baseline Given'!K50/'Baseline Given'!L50</f>
        <v>1.6125976114073778E-9</v>
      </c>
      <c r="BU49" s="105">
        <f>BS49/'Baseline Given'!M50</f>
        <v>44391.6476672969</v>
      </c>
      <c r="BV49" s="105">
        <f t="shared" si="71"/>
        <v>4.4391647667298514E-2</v>
      </c>
      <c r="BX49" s="104">
        <v>150</v>
      </c>
      <c r="BY49" s="104">
        <v>-150</v>
      </c>
    </row>
    <row r="50" spans="1:77" x14ac:dyDescent="0.25">
      <c r="A50" s="18">
        <f>'Baseline Given'!E51</f>
        <v>48</v>
      </c>
      <c r="B50" s="18">
        <f t="shared" si="50"/>
        <v>20</v>
      </c>
      <c r="C50" s="18">
        <f t="shared" si="72"/>
        <v>10</v>
      </c>
      <c r="D50" s="18">
        <f t="shared" si="73"/>
        <v>48</v>
      </c>
      <c r="E50" s="18">
        <v>0</v>
      </c>
      <c r="F50" s="18">
        <f t="shared" si="74"/>
        <v>20</v>
      </c>
      <c r="H50" s="104">
        <f t="shared" si="75"/>
        <v>47</v>
      </c>
      <c r="I50" s="104">
        <f t="shared" si="76"/>
        <v>0.82030474843733492</v>
      </c>
      <c r="J50" s="111">
        <f>'Baseline Given'!$B$28*SIN('Baseline-tilt up (1 pt)'!I50)</f>
        <v>20.295065219931981</v>
      </c>
      <c r="K50" s="104">
        <f>'Baseline Given'!$B$26*COS('Baseline-tilt up (1 pt)'!I50)*'Baseline Given'!$B$28</f>
        <v>20489643.305476177</v>
      </c>
      <c r="L50" s="107">
        <f t="shared" si="51"/>
        <v>1009587.4580069395</v>
      </c>
      <c r="M50" s="104">
        <f>'Baseline Given'!$B$26*COS('Baseline-tilt up (1 pt)'!I50)</f>
        <v>738365.52452166402</v>
      </c>
      <c r="N50" s="104">
        <f t="shared" si="52"/>
        <v>688536.99070039927</v>
      </c>
      <c r="P50" s="105">
        <f t="shared" si="53"/>
        <v>2915103.1155154603</v>
      </c>
      <c r="Q50" s="106">
        <f t="shared" si="40"/>
        <v>307040</v>
      </c>
      <c r="R50" s="105">
        <f>P50*'Baseline Given'!K51/'Baseline Given'!L51</f>
        <v>23964538.344090577</v>
      </c>
      <c r="S50" s="105">
        <f>Q50/'Baseline Given'!M51</f>
        <v>42724.002038246268</v>
      </c>
      <c r="T50" s="105">
        <f t="shared" si="39"/>
        <v>24.007262346128826</v>
      </c>
      <c r="U50" s="116"/>
      <c r="V50" s="105">
        <f t="shared" si="54"/>
        <v>2872566.0386062493</v>
      </c>
      <c r="W50" s="106">
        <f t="shared" si="41"/>
        <v>307040</v>
      </c>
      <c r="X50" s="105">
        <f>V50*'Baseline Given'!K51/'Baseline Given'!L51</f>
        <v>23614848.68638663</v>
      </c>
      <c r="Y50" s="105">
        <f>W50/'Baseline Given'!M51</f>
        <v>42724.002038246268</v>
      </c>
      <c r="Z50" s="105">
        <f t="shared" si="55"/>
        <v>23.657572688424878</v>
      </c>
      <c r="AB50" s="105">
        <f t="shared" si="56"/>
        <v>2740970.6117180004</v>
      </c>
      <c r="AC50" s="106">
        <f t="shared" si="42"/>
        <v>307040</v>
      </c>
      <c r="AD50" s="105">
        <f>AB50*'Baseline Given'!K51/'Baseline Given'!L51</f>
        <v>22533026.353315309</v>
      </c>
      <c r="AE50" s="105">
        <f>AC50/'Baseline Given'!M51</f>
        <v>42724.002038246268</v>
      </c>
      <c r="AF50" s="105">
        <f t="shared" si="57"/>
        <v>22.575750355353556</v>
      </c>
      <c r="AH50" s="105">
        <f t="shared" si="58"/>
        <v>2526092.1797907534</v>
      </c>
      <c r="AI50" s="106">
        <f t="shared" si="43"/>
        <v>307040</v>
      </c>
      <c r="AJ50" s="105">
        <f>AH50*'Baseline Given'!K51/'Baseline Given'!L51</f>
        <v>20766549.416760005</v>
      </c>
      <c r="AK50" s="105">
        <f>AI50/'Baseline Given'!M51</f>
        <v>42724.002038246268</v>
      </c>
      <c r="AL50" s="105">
        <f t="shared" si="59"/>
        <v>20.809273418798252</v>
      </c>
      <c r="AN50" s="105">
        <f t="shared" si="60"/>
        <v>2234459.7152448846</v>
      </c>
      <c r="AO50" s="106">
        <f t="shared" si="44"/>
        <v>307040</v>
      </c>
      <c r="AP50" s="105">
        <f>AN50*'Baseline Given'!K51/'Baseline Given'!L51</f>
        <v>18369091.384557497</v>
      </c>
      <c r="AQ50" s="105">
        <f>AO50/'Baseline Given'!M51</f>
        <v>42724.002038246268</v>
      </c>
      <c r="AR50" s="105">
        <f t="shared" si="61"/>
        <v>18.411815386595745</v>
      </c>
      <c r="AT50" s="105">
        <f t="shared" si="62"/>
        <v>1874934.322942473</v>
      </c>
      <c r="AU50" s="106">
        <f t="shared" si="45"/>
        <v>307040</v>
      </c>
      <c r="AV50" s="105">
        <f>AT50*'Baseline Given'!K51/'Baseline Given'!L51</f>
        <v>15413497.805843946</v>
      </c>
      <c r="AW50" s="105">
        <f>AU50/'Baseline Given'!M51</f>
        <v>42724.002038246268</v>
      </c>
      <c r="AX50" s="105">
        <f t="shared" si="63"/>
        <v>15.456221807882192</v>
      </c>
      <c r="AZ50" s="105">
        <f t="shared" si="64"/>
        <v>1458440.0000000002</v>
      </c>
      <c r="BA50" s="106">
        <f t="shared" si="46"/>
        <v>307040</v>
      </c>
      <c r="BB50" s="105">
        <f>AZ50*'Baseline Given'!K51/'Baseline Given'!L51</f>
        <v>11989572.895906057</v>
      </c>
      <c r="BC50" s="105">
        <f>BA50/'Baseline Given'!M51</f>
        <v>42724.002038246268</v>
      </c>
      <c r="BD50" s="105">
        <f t="shared" si="65"/>
        <v>12.032296897944303</v>
      </c>
      <c r="BF50" s="105">
        <f t="shared" si="66"/>
        <v>997631.71566377685</v>
      </c>
      <c r="BG50" s="106">
        <f t="shared" si="47"/>
        <v>307040</v>
      </c>
      <c r="BH50" s="105">
        <f>BF50*'Baseline Given'!K51/'Baseline Given'!L51</f>
        <v>8201350.8805426862</v>
      </c>
      <c r="BI50" s="105">
        <f>BG50/'Baseline Given'!M51</f>
        <v>42724.002038246268</v>
      </c>
      <c r="BJ50" s="105">
        <f t="shared" si="67"/>
        <v>8.2440748825809322</v>
      </c>
      <c r="BL50" s="105">
        <f t="shared" si="68"/>
        <v>506510.89647311601</v>
      </c>
      <c r="BM50" s="106">
        <f t="shared" si="48"/>
        <v>307040</v>
      </c>
      <c r="BN50" s="106">
        <f>BL50*'Baseline Given'!K51/'Baseline Given'!L51</f>
        <v>4163934.9687578161</v>
      </c>
      <c r="BO50" s="105">
        <f>BM50/'Baseline Given'!M51</f>
        <v>42724.002038246268</v>
      </c>
      <c r="BP50" s="105">
        <f t="shared" si="69"/>
        <v>4.2066589707960622</v>
      </c>
      <c r="BR50" s="105">
        <f t="shared" si="70"/>
        <v>1.7868055125769278E-10</v>
      </c>
      <c r="BS50" s="106">
        <f t="shared" si="49"/>
        <v>307040</v>
      </c>
      <c r="BT50" s="106">
        <f>BR50*'Baseline Given'!K51/'Baseline Given'!L51</f>
        <v>1.4689006708433572E-9</v>
      </c>
      <c r="BU50" s="105">
        <f>BS50/'Baseline Given'!M51</f>
        <v>42724.002038246268</v>
      </c>
      <c r="BV50" s="105">
        <f t="shared" si="71"/>
        <v>4.2724002038247735E-2</v>
      </c>
      <c r="BX50" s="104">
        <v>150</v>
      </c>
      <c r="BY50" s="104">
        <v>-150</v>
      </c>
    </row>
    <row r="51" spans="1:77" x14ac:dyDescent="0.25">
      <c r="A51" s="18">
        <f>'Baseline Given'!E52</f>
        <v>49</v>
      </c>
      <c r="B51" s="18">
        <f t="shared" si="50"/>
        <v>19</v>
      </c>
      <c r="C51" s="18">
        <f t="shared" si="72"/>
        <v>9.5</v>
      </c>
      <c r="D51" s="18">
        <f t="shared" si="73"/>
        <v>49</v>
      </c>
      <c r="E51" s="18">
        <v>0</v>
      </c>
      <c r="F51" s="18">
        <f t="shared" si="74"/>
        <v>19</v>
      </c>
      <c r="H51" s="104">
        <f t="shared" si="75"/>
        <v>48</v>
      </c>
      <c r="I51" s="104">
        <f t="shared" si="76"/>
        <v>0.83775804095727813</v>
      </c>
      <c r="J51" s="111">
        <f>'Baseline Given'!$B$28*SIN('Baseline-tilt up (1 pt)'!I51)</f>
        <v>20.622268906997686</v>
      </c>
      <c r="K51" s="104">
        <f>'Baseline Given'!$B$26*COS('Baseline-tilt up (1 pt)'!I51)*'Baseline Given'!$B$28</f>
        <v>20103050.464540098</v>
      </c>
      <c r="L51" s="107">
        <f t="shared" si="51"/>
        <v>974822.43855905673</v>
      </c>
      <c r="M51" s="104">
        <f>'Baseline Given'!$B$26*COS('Baseline-tilt up (1 pt)'!I51)</f>
        <v>724434.2509744179</v>
      </c>
      <c r="N51" s="104">
        <f t="shared" si="52"/>
        <v>652283.52940524241</v>
      </c>
      <c r="P51" s="105">
        <f t="shared" si="53"/>
        <v>2616325.2338698311</v>
      </c>
      <c r="Q51" s="106">
        <f t="shared" si="40"/>
        <v>290880</v>
      </c>
      <c r="R51" s="105">
        <f>P51*'Baseline Given'!K52/'Baseline Given'!L52</f>
        <v>21710190.063904908</v>
      </c>
      <c r="S51" s="105">
        <f>Q51/'Baseline Given'!M52</f>
        <v>41008.590499626</v>
      </c>
      <c r="T51" s="105">
        <f t="shared" si="39"/>
        <v>21.751198654404533</v>
      </c>
      <c r="U51" s="116"/>
      <c r="V51" s="105">
        <f t="shared" si="54"/>
        <v>2578147.9127657195</v>
      </c>
      <c r="W51" s="106">
        <f t="shared" si="41"/>
        <v>290880</v>
      </c>
      <c r="X51" s="105">
        <f>V51*'Baseline Given'!K52/'Baseline Given'!L52</f>
        <v>21393395.772976846</v>
      </c>
      <c r="Y51" s="105">
        <f>W51/'Baseline Given'!M52</f>
        <v>41008.590499626</v>
      </c>
      <c r="Z51" s="105">
        <f t="shared" si="55"/>
        <v>21.434404363476471</v>
      </c>
      <c r="AB51" s="105">
        <f t="shared" si="56"/>
        <v>2460040.1058078455</v>
      </c>
      <c r="AC51" s="106">
        <f t="shared" si="42"/>
        <v>290880</v>
      </c>
      <c r="AD51" s="105">
        <f>AB51*'Baseline Given'!K52/'Baseline Given'!L52</f>
        <v>20413340.654487703</v>
      </c>
      <c r="AE51" s="105">
        <f>AC51/'Baseline Given'!M52</f>
        <v>41008.590499626</v>
      </c>
      <c r="AF51" s="105">
        <f t="shared" si="57"/>
        <v>20.454349244987327</v>
      </c>
      <c r="AH51" s="105">
        <f t="shared" si="58"/>
        <v>2267185.2250753576</v>
      </c>
      <c r="AI51" s="106">
        <f t="shared" si="43"/>
        <v>290880</v>
      </c>
      <c r="AJ51" s="105">
        <f>AH51*'Baseline Given'!K52/'Baseline Given'!L52</f>
        <v>18813036.509860728</v>
      </c>
      <c r="AK51" s="105">
        <f>AI51/'Baseline Given'!M52</f>
        <v>41008.590499626</v>
      </c>
      <c r="AL51" s="105">
        <f t="shared" si="59"/>
        <v>18.854045100360352</v>
      </c>
      <c r="AN51" s="105">
        <f t="shared" si="60"/>
        <v>2005443.068530035</v>
      </c>
      <c r="AO51" s="106">
        <f t="shared" si="44"/>
        <v>290880</v>
      </c>
      <c r="AP51" s="105">
        <f>AN51*'Baseline Given'!K52/'Baseline Given'!L52</f>
        <v>16641107.770737454</v>
      </c>
      <c r="AQ51" s="105">
        <f>AO51/'Baseline Given'!M52</f>
        <v>41008.590499626</v>
      </c>
      <c r="AR51" s="105">
        <f t="shared" si="61"/>
        <v>16.682116361237082</v>
      </c>
      <c r="AT51" s="105">
        <f t="shared" si="62"/>
        <v>1682766.5391505852</v>
      </c>
      <c r="AU51" s="106">
        <f t="shared" si="45"/>
        <v>290880</v>
      </c>
      <c r="AV51" s="105">
        <f>AT51*'Baseline Given'!K52/'Baseline Given'!L52</f>
        <v>13963547.392807169</v>
      </c>
      <c r="AW51" s="105">
        <f>AU51/'Baseline Given'!M52</f>
        <v>41008.590499626</v>
      </c>
      <c r="AX51" s="105">
        <f t="shared" si="63"/>
        <v>14.004555983306796</v>
      </c>
      <c r="AZ51" s="105">
        <f t="shared" si="64"/>
        <v>1308960.0000000002</v>
      </c>
      <c r="BA51" s="106">
        <f t="shared" si="46"/>
        <v>290880</v>
      </c>
      <c r="BB51" s="105">
        <f>AZ51*'Baseline Given'!K52/'Baseline Given'!L52</f>
        <v>10861711.693242352</v>
      </c>
      <c r="BC51" s="105">
        <f>BA51/'Baseline Given'!M52</f>
        <v>41008.590499626</v>
      </c>
      <c r="BD51" s="105">
        <f t="shared" si="65"/>
        <v>10.90272028374198</v>
      </c>
      <c r="BF51" s="105">
        <f t="shared" si="66"/>
        <v>895381.37361513497</v>
      </c>
      <c r="BG51" s="106">
        <f t="shared" si="47"/>
        <v>290880</v>
      </c>
      <c r="BH51" s="105">
        <f>BF51*'Baseline Given'!K52/'Baseline Given'!L52</f>
        <v>7429848.3801696831</v>
      </c>
      <c r="BI51" s="105">
        <f>BG51/'Baseline Given'!M52</f>
        <v>41008.590499626</v>
      </c>
      <c r="BJ51" s="105">
        <f t="shared" si="67"/>
        <v>7.4708569706693089</v>
      </c>
      <c r="BL51" s="105">
        <f t="shared" si="68"/>
        <v>454597.03727781045</v>
      </c>
      <c r="BM51" s="106">
        <f t="shared" si="48"/>
        <v>290880</v>
      </c>
      <c r="BN51" s="106">
        <f>BL51*'Baseline Given'!K52/'Baseline Given'!L52</f>
        <v>3772232.8837502459</v>
      </c>
      <c r="BO51" s="105">
        <f>BM51/'Baseline Given'!M52</f>
        <v>41008.590499626</v>
      </c>
      <c r="BP51" s="105">
        <f t="shared" si="69"/>
        <v>3.8132414742498719</v>
      </c>
      <c r="BR51" s="105">
        <f t="shared" si="70"/>
        <v>1.6036703215371872E-10</v>
      </c>
      <c r="BS51" s="106">
        <f t="shared" si="49"/>
        <v>290880</v>
      </c>
      <c r="BT51" s="106">
        <f>BR51*'Baseline Given'!K52/'Baseline Given'!L52</f>
        <v>1.3307209298638754E-9</v>
      </c>
      <c r="BU51" s="105">
        <f>BS51/'Baseline Given'!M52</f>
        <v>41008.590499626</v>
      </c>
      <c r="BV51" s="105">
        <f t="shared" si="71"/>
        <v>4.100859049962733E-2</v>
      </c>
      <c r="BX51" s="104">
        <v>150</v>
      </c>
      <c r="BY51" s="104">
        <v>-150</v>
      </c>
    </row>
    <row r="52" spans="1:77" x14ac:dyDescent="0.25">
      <c r="A52" s="18">
        <f>'Baseline Given'!E53</f>
        <v>50</v>
      </c>
      <c r="B52" s="18">
        <f t="shared" si="50"/>
        <v>18</v>
      </c>
      <c r="C52" s="18">
        <f t="shared" si="72"/>
        <v>9</v>
      </c>
      <c r="D52" s="18">
        <f t="shared" si="73"/>
        <v>50</v>
      </c>
      <c r="E52" s="18">
        <v>0</v>
      </c>
      <c r="F52" s="18">
        <f t="shared" si="74"/>
        <v>18</v>
      </c>
      <c r="H52" s="104">
        <f t="shared" si="75"/>
        <v>49</v>
      </c>
      <c r="I52" s="104">
        <f t="shared" si="76"/>
        <v>0.85521133347722145</v>
      </c>
      <c r="J52" s="111">
        <f>'Baseline Given'!$B$28*SIN('Baseline-tilt up (1 pt)'!I52)</f>
        <v>20.943190851181924</v>
      </c>
      <c r="K52" s="104">
        <f>'Baseline Given'!$B$26*COS('Baseline-tilt up (1 pt)'!I52)*'Baseline Given'!$B$28</f>
        <v>19710334.039689891</v>
      </c>
      <c r="L52" s="107">
        <f t="shared" si="51"/>
        <v>941133.28669673763</v>
      </c>
      <c r="M52" s="104">
        <f>'Baseline Given'!$B$26*COS('Baseline-tilt up (1 pt)'!I52)</f>
        <v>710282.30773657269</v>
      </c>
      <c r="N52" s="104">
        <f t="shared" si="52"/>
        <v>617438.99022090645</v>
      </c>
      <c r="P52" s="105">
        <f t="shared" si="53"/>
        <v>2333697.507988831</v>
      </c>
      <c r="Q52" s="106">
        <f t="shared" si="40"/>
        <v>274720</v>
      </c>
      <c r="R52" s="105">
        <f>P52*'Baseline Given'!K53/'Baseline Given'!L53</f>
        <v>19548410.936976314</v>
      </c>
      <c r="S52" s="105">
        <f>Q52/'Baseline Given'!M53</f>
        <v>39243.949758369847</v>
      </c>
      <c r="T52" s="105">
        <f t="shared" si="39"/>
        <v>19.587654886734683</v>
      </c>
      <c r="U52" s="116"/>
      <c r="V52" s="105">
        <f t="shared" si="54"/>
        <v>2299644.2802138673</v>
      </c>
      <c r="W52" s="106">
        <f t="shared" si="41"/>
        <v>274720</v>
      </c>
      <c r="X52" s="105">
        <f>V52*'Baseline Given'!K53/'Baseline Given'!L53</f>
        <v>19263161.247161485</v>
      </c>
      <c r="Y52" s="105">
        <f>W52/'Baseline Given'!M53</f>
        <v>39243.949758369847</v>
      </c>
      <c r="Z52" s="105">
        <f t="shared" si="55"/>
        <v>19.302405196919853</v>
      </c>
      <c r="AB52" s="105">
        <f t="shared" si="56"/>
        <v>2194295.0326495906</v>
      </c>
      <c r="AC52" s="106">
        <f t="shared" si="42"/>
        <v>274720</v>
      </c>
      <c r="AD52" s="105">
        <f>AB52*'Baseline Given'!K53/'Baseline Given'!L53</f>
        <v>18380694.528043926</v>
      </c>
      <c r="AE52" s="105">
        <f>AC52/'Baseline Given'!M53</f>
        <v>39243.949758369847</v>
      </c>
      <c r="AF52" s="105">
        <f t="shared" si="57"/>
        <v>18.419938477802294</v>
      </c>
      <c r="AH52" s="105">
        <f t="shared" si="58"/>
        <v>2022273.2408851185</v>
      </c>
      <c r="AI52" s="106">
        <f t="shared" si="43"/>
        <v>274720</v>
      </c>
      <c r="AJ52" s="105">
        <f>AH52*'Baseline Given'!K53/'Baseline Given'!L53</f>
        <v>16939739.706771962</v>
      </c>
      <c r="AK52" s="105">
        <f>AI52/'Baseline Given'!M53</f>
        <v>39243.949758369847</v>
      </c>
      <c r="AL52" s="105">
        <f t="shared" si="59"/>
        <v>16.978983656530332</v>
      </c>
      <c r="AN52" s="105">
        <f t="shared" si="60"/>
        <v>1788805.700015988</v>
      </c>
      <c r="AO52" s="106">
        <f t="shared" si="44"/>
        <v>274720</v>
      </c>
      <c r="AP52" s="105">
        <f>AN52*'Baseline Given'!K53/'Baseline Given'!L53</f>
        <v>14984079.466431631</v>
      </c>
      <c r="AQ52" s="105">
        <f>AO52/'Baseline Given'!M53</f>
        <v>39243.949758369847</v>
      </c>
      <c r="AR52" s="105">
        <f t="shared" si="61"/>
        <v>15.023323416190001</v>
      </c>
      <c r="AT52" s="105">
        <f t="shared" si="62"/>
        <v>1500986.2031312317</v>
      </c>
      <c r="AU52" s="106">
        <f t="shared" si="45"/>
        <v>274720</v>
      </c>
      <c r="AV52" s="105">
        <f>AT52*'Baseline Given'!K53/'Baseline Given'!L53</f>
        <v>12573135.553813836</v>
      </c>
      <c r="AW52" s="105">
        <f>AU52/'Baseline Given'!M53</f>
        <v>39243.949758369847</v>
      </c>
      <c r="AX52" s="105">
        <f t="shared" si="63"/>
        <v>12.612379503572205</v>
      </c>
      <c r="AZ52" s="105">
        <f t="shared" si="64"/>
        <v>1167560.0000000002</v>
      </c>
      <c r="BA52" s="106">
        <f t="shared" si="46"/>
        <v>274720</v>
      </c>
      <c r="BB52" s="105">
        <f>AZ52*'Baseline Given'!K53/'Baseline Given'!L53</f>
        <v>9780163.2797069866</v>
      </c>
      <c r="BC52" s="105">
        <f>BA52/'Baseline Given'!M53</f>
        <v>39243.949758369847</v>
      </c>
      <c r="BD52" s="105">
        <f t="shared" si="65"/>
        <v>9.8194072294653569</v>
      </c>
      <c r="BF52" s="105">
        <f t="shared" si="66"/>
        <v>798658.07708263583</v>
      </c>
      <c r="BG52" s="106">
        <f t="shared" si="47"/>
        <v>274720</v>
      </c>
      <c r="BH52" s="105">
        <f>BF52*'Baseline Given'!K53/'Baseline Given'!L53</f>
        <v>6690025.6933476524</v>
      </c>
      <c r="BI52" s="105">
        <f>BG52/'Baseline Given'!M53</f>
        <v>39243.949758369847</v>
      </c>
      <c r="BJ52" s="105">
        <f t="shared" si="67"/>
        <v>6.7292696431060222</v>
      </c>
      <c r="BL52" s="105">
        <f t="shared" si="68"/>
        <v>405489.33263360255</v>
      </c>
      <c r="BM52" s="106">
        <f t="shared" si="48"/>
        <v>274720</v>
      </c>
      <c r="BN52" s="106">
        <f>BL52*'Baseline Given'!K53/'Baseline Given'!L53</f>
        <v>3396615.0616122945</v>
      </c>
      <c r="BO52" s="105">
        <f>BM52/'Baseline Given'!M53</f>
        <v>39243.949758369847</v>
      </c>
      <c r="BP52" s="105">
        <f t="shared" si="69"/>
        <v>3.4358590113706646</v>
      </c>
      <c r="BR52" s="105">
        <f t="shared" si="70"/>
        <v>1.4304343300131084E-10</v>
      </c>
      <c r="BS52" s="106">
        <f t="shared" si="49"/>
        <v>274720</v>
      </c>
      <c r="BT52" s="106">
        <f>BR52*'Baseline Given'!K53/'Baseline Given'!L53</f>
        <v>1.1982151930887033E-9</v>
      </c>
      <c r="BU52" s="105">
        <f>BS52/'Baseline Given'!M53</f>
        <v>39243.949758369847</v>
      </c>
      <c r="BV52" s="105">
        <f t="shared" si="71"/>
        <v>3.9243949758371047E-2</v>
      </c>
      <c r="BX52" s="104">
        <v>150</v>
      </c>
      <c r="BY52" s="104">
        <v>-150</v>
      </c>
    </row>
    <row r="53" spans="1:77" x14ac:dyDescent="0.25">
      <c r="A53" s="18">
        <f>'Baseline Given'!E54</f>
        <v>51</v>
      </c>
      <c r="B53" s="18">
        <f t="shared" si="50"/>
        <v>17</v>
      </c>
      <c r="C53" s="18">
        <f t="shared" si="72"/>
        <v>8.5</v>
      </c>
      <c r="D53" s="18">
        <f t="shared" si="73"/>
        <v>51</v>
      </c>
      <c r="E53" s="18">
        <v>0</v>
      </c>
      <c r="F53" s="18">
        <f t="shared" si="74"/>
        <v>17</v>
      </c>
      <c r="H53" s="104">
        <f t="shared" si="75"/>
        <v>50</v>
      </c>
      <c r="I53" s="109">
        <f t="shared" si="76"/>
        <v>0.87266462599716477</v>
      </c>
      <c r="J53" s="111">
        <f>'Baseline Given'!$B$28*SIN('Baseline-tilt up (1 pt)'!I53)</f>
        <v>21.257733296551638</v>
      </c>
      <c r="K53" s="104">
        <f>'Baseline Given'!$B$26*COS('Baseline-tilt up (1 pt)'!I53)*'Baseline Given'!$B$28</f>
        <v>19311613.656152908</v>
      </c>
      <c r="L53" s="107">
        <f t="shared" si="51"/>
        <v>908451.21569408232</v>
      </c>
      <c r="M53" s="109">
        <f>'Baseline Given'!$B$26*COS('Baseline-tilt up (1 pt)'!I53)</f>
        <v>695914.00562713179</v>
      </c>
      <c r="N53" s="109">
        <f t="shared" si="52"/>
        <v>583941.18545282993</v>
      </c>
      <c r="P53" s="105">
        <f t="shared" si="53"/>
        <v>2067219.9378724592</v>
      </c>
      <c r="Q53" s="106">
        <f t="shared" si="40"/>
        <v>258560</v>
      </c>
      <c r="R53" s="105">
        <f>P53*'Baseline Given'!K54/'Baseline Given'!L54</f>
        <v>17481857.038903024</v>
      </c>
      <c r="S53" s="105">
        <f>Q53/'Baseline Given'!M54</f>
        <v>37428.563751773283</v>
      </c>
      <c r="T53" s="105">
        <f t="shared" si="39"/>
        <v>17.519285602654797</v>
      </c>
      <c r="U53" s="116"/>
      <c r="V53" s="105">
        <f t="shared" si="54"/>
        <v>2037055.1409506921</v>
      </c>
      <c r="W53" s="106">
        <f t="shared" si="41"/>
        <v>258560</v>
      </c>
      <c r="X53" s="105">
        <f>V53*'Baseline Given'!K54/'Baseline Given'!L54</f>
        <v>17226762.427181836</v>
      </c>
      <c r="Y53" s="105">
        <f>W53/'Baseline Given'!M54</f>
        <v>37428.563751773283</v>
      </c>
      <c r="Z53" s="105">
        <f t="shared" si="55"/>
        <v>17.26419099093361</v>
      </c>
      <c r="AB53" s="105">
        <f t="shared" si="56"/>
        <v>1943735.3922432358</v>
      </c>
      <c r="AC53" s="106">
        <f t="shared" si="42"/>
        <v>258560</v>
      </c>
      <c r="AD53" s="105">
        <f>AB53*'Baseline Given'!K54/'Baseline Given'!L54</f>
        <v>16437585.389982246</v>
      </c>
      <c r="AE53" s="105">
        <f>AC53/'Baseline Given'!M54</f>
        <v>37428.563751773283</v>
      </c>
      <c r="AF53" s="105">
        <f t="shared" si="57"/>
        <v>16.47501395373402</v>
      </c>
      <c r="AH53" s="105">
        <f t="shared" si="58"/>
        <v>1791356.2272200359</v>
      </c>
      <c r="AI53" s="106">
        <f t="shared" si="43"/>
        <v>258560</v>
      </c>
      <c r="AJ53" s="105">
        <f>AH53*'Baseline Given'!K54/'Baseline Given'!L54</f>
        <v>15148960.638527598</v>
      </c>
      <c r="AK53" s="105">
        <f>AI53/'Baseline Given'!M54</f>
        <v>37428.563751773283</v>
      </c>
      <c r="AL53" s="105">
        <f t="shared" si="59"/>
        <v>15.186389202279372</v>
      </c>
      <c r="AN53" s="105">
        <f t="shared" si="60"/>
        <v>1584547.6097027436</v>
      </c>
      <c r="AO53" s="106">
        <f t="shared" si="44"/>
        <v>258560</v>
      </c>
      <c r="AP53" s="105">
        <f>AN53*'Baseline Given'!K54/'Baseline Given'!L54</f>
        <v>13400042.383815246</v>
      </c>
      <c r="AQ53" s="105">
        <f>AO53/'Baseline Given'!M54</f>
        <v>37428.563751773283</v>
      </c>
      <c r="AR53" s="105">
        <f t="shared" si="61"/>
        <v>13.43747094756702</v>
      </c>
      <c r="AT53" s="105">
        <f t="shared" si="62"/>
        <v>1329593.314884413</v>
      </c>
      <c r="AU53" s="106">
        <f t="shared" si="45"/>
        <v>258560</v>
      </c>
      <c r="AV53" s="105">
        <f>AT53*'Baseline Given'!K54/'Baseline Given'!L54</f>
        <v>11243970.622019293</v>
      </c>
      <c r="AW53" s="105">
        <f>AU53/'Baseline Given'!M54</f>
        <v>37428.563751773283</v>
      </c>
      <c r="AX53" s="105">
        <f t="shared" si="63"/>
        <v>11.281399185771066</v>
      </c>
      <c r="AZ53" s="105">
        <f t="shared" si="64"/>
        <v>1034240.0000000002</v>
      </c>
      <c r="BA53" s="106">
        <f t="shared" si="46"/>
        <v>258560</v>
      </c>
      <c r="BB53" s="105">
        <f>AZ53*'Baseline Given'!K54/'Baseline Given'!L54</f>
        <v>8746256.5025969539</v>
      </c>
      <c r="BC53" s="105">
        <f>BA53/'Baseline Given'!M54</f>
        <v>37428.563751773283</v>
      </c>
      <c r="BD53" s="105">
        <f t="shared" si="65"/>
        <v>8.7836850663487276</v>
      </c>
      <c r="BF53" s="105">
        <f t="shared" si="66"/>
        <v>707461.82606627943</v>
      </c>
      <c r="BG53" s="106">
        <f t="shared" si="47"/>
        <v>258560</v>
      </c>
      <c r="BH53" s="105">
        <f>BF53*'Baseline Given'!K54/'Baseline Given'!L54</f>
        <v>5982791.8051625444</v>
      </c>
      <c r="BI53" s="105">
        <f>BG53/'Baseline Given'!M54</f>
        <v>37428.563751773283</v>
      </c>
      <c r="BJ53" s="105">
        <f t="shared" si="67"/>
        <v>6.020220368914317</v>
      </c>
      <c r="BL53" s="105">
        <f t="shared" si="68"/>
        <v>359187.78254049225</v>
      </c>
      <c r="BM53" s="106">
        <f t="shared" si="48"/>
        <v>258560</v>
      </c>
      <c r="BN53" s="106">
        <f>BL53*'Baseline Given'!K54/'Baseline Given'!L54</f>
        <v>3037543.006167002</v>
      </c>
      <c r="BO53" s="105">
        <f>BM53/'Baseline Given'!M54</f>
        <v>37428.563751773283</v>
      </c>
      <c r="BP53" s="105">
        <f t="shared" si="69"/>
        <v>3.0749715699187754</v>
      </c>
      <c r="BR53" s="105">
        <f t="shared" si="70"/>
        <v>1.2670975380046912E-10</v>
      </c>
      <c r="BS53" s="106">
        <f t="shared" si="49"/>
        <v>258560</v>
      </c>
      <c r="BT53" s="106">
        <f>BR53*'Baseline Given'!K54/'Baseline Given'!L54</f>
        <v>1.0715462640391126E-9</v>
      </c>
      <c r="BU53" s="105">
        <f>BS53/'Baseline Given'!M54</f>
        <v>37428.563751773283</v>
      </c>
      <c r="BV53" s="105">
        <f t="shared" si="71"/>
        <v>3.7428563751774349E-2</v>
      </c>
      <c r="BX53" s="104">
        <v>150</v>
      </c>
      <c r="BY53" s="104">
        <v>-150</v>
      </c>
    </row>
    <row r="54" spans="1:77" x14ac:dyDescent="0.25">
      <c r="A54" s="18">
        <f>'Baseline Given'!E55</f>
        <v>52</v>
      </c>
      <c r="B54" s="18">
        <f t="shared" si="50"/>
        <v>16</v>
      </c>
      <c r="C54" s="18">
        <f t="shared" si="72"/>
        <v>8</v>
      </c>
      <c r="D54" s="18">
        <f t="shared" si="73"/>
        <v>52</v>
      </c>
      <c r="E54" s="18">
        <v>0</v>
      </c>
      <c r="F54" s="18">
        <f t="shared" si="74"/>
        <v>16</v>
      </c>
      <c r="H54" s="104">
        <f t="shared" si="75"/>
        <v>51</v>
      </c>
      <c r="I54" s="104">
        <f t="shared" si="76"/>
        <v>0.89011791851710798</v>
      </c>
      <c r="J54" s="111">
        <f>'Baseline Given'!$B$28*SIN('Baseline-tilt up (1 pt)'!I54)</f>
        <v>21.56580043043094</v>
      </c>
      <c r="K54" s="104">
        <f>'Baseline Given'!$B$26*COS('Baseline-tilt up (1 pt)'!I54)*'Baseline Given'!$B$28</f>
        <v>18907010.768020459</v>
      </c>
      <c r="L54" s="107">
        <f t="shared" si="51"/>
        <v>876712.68353857473</v>
      </c>
      <c r="M54" s="104">
        <f>'Baseline Given'!$B$26*COS('Baseline-tilt up (1 pt)'!I54)</f>
        <v>681333.72137010656</v>
      </c>
      <c r="N54" s="104">
        <f t="shared" si="52"/>
        <v>551733.16884284827</v>
      </c>
      <c r="P54" s="105">
        <f t="shared" si="53"/>
        <v>1816892.523520716</v>
      </c>
      <c r="Q54" s="106">
        <f t="shared" si="40"/>
        <v>242400</v>
      </c>
      <c r="R54" s="105">
        <f>P54*'Baseline Given'!K55/'Baseline Given'!L55</f>
        <v>15513287.040478064</v>
      </c>
      <c r="S54" s="105">
        <f>Q54/'Baseline Given'!M55</f>
        <v>35560.861414199433</v>
      </c>
      <c r="T54" s="105">
        <f t="shared" si="39"/>
        <v>15.548847901892264</v>
      </c>
      <c r="U54" s="116"/>
      <c r="V54" s="105">
        <f t="shared" si="54"/>
        <v>1790380.4949761941</v>
      </c>
      <c r="W54" s="106">
        <f t="shared" si="41"/>
        <v>242400</v>
      </c>
      <c r="X54" s="105">
        <f>V54*'Baseline Given'!K55/'Baseline Given'!L55</f>
        <v>15286917.72940867</v>
      </c>
      <c r="Y54" s="105">
        <f>W54/'Baseline Given'!M55</f>
        <v>35560.861414199433</v>
      </c>
      <c r="Z54" s="105">
        <f t="shared" si="55"/>
        <v>15.32247859082287</v>
      </c>
      <c r="AB54" s="105">
        <f t="shared" si="56"/>
        <v>1708361.1845887816</v>
      </c>
      <c r="AC54" s="106">
        <f t="shared" si="42"/>
        <v>242400</v>
      </c>
      <c r="AD54" s="105">
        <f>AB54*'Baseline Given'!K55/'Baseline Given'!L55</f>
        <v>14586607.123013306</v>
      </c>
      <c r="AE54" s="105">
        <f>AC54/'Baseline Given'!M55</f>
        <v>35560.861414199433</v>
      </c>
      <c r="AF54" s="105">
        <f t="shared" si="57"/>
        <v>14.622167984427506</v>
      </c>
      <c r="AH54" s="105">
        <f t="shared" si="58"/>
        <v>1574434.1840801095</v>
      </c>
      <c r="AI54" s="106">
        <f t="shared" si="43"/>
        <v>242400</v>
      </c>
      <c r="AJ54" s="105">
        <f>AH54*'Baseline Given'!K55/'Baseline Given'!L55</f>
        <v>13443089.840364534</v>
      </c>
      <c r="AK54" s="105">
        <f>AI54/'Baseline Given'!M55</f>
        <v>35560.861414199433</v>
      </c>
      <c r="AL54" s="105">
        <f t="shared" si="59"/>
        <v>13.478650701778735</v>
      </c>
      <c r="AN54" s="105">
        <f t="shared" si="60"/>
        <v>1392668.7975903021</v>
      </c>
      <c r="AO54" s="106">
        <f t="shared" si="44"/>
        <v>242400</v>
      </c>
      <c r="AP54" s="105">
        <f>AN54*'Baseline Given'!K55/'Baseline Given'!L55</f>
        <v>11891111.075447973</v>
      </c>
      <c r="AQ54" s="105">
        <f>AO54/'Baseline Given'!M55</f>
        <v>35560.861414199433</v>
      </c>
      <c r="AR54" s="105">
        <f t="shared" si="61"/>
        <v>11.926671936862173</v>
      </c>
      <c r="AT54" s="105">
        <f t="shared" si="62"/>
        <v>1168587.8744101285</v>
      </c>
      <c r="AU54" s="106">
        <f t="shared" si="45"/>
        <v>242400</v>
      </c>
      <c r="AV54" s="105">
        <f>AT54*'Baseline Given'!K55/'Baseline Given'!L55</f>
        <v>9977826.9176964611</v>
      </c>
      <c r="AW54" s="105">
        <f>AU54/'Baseline Given'!M55</f>
        <v>35560.861414199433</v>
      </c>
      <c r="AX54" s="105">
        <f t="shared" si="63"/>
        <v>10.01338777911066</v>
      </c>
      <c r="AZ54" s="105">
        <f t="shared" si="64"/>
        <v>909000.00000000023</v>
      </c>
      <c r="BA54" s="106">
        <f t="shared" si="46"/>
        <v>242400</v>
      </c>
      <c r="BB54" s="105">
        <f>AZ54*'Baseline Given'!K55/'Baseline Given'!L55</f>
        <v>7761371.5380747886</v>
      </c>
      <c r="BC54" s="105">
        <f>BA54/'Baseline Given'!M55</f>
        <v>35560.861414199433</v>
      </c>
      <c r="BD54" s="105">
        <f t="shared" si="65"/>
        <v>7.7969323994889885</v>
      </c>
      <c r="BF54" s="105">
        <f t="shared" si="66"/>
        <v>621792.62056606589</v>
      </c>
      <c r="BG54" s="106">
        <f t="shared" si="47"/>
        <v>242400</v>
      </c>
      <c r="BH54" s="105">
        <f>BF54*'Baseline Given'!K55/'Baseline Given'!L55</f>
        <v>5309090.8117122101</v>
      </c>
      <c r="BI54" s="105">
        <f>BG54/'Baseline Given'!M55</f>
        <v>35560.861414199433</v>
      </c>
      <c r="BJ54" s="105">
        <f t="shared" si="67"/>
        <v>5.3446516731264095</v>
      </c>
      <c r="BL54" s="105">
        <f t="shared" si="68"/>
        <v>315692.38699847949</v>
      </c>
      <c r="BM54" s="106">
        <f t="shared" si="48"/>
        <v>242400</v>
      </c>
      <c r="BN54" s="106">
        <f>BL54*'Baseline Given'!K55/'Baseline Given'!L55</f>
        <v>2695496.0475653349</v>
      </c>
      <c r="BO54" s="105">
        <f>BM54/'Baseline Given'!M55</f>
        <v>35560.861414199433</v>
      </c>
      <c r="BP54" s="105">
        <f t="shared" si="69"/>
        <v>2.731056908979534</v>
      </c>
      <c r="BR54" s="105">
        <f t="shared" si="70"/>
        <v>1.1136599455119356E-10</v>
      </c>
      <c r="BS54" s="106">
        <f t="shared" si="49"/>
        <v>242400</v>
      </c>
      <c r="BT54" s="106">
        <f>BR54*'Baseline Given'!K55/'Baseline Given'!L55</f>
        <v>9.508832347844065E-10</v>
      </c>
      <c r="BU54" s="105">
        <f>BS54/'Baseline Given'!M55</f>
        <v>35560.861414199433</v>
      </c>
      <c r="BV54" s="105">
        <f t="shared" si="71"/>
        <v>3.5560861414200388E-2</v>
      </c>
      <c r="BX54" s="104">
        <v>150</v>
      </c>
      <c r="BY54" s="104">
        <v>-150</v>
      </c>
    </row>
    <row r="55" spans="1:77" x14ac:dyDescent="0.25">
      <c r="A55" s="18">
        <f>'Baseline Given'!E56</f>
        <v>53</v>
      </c>
      <c r="B55" s="18">
        <f t="shared" si="50"/>
        <v>15</v>
      </c>
      <c r="C55" s="18">
        <f t="shared" si="72"/>
        <v>7.5</v>
      </c>
      <c r="D55" s="18">
        <f t="shared" si="73"/>
        <v>53</v>
      </c>
      <c r="E55" s="18">
        <v>0</v>
      </c>
      <c r="F55" s="18">
        <f t="shared" si="74"/>
        <v>15</v>
      </c>
      <c r="H55" s="104">
        <f t="shared" si="75"/>
        <v>52</v>
      </c>
      <c r="I55" s="104">
        <f t="shared" si="76"/>
        <v>0.90757121103705141</v>
      </c>
      <c r="J55" s="111">
        <f>'Baseline Given'!$B$28*SIN('Baseline-tilt up (1 pt)'!I55)</f>
        <v>21.867298412586536</v>
      </c>
      <c r="K55" s="104">
        <f>'Baseline Given'!$B$26*COS('Baseline-tilt up (1 pt)'!I55)*'Baseline Given'!$B$28</f>
        <v>18496648.62125174</v>
      </c>
      <c r="L55" s="107">
        <f t="shared" si="51"/>
        <v>845858.8835374976</v>
      </c>
      <c r="M55" s="104">
        <f>'Baseline Given'!$B$26*COS('Baseline-tilt up (1 pt)'!I55)</f>
        <v>666545.89626132394</v>
      </c>
      <c r="N55" s="104">
        <f t="shared" si="52"/>
        <v>520762.72815600998</v>
      </c>
      <c r="P55" s="105">
        <f t="shared" si="53"/>
        <v>1582715.2649336015</v>
      </c>
      <c r="Q55" s="106">
        <f t="shared" si="40"/>
        <v>226240</v>
      </c>
      <c r="R55" s="105">
        <f>P55*'Baseline Given'!K56/'Baseline Given'!L56</f>
        <v>13645567.209621809</v>
      </c>
      <c r="S55" s="105">
        <f>Q55/'Baseline Given'!M56</f>
        <v>33639.214334449563</v>
      </c>
      <c r="T55" s="105">
        <f t="shared" si="39"/>
        <v>13.679206423956257</v>
      </c>
      <c r="U55" s="116"/>
      <c r="V55" s="105">
        <f t="shared" si="54"/>
        <v>1559620.3422903735</v>
      </c>
      <c r="W55" s="106">
        <f t="shared" si="41"/>
        <v>226240</v>
      </c>
      <c r="X55" s="105">
        <f>V55*'Baseline Given'!K56/'Baseline Given'!L56</f>
        <v>13446451.597286822</v>
      </c>
      <c r="Y55" s="105">
        <f>W55/'Baseline Given'!M56</f>
        <v>33639.214334449563</v>
      </c>
      <c r="Z55" s="105">
        <f t="shared" si="55"/>
        <v>13.48009081162127</v>
      </c>
      <c r="AB55" s="105">
        <f t="shared" si="56"/>
        <v>1488172.4096862276</v>
      </c>
      <c r="AC55" s="106">
        <f t="shared" si="42"/>
        <v>226240</v>
      </c>
      <c r="AD55" s="105">
        <f>AB55*'Baseline Given'!K56/'Baseline Given'!L56</f>
        <v>12830454.779704284</v>
      </c>
      <c r="AE55" s="105">
        <f>AC55/'Baseline Given'!M56</f>
        <v>33639.214334449563</v>
      </c>
      <c r="AF55" s="105">
        <f t="shared" si="57"/>
        <v>12.864093994038733</v>
      </c>
      <c r="AH55" s="105">
        <f t="shared" si="58"/>
        <v>1371507.1114653398</v>
      </c>
      <c r="AI55" s="106">
        <f t="shared" si="43"/>
        <v>226240</v>
      </c>
      <c r="AJ55" s="105">
        <f>AH55*'Baseline Given'!K56/'Baseline Given'!L56</f>
        <v>11824611.086163815</v>
      </c>
      <c r="AK55" s="105">
        <f>AI55/'Baseline Given'!M56</f>
        <v>33639.214334449563</v>
      </c>
      <c r="AL55" s="105">
        <f t="shared" si="59"/>
        <v>11.858250300498264</v>
      </c>
      <c r="AN55" s="105">
        <f t="shared" si="60"/>
        <v>1213169.2636786632</v>
      </c>
      <c r="AO55" s="106">
        <f t="shared" si="44"/>
        <v>226240</v>
      </c>
      <c r="AP55" s="105">
        <f>AN55*'Baseline Given'!K56/'Baseline Given'!L56</f>
        <v>10459482.568312181</v>
      </c>
      <c r="AQ55" s="105">
        <f>AO55/'Baseline Given'!M56</f>
        <v>33639.214334449563</v>
      </c>
      <c r="AR55" s="105">
        <f t="shared" si="61"/>
        <v>10.493121782646631</v>
      </c>
      <c r="AT55" s="105">
        <f t="shared" si="62"/>
        <v>1017969.8817083787</v>
      </c>
      <c r="AU55" s="106">
        <f t="shared" si="45"/>
        <v>226240</v>
      </c>
      <c r="AV55" s="105">
        <f>AT55*'Baseline Given'!K56/'Baseline Given'!L56</f>
        <v>8776547.9653759412</v>
      </c>
      <c r="AW55" s="105">
        <f>AU55/'Baseline Given'!M56</f>
        <v>33639.214334449563</v>
      </c>
      <c r="AX55" s="105">
        <f t="shared" si="63"/>
        <v>8.8101871797103897</v>
      </c>
      <c r="AZ55" s="105">
        <f t="shared" si="64"/>
        <v>791840.00000000023</v>
      </c>
      <c r="BA55" s="106">
        <f t="shared" si="46"/>
        <v>226240</v>
      </c>
      <c r="BB55" s="105">
        <f>AZ55*'Baseline Given'!K56/'Baseline Given'!L56</f>
        <v>6826942.3936593141</v>
      </c>
      <c r="BC55" s="105">
        <f>BA55/'Baseline Given'!M56</f>
        <v>33639.214334449563</v>
      </c>
      <c r="BD55" s="105">
        <f t="shared" si="65"/>
        <v>6.8605816079937636</v>
      </c>
      <c r="BF55" s="105">
        <f t="shared" si="66"/>
        <v>541650.4605819952</v>
      </c>
      <c r="BG55" s="106">
        <f t="shared" si="47"/>
        <v>226240</v>
      </c>
      <c r="BH55" s="105">
        <f>BF55*'Baseline Given'!K56/'Baseline Given'!L56</f>
        <v>4669903.6319108848</v>
      </c>
      <c r="BI55" s="105">
        <f>BG55/'Baseline Given'!M56</f>
        <v>33639.214334449563</v>
      </c>
      <c r="BJ55" s="105">
        <f t="shared" si="67"/>
        <v>4.7035428462453348</v>
      </c>
      <c r="BL55" s="105">
        <f t="shared" si="68"/>
        <v>275003.14600756438</v>
      </c>
      <c r="BM55" s="106">
        <f t="shared" si="48"/>
        <v>226240</v>
      </c>
      <c r="BN55" s="106">
        <f>BL55*'Baseline Given'!K56/'Baseline Given'!L56</f>
        <v>2370972.2113921028</v>
      </c>
      <c r="BO55" s="105">
        <f>BM55/'Baseline Given'!M56</f>
        <v>33639.214334449563</v>
      </c>
      <c r="BP55" s="105">
        <f t="shared" si="69"/>
        <v>2.4046114257265523</v>
      </c>
      <c r="BR55" s="105">
        <f t="shared" si="70"/>
        <v>9.7012155253484167E-11</v>
      </c>
      <c r="BS55" s="106">
        <f t="shared" si="49"/>
        <v>226240</v>
      </c>
      <c r="BT55" s="106">
        <f>BR55*'Baseline Given'!K56/'Baseline Given'!L56</f>
        <v>8.3640179253418613E-10</v>
      </c>
      <c r="BU55" s="105">
        <f>BS55/'Baseline Given'!M56</f>
        <v>33639.214334449563</v>
      </c>
      <c r="BV55" s="105">
        <f t="shared" si="71"/>
        <v>3.3639214334450399E-2</v>
      </c>
      <c r="BX55" s="104">
        <v>150</v>
      </c>
      <c r="BY55" s="104">
        <v>-150</v>
      </c>
    </row>
    <row r="56" spans="1:77" x14ac:dyDescent="0.25">
      <c r="A56" s="18">
        <f>'Baseline Given'!E57</f>
        <v>54</v>
      </c>
      <c r="B56" s="18">
        <f t="shared" si="50"/>
        <v>14</v>
      </c>
      <c r="C56" s="18">
        <f t="shared" si="72"/>
        <v>7</v>
      </c>
      <c r="D56" s="18">
        <f t="shared" si="73"/>
        <v>54</v>
      </c>
      <c r="E56" s="18">
        <v>0</v>
      </c>
      <c r="F56" s="18">
        <f t="shared" si="74"/>
        <v>14</v>
      </c>
      <c r="H56" s="104">
        <f t="shared" si="75"/>
        <v>53</v>
      </c>
      <c r="I56" s="104">
        <f t="shared" si="76"/>
        <v>0.92502450355699462</v>
      </c>
      <c r="J56" s="111">
        <f>'Baseline Given'!$B$28*SIN('Baseline-tilt up (1 pt)'!I56)</f>
        <v>22.162135403812375</v>
      </c>
      <c r="K56" s="104">
        <f>'Baseline Given'!$B$26*COS('Baseline-tilt up (1 pt)'!I56)*'Baseline Given'!$B$28</f>
        <v>18080652.216131933</v>
      </c>
      <c r="L56" s="107">
        <f t="shared" si="51"/>
        <v>815835.29234379029</v>
      </c>
      <c r="M56" s="104">
        <f>'Baseline Given'!$B$26*COS('Baseline-tilt up (1 pt)'!I56)</f>
        <v>651555.03481556522</v>
      </c>
      <c r="N56" s="104">
        <f t="shared" si="52"/>
        <v>490981.93535013631</v>
      </c>
      <c r="P56" s="105">
        <f t="shared" si="53"/>
        <v>1364688.1621111156</v>
      </c>
      <c r="Q56" s="106">
        <f t="shared" si="40"/>
        <v>210080</v>
      </c>
      <c r="R56" s="105">
        <f>P56*'Baseline Given'!K57/'Baseline Given'!L57</f>
        <v>11881676.708833545</v>
      </c>
      <c r="S56" s="105">
        <f>Q56/'Baseline Given'!M57</f>
        <v>31661.934297694061</v>
      </c>
      <c r="T56" s="105">
        <f t="shared" si="39"/>
        <v>11.913338643131238</v>
      </c>
      <c r="U56" s="116"/>
      <c r="V56" s="105">
        <f t="shared" si="54"/>
        <v>1344774.6828932303</v>
      </c>
      <c r="W56" s="106">
        <f t="shared" si="41"/>
        <v>210080</v>
      </c>
      <c r="X56" s="105">
        <f>V56*'Baseline Given'!K57/'Baseline Given'!L57</f>
        <v>11708299.721486509</v>
      </c>
      <c r="Y56" s="105">
        <f>W56/'Baseline Given'!M57</f>
        <v>31661.934297694061</v>
      </c>
      <c r="Z56" s="105">
        <f t="shared" si="55"/>
        <v>11.739961655784203</v>
      </c>
      <c r="AB56" s="105">
        <f t="shared" si="56"/>
        <v>1283169.0675355736</v>
      </c>
      <c r="AC56" s="106">
        <f t="shared" si="42"/>
        <v>210080</v>
      </c>
      <c r="AD56" s="105">
        <f>AB56*'Baseline Given'!K57/'Baseline Given'!L57</f>
        <v>11171929.563489325</v>
      </c>
      <c r="AE56" s="105">
        <f>AC56/'Baseline Given'!M57</f>
        <v>31661.934297694061</v>
      </c>
      <c r="AF56" s="105">
        <f t="shared" si="57"/>
        <v>11.20359149778702</v>
      </c>
      <c r="AH56" s="105">
        <f t="shared" si="58"/>
        <v>1182575.0093757268</v>
      </c>
      <c r="AI56" s="106">
        <f t="shared" si="43"/>
        <v>210080</v>
      </c>
      <c r="AJ56" s="105">
        <f>AH56*'Baseline Given'!K57/'Baseline Given'!L57</f>
        <v>10296105.978974652</v>
      </c>
      <c r="AK56" s="105">
        <f>AI56/'Baseline Given'!M57</f>
        <v>31661.934297694061</v>
      </c>
      <c r="AL56" s="105">
        <f t="shared" si="59"/>
        <v>10.327767913272345</v>
      </c>
      <c r="AN56" s="105">
        <f t="shared" si="60"/>
        <v>1046049.0079678269</v>
      </c>
      <c r="AO56" s="106">
        <f t="shared" si="44"/>
        <v>210080</v>
      </c>
      <c r="AP56" s="105">
        <f>AN56*'Baseline Given'!K57/'Baseline Given'!L57</f>
        <v>9107440.4243698455</v>
      </c>
      <c r="AQ56" s="105">
        <f>AO56/'Baseline Given'!M57</f>
        <v>31661.934297694061</v>
      </c>
      <c r="AR56" s="105">
        <f t="shared" si="61"/>
        <v>9.1391023586675395</v>
      </c>
      <c r="AT56" s="105">
        <f t="shared" si="62"/>
        <v>877739.33677916322</v>
      </c>
      <c r="AU56" s="106">
        <f t="shared" si="45"/>
        <v>210080</v>
      </c>
      <c r="AV56" s="105">
        <f>AT56*'Baseline Given'!K57/'Baseline Given'!L57</f>
        <v>7642049.9010577891</v>
      </c>
      <c r="AW56" s="105">
        <f>AU56/'Baseline Given'!M57</f>
        <v>31661.934297694061</v>
      </c>
      <c r="AX56" s="105">
        <f t="shared" si="63"/>
        <v>7.6737118353554834</v>
      </c>
      <c r="AZ56" s="105">
        <f t="shared" si="64"/>
        <v>682760.00000000012</v>
      </c>
      <c r="BA56" s="106">
        <f t="shared" si="46"/>
        <v>210080</v>
      </c>
      <c r="BB56" s="105">
        <f>AZ56*'Baseline Given'!K57/'Baseline Given'!L57</f>
        <v>5944459.5585659305</v>
      </c>
      <c r="BC56" s="105">
        <f>BA56/'Baseline Given'!M57</f>
        <v>31661.934297694061</v>
      </c>
      <c r="BD56" s="105">
        <f t="shared" si="65"/>
        <v>5.9761214928636246</v>
      </c>
      <c r="BF56" s="105">
        <f t="shared" si="66"/>
        <v>467035.3461140673</v>
      </c>
      <c r="BG56" s="106">
        <f t="shared" si="47"/>
        <v>210080</v>
      </c>
      <c r="BH56" s="105">
        <f>BF56*'Baseline Given'!K57/'Baseline Given'!L57</f>
        <v>4066249.8204287221</v>
      </c>
      <c r="BI56" s="105">
        <f>BG56/'Baseline Given'!M57</f>
        <v>31661.934297694061</v>
      </c>
      <c r="BJ56" s="105">
        <f t="shared" si="67"/>
        <v>4.0979117547264163</v>
      </c>
      <c r="BL56" s="105">
        <f t="shared" si="68"/>
        <v>237120.05956774682</v>
      </c>
      <c r="BM56" s="106">
        <f t="shared" si="48"/>
        <v>210080</v>
      </c>
      <c r="BN56" s="106">
        <f>BL56*'Baseline Given'!K57/'Baseline Given'!L57</f>
        <v>2064489.1391194786</v>
      </c>
      <c r="BO56" s="105">
        <f>BM56/'Baseline Given'!M57</f>
        <v>31661.934297694061</v>
      </c>
      <c r="BP56" s="105">
        <f t="shared" si="69"/>
        <v>2.0961510734171727</v>
      </c>
      <c r="BR56" s="105">
        <f t="shared" si="70"/>
        <v>8.364823590734094E-11</v>
      </c>
      <c r="BS56" s="106">
        <f t="shared" si="49"/>
        <v>210080</v>
      </c>
      <c r="BT56" s="106">
        <f>BR56*'Baseline Given'!K57/'Baseline Given'!L57</f>
        <v>7.2828454434438251E-10</v>
      </c>
      <c r="BU56" s="105">
        <f>BS56/'Baseline Given'!M57</f>
        <v>31661.934297694061</v>
      </c>
      <c r="BV56" s="105">
        <f t="shared" si="71"/>
        <v>3.1661934297694788E-2</v>
      </c>
      <c r="BX56" s="104">
        <v>150</v>
      </c>
      <c r="BY56" s="104">
        <v>-150</v>
      </c>
    </row>
    <row r="57" spans="1:77" x14ac:dyDescent="0.25">
      <c r="A57" s="18">
        <f>'Baseline Given'!E58</f>
        <v>55</v>
      </c>
      <c r="B57" s="18">
        <f t="shared" si="50"/>
        <v>13</v>
      </c>
      <c r="C57" s="18">
        <f t="shared" si="72"/>
        <v>6.5</v>
      </c>
      <c r="D57" s="18">
        <f t="shared" si="73"/>
        <v>55</v>
      </c>
      <c r="E57" s="18">
        <v>0</v>
      </c>
      <c r="F57" s="18">
        <f t="shared" si="74"/>
        <v>13</v>
      </c>
      <c r="H57" s="104">
        <f t="shared" si="75"/>
        <v>54</v>
      </c>
      <c r="I57" s="104">
        <f t="shared" si="76"/>
        <v>0.94247779607693793</v>
      </c>
      <c r="J57" s="111">
        <f>'Baseline Given'!$B$28*SIN('Baseline-tilt up (1 pt)'!I57)</f>
        <v>22.450221593904793</v>
      </c>
      <c r="K57" s="104">
        <f>'Baseline Given'!$B$26*COS('Baseline-tilt up (1 pt)'!I57)*'Baseline Given'!$B$28</f>
        <v>17659148.269195877</v>
      </c>
      <c r="L57" s="107">
        <f t="shared" si="51"/>
        <v>786591.26794500393</v>
      </c>
      <c r="M57" s="104">
        <f>'Baseline Given'!$B$26*COS('Baseline-tilt up (1 pt)'!I57)</f>
        <v>636365.70339444606</v>
      </c>
      <c r="N57" s="104">
        <f t="shared" si="52"/>
        <v>462346.74688011047</v>
      </c>
      <c r="P57" s="105">
        <f t="shared" si="53"/>
        <v>1162811.2150532582</v>
      </c>
      <c r="Q57" s="106">
        <f t="shared" si="40"/>
        <v>193920</v>
      </c>
      <c r="R57" s="105">
        <f>P57*'Baseline Given'!K58/'Baseline Given'!L58</f>
        <v>10224713.208734095</v>
      </c>
      <c r="S57" s="105">
        <f>Q57/'Baseline Given'!M58</f>
        <v>29627.270705476669</v>
      </c>
      <c r="T57" s="105">
        <f t="shared" si="39"/>
        <v>10.254340479439572</v>
      </c>
      <c r="U57" s="116"/>
      <c r="V57" s="105">
        <f t="shared" si="54"/>
        <v>1145843.5167847644</v>
      </c>
      <c r="W57" s="106">
        <f t="shared" si="41"/>
        <v>193920</v>
      </c>
      <c r="X57" s="105">
        <f>V57*'Baseline Given'!K58/'Baseline Given'!L58</f>
        <v>10075514.571533354</v>
      </c>
      <c r="Y57" s="105">
        <f>W57/'Baseline Given'!M58</f>
        <v>29627.270705476669</v>
      </c>
      <c r="Z57" s="105">
        <f t="shared" si="55"/>
        <v>10.105141842238831</v>
      </c>
      <c r="AB57" s="105">
        <f t="shared" si="56"/>
        <v>1093351.1581368202</v>
      </c>
      <c r="AC57" s="106">
        <f t="shared" si="42"/>
        <v>193920</v>
      </c>
      <c r="AD57" s="105">
        <f>AB57*'Baseline Given'!K58/'Baseline Given'!L58</f>
        <v>9613944.106889477</v>
      </c>
      <c r="AE57" s="105">
        <f>AC57/'Baseline Given'!M58</f>
        <v>29627.270705476669</v>
      </c>
      <c r="AF57" s="105">
        <f t="shared" si="57"/>
        <v>9.6435713775949541</v>
      </c>
      <c r="AH57" s="105">
        <f t="shared" si="58"/>
        <v>1007637.8778112701</v>
      </c>
      <c r="AI57" s="106">
        <f t="shared" si="43"/>
        <v>193920</v>
      </c>
      <c r="AJ57" s="105">
        <f>AH57*'Baseline Given'!K58/'Baseline Given'!L58</f>
        <v>8860258.8154482171</v>
      </c>
      <c r="AK57" s="105">
        <f>AI57/'Baseline Given'!M58</f>
        <v>29627.270705476669</v>
      </c>
      <c r="AL57" s="105">
        <f t="shared" si="59"/>
        <v>8.8898860861536928</v>
      </c>
      <c r="AN57" s="105">
        <f t="shared" si="60"/>
        <v>891308.03045779327</v>
      </c>
      <c r="AO57" s="106">
        <f t="shared" si="44"/>
        <v>193920</v>
      </c>
      <c r="AP57" s="105">
        <f>AN57*'Baseline Given'!K58/'Baseline Given'!L58</f>
        <v>7837359.0434068572</v>
      </c>
      <c r="AQ57" s="105">
        <f>AO57/'Baseline Given'!M58</f>
        <v>29627.270705476669</v>
      </c>
      <c r="AR57" s="105">
        <f t="shared" si="61"/>
        <v>7.8669863141123333</v>
      </c>
      <c r="AT57" s="105">
        <f t="shared" si="62"/>
        <v>747896.23962248233</v>
      </c>
      <c r="AU57" s="106">
        <f t="shared" si="45"/>
        <v>193920</v>
      </c>
      <c r="AV57" s="105">
        <f>AT57*'Baseline Given'!K58/'Baseline Given'!L58</f>
        <v>6576325.0827266155</v>
      </c>
      <c r="AW57" s="105">
        <f>AU57/'Baseline Given'!M58</f>
        <v>29627.270705476669</v>
      </c>
      <c r="AX57" s="105">
        <f t="shared" si="63"/>
        <v>6.6059523534320919</v>
      </c>
      <c r="AZ57" s="105">
        <f t="shared" si="64"/>
        <v>581760.00000000012</v>
      </c>
      <c r="BA57" s="106">
        <f t="shared" si="46"/>
        <v>193920</v>
      </c>
      <c r="BB57" s="105">
        <f>AZ57*'Baseline Given'!K58/'Baseline Given'!L58</f>
        <v>5115472.8121887846</v>
      </c>
      <c r="BC57" s="105">
        <f>BA57/'Baseline Given'!M58</f>
        <v>29627.270705476669</v>
      </c>
      <c r="BD57" s="105">
        <f t="shared" si="65"/>
        <v>5.1451000828942606</v>
      </c>
      <c r="BF57" s="105">
        <f t="shared" si="66"/>
        <v>397947.2771622822</v>
      </c>
      <c r="BG57" s="106">
        <f t="shared" si="47"/>
        <v>193920</v>
      </c>
      <c r="BH57" s="105">
        <f>BF57*'Baseline Given'!K58/'Baseline Given'!L58</f>
        <v>3499189.4888067399</v>
      </c>
      <c r="BI57" s="105">
        <f>BG57/'Baseline Given'!M58</f>
        <v>29627.270705476669</v>
      </c>
      <c r="BJ57" s="105">
        <f t="shared" si="67"/>
        <v>3.5288167595122166</v>
      </c>
      <c r="BL57" s="105">
        <f t="shared" si="68"/>
        <v>202043.12767902689</v>
      </c>
      <c r="BM57" s="106">
        <f t="shared" si="48"/>
        <v>193920</v>
      </c>
      <c r="BN57" s="106">
        <f>BL57*'Baseline Given'!K58/'Baseline Given'!L58</f>
        <v>1776585.0634826201</v>
      </c>
      <c r="BO57" s="105">
        <f>BM57/'Baseline Given'!M58</f>
        <v>29627.270705476669</v>
      </c>
      <c r="BP57" s="105">
        <f t="shared" si="69"/>
        <v>1.8062123341880967</v>
      </c>
      <c r="BR57" s="105">
        <f t="shared" si="70"/>
        <v>7.1274236512763878E-11</v>
      </c>
      <c r="BS57" s="106">
        <f t="shared" si="49"/>
        <v>193920</v>
      </c>
      <c r="BT57" s="106">
        <f>BR57*'Baseline Given'!K58/'Baseline Given'!L58</f>
        <v>6.267213611980141E-10</v>
      </c>
      <c r="BU57" s="105">
        <f>BS57/'Baseline Given'!M58</f>
        <v>29627.270705476669</v>
      </c>
      <c r="BV57" s="105">
        <f t="shared" si="71"/>
        <v>2.9627270705477295E-2</v>
      </c>
      <c r="BX57" s="104">
        <v>150</v>
      </c>
      <c r="BY57" s="104">
        <v>-150</v>
      </c>
    </row>
    <row r="58" spans="1:77" x14ac:dyDescent="0.25">
      <c r="A58" s="18">
        <f>'Baseline Given'!E59</f>
        <v>56</v>
      </c>
      <c r="B58" s="18">
        <f t="shared" si="50"/>
        <v>12</v>
      </c>
      <c r="C58" s="18">
        <f t="shared" si="72"/>
        <v>6</v>
      </c>
      <c r="D58" s="18">
        <f t="shared" si="73"/>
        <v>56</v>
      </c>
      <c r="E58" s="18">
        <v>0</v>
      </c>
      <c r="F58" s="18">
        <f t="shared" si="74"/>
        <v>12</v>
      </c>
      <c r="H58" s="104">
        <f t="shared" si="75"/>
        <v>55</v>
      </c>
      <c r="I58" s="104">
        <f t="shared" si="76"/>
        <v>0.95993108859688125</v>
      </c>
      <c r="J58" s="111">
        <f>'Baseline Given'!$B$28*SIN('Baseline-tilt up (1 pt)'!I58)</f>
        <v>22.731469229019524</v>
      </c>
      <c r="K58" s="104">
        <f>'Baseline Given'!$B$26*COS('Baseline-tilt up (1 pt)'!I58)*'Baseline Given'!$B$28</f>
        <v>17232265.174629018</v>
      </c>
      <c r="L58" s="107">
        <f t="shared" si="51"/>
        <v>758079.69124274224</v>
      </c>
      <c r="M58" s="104">
        <f>'Baseline Given'!$B$26*COS('Baseline-tilt up (1 pt)'!I58)</f>
        <v>620982.52881546016</v>
      </c>
      <c r="N58" s="104">
        <f t="shared" si="52"/>
        <v>434816.64777311345</v>
      </c>
      <c r="P58" s="105">
        <f t="shared" si="53"/>
        <v>977084.42376002949</v>
      </c>
      <c r="Q58" s="106">
        <f t="shared" si="40"/>
        <v>177760</v>
      </c>
      <c r="R58" s="105">
        <f>P58*'Baseline Given'!K59/'Baseline Given'!L59</f>
        <v>8677898.8399245627</v>
      </c>
      <c r="S58" s="105">
        <f>Q58/'Baseline Given'!M59</f>
        <v>27533.407866893504</v>
      </c>
      <c r="T58" s="105">
        <f t="shared" si="39"/>
        <v>8.7054322477914567</v>
      </c>
      <c r="U58" s="116"/>
      <c r="V58" s="105">
        <f t="shared" si="54"/>
        <v>962826.84396497556</v>
      </c>
      <c r="W58" s="106">
        <f t="shared" si="41"/>
        <v>177760</v>
      </c>
      <c r="X58" s="105">
        <f>V58*'Baseline Given'!K59/'Baseline Given'!L59</f>
        <v>8551271.2608178314</v>
      </c>
      <c r="Y58" s="105">
        <f>W58/'Baseline Given'!M59</f>
        <v>27533.407866893504</v>
      </c>
      <c r="Z58" s="105">
        <f t="shared" si="55"/>
        <v>8.5788046686847252</v>
      </c>
      <c r="AB58" s="105">
        <f t="shared" si="56"/>
        <v>918718.68148996693</v>
      </c>
      <c r="AC58" s="106">
        <f t="shared" si="42"/>
        <v>177760</v>
      </c>
      <c r="AD58" s="105">
        <f>AB58*'Baseline Given'!K59/'Baseline Given'!L59</f>
        <v>8159528.0678395666</v>
      </c>
      <c r="AE58" s="105">
        <f>AC58/'Baseline Given'!M59</f>
        <v>27533.407866893504</v>
      </c>
      <c r="AF58" s="105">
        <f t="shared" si="57"/>
        <v>8.1870614757064608</v>
      </c>
      <c r="AH58" s="105">
        <f t="shared" si="58"/>
        <v>846695.71677197004</v>
      </c>
      <c r="AI58" s="106">
        <f t="shared" si="43"/>
        <v>177760</v>
      </c>
      <c r="AJ58" s="105">
        <f>AH58*'Baseline Given'!K59/'Baseline Given'!L59</f>
        <v>7519861.7434404232</v>
      </c>
      <c r="AK58" s="105">
        <f>AI58/'Baseline Given'!M59</f>
        <v>27533.407866893504</v>
      </c>
      <c r="AL58" s="105">
        <f t="shared" si="59"/>
        <v>7.5473951513073168</v>
      </c>
      <c r="AN58" s="105">
        <f t="shared" si="60"/>
        <v>748946.33114856237</v>
      </c>
      <c r="AO58" s="106">
        <f t="shared" si="44"/>
        <v>177760</v>
      </c>
      <c r="AP58" s="105">
        <f>AN58*'Baseline Given'!K59/'Baseline Given'!L59</f>
        <v>6651708.2252004882</v>
      </c>
      <c r="AQ58" s="105">
        <f>AO58/'Baseline Given'!M59</f>
        <v>27533.407866893504</v>
      </c>
      <c r="AR58" s="105">
        <f t="shared" si="61"/>
        <v>6.6792416330673818</v>
      </c>
      <c r="AT58" s="105">
        <f t="shared" si="62"/>
        <v>628440.59023833578</v>
      </c>
      <c r="AU58" s="106">
        <f t="shared" si="45"/>
        <v>177760</v>
      </c>
      <c r="AV58" s="105">
        <f>AT58*'Baseline Given'!K59/'Baseline Given'!L59</f>
        <v>5581445.9184646104</v>
      </c>
      <c r="AW58" s="105">
        <f>AU58/'Baseline Given'!M59</f>
        <v>27533.407866893504</v>
      </c>
      <c r="AX58" s="105">
        <f t="shared" si="63"/>
        <v>5.6089793263315038</v>
      </c>
      <c r="AZ58" s="105">
        <f t="shared" si="64"/>
        <v>488840.00000000012</v>
      </c>
      <c r="BA58" s="106">
        <f t="shared" si="46"/>
        <v>177760</v>
      </c>
      <c r="BB58" s="105">
        <f>AZ58*'Baseline Given'!K59/'Baseline Given'!L59</f>
        <v>4341594.2018440971</v>
      </c>
      <c r="BC58" s="105">
        <f>BA58/'Baseline Given'!M59</f>
        <v>27533.407866893504</v>
      </c>
      <c r="BD58" s="105">
        <f t="shared" si="65"/>
        <v>4.3691276097109908</v>
      </c>
      <c r="BF58" s="105">
        <f t="shared" si="66"/>
        <v>334386.2537266399</v>
      </c>
      <c r="BG58" s="106">
        <f t="shared" si="47"/>
        <v>177760</v>
      </c>
      <c r="BH58" s="105">
        <f>BF58*'Baseline Given'!K59/'Baseline Given'!L59</f>
        <v>2969825.342353221</v>
      </c>
      <c r="BI58" s="105">
        <f>BG58/'Baseline Given'!M59</f>
        <v>27533.407866893504</v>
      </c>
      <c r="BJ58" s="105">
        <f t="shared" si="67"/>
        <v>2.9973587502201142</v>
      </c>
      <c r="BL58" s="105">
        <f t="shared" si="68"/>
        <v>169772.35034140453</v>
      </c>
      <c r="BM58" s="106">
        <f t="shared" si="48"/>
        <v>177760</v>
      </c>
      <c r="BN58" s="106">
        <f>BL58*'Baseline Given'!K59/'Baseline Given'!L59</f>
        <v>1507819.842639077</v>
      </c>
      <c r="BO58" s="105">
        <f>BM58/'Baseline Given'!M59</f>
        <v>27533.407866893504</v>
      </c>
      <c r="BP58" s="105">
        <f t="shared" si="69"/>
        <v>1.5353532505059706</v>
      </c>
      <c r="BR58" s="105">
        <f t="shared" si="70"/>
        <v>5.9890157069752981E-11</v>
      </c>
      <c r="BS58" s="106">
        <f t="shared" si="49"/>
        <v>177760</v>
      </c>
      <c r="BT58" s="106">
        <f>BR58*'Baseline Given'!K59/'Baseline Given'!L59</f>
        <v>5.319097428229518E-10</v>
      </c>
      <c r="BU58" s="105">
        <f>BS58/'Baseline Given'!M59</f>
        <v>27533.407866893504</v>
      </c>
      <c r="BV58" s="105">
        <f t="shared" si="71"/>
        <v>2.7533407866894035E-2</v>
      </c>
      <c r="BX58" s="104">
        <v>150</v>
      </c>
      <c r="BY58" s="104">
        <v>-150</v>
      </c>
    </row>
    <row r="59" spans="1:77" x14ac:dyDescent="0.25">
      <c r="A59" s="18">
        <f>'Baseline Given'!E60</f>
        <v>57</v>
      </c>
      <c r="B59" s="18">
        <f t="shared" si="50"/>
        <v>11</v>
      </c>
      <c r="C59" s="18">
        <f t="shared" si="72"/>
        <v>5.5</v>
      </c>
      <c r="D59" s="18">
        <f t="shared" si="73"/>
        <v>57</v>
      </c>
      <c r="E59" s="18">
        <v>0</v>
      </c>
      <c r="F59" s="18">
        <f t="shared" si="74"/>
        <v>11</v>
      </c>
      <c r="H59" s="104">
        <f t="shared" si="75"/>
        <v>56</v>
      </c>
      <c r="I59" s="104">
        <f t="shared" si="76"/>
        <v>0.97738438111682457</v>
      </c>
      <c r="J59" s="111">
        <f>'Baseline Given'!$B$28*SIN('Baseline-tilt up (1 pt)'!I59)</f>
        <v>23.005792638402408</v>
      </c>
      <c r="K59" s="104">
        <f>'Baseline Given'!$B$26*COS('Baseline-tilt up (1 pt)'!I59)*'Baseline Given'!$B$28</f>
        <v>16800132.965157263</v>
      </c>
      <c r="L59" s="107">
        <f t="shared" si="51"/>
        <v>730256.64575945318</v>
      </c>
      <c r="M59" s="104">
        <f>'Baseline Given'!$B$26*COS('Baseline-tilt up (1 pt)'!I59)</f>
        <v>605410.19694260403</v>
      </c>
      <c r="N59" s="104">
        <f t="shared" si="52"/>
        <v>408354.33402103721</v>
      </c>
      <c r="P59" s="105">
        <f t="shared" si="53"/>
        <v>807507.78823142941</v>
      </c>
      <c r="Q59" s="106">
        <f t="shared" si="40"/>
        <v>161600</v>
      </c>
      <c r="R59" s="105">
        <f>P59*'Baseline Given'!K60/'Baseline Given'!L60</f>
        <v>7244586.5071905572</v>
      </c>
      <c r="S59" s="105">
        <f>Q59/'Baseline Given'!M60</f>
        <v>25378.462153609351</v>
      </c>
      <c r="T59" s="105">
        <f t="shared" si="39"/>
        <v>7.2699649693441657</v>
      </c>
      <c r="U59" s="116"/>
      <c r="V59" s="105">
        <f t="shared" si="54"/>
        <v>795724.66443386406</v>
      </c>
      <c r="W59" s="106">
        <f t="shared" si="41"/>
        <v>161600</v>
      </c>
      <c r="X59" s="105">
        <f>V59*'Baseline Given'!K60/'Baseline Given'!L60</f>
        <v>7138873.7686628476</v>
      </c>
      <c r="Y59" s="105">
        <f>W59/'Baseline Given'!M60</f>
        <v>25378.462153609351</v>
      </c>
      <c r="Z59" s="105">
        <f t="shared" si="55"/>
        <v>7.1642522308164569</v>
      </c>
      <c r="AB59" s="105">
        <f t="shared" si="56"/>
        <v>759271.63759501406</v>
      </c>
      <c r="AC59" s="106">
        <f t="shared" si="42"/>
        <v>161600</v>
      </c>
      <c r="AD59" s="105">
        <f>AB59*'Baseline Given'!K60/'Baseline Given'!L60</f>
        <v>6811834.0667159716</v>
      </c>
      <c r="AE59" s="105">
        <f>AC59/'Baseline Given'!M60</f>
        <v>25378.462153609351</v>
      </c>
      <c r="AF59" s="105">
        <f t="shared" si="57"/>
        <v>6.8372125288695802</v>
      </c>
      <c r="AH59" s="105">
        <f t="shared" si="58"/>
        <v>699748.52625782648</v>
      </c>
      <c r="AI59" s="106">
        <f t="shared" si="43"/>
        <v>161600</v>
      </c>
      <c r="AJ59" s="105">
        <f>AH59*'Baseline Given'!K60/'Baseline Given'!L60</f>
        <v>6277820.2336062854</v>
      </c>
      <c r="AK59" s="105">
        <f>AI59/'Baseline Given'!M60</f>
        <v>25378.462153609351</v>
      </c>
      <c r="AL59" s="105">
        <f t="shared" si="59"/>
        <v>6.3031986957598942</v>
      </c>
      <c r="AN59" s="105">
        <f t="shared" si="60"/>
        <v>618963.91004013421</v>
      </c>
      <c r="AO59" s="106">
        <f t="shared" si="44"/>
        <v>161600</v>
      </c>
      <c r="AP59" s="105">
        <f>AN59*'Baseline Given'!K60/'Baseline Given'!L60</f>
        <v>5553058.0094287898</v>
      </c>
      <c r="AQ59" s="105">
        <f>AO59/'Baseline Given'!M60</f>
        <v>25378.462153609351</v>
      </c>
      <c r="AR59" s="105">
        <f t="shared" si="61"/>
        <v>5.5784364715823989</v>
      </c>
      <c r="AT59" s="105">
        <f t="shared" si="62"/>
        <v>519372.38862672378</v>
      </c>
      <c r="AU59" s="106">
        <f t="shared" si="45"/>
        <v>161600</v>
      </c>
      <c r="AV59" s="105">
        <f>AT59*'Baseline Given'!K60/'Baseline Given'!L60</f>
        <v>4659568.927617739</v>
      </c>
      <c r="AW59" s="105">
        <f>AU59/'Baseline Given'!M60</f>
        <v>25378.462153609351</v>
      </c>
      <c r="AX59" s="105">
        <f t="shared" si="63"/>
        <v>4.6849473897713478</v>
      </c>
      <c r="AZ59" s="105">
        <f t="shared" si="64"/>
        <v>404000.00000000012</v>
      </c>
      <c r="BA59" s="106">
        <f t="shared" si="46"/>
        <v>161600</v>
      </c>
      <c r="BB59" s="105">
        <f>AZ59*'Baseline Given'!K60/'Baseline Given'!L60</f>
        <v>3624501.201796669</v>
      </c>
      <c r="BC59" s="105">
        <f>BA59/'Baseline Given'!M60</f>
        <v>25378.462153609351</v>
      </c>
      <c r="BD59" s="105">
        <f t="shared" si="65"/>
        <v>3.6498796639502786</v>
      </c>
      <c r="BF59" s="105">
        <f t="shared" si="66"/>
        <v>276352.2758071404</v>
      </c>
      <c r="BG59" s="106">
        <f t="shared" si="47"/>
        <v>161600</v>
      </c>
      <c r="BH59" s="105">
        <f>BF59*'Baseline Given'!K60/'Baseline Given'!L60</f>
        <v>2479304.8410451105</v>
      </c>
      <c r="BI59" s="105">
        <f>BG59/'Baseline Given'!M60</f>
        <v>25378.462153609351</v>
      </c>
      <c r="BJ59" s="105">
        <f t="shared" si="67"/>
        <v>2.5046833031987199</v>
      </c>
      <c r="BL59" s="105">
        <f t="shared" si="68"/>
        <v>140307.72755487976</v>
      </c>
      <c r="BM59" s="106">
        <f t="shared" si="48"/>
        <v>161600</v>
      </c>
      <c r="BN59" s="106">
        <f>BL59*'Baseline Given'!K60/'Baseline Given'!L60</f>
        <v>1258776.057287181</v>
      </c>
      <c r="BO59" s="105">
        <f>BM59/'Baseline Given'!M60</f>
        <v>25378.462153609351</v>
      </c>
      <c r="BP59" s="105">
        <f t="shared" si="69"/>
        <v>1.2841545194407904</v>
      </c>
      <c r="BR59" s="105">
        <f t="shared" si="70"/>
        <v>4.9495997578308248E-11</v>
      </c>
      <c r="BS59" s="106">
        <f t="shared" si="49"/>
        <v>161600</v>
      </c>
      <c r="BT59" s="106">
        <f>BR59*'Baseline Given'!K60/'Baseline Given'!L60</f>
        <v>4.4405520471956241E-10</v>
      </c>
      <c r="BU59" s="105">
        <f>BS59/'Baseline Given'!M60</f>
        <v>25378.462153609351</v>
      </c>
      <c r="BV59" s="105">
        <f t="shared" si="71"/>
        <v>2.5378462153609796E-2</v>
      </c>
      <c r="BX59" s="104">
        <v>150</v>
      </c>
      <c r="BY59" s="104">
        <v>-150</v>
      </c>
    </row>
    <row r="60" spans="1:77" x14ac:dyDescent="0.25">
      <c r="A60" s="18">
        <f>'Baseline Given'!E61</f>
        <v>58</v>
      </c>
      <c r="B60" s="18">
        <f t="shared" si="50"/>
        <v>10</v>
      </c>
      <c r="C60" s="18">
        <f t="shared" si="72"/>
        <v>5</v>
      </c>
      <c r="D60" s="18">
        <f t="shared" si="73"/>
        <v>58</v>
      </c>
      <c r="E60" s="18">
        <v>0</v>
      </c>
      <c r="F60" s="18">
        <f t="shared" si="74"/>
        <v>10</v>
      </c>
      <c r="H60" s="104">
        <f t="shared" si="75"/>
        <v>57</v>
      </c>
      <c r="I60" s="104">
        <f t="shared" si="76"/>
        <v>0.99483767363676778</v>
      </c>
      <c r="J60" s="111">
        <f>'Baseline Given'!$B$28*SIN('Baseline-tilt up (1 pt)'!I60)</f>
        <v>23.273108260485515</v>
      </c>
      <c r="K60" s="104">
        <f>'Baseline Given'!$B$26*COS('Baseline-tilt up (1 pt)'!I60)*'Baseline Given'!$B$28</f>
        <v>16362883.272437783</v>
      </c>
      <c r="L60" s="107">
        <f t="shared" si="51"/>
        <v>703081.13077528507</v>
      </c>
      <c r="M60" s="104">
        <f>'Baseline Given'!$B$26*COS('Baseline-tilt up (1 pt)'!I60)</f>
        <v>589653.4512590192</v>
      </c>
      <c r="N60" s="104">
        <f t="shared" si="52"/>
        <v>382925.42860272538</v>
      </c>
      <c r="P60" s="105">
        <f t="shared" si="53"/>
        <v>654081.30846745777</v>
      </c>
      <c r="Q60" s="106">
        <f t="shared" si="40"/>
        <v>145440</v>
      </c>
      <c r="R60" s="105">
        <f>P60*'Baseline Given'!K61/'Baseline Given'!L61</f>
        <v>5928266.59205148</v>
      </c>
      <c r="S60" s="105">
        <f>Q60/'Baseline Given'!M61</f>
        <v>23160.479010902567</v>
      </c>
      <c r="T60" s="105">
        <f t="shared" si="39"/>
        <v>5.9514270710623824</v>
      </c>
      <c r="U60" s="116"/>
      <c r="V60" s="105">
        <f t="shared" si="54"/>
        <v>644536.97819142987</v>
      </c>
      <c r="W60" s="106">
        <f t="shared" si="41"/>
        <v>145440</v>
      </c>
      <c r="X60" s="105">
        <f>V60*'Baseline Given'!K61/'Baseline Given'!L61</f>
        <v>5841761.5450696992</v>
      </c>
      <c r="Y60" s="105">
        <f>W60/'Baseline Given'!M61</f>
        <v>23160.479010902567</v>
      </c>
      <c r="Z60" s="105">
        <f t="shared" si="55"/>
        <v>5.8649220240806015</v>
      </c>
      <c r="AB60" s="105">
        <f t="shared" si="56"/>
        <v>615010.02645196137</v>
      </c>
      <c r="AC60" s="106">
        <f t="shared" si="42"/>
        <v>145440</v>
      </c>
      <c r="AD60" s="105">
        <f>AB60*'Baseline Given'!K61/'Baseline Given'!L61</f>
        <v>5574143.9885118725</v>
      </c>
      <c r="AE60" s="105">
        <f>AC60/'Baseline Given'!M61</f>
        <v>23160.479010902567</v>
      </c>
      <c r="AF60" s="105">
        <f t="shared" si="57"/>
        <v>5.5973044675227746</v>
      </c>
      <c r="AH60" s="105">
        <f t="shared" si="58"/>
        <v>566796.3062688394</v>
      </c>
      <c r="AI60" s="106">
        <f t="shared" si="43"/>
        <v>145440</v>
      </c>
      <c r="AJ60" s="105">
        <f>AH60*'Baseline Given'!K61/'Baseline Given'!L61</f>
        <v>5137158.8875160683</v>
      </c>
      <c r="AK60" s="105">
        <f>AI60/'Baseline Given'!M61</f>
        <v>23160.479010902567</v>
      </c>
      <c r="AL60" s="105">
        <f t="shared" si="59"/>
        <v>5.1603193665269709</v>
      </c>
      <c r="AN60" s="105">
        <f t="shared" si="60"/>
        <v>501360.76713250874</v>
      </c>
      <c r="AO60" s="106">
        <f t="shared" si="44"/>
        <v>145440</v>
      </c>
      <c r="AP60" s="105">
        <f>AN60*'Baseline Given'!K61/'Baseline Given'!L61</f>
        <v>4544083.8132509151</v>
      </c>
      <c r="AQ60" s="105">
        <f>AO60/'Baseline Given'!M61</f>
        <v>23160.479010902567</v>
      </c>
      <c r="AR60" s="105">
        <f t="shared" si="61"/>
        <v>4.5672442922618171</v>
      </c>
      <c r="AT60" s="105">
        <f t="shared" si="62"/>
        <v>420691.6347876463</v>
      </c>
      <c r="AU60" s="106">
        <f t="shared" si="45"/>
        <v>145440</v>
      </c>
      <c r="AV60" s="105">
        <f>AT60*'Baseline Given'!K61/'Baseline Given'!L61</f>
        <v>3812939.0517374906</v>
      </c>
      <c r="AW60" s="105">
        <f>AU60/'Baseline Given'!M61</f>
        <v>23160.479010902567</v>
      </c>
      <c r="AX60" s="105">
        <f t="shared" si="63"/>
        <v>3.8360995307483927</v>
      </c>
      <c r="AZ60" s="105">
        <f t="shared" si="64"/>
        <v>327240.00000000006</v>
      </c>
      <c r="BA60" s="106">
        <f t="shared" si="46"/>
        <v>145440</v>
      </c>
      <c r="BB60" s="105">
        <f>AZ60*'Baseline Given'!K61/'Baseline Given'!L61</f>
        <v>2965940.0665772809</v>
      </c>
      <c r="BC60" s="105">
        <f>BA60/'Baseline Given'!M61</f>
        <v>23160.479010902567</v>
      </c>
      <c r="BD60" s="105">
        <f t="shared" si="65"/>
        <v>2.9891005455881832</v>
      </c>
      <c r="BF60" s="105">
        <f t="shared" si="66"/>
        <v>223845.34340378374</v>
      </c>
      <c r="BG60" s="106">
        <f t="shared" si="47"/>
        <v>145440</v>
      </c>
      <c r="BH60" s="105">
        <f>BF60*'Baseline Given'!K61/'Baseline Given'!L61</f>
        <v>2028822.4933322105</v>
      </c>
      <c r="BI60" s="105">
        <f>BG60/'Baseline Given'!M61</f>
        <v>23160.479010902567</v>
      </c>
      <c r="BJ60" s="105">
        <f t="shared" si="67"/>
        <v>2.0519829723431129</v>
      </c>
      <c r="BL60" s="105">
        <f t="shared" si="68"/>
        <v>113649.25931945261</v>
      </c>
      <c r="BM60" s="106">
        <f t="shared" si="48"/>
        <v>145440</v>
      </c>
      <c r="BN60" s="106">
        <f>BL60*'Baseline Given'!K61/'Baseline Given'!L61</f>
        <v>1030060.1752609579</v>
      </c>
      <c r="BO60" s="105">
        <f>BM60/'Baseline Given'!M61</f>
        <v>23160.479010902567</v>
      </c>
      <c r="BP60" s="105">
        <f t="shared" si="69"/>
        <v>1.0532206542718603</v>
      </c>
      <c r="BR60" s="105">
        <f t="shared" si="70"/>
        <v>4.0091758038429681E-11</v>
      </c>
      <c r="BS60" s="106">
        <f t="shared" si="49"/>
        <v>145440</v>
      </c>
      <c r="BT60" s="106">
        <f>BR60*'Baseline Given'!K61/'Baseline Given'!L61</f>
        <v>3.6337168899187243E-10</v>
      </c>
      <c r="BU60" s="105">
        <f>BS60/'Baseline Given'!M61</f>
        <v>23160.479010902567</v>
      </c>
      <c r="BV60" s="105">
        <f t="shared" si="71"/>
        <v>2.3160479010902933E-2</v>
      </c>
      <c r="BX60" s="104">
        <v>150</v>
      </c>
      <c r="BY60" s="104">
        <v>-150</v>
      </c>
    </row>
    <row r="61" spans="1:77" x14ac:dyDescent="0.25">
      <c r="A61" s="18">
        <f>'Baseline Given'!E62</f>
        <v>59</v>
      </c>
      <c r="B61" s="18">
        <f t="shared" si="50"/>
        <v>9</v>
      </c>
      <c r="C61" s="18">
        <f t="shared" si="72"/>
        <v>4.5</v>
      </c>
      <c r="D61" s="18">
        <f t="shared" si="73"/>
        <v>59</v>
      </c>
      <c r="E61" s="18">
        <v>0</v>
      </c>
      <c r="F61" s="18">
        <f t="shared" si="74"/>
        <v>9</v>
      </c>
      <c r="H61" s="104">
        <f t="shared" si="75"/>
        <v>58</v>
      </c>
      <c r="I61" s="104">
        <f t="shared" si="76"/>
        <v>1.0122909661567112</v>
      </c>
      <c r="J61" s="111">
        <f>'Baseline Given'!$B$28*SIN('Baseline-tilt up (1 pt)'!I61)</f>
        <v>23.533334668340821</v>
      </c>
      <c r="K61" s="104">
        <f>'Baseline Given'!$B$26*COS('Baseline-tilt up (1 pt)'!I61)*'Baseline Given'!$B$28</f>
        <v>15920649.286962699</v>
      </c>
      <c r="L61" s="107">
        <f t="shared" si="51"/>
        <v>676514.80384463328</v>
      </c>
      <c r="M61" s="104">
        <f>'Baseline Given'!$B$26*COS('Baseline-tilt up (1 pt)'!I61)</f>
        <v>573717.09142207925</v>
      </c>
      <c r="N61" s="104">
        <f t="shared" si="52"/>
        <v>358498.22709621902</v>
      </c>
      <c r="P61" s="105">
        <f t="shared" si="53"/>
        <v>516804.9844681148</v>
      </c>
      <c r="Q61" s="106">
        <f t="shared" si="40"/>
        <v>129280</v>
      </c>
      <c r="R61" s="105">
        <f>P61*'Baseline Given'!K62/'Baseline Given'!L62</f>
        <v>4732574.0718089007</v>
      </c>
      <c r="S61" s="105">
        <f>Q61/'Baseline Given'!M62</f>
        <v>20877.429816425574</v>
      </c>
      <c r="T61" s="105">
        <f t="shared" si="39"/>
        <v>4.7534515016253263</v>
      </c>
      <c r="U61" s="116"/>
      <c r="V61" s="105">
        <f t="shared" si="54"/>
        <v>509263.78523767303</v>
      </c>
      <c r="W61" s="106">
        <f t="shared" si="41"/>
        <v>129280</v>
      </c>
      <c r="X61" s="105">
        <f>V61*'Baseline Given'!K62/'Baseline Given'!L62</f>
        <v>4663516.5258855289</v>
      </c>
      <c r="Y61" s="105">
        <f>W61/'Baseline Given'!M62</f>
        <v>20877.429816425574</v>
      </c>
      <c r="Z61" s="105">
        <f t="shared" si="55"/>
        <v>4.6843939557019549</v>
      </c>
      <c r="AB61" s="105">
        <f t="shared" si="56"/>
        <v>485933.84806080896</v>
      </c>
      <c r="AC61" s="106">
        <f t="shared" si="42"/>
        <v>129280</v>
      </c>
      <c r="AD61" s="105">
        <f>AB61*'Baseline Given'!K62/'Baseline Given'!L62</f>
        <v>4449875.6766321305</v>
      </c>
      <c r="AE61" s="105">
        <f>AC61/'Baseline Given'!M62</f>
        <v>20877.429816425574</v>
      </c>
      <c r="AF61" s="105">
        <f t="shared" si="57"/>
        <v>4.4707531064485559</v>
      </c>
      <c r="AH61" s="105">
        <f t="shared" si="58"/>
        <v>447839.05680500896</v>
      </c>
      <c r="AI61" s="106">
        <f t="shared" si="43"/>
        <v>129280</v>
      </c>
      <c r="AJ61" s="105">
        <f>AH61*'Baseline Given'!K62/'Baseline Given'!L62</f>
        <v>4101027.6066900059</v>
      </c>
      <c r="AK61" s="105">
        <f>AI61/'Baseline Given'!M62</f>
        <v>20877.429816425574</v>
      </c>
      <c r="AL61" s="105">
        <f t="shared" si="59"/>
        <v>4.1219050365064316</v>
      </c>
      <c r="AN61" s="105">
        <f t="shared" si="60"/>
        <v>396136.9024256859</v>
      </c>
      <c r="AO61" s="106">
        <f t="shared" si="44"/>
        <v>129280</v>
      </c>
      <c r="AP61" s="105">
        <f>AN61*'Baseline Given'!K62/'Baseline Given'!L62</f>
        <v>3627571.8881387049</v>
      </c>
      <c r="AQ61" s="105">
        <f>AO61/'Baseline Given'!M62</f>
        <v>20877.429816425574</v>
      </c>
      <c r="AR61" s="105">
        <f t="shared" si="61"/>
        <v>3.6484493179551305</v>
      </c>
      <c r="AT61" s="105">
        <f t="shared" si="62"/>
        <v>332398.32872110326</v>
      </c>
      <c r="AU61" s="106">
        <f t="shared" si="45"/>
        <v>129280</v>
      </c>
      <c r="AV61" s="105">
        <f>AT61*'Baseline Given'!K62/'Baseline Given'!L62</f>
        <v>3043894.2334062569</v>
      </c>
      <c r="AW61" s="105">
        <f>AU61/'Baseline Given'!M62</f>
        <v>20877.429816425574</v>
      </c>
      <c r="AX61" s="105">
        <f t="shared" si="63"/>
        <v>3.0647716632226825</v>
      </c>
      <c r="AZ61" s="105">
        <f t="shared" si="64"/>
        <v>258560.00000000006</v>
      </c>
      <c r="BA61" s="106">
        <f t="shared" si="46"/>
        <v>129280</v>
      </c>
      <c r="BB61" s="105">
        <f>AZ61*'Baseline Given'!K62/'Baseline Given'!L62</f>
        <v>2367729.3926765621</v>
      </c>
      <c r="BC61" s="105">
        <f>BA61/'Baseline Given'!M62</f>
        <v>20877.429816425574</v>
      </c>
      <c r="BD61" s="105">
        <f t="shared" si="65"/>
        <v>2.3886068224929877</v>
      </c>
      <c r="BF61" s="105">
        <f t="shared" si="66"/>
        <v>176865.45651656986</v>
      </c>
      <c r="BG61" s="106">
        <f t="shared" si="47"/>
        <v>129280</v>
      </c>
      <c r="BH61" s="105">
        <f>BF61*'Baseline Given'!K62/'Baseline Given'!L62</f>
        <v>1619622.2924792727</v>
      </c>
      <c r="BI61" s="105">
        <f>BG61/'Baseline Given'!M62</f>
        <v>20877.429816425574</v>
      </c>
      <c r="BJ61" s="105">
        <f t="shared" si="67"/>
        <v>1.6404997222956983</v>
      </c>
      <c r="BL61" s="105">
        <f t="shared" si="68"/>
        <v>89796.945635123062</v>
      </c>
      <c r="BM61" s="106">
        <f t="shared" si="48"/>
        <v>129280</v>
      </c>
      <c r="BN61" s="106">
        <f>BL61*'Baseline Given'!K62/'Baseline Given'!L62</f>
        <v>822303.7884934257</v>
      </c>
      <c r="BO61" s="105">
        <f>BM61/'Baseline Given'!M62</f>
        <v>20877.429816425574</v>
      </c>
      <c r="BP61" s="105">
        <f t="shared" si="69"/>
        <v>0.84318121830985127</v>
      </c>
      <c r="BR61" s="105">
        <f t="shared" si="70"/>
        <v>3.1677438450117279E-11</v>
      </c>
      <c r="BS61" s="106">
        <f t="shared" si="49"/>
        <v>129280</v>
      </c>
      <c r="BT61" s="106">
        <f>BR61*'Baseline Given'!K62/'Baseline Given'!L62</f>
        <v>2.9008200070794145E-10</v>
      </c>
      <c r="BU61" s="105">
        <f>BS61/'Baseline Given'!M62</f>
        <v>20877.429816425574</v>
      </c>
      <c r="BV61" s="105">
        <f t="shared" si="71"/>
        <v>2.0877429816425864E-2</v>
      </c>
      <c r="BX61" s="104">
        <v>150</v>
      </c>
      <c r="BY61" s="104">
        <v>-150</v>
      </c>
    </row>
    <row r="62" spans="1:77" x14ac:dyDescent="0.25">
      <c r="A62" s="18">
        <f>'Baseline Given'!E63</f>
        <v>60</v>
      </c>
      <c r="B62" s="18">
        <f t="shared" si="50"/>
        <v>8</v>
      </c>
      <c r="C62" s="18">
        <f t="shared" si="72"/>
        <v>4</v>
      </c>
      <c r="D62" s="18">
        <f t="shared" si="73"/>
        <v>60</v>
      </c>
      <c r="E62" s="18">
        <v>0</v>
      </c>
      <c r="F62" s="18">
        <f t="shared" si="74"/>
        <v>8</v>
      </c>
      <c r="H62" s="104">
        <f t="shared" si="75"/>
        <v>59</v>
      </c>
      <c r="I62" s="104">
        <f t="shared" si="76"/>
        <v>1.0297442586766543</v>
      </c>
      <c r="J62" s="111">
        <f>'Baseline Given'!$B$28*SIN('Baseline-tilt up (1 pt)'!I62)</f>
        <v>23.786392594483615</v>
      </c>
      <c r="K62" s="104">
        <f>'Baseline Given'!$B$26*COS('Baseline-tilt up (1 pt)'!I62)*'Baseline Given'!$B$28</f>
        <v>15473565.717488028</v>
      </c>
      <c r="L62" s="107">
        <f t="shared" si="51"/>
        <v>650521.74919018848</v>
      </c>
      <c r="M62" s="104">
        <f>'Baseline Given'!$B$26*COS('Baseline-tilt up (1 pt)'!I62)</f>
        <v>557605.97180137038</v>
      </c>
      <c r="N62" s="104">
        <f t="shared" si="52"/>
        <v>335043.4693900359</v>
      </c>
      <c r="P62" s="105">
        <f t="shared" si="53"/>
        <v>395678.81623340037</v>
      </c>
      <c r="Q62" s="106">
        <f t="shared" si="40"/>
        <v>113120</v>
      </c>
      <c r="R62" s="105">
        <f>P62*'Baseline Given'!K63/'Baseline Given'!L63</f>
        <v>3661296.0856049191</v>
      </c>
      <c r="S62" s="105">
        <f>Q62/'Baseline Given'!M63</f>
        <v>18527.208577827008</v>
      </c>
      <c r="T62" s="105">
        <f t="shared" si="39"/>
        <v>3.679823294182746</v>
      </c>
      <c r="U62" s="116"/>
      <c r="V62" s="105">
        <f t="shared" si="54"/>
        <v>389905.08557259338</v>
      </c>
      <c r="W62" s="106">
        <f t="shared" si="41"/>
        <v>113120</v>
      </c>
      <c r="X62" s="105">
        <f>V62*'Baseline Given'!K63/'Baseline Given'!L63</f>
        <v>3607870.5884580612</v>
      </c>
      <c r="Y62" s="105">
        <f>W62/'Baseline Given'!M63</f>
        <v>18527.208577827008</v>
      </c>
      <c r="Z62" s="105">
        <f t="shared" si="55"/>
        <v>3.6263977970358883</v>
      </c>
      <c r="AB62" s="105">
        <f t="shared" si="56"/>
        <v>372043.10242155689</v>
      </c>
      <c r="AC62" s="106">
        <f t="shared" si="42"/>
        <v>113120</v>
      </c>
      <c r="AD62" s="105">
        <f>AB62*'Baseline Given'!K63/'Baseline Given'!L63</f>
        <v>3442590.0469962349</v>
      </c>
      <c r="AE62" s="105">
        <f>AC62/'Baseline Given'!M63</f>
        <v>18527.208577827008</v>
      </c>
      <c r="AF62" s="105">
        <f t="shared" si="57"/>
        <v>3.4611172555740621</v>
      </c>
      <c r="AH62" s="105">
        <f t="shared" si="58"/>
        <v>342876.77786633495</v>
      </c>
      <c r="AI62" s="106">
        <f t="shared" si="43"/>
        <v>113120</v>
      </c>
      <c r="AJ62" s="105">
        <f>AH62*'Baseline Given'!K63/'Baseline Given'!L63</f>
        <v>3172708.1489910451</v>
      </c>
      <c r="AK62" s="105">
        <f>AI62/'Baseline Given'!M63</f>
        <v>18527.208577827008</v>
      </c>
      <c r="AL62" s="105">
        <f t="shared" si="59"/>
        <v>3.1912353575688721</v>
      </c>
      <c r="AN62" s="105">
        <f t="shared" si="60"/>
        <v>303292.31591966579</v>
      </c>
      <c r="AO62" s="106">
        <f t="shared" si="44"/>
        <v>113120</v>
      </c>
      <c r="AP62" s="105">
        <f>AN62*'Baseline Given'!K63/'Baseline Given'!L63</f>
        <v>2806425.1193465521</v>
      </c>
      <c r="AQ62" s="105">
        <f>AO62/'Baseline Given'!M63</f>
        <v>18527.208577827008</v>
      </c>
      <c r="AR62" s="105">
        <f t="shared" si="61"/>
        <v>2.8249523279243793</v>
      </c>
      <c r="AT62" s="105">
        <f t="shared" si="62"/>
        <v>254492.47042709467</v>
      </c>
      <c r="AU62" s="106">
        <f t="shared" si="45"/>
        <v>113120</v>
      </c>
      <c r="AV62" s="105">
        <f>AT62*'Baseline Given'!K63/'Baseline Given'!L63</f>
        <v>2354870.2825703458</v>
      </c>
      <c r="AW62" s="105">
        <f>AU62/'Baseline Given'!M63</f>
        <v>18527.208577827008</v>
      </c>
      <c r="AX62" s="105">
        <f t="shared" si="63"/>
        <v>2.373397491148173</v>
      </c>
      <c r="AZ62" s="105">
        <f t="shared" si="64"/>
        <v>197960.00000000006</v>
      </c>
      <c r="BA62" s="106">
        <f t="shared" si="46"/>
        <v>113120</v>
      </c>
      <c r="BB62" s="105">
        <f>AZ62*'Baseline Given'!K63/'Baseline Given'!L63</f>
        <v>1831763.9038801</v>
      </c>
      <c r="BC62" s="105">
        <f>BA62/'Baseline Given'!M63</f>
        <v>18527.208577827008</v>
      </c>
      <c r="BD62" s="105">
        <f t="shared" si="65"/>
        <v>1.8502911124579271</v>
      </c>
      <c r="BF62" s="105">
        <f t="shared" si="66"/>
        <v>135412.6151454988</v>
      </c>
      <c r="BG62" s="106">
        <f t="shared" si="47"/>
        <v>113120</v>
      </c>
      <c r="BH62" s="105">
        <f>BF62*'Baseline Given'!K63/'Baseline Given'!L63</f>
        <v>1253000.3058877164</v>
      </c>
      <c r="BI62" s="105">
        <f>BG62/'Baseline Given'!M63</f>
        <v>18527.208577827008</v>
      </c>
      <c r="BJ62" s="105">
        <f t="shared" si="67"/>
        <v>1.2715275144655434</v>
      </c>
      <c r="BL62" s="105">
        <f t="shared" si="68"/>
        <v>68750.786501891096</v>
      </c>
      <c r="BM62" s="106">
        <f t="shared" si="48"/>
        <v>113120</v>
      </c>
      <c r="BN62" s="106">
        <f>BL62*'Baseline Given'!K63/'Baseline Given'!L63</f>
        <v>636164.92764968309</v>
      </c>
      <c r="BO62" s="105">
        <f>BM62/'Baseline Given'!M63</f>
        <v>18527.208577827008</v>
      </c>
      <c r="BP62" s="105">
        <f t="shared" si="69"/>
        <v>0.6546921362275101</v>
      </c>
      <c r="BR62" s="105">
        <f t="shared" si="70"/>
        <v>2.4253038813371042E-11</v>
      </c>
      <c r="BS62" s="106">
        <f t="shared" si="49"/>
        <v>113120</v>
      </c>
      <c r="BT62" s="106">
        <f>BR62*'Baseline Given'!K63/'Baseline Given'!L63</f>
        <v>2.2441827165960856E-10</v>
      </c>
      <c r="BU62" s="105">
        <f>BS62/'Baseline Given'!M63</f>
        <v>18527.208577827008</v>
      </c>
      <c r="BV62" s="105">
        <f t="shared" si="71"/>
        <v>1.8527208577827234E-2</v>
      </c>
      <c r="BX62" s="104">
        <v>150</v>
      </c>
      <c r="BY62" s="104">
        <v>-150</v>
      </c>
    </row>
    <row r="63" spans="1:77" x14ac:dyDescent="0.25">
      <c r="A63" s="18">
        <f>'Baseline Given'!E64</f>
        <v>61</v>
      </c>
      <c r="B63" s="18">
        <f t="shared" si="50"/>
        <v>7</v>
      </c>
      <c r="C63" s="18">
        <f t="shared" si="72"/>
        <v>3.5</v>
      </c>
      <c r="D63" s="18">
        <f t="shared" si="73"/>
        <v>61</v>
      </c>
      <c r="E63" s="18">
        <v>0</v>
      </c>
      <c r="F63" s="18">
        <f t="shared" si="74"/>
        <v>7</v>
      </c>
      <c r="H63" s="104">
        <f t="shared" si="75"/>
        <v>60</v>
      </c>
      <c r="I63" s="109">
        <f t="shared" si="76"/>
        <v>1.0471975511965976</v>
      </c>
      <c r="J63" s="111">
        <f>'Baseline Given'!$B$28*SIN('Baseline-tilt up (1 pt)'!I63)</f>
        <v>24.03220495501817</v>
      </c>
      <c r="K63" s="104">
        <f>'Baseline Given'!$B$26*COS('Baseline-tilt up (1 pt)'!I63)*'Baseline Given'!$B$28</f>
        <v>15021768.750000004</v>
      </c>
      <c r="L63" s="107">
        <f t="shared" si="51"/>
        <v>625068.26893814851</v>
      </c>
      <c r="M63" s="109">
        <f>'Baseline Given'!$B$26*COS('Baseline-tilt up (1 pt)'!I63)</f>
        <v>541325.00000000012</v>
      </c>
      <c r="N63" s="109">
        <f t="shared" si="52"/>
        <v>312534.13446907431</v>
      </c>
      <c r="P63" s="105">
        <f t="shared" si="53"/>
        <v>290702.80376331456</v>
      </c>
      <c r="Q63" s="106">
        <f t="shared" si="40"/>
        <v>96960</v>
      </c>
      <c r="R63" s="105">
        <f>P63*'Baseline Given'!K64/'Baseline Given'!L64</f>
        <v>2718379.9805829464</v>
      </c>
      <c r="S63" s="105">
        <f>Q63/'Baseline Given'!M64</f>
        <v>16107.628459801559</v>
      </c>
      <c r="T63" s="105">
        <f t="shared" si="39"/>
        <v>2.7344876090427479</v>
      </c>
      <c r="U63" s="116"/>
      <c r="V63" s="105">
        <f t="shared" si="54"/>
        <v>286460.87919619109</v>
      </c>
      <c r="W63" s="106">
        <f t="shared" si="41"/>
        <v>96960</v>
      </c>
      <c r="X63" s="105">
        <f>V63*'Baseline Given'!K64/'Baseline Given'!L64</f>
        <v>2678713.4803870977</v>
      </c>
      <c r="Y63" s="105">
        <f>W63/'Baseline Given'!M64</f>
        <v>16107.628459801559</v>
      </c>
      <c r="Z63" s="105">
        <f t="shared" si="55"/>
        <v>2.6948211088468992</v>
      </c>
      <c r="AB63" s="105">
        <f t="shared" si="56"/>
        <v>273337.78953420505</v>
      </c>
      <c r="AC63" s="106">
        <f t="shared" si="42"/>
        <v>96960</v>
      </c>
      <c r="AD63" s="105">
        <f>AB63*'Baseline Given'!K64/'Baseline Given'!L64</f>
        <v>2555998.6535649155</v>
      </c>
      <c r="AE63" s="105">
        <f>AC63/'Baseline Given'!M64</f>
        <v>16107.628459801559</v>
      </c>
      <c r="AF63" s="105">
        <f t="shared" si="57"/>
        <v>2.5721062820247171</v>
      </c>
      <c r="AH63" s="105">
        <f t="shared" si="58"/>
        <v>251909.46945281752</v>
      </c>
      <c r="AI63" s="106">
        <f t="shared" si="43"/>
        <v>96960</v>
      </c>
      <c r="AJ63" s="105">
        <f>AH63*'Baseline Given'!K64/'Baseline Given'!L64</f>
        <v>2355621.1010518898</v>
      </c>
      <c r="AK63" s="105">
        <f>AI63/'Baseline Given'!M64</f>
        <v>16107.628459801559</v>
      </c>
      <c r="AL63" s="105">
        <f t="shared" si="59"/>
        <v>2.3717287295116911</v>
      </c>
      <c r="AN63" s="105">
        <f t="shared" si="60"/>
        <v>222827.00761444832</v>
      </c>
      <c r="AO63" s="106">
        <f t="shared" si="44"/>
        <v>96960</v>
      </c>
      <c r="AP63" s="105">
        <f>AN63*'Baseline Given'!K64/'Baseline Given'!L64</f>
        <v>2083669.1933851945</v>
      </c>
      <c r="AQ63" s="105">
        <f>AO63/'Baseline Given'!M64</f>
        <v>16107.628459801559</v>
      </c>
      <c r="AR63" s="105">
        <f t="shared" si="61"/>
        <v>2.0997768218449959</v>
      </c>
      <c r="AT63" s="105">
        <f t="shared" si="62"/>
        <v>186974.05990562058</v>
      </c>
      <c r="AU63" s="106">
        <f t="shared" si="45"/>
        <v>96960</v>
      </c>
      <c r="AV63" s="105">
        <f>AT63*'Baseline Given'!K64/'Baseline Given'!L64</f>
        <v>1748406.0516649776</v>
      </c>
      <c r="AW63" s="105">
        <f>AU63/'Baseline Given'!M64</f>
        <v>16107.628459801559</v>
      </c>
      <c r="AX63" s="105">
        <f t="shared" si="63"/>
        <v>1.7645136801247792</v>
      </c>
      <c r="AZ63" s="105">
        <f t="shared" si="64"/>
        <v>145440.00000000003</v>
      </c>
      <c r="BA63" s="106">
        <f t="shared" si="46"/>
        <v>96960</v>
      </c>
      <c r="BB63" s="105">
        <f>AZ63*'Baseline Given'!K64/'Baseline Given'!L64</f>
        <v>1360018.4768010713</v>
      </c>
      <c r="BC63" s="105">
        <f>BA63/'Baseline Given'!M64</f>
        <v>16107.628459801559</v>
      </c>
      <c r="BD63" s="105">
        <f t="shared" si="65"/>
        <v>1.3761261052608731</v>
      </c>
      <c r="BF63" s="105">
        <f t="shared" si="66"/>
        <v>99486.819290570551</v>
      </c>
      <c r="BG63" s="106">
        <f t="shared" si="47"/>
        <v>96960</v>
      </c>
      <c r="BH63" s="105">
        <f>BF63*'Baseline Given'!K64/'Baseline Given'!L64</f>
        <v>930307.42872212047</v>
      </c>
      <c r="BI63" s="105">
        <f>BG63/'Baseline Given'!M64</f>
        <v>16107.628459801559</v>
      </c>
      <c r="BJ63" s="105">
        <f t="shared" si="67"/>
        <v>0.94641505718192198</v>
      </c>
      <c r="BL63" s="105">
        <f t="shared" si="68"/>
        <v>50510.781919756722</v>
      </c>
      <c r="BM63" s="106">
        <f t="shared" si="48"/>
        <v>96960</v>
      </c>
      <c r="BN63" s="106">
        <f>BL63*'Baseline Given'!K64/'Baseline Given'!L64</f>
        <v>472329.46017972101</v>
      </c>
      <c r="BO63" s="105">
        <f>BM63/'Baseline Given'!M64</f>
        <v>16107.628459801559</v>
      </c>
      <c r="BP63" s="105">
        <f t="shared" si="69"/>
        <v>0.48843708863952257</v>
      </c>
      <c r="BR63" s="105">
        <f t="shared" si="70"/>
        <v>1.7818559128190969E-11</v>
      </c>
      <c r="BS63" s="106">
        <f t="shared" si="49"/>
        <v>96960</v>
      </c>
      <c r="BT63" s="106">
        <f>BR63*'Baseline Given'!K64/'Baseline Given'!L64</f>
        <v>1.6662245355000072E-10</v>
      </c>
      <c r="BU63" s="105">
        <f>BS63/'Baseline Given'!M64</f>
        <v>16107.628459801559</v>
      </c>
      <c r="BV63" s="105">
        <f t="shared" si="71"/>
        <v>1.6107628459801727E-2</v>
      </c>
      <c r="BX63" s="104">
        <v>150</v>
      </c>
      <c r="BY63" s="104">
        <v>-150</v>
      </c>
    </row>
    <row r="64" spans="1:77" x14ac:dyDescent="0.25">
      <c r="A64" s="18">
        <f>'Baseline Given'!E65</f>
        <v>62</v>
      </c>
      <c r="B64" s="18">
        <f t="shared" si="50"/>
        <v>6</v>
      </c>
      <c r="C64" s="18">
        <f t="shared" si="72"/>
        <v>3</v>
      </c>
      <c r="D64" s="18">
        <f t="shared" si="73"/>
        <v>62</v>
      </c>
      <c r="E64" s="18">
        <v>0</v>
      </c>
      <c r="F64" s="18">
        <f t="shared" si="74"/>
        <v>6</v>
      </c>
      <c r="H64" s="104">
        <f t="shared" si="75"/>
        <v>61</v>
      </c>
      <c r="I64" s="104">
        <f t="shared" si="76"/>
        <v>1.064650843716541</v>
      </c>
      <c r="J64" s="111">
        <f>'Baseline Given'!$B$28*SIN('Baseline-tilt up (1 pt)'!I64)</f>
        <v>24.270696873118233</v>
      </c>
      <c r="K64" s="104">
        <f>'Baseline Given'!$B$26*COS('Baseline-tilt up (1 pt)'!I64)*'Baseline Given'!$B$28</f>
        <v>14565396.006231589</v>
      </c>
      <c r="L64" s="107">
        <f t="shared" si="51"/>
        <v>600122.69455534045</v>
      </c>
      <c r="M64" s="104">
        <f>'Baseline Given'!$B$26*COS('Baseline-tilt up (1 pt)'!I64)</f>
        <v>524879.13535969693</v>
      </c>
      <c r="N64" s="104">
        <f t="shared" si="52"/>
        <v>290945.25564858317</v>
      </c>
      <c r="P64" s="105">
        <f t="shared" si="53"/>
        <v>201876.94705785735</v>
      </c>
      <c r="Q64" s="106">
        <f t="shared" si="40"/>
        <v>80800</v>
      </c>
      <c r="R64" s="105">
        <f>P64*'Baseline Given'!K65/'Baseline Given'!L65</f>
        <v>1907941.8740730474</v>
      </c>
      <c r="S64" s="105">
        <f>Q64/'Baseline Given'!M65</f>
        <v>13616.418130511254</v>
      </c>
      <c r="T64" s="105">
        <f t="shared" si="39"/>
        <v>1.9215582922035586</v>
      </c>
      <c r="U64" s="116"/>
      <c r="V64" s="105">
        <f t="shared" si="54"/>
        <v>198931.16610846602</v>
      </c>
      <c r="W64" s="106">
        <f t="shared" si="41"/>
        <v>80800</v>
      </c>
      <c r="X64" s="105">
        <f>V64*'Baseline Given'!K65/'Baseline Given'!L65</f>
        <v>1880101.2567707677</v>
      </c>
      <c r="Y64" s="105">
        <f>W64/'Baseline Given'!M65</f>
        <v>13616.418130511254</v>
      </c>
      <c r="Z64" s="105">
        <f t="shared" si="55"/>
        <v>1.893717674901279</v>
      </c>
      <c r="AB64" s="105">
        <f t="shared" si="56"/>
        <v>189817.90939875352</v>
      </c>
      <c r="AC64" s="106">
        <f t="shared" si="42"/>
        <v>80800</v>
      </c>
      <c r="AD64" s="105">
        <f>AB64*'Baseline Given'!K65/'Baseline Given'!L65</f>
        <v>1793971.7390668248</v>
      </c>
      <c r="AE64" s="105">
        <f>AC64/'Baseline Given'!M65</f>
        <v>13616.418130511254</v>
      </c>
      <c r="AF64" s="105">
        <f t="shared" si="57"/>
        <v>1.807588157197336</v>
      </c>
      <c r="AH64" s="105">
        <f t="shared" si="58"/>
        <v>174937.13156445662</v>
      </c>
      <c r="AI64" s="106">
        <f t="shared" si="43"/>
        <v>80800</v>
      </c>
      <c r="AJ64" s="105">
        <f>AH64*'Baseline Given'!K65/'Baseline Given'!L65</f>
        <v>1653333.297864838</v>
      </c>
      <c r="AK64" s="105">
        <f>AI64/'Baseline Given'!M65</f>
        <v>13616.418130511254</v>
      </c>
      <c r="AL64" s="105">
        <f t="shared" si="59"/>
        <v>1.6669497159953492</v>
      </c>
      <c r="AN64" s="105">
        <f t="shared" si="60"/>
        <v>154740.97751003355</v>
      </c>
      <c r="AO64" s="106">
        <f t="shared" si="44"/>
        <v>80800</v>
      </c>
      <c r="AP64" s="105">
        <f>AN64*'Baseline Given'!K65/'Baseline Given'!L65</f>
        <v>1462459.1610342446</v>
      </c>
      <c r="AQ64" s="105">
        <f>AO64/'Baseline Given'!M65</f>
        <v>13616.418130511254</v>
      </c>
      <c r="AR64" s="105">
        <f t="shared" si="61"/>
        <v>1.4760755791647557</v>
      </c>
      <c r="AT64" s="105">
        <f t="shared" si="62"/>
        <v>129843.09715668095</v>
      </c>
      <c r="AU64" s="106">
        <f t="shared" si="45"/>
        <v>80800</v>
      </c>
      <c r="AV64" s="105">
        <f>AT64*'Baseline Given'!K65/'Baseline Given'!L65</f>
        <v>1227148.9426356689</v>
      </c>
      <c r="AW64" s="105">
        <f>AU64/'Baseline Given'!M65</f>
        <v>13616.418130511254</v>
      </c>
      <c r="AX64" s="105">
        <f t="shared" si="63"/>
        <v>1.2407653607661802</v>
      </c>
      <c r="AZ64" s="105">
        <f t="shared" si="64"/>
        <v>101000.00000000003</v>
      </c>
      <c r="BA64" s="106">
        <f t="shared" si="46"/>
        <v>80800</v>
      </c>
      <c r="BB64" s="105">
        <f>AZ64*'Baseline Given'!K65/'Baseline Given'!L65</f>
        <v>954552.4245824361</v>
      </c>
      <c r="BC64" s="105">
        <f>BA64/'Baseline Given'!M65</f>
        <v>13616.418130511254</v>
      </c>
      <c r="BD64" s="105">
        <f t="shared" si="65"/>
        <v>0.96816884271294745</v>
      </c>
      <c r="BF64" s="105">
        <f t="shared" si="66"/>
        <v>69088.068951785099</v>
      </c>
      <c r="BG64" s="106">
        <f t="shared" si="47"/>
        <v>80800</v>
      </c>
      <c r="BH64" s="105">
        <f>BF64*'Baseline Given'!K65/'Baseline Given'!L65</f>
        <v>652952.31413509871</v>
      </c>
      <c r="BI64" s="105">
        <f>BG64/'Baseline Given'!M65</f>
        <v>13616.418130511254</v>
      </c>
      <c r="BJ64" s="105">
        <f t="shared" si="67"/>
        <v>0.66656873226560998</v>
      </c>
      <c r="BL64" s="105">
        <f t="shared" si="68"/>
        <v>35076.931888719941</v>
      </c>
      <c r="BM64" s="106">
        <f t="shared" si="48"/>
        <v>80800</v>
      </c>
      <c r="BN64" s="106">
        <f>BL64*'Baseline Given'!K65/'Baseline Given'!L65</f>
        <v>331512.57803258003</v>
      </c>
      <c r="BO64" s="105">
        <f>BM64/'Baseline Given'!M65</f>
        <v>13616.418130511254</v>
      </c>
      <c r="BP64" s="105">
        <f t="shared" si="69"/>
        <v>0.34512899616309128</v>
      </c>
      <c r="BR64" s="105">
        <f t="shared" si="70"/>
        <v>1.2373999394577062E-11</v>
      </c>
      <c r="BS64" s="106">
        <f t="shared" si="49"/>
        <v>80800</v>
      </c>
      <c r="BT64" s="106">
        <f>BR64*'Baseline Given'!K65/'Baseline Given'!L65</f>
        <v>1.1694684281064483E-10</v>
      </c>
      <c r="BU64" s="105">
        <f>BS64/'Baseline Given'!M65</f>
        <v>13616.418130511254</v>
      </c>
      <c r="BV64" s="105">
        <f t="shared" si="71"/>
        <v>1.3616418130511371E-2</v>
      </c>
      <c r="BX64" s="104">
        <v>150</v>
      </c>
      <c r="BY64" s="104">
        <v>-150</v>
      </c>
    </row>
    <row r="65" spans="1:77" x14ac:dyDescent="0.25">
      <c r="A65" s="18">
        <f>'Baseline Given'!E66</f>
        <v>63</v>
      </c>
      <c r="B65" s="18">
        <f t="shared" si="50"/>
        <v>5</v>
      </c>
      <c r="C65" s="18">
        <f t="shared" si="72"/>
        <v>2.5</v>
      </c>
      <c r="D65" s="18">
        <f t="shared" si="73"/>
        <v>63</v>
      </c>
      <c r="E65" s="18">
        <v>0</v>
      </c>
      <c r="F65" s="18">
        <f t="shared" si="74"/>
        <v>5</v>
      </c>
      <c r="H65" s="104">
        <f t="shared" si="75"/>
        <v>62</v>
      </c>
      <c r="I65" s="104">
        <f t="shared" si="76"/>
        <v>1.0821041362364843</v>
      </c>
      <c r="J65" s="111">
        <f>'Baseline Given'!$B$28*SIN('Baseline-tilt up (1 pt)'!I65)</f>
        <v>24.501795701835221</v>
      </c>
      <c r="K65" s="104">
        <f>'Baseline Given'!$B$26*COS('Baseline-tilt up (1 pt)'!I65)*'Baseline Given'!$B$28</f>
        <v>14104586.501741517</v>
      </c>
      <c r="L65" s="107">
        <f t="shared" si="51"/>
        <v>575655.21618830017</v>
      </c>
      <c r="M65" s="104">
        <f>'Baseline Given'!$B$26*COS('Baseline-tilt up (1 pt)'!I65)</f>
        <v>508273.38745014474</v>
      </c>
      <c r="N65" s="104">
        <f t="shared" si="52"/>
        <v>270253.75396977115</v>
      </c>
      <c r="P65" s="105">
        <f t="shared" si="53"/>
        <v>129201.2461170287</v>
      </c>
      <c r="Q65" s="106">
        <f t="shared" si="40"/>
        <v>64640</v>
      </c>
      <c r="R65" s="105">
        <f>P65*'Baseline Given'!K66/'Baseline Given'!L66</f>
        <v>1234275.770828912</v>
      </c>
      <c r="S65" s="105">
        <f>Q65/'Baseline Given'!M66</f>
        <v>11051.217916653455</v>
      </c>
      <c r="T65" s="105">
        <f t="shared" si="39"/>
        <v>1.2453269887455656</v>
      </c>
      <c r="U65" s="116"/>
      <c r="V65" s="105">
        <f t="shared" si="54"/>
        <v>127315.94630941826</v>
      </c>
      <c r="W65" s="106">
        <f t="shared" si="41"/>
        <v>64640</v>
      </c>
      <c r="X65" s="105">
        <f>V65*'Baseline Given'!K66/'Baseline Given'!L66</f>
        <v>1216265.2644041192</v>
      </c>
      <c r="Y65" s="105">
        <f>W65/'Baseline Given'!M66</f>
        <v>11051.217916653455</v>
      </c>
      <c r="Z65" s="105">
        <f t="shared" si="55"/>
        <v>1.2273164823207727</v>
      </c>
      <c r="AB65" s="105">
        <f t="shared" si="56"/>
        <v>121483.46201520224</v>
      </c>
      <c r="AC65" s="106">
        <f t="shared" si="42"/>
        <v>64640</v>
      </c>
      <c r="AD65" s="105">
        <f>AB65*'Baseline Given'!K66/'Baseline Given'!L66</f>
        <v>1160546.807621045</v>
      </c>
      <c r="AE65" s="105">
        <f>AC65/'Baseline Given'!M66</f>
        <v>11051.217916653455</v>
      </c>
      <c r="AF65" s="105">
        <f t="shared" si="57"/>
        <v>1.1715980255376985</v>
      </c>
      <c r="AH65" s="105">
        <f t="shared" si="58"/>
        <v>111959.76420125224</v>
      </c>
      <c r="AI65" s="106">
        <f t="shared" si="43"/>
        <v>64640</v>
      </c>
      <c r="AJ65" s="105">
        <f>AH65*'Baseline Given'!K66/'Baseline Given'!L66</f>
        <v>1069565.723353426</v>
      </c>
      <c r="AK65" s="105">
        <f>AI65/'Baseline Given'!M66</f>
        <v>11051.217916653455</v>
      </c>
      <c r="AL65" s="105">
        <f t="shared" si="59"/>
        <v>1.0806169412700795</v>
      </c>
      <c r="AN65" s="105">
        <f t="shared" si="60"/>
        <v>99034.225606421474</v>
      </c>
      <c r="AO65" s="106">
        <f t="shared" si="44"/>
        <v>64640</v>
      </c>
      <c r="AP65" s="105">
        <f>AN65*'Baseline Given'!K66/'Baseline Given'!L66</f>
        <v>946086.42580808362</v>
      </c>
      <c r="AQ65" s="105">
        <f>AO65/'Baseline Given'!M66</f>
        <v>11051.217916653455</v>
      </c>
      <c r="AR65" s="105">
        <f t="shared" si="61"/>
        <v>0.95713764372473709</v>
      </c>
      <c r="AT65" s="105">
        <f t="shared" si="62"/>
        <v>83099.582180275815</v>
      </c>
      <c r="AU65" s="106">
        <f t="shared" si="45"/>
        <v>64640</v>
      </c>
      <c r="AV65" s="105">
        <f>AT65*'Baseline Given'!K66/'Baseline Given'!L66</f>
        <v>793860.77095739427</v>
      </c>
      <c r="AW65" s="105">
        <f>AU65/'Baseline Given'!M66</f>
        <v>11051.217916653455</v>
      </c>
      <c r="AX65" s="105">
        <f t="shared" si="63"/>
        <v>0.8049119888740478</v>
      </c>
      <c r="AZ65" s="105">
        <f t="shared" si="64"/>
        <v>64640.000000000015</v>
      </c>
      <c r="BA65" s="106">
        <f t="shared" si="46"/>
        <v>64640</v>
      </c>
      <c r="BB65" s="105">
        <f>AZ65*'Baseline Given'!K66/'Baseline Given'!L66</f>
        <v>617514.05829409743</v>
      </c>
      <c r="BC65" s="105">
        <f>BA65/'Baseline Given'!M66</f>
        <v>11051.217916653455</v>
      </c>
      <c r="BD65" s="105">
        <f t="shared" si="65"/>
        <v>0.62856527621075087</v>
      </c>
      <c r="BF65" s="105">
        <f t="shared" si="66"/>
        <v>44216.364129142465</v>
      </c>
      <c r="BG65" s="106">
        <f t="shared" si="47"/>
        <v>64640</v>
      </c>
      <c r="BH65" s="105">
        <f>BF65*'Baseline Given'!K66/'Baseline Given'!L66</f>
        <v>422404.49344672513</v>
      </c>
      <c r="BI65" s="105">
        <f>BG65/'Baseline Given'!M66</f>
        <v>11051.217916653455</v>
      </c>
      <c r="BJ65" s="105">
        <f t="shared" si="67"/>
        <v>0.43345571136337857</v>
      </c>
      <c r="BL65" s="105">
        <f t="shared" si="68"/>
        <v>22449.236408780765</v>
      </c>
      <c r="BM65" s="106">
        <f t="shared" si="48"/>
        <v>64640</v>
      </c>
      <c r="BN65" s="106">
        <f>BL65*'Baseline Given'!K66/'Baseline Given'!L66</f>
        <v>214460.38181296128</v>
      </c>
      <c r="BO65" s="105">
        <f>BM65/'Baseline Given'!M66</f>
        <v>11051.217916653455</v>
      </c>
      <c r="BP65" s="105">
        <f t="shared" si="69"/>
        <v>0.22551159972961474</v>
      </c>
      <c r="BR65" s="105">
        <f t="shared" si="70"/>
        <v>7.9193596125293197E-12</v>
      </c>
      <c r="BS65" s="106">
        <f t="shared" si="49"/>
        <v>64640</v>
      </c>
      <c r="BT65" s="106">
        <f>BR65*'Baseline Given'!K66/'Baseline Given'!L66</f>
        <v>7.5654639440336469E-11</v>
      </c>
      <c r="BU65" s="105">
        <f>BS65/'Baseline Given'!M66</f>
        <v>11051.217916653455</v>
      </c>
      <c r="BV65" s="105">
        <f t="shared" si="71"/>
        <v>1.1051217916653531E-2</v>
      </c>
      <c r="BX65" s="104">
        <v>150</v>
      </c>
      <c r="BY65" s="104">
        <v>-150</v>
      </c>
    </row>
    <row r="66" spans="1:77" x14ac:dyDescent="0.25">
      <c r="A66" s="18">
        <f>'Baseline Given'!E67</f>
        <v>64</v>
      </c>
      <c r="B66" s="18">
        <f t="shared" si="50"/>
        <v>4</v>
      </c>
      <c r="C66" s="18">
        <f t="shared" si="72"/>
        <v>2</v>
      </c>
      <c r="D66" s="18">
        <f t="shared" si="73"/>
        <v>64</v>
      </c>
      <c r="E66" s="18">
        <v>0</v>
      </c>
      <c r="F66" s="18">
        <f t="shared" si="74"/>
        <v>4</v>
      </c>
      <c r="H66" s="104">
        <f t="shared" si="75"/>
        <v>63</v>
      </c>
      <c r="I66" s="104">
        <f t="shared" si="76"/>
        <v>1.0995574287564276</v>
      </c>
      <c r="J66" s="111">
        <f>'Baseline Given'!$B$28*SIN('Baseline-tilt up (1 pt)'!I66)</f>
        <v>24.725431046227207</v>
      </c>
      <c r="K66" s="104">
        <f>'Baseline Given'!$B$26*COS('Baseline-tilt up (1 pt)'!I66)*'Baseline Given'!$B$28</f>
        <v>13639480.603568815</v>
      </c>
      <c r="L66" s="107">
        <f t="shared" si="51"/>
        <v>551637.72789514344</v>
      </c>
      <c r="M66" s="104">
        <f>'Baseline Given'!$B$26*COS('Baseline-tilt up (1 pt)'!I66)</f>
        <v>491512.81454302033</v>
      </c>
      <c r="N66" s="104">
        <f t="shared" si="52"/>
        <v>250438.2877623043</v>
      </c>
      <c r="P66" s="105">
        <f t="shared" si="53"/>
        <v>72675.700940828639</v>
      </c>
      <c r="Q66" s="106">
        <f t="shared" si="40"/>
        <v>48480</v>
      </c>
      <c r="R66" s="105">
        <f>P66*'Baseline Given'!K67/'Baseline Given'!L67</f>
        <v>701863.27775366732</v>
      </c>
      <c r="S66" s="105">
        <f>Q66/'Baseline Given'!M67</f>
        <v>8409.5757557333254</v>
      </c>
      <c r="T66" s="105">
        <f t="shared" si="39"/>
        <v>0.71027285350940061</v>
      </c>
      <c r="U66" s="116"/>
      <c r="V66" s="105">
        <f t="shared" si="54"/>
        <v>71615.219799047773</v>
      </c>
      <c r="W66" s="106">
        <f t="shared" si="41"/>
        <v>48480</v>
      </c>
      <c r="X66" s="105">
        <f>V66*'Baseline Given'!K67/'Baseline Given'!L67</f>
        <v>691621.71474800364</v>
      </c>
      <c r="Y66" s="105">
        <f>W66/'Baseline Given'!M67</f>
        <v>8409.5757557333254</v>
      </c>
      <c r="Z66" s="105">
        <f t="shared" si="55"/>
        <v>0.70003129050373691</v>
      </c>
      <c r="AB66" s="105">
        <f t="shared" si="56"/>
        <v>68334.447383551262</v>
      </c>
      <c r="AC66" s="106">
        <f t="shared" si="42"/>
        <v>48480</v>
      </c>
      <c r="AD66" s="105">
        <f>AB66*'Baseline Given'!K67/'Baseline Given'!L67</f>
        <v>659937.75915768906</v>
      </c>
      <c r="AE66" s="105">
        <f>AC66/'Baseline Given'!M67</f>
        <v>8409.5757557333254</v>
      </c>
      <c r="AF66" s="105">
        <f t="shared" si="57"/>
        <v>0.66834733491342235</v>
      </c>
      <c r="AH66" s="105">
        <f t="shared" si="58"/>
        <v>62977.367363204379</v>
      </c>
      <c r="AI66" s="106">
        <f t="shared" si="43"/>
        <v>48480</v>
      </c>
      <c r="AJ66" s="105">
        <f>AH66*'Baseline Given'!K67/'Baseline Given'!L67</f>
        <v>608201.92869998724</v>
      </c>
      <c r="AK66" s="105">
        <f>AI66/'Baseline Given'!M67</f>
        <v>8409.5757557333254</v>
      </c>
      <c r="AL66" s="105">
        <f t="shared" si="59"/>
        <v>0.61661150445572055</v>
      </c>
      <c r="AN66" s="105">
        <f t="shared" si="60"/>
        <v>55706.751903612079</v>
      </c>
      <c r="AO66" s="106">
        <f t="shared" si="44"/>
        <v>48480</v>
      </c>
      <c r="AP66" s="105">
        <f>AN66*'Baseline Given'!K67/'Baseline Given'!L67</f>
        <v>537986.19040376227</v>
      </c>
      <c r="AQ66" s="105">
        <f>AO66/'Baseline Given'!M67</f>
        <v>8409.5757557333254</v>
      </c>
      <c r="AR66" s="105">
        <f t="shared" si="61"/>
        <v>0.54639576615949559</v>
      </c>
      <c r="AT66" s="105">
        <f t="shared" si="62"/>
        <v>46743.514976405146</v>
      </c>
      <c r="AU66" s="106">
        <f t="shared" si="45"/>
        <v>48480</v>
      </c>
      <c r="AV66" s="105">
        <f>AT66*'Baseline Given'!K67/'Baseline Given'!L67</f>
        <v>451424.0139462669</v>
      </c>
      <c r="AW66" s="105">
        <f>AU66/'Baseline Given'!M67</f>
        <v>8409.5757557333254</v>
      </c>
      <c r="AX66" s="105">
        <f t="shared" si="63"/>
        <v>0.45983358970200022</v>
      </c>
      <c r="AZ66" s="105">
        <f t="shared" si="64"/>
        <v>36360.000000000007</v>
      </c>
      <c r="BA66" s="106">
        <f t="shared" si="46"/>
        <v>48480</v>
      </c>
      <c r="BB66" s="105">
        <f>AZ66*'Baseline Given'!K67/'Baseline Given'!L67</f>
        <v>351145.54725658731</v>
      </c>
      <c r="BC66" s="105">
        <f>BA66/'Baseline Given'!M67</f>
        <v>8409.5757557333254</v>
      </c>
      <c r="BD66" s="105">
        <f t="shared" si="65"/>
        <v>0.35955512301232062</v>
      </c>
      <c r="BF66" s="105">
        <f t="shared" si="66"/>
        <v>24871.704822642638</v>
      </c>
      <c r="BG66" s="106">
        <f t="shared" si="47"/>
        <v>48480</v>
      </c>
      <c r="BH66" s="105">
        <f>BF66*'Baseline Given'!K67/'Baseline Given'!L67</f>
        <v>240197.70080173679</v>
      </c>
      <c r="BI66" s="105">
        <f>BG66/'Baseline Given'!M67</f>
        <v>8409.5757557333254</v>
      </c>
      <c r="BJ66" s="105">
        <f t="shared" si="67"/>
        <v>0.24860727655747011</v>
      </c>
      <c r="BL66" s="105">
        <f t="shared" si="68"/>
        <v>12627.695479939181</v>
      </c>
      <c r="BM66" s="106">
        <f t="shared" si="48"/>
        <v>48480</v>
      </c>
      <c r="BN66" s="106">
        <f>BL66*'Baseline Given'!K67/'Baseline Given'!L67</f>
        <v>121951.56875392675</v>
      </c>
      <c r="BO66" s="105">
        <f>BM66/'Baseline Given'!M67</f>
        <v>8409.5757557333254</v>
      </c>
      <c r="BP66" s="105">
        <f t="shared" si="69"/>
        <v>0.13036114450966008</v>
      </c>
      <c r="BR66" s="105">
        <f t="shared" si="70"/>
        <v>4.4546397820477424E-12</v>
      </c>
      <c r="BS66" s="106">
        <f t="shared" si="49"/>
        <v>48480</v>
      </c>
      <c r="BT66" s="106">
        <f>BR66*'Baseline Given'!K67/'Baseline Given'!L67</f>
        <v>4.3020542466944968E-11</v>
      </c>
      <c r="BU66" s="105">
        <f>BS66/'Baseline Given'!M67</f>
        <v>8409.5757557333254</v>
      </c>
      <c r="BV66" s="105">
        <f t="shared" si="71"/>
        <v>8.409575755733369E-3</v>
      </c>
      <c r="BX66" s="104">
        <v>150</v>
      </c>
      <c r="BY66" s="104">
        <v>-150</v>
      </c>
    </row>
    <row r="67" spans="1:77" x14ac:dyDescent="0.25">
      <c r="A67" s="18">
        <f>'Baseline Given'!E68</f>
        <v>65</v>
      </c>
      <c r="B67" s="18">
        <f t="shared" si="50"/>
        <v>3</v>
      </c>
      <c r="C67" s="18">
        <f t="shared" si="72"/>
        <v>1.5</v>
      </c>
      <c r="D67" s="18">
        <f t="shared" si="73"/>
        <v>65</v>
      </c>
      <c r="E67" s="18">
        <v>0</v>
      </c>
      <c r="F67" s="18">
        <f t="shared" si="74"/>
        <v>3</v>
      </c>
      <c r="H67" s="104">
        <f t="shared" si="75"/>
        <v>64</v>
      </c>
      <c r="I67" s="104">
        <f t="shared" si="76"/>
        <v>1.1170107212763709</v>
      </c>
      <c r="J67" s="111">
        <f>'Baseline Given'!$B$28*SIN('Baseline-tilt up (1 pt)'!I67)</f>
        <v>24.941534784801885</v>
      </c>
      <c r="K67" s="104">
        <f>'Baseline Given'!$B$26*COS('Baseline-tilt up (1 pt)'!I67)*'Baseline Given'!$B$28</f>
        <v>13170219.987475654</v>
      </c>
      <c r="L67" s="107">
        <f t="shared" ref="L67:L93" si="77">K67/J67</f>
        <v>528043.68701082992</v>
      </c>
      <c r="M67" s="104">
        <f>'Baseline Given'!$B$26*COS('Baseline-tilt up (1 pt)'!I67)</f>
        <v>474602.52207119472</v>
      </c>
      <c r="N67" s="104">
        <f t="shared" ref="N67:N93" si="78">L67*COS(I67)</f>
        <v>231479.1166296702</v>
      </c>
      <c r="P67" s="105">
        <f t="shared" si="53"/>
        <v>32300.311529257175</v>
      </c>
      <c r="Q67" s="106">
        <f t="shared" si="40"/>
        <v>32320</v>
      </c>
      <c r="R67" s="105">
        <f>P67*'Baseline Given'!K68/'Baseline Given'!L68</f>
        <v>315383.96230076172</v>
      </c>
      <c r="S67" s="105">
        <f>Q67/'Baseline Given'!M68</f>
        <v>5688.9429333272419</v>
      </c>
      <c r="T67" s="105">
        <f t="shared" si="39"/>
        <v>0.32107290523408893</v>
      </c>
      <c r="U67" s="116"/>
      <c r="V67" s="105">
        <f t="shared" si="54"/>
        <v>31828.986577354564</v>
      </c>
      <c r="W67" s="106">
        <f t="shared" si="41"/>
        <v>32320</v>
      </c>
      <c r="X67" s="105">
        <f>V67*'Baseline Given'!K68/'Baseline Given'!L68</f>
        <v>310781.89118056162</v>
      </c>
      <c r="Y67" s="105">
        <f>W67/'Baseline Given'!M68</f>
        <v>5688.9429333272419</v>
      </c>
      <c r="Z67" s="105">
        <f>(X67+Y67)/1000000</f>
        <v>0.31647083411388888</v>
      </c>
      <c r="AB67" s="105">
        <f t="shared" si="56"/>
        <v>30370.86550380056</v>
      </c>
      <c r="AC67" s="106">
        <f t="shared" si="42"/>
        <v>32320</v>
      </c>
      <c r="AD67" s="105">
        <f>AB67*'Baseline Given'!K68/'Baseline Given'!L68</f>
        <v>296544.62906390493</v>
      </c>
      <c r="AE67" s="105">
        <f>AC67/'Baseline Given'!M68</f>
        <v>5688.9429333272419</v>
      </c>
      <c r="AF67" s="105">
        <f>(AD67+AE67)/1000000</f>
        <v>0.30223357199723216</v>
      </c>
      <c r="AH67" s="105">
        <f t="shared" si="58"/>
        <v>27989.94105031306</v>
      </c>
      <c r="AI67" s="106">
        <f t="shared" si="43"/>
        <v>32320</v>
      </c>
      <c r="AJ67" s="105">
        <f>AH67*'Baseline Given'!K68/'Baseline Given'!L68</f>
        <v>273297.0084519643</v>
      </c>
      <c r="AK67" s="105">
        <f>AI67/'Baseline Given'!M68</f>
        <v>5688.9429333272419</v>
      </c>
      <c r="AL67" s="105">
        <f>(AJ67+AK67)/1000000</f>
        <v>0.27898595138529153</v>
      </c>
      <c r="AN67" s="105">
        <f t="shared" si="60"/>
        <v>24758.556401605369</v>
      </c>
      <c r="AO67" s="106">
        <f t="shared" si="44"/>
        <v>32320</v>
      </c>
      <c r="AP67" s="105">
        <f>AN67*'Baseline Given'!K68/'Baseline Given'!L68</f>
        <v>241745.39653316975</v>
      </c>
      <c r="AQ67" s="105">
        <f>AO67/'Baseline Given'!M68</f>
        <v>5688.9429333272419</v>
      </c>
      <c r="AR67" s="105">
        <f>(AP67+AQ67)/1000000</f>
        <v>0.24743433946649701</v>
      </c>
      <c r="AT67" s="105">
        <f t="shared" si="62"/>
        <v>20774.895545068954</v>
      </c>
      <c r="AU67" s="106">
        <f t="shared" si="45"/>
        <v>32320</v>
      </c>
      <c r="AV67" s="105">
        <f>AT67*'Baseline Given'!K68/'Baseline Given'!L68</f>
        <v>202848.4730697881</v>
      </c>
      <c r="AW67" s="105">
        <f>AU67/'Baseline Given'!M68</f>
        <v>5688.9429333272419</v>
      </c>
      <c r="AX67" s="105">
        <f>(AV67+AW67)/1000000</f>
        <v>0.20853741600311537</v>
      </c>
      <c r="AZ67" s="105">
        <f t="shared" si="64"/>
        <v>16160.000000000004</v>
      </c>
      <c r="BA67" s="106">
        <f t="shared" si="46"/>
        <v>32320</v>
      </c>
      <c r="BB67" s="105">
        <f>AZ67*'Baseline Given'!K68/'Baseline Given'!L68</f>
        <v>157788.10139846103</v>
      </c>
      <c r="BC67" s="105">
        <f>BA67/'Baseline Given'!M68</f>
        <v>5688.9429333272419</v>
      </c>
      <c r="BD67" s="105">
        <f>(BB67+BC67)/1000000</f>
        <v>0.16347704433178825</v>
      </c>
      <c r="BF67" s="105">
        <f t="shared" si="66"/>
        <v>11054.091032285616</v>
      </c>
      <c r="BG67" s="106">
        <f t="shared" si="47"/>
        <v>32320</v>
      </c>
      <c r="BH67" s="105">
        <f>BF67*'Baseline Given'!K68/'Baseline Given'!L68</f>
        <v>107933.41811077359</v>
      </c>
      <c r="BI67" s="105">
        <f>BG67/'Baseline Given'!M68</f>
        <v>5688.9429333272419</v>
      </c>
      <c r="BJ67" s="105">
        <f>(BH67+BI67)/1000000</f>
        <v>0.11362236104410084</v>
      </c>
      <c r="BL67" s="105">
        <f t="shared" si="68"/>
        <v>5612.3091021951914</v>
      </c>
      <c r="BM67" s="106">
        <f t="shared" si="48"/>
        <v>32320</v>
      </c>
      <c r="BN67" s="106">
        <f>BL67*'Baseline Given'!K68/'Baseline Given'!L68</f>
        <v>54799.232530735178</v>
      </c>
      <c r="BO67" s="105">
        <f>BM67/'Baseline Given'!M68</f>
        <v>5688.9429333272419</v>
      </c>
      <c r="BP67" s="105">
        <f>(BN67+BO67)/1000000</f>
        <v>6.0488175464062419E-2</v>
      </c>
      <c r="BR67" s="105">
        <f t="shared" si="70"/>
        <v>1.9798399031323299E-12</v>
      </c>
      <c r="BS67" s="106">
        <f t="shared" si="49"/>
        <v>32320</v>
      </c>
      <c r="BT67" s="106">
        <f>BR67*'Baseline Given'!K68/'Baseline Given'!L68</f>
        <v>1.9331384863128913E-11</v>
      </c>
      <c r="BU67" s="105">
        <f>BS67/'Baseline Given'!M68</f>
        <v>5688.9429333272419</v>
      </c>
      <c r="BV67" s="105">
        <f>(BT67+BU67)/1000000</f>
        <v>5.6889429333272607E-3</v>
      </c>
      <c r="BX67" s="104">
        <v>150</v>
      </c>
      <c r="BY67" s="104">
        <v>-150</v>
      </c>
    </row>
    <row r="68" spans="1:77" x14ac:dyDescent="0.25">
      <c r="A68" s="18">
        <f>'Baseline Given'!E69</f>
        <v>66</v>
      </c>
      <c r="B68" s="18">
        <f t="shared" si="50"/>
        <v>2</v>
      </c>
      <c r="C68" s="18">
        <f t="shared" si="72"/>
        <v>1</v>
      </c>
      <c r="D68" s="18">
        <f t="shared" si="73"/>
        <v>66</v>
      </c>
      <c r="E68" s="18">
        <v>0</v>
      </c>
      <c r="F68" s="18">
        <f t="shared" si="74"/>
        <v>2</v>
      </c>
      <c r="H68" s="104">
        <f t="shared" ref="H68:H93" si="79">H67+1</f>
        <v>65</v>
      </c>
      <c r="I68" s="104">
        <f t="shared" ref="I68:I93" si="80">H68*PI()/180</f>
        <v>1.1344640137963142</v>
      </c>
      <c r="J68" s="111">
        <f>'Baseline Given'!$B$28*SIN('Baseline-tilt up (1 pt)'!I68)</f>
        <v>25.150041090267035</v>
      </c>
      <c r="K68" s="104">
        <f>'Baseline Given'!$B$26*COS('Baseline-tilt up (1 pt)'!I68)*'Baseline Given'!$B$28</f>
        <v>12696947.59479152</v>
      </c>
      <c r="L68" s="107">
        <f t="shared" si="77"/>
        <v>504847.9861015093</v>
      </c>
      <c r="M68" s="104">
        <f>'Baseline Given'!$B$26*COS('Baseline-tilt up (1 pt)'!I68)</f>
        <v>457547.66107356828</v>
      </c>
      <c r="N68" s="104">
        <f t="shared" si="78"/>
        <v>213357.97832951264</v>
      </c>
      <c r="P68" s="105">
        <f t="shared" si="53"/>
        <v>8075.0778823142937</v>
      </c>
      <c r="Q68" s="106">
        <f t="shared" si="40"/>
        <v>16160</v>
      </c>
      <c r="R68" s="105">
        <f>P68*'Baseline Given'!K69/'Baseline Given'!L69</f>
        <v>79726.404862010182</v>
      </c>
      <c r="S68" s="105">
        <f>Q68/'Baseline Given'!M69</f>
        <v>2886.669592294144</v>
      </c>
      <c r="T68" s="105">
        <f t="shared" si="39"/>
        <v>8.2613074454304325E-2</v>
      </c>
      <c r="U68" s="116"/>
      <c r="V68" s="105">
        <f t="shared" si="54"/>
        <v>7957.2466443386411</v>
      </c>
      <c r="W68" s="106">
        <f t="shared" si="41"/>
        <v>16160</v>
      </c>
      <c r="X68" s="105">
        <f>V68*'Baseline Given'!K69/'Baseline Given'!L69</f>
        <v>78563.04010923006</v>
      </c>
      <c r="Y68" s="105">
        <f>W68/'Baseline Given'!M69</f>
        <v>2886.669592294144</v>
      </c>
      <c r="Z68" s="105">
        <f>(X68+Y68)/1000000</f>
        <v>8.1449709701524209E-2</v>
      </c>
      <c r="AB68" s="105">
        <f t="shared" si="56"/>
        <v>7592.71637595014</v>
      </c>
      <c r="AC68" s="106">
        <f t="shared" si="42"/>
        <v>16160</v>
      </c>
      <c r="AD68" s="105">
        <f>AB68*'Baseline Given'!K69/'Baseline Given'!L69</f>
        <v>74963.980361998314</v>
      </c>
      <c r="AE68" s="105">
        <f>AC68/'Baseline Given'!M69</f>
        <v>2886.669592294144</v>
      </c>
      <c r="AF68" s="105">
        <f>(AD68+AE68)/1000000</f>
        <v>7.7850649954292458E-2</v>
      </c>
      <c r="AH68" s="105">
        <f t="shared" si="58"/>
        <v>6997.4852625782651</v>
      </c>
      <c r="AI68" s="106">
        <f t="shared" si="43"/>
        <v>16160</v>
      </c>
      <c r="AJ68" s="105">
        <f>AH68*'Baseline Given'!K69/'Baseline Given'!L69</f>
        <v>69087.178005071619</v>
      </c>
      <c r="AK68" s="105">
        <f>AI68/'Baseline Given'!M69</f>
        <v>2886.669592294144</v>
      </c>
      <c r="AL68" s="105">
        <f>(AJ68+AK68)/1000000</f>
        <v>7.1973847597365762E-2</v>
      </c>
      <c r="AN68" s="105">
        <f t="shared" si="60"/>
        <v>6189.6391004013421</v>
      </c>
      <c r="AO68" s="106">
        <f t="shared" si="44"/>
        <v>16160</v>
      </c>
      <c r="AP68" s="105">
        <f>AN68*'Baseline Given'!K69/'Baseline Given'!L69</f>
        <v>61111.196704259724</v>
      </c>
      <c r="AQ68" s="105">
        <f>AO68/'Baseline Given'!M69</f>
        <v>2886.669592294144</v>
      </c>
      <c r="AR68" s="105">
        <f>(AP68+AQ68)/1000000</f>
        <v>6.3997866296553865E-2</v>
      </c>
      <c r="AT68" s="105">
        <f t="shared" si="62"/>
        <v>5193.7238862672384</v>
      </c>
      <c r="AU68" s="106">
        <f t="shared" si="45"/>
        <v>16160</v>
      </c>
      <c r="AV68" s="105">
        <f>AT68*'Baseline Given'!K69/'Baseline Given'!L69</f>
        <v>51278.382615346563</v>
      </c>
      <c r="AW68" s="105">
        <f>AU68/'Baseline Given'!M69</f>
        <v>2886.669592294144</v>
      </c>
      <c r="AX68" s="105">
        <f>(AV68+AW68)/1000000</f>
        <v>5.4165052207640708E-2</v>
      </c>
      <c r="AZ68" s="105">
        <f t="shared" si="64"/>
        <v>4040.0000000000009</v>
      </c>
      <c r="BA68" s="106">
        <f t="shared" si="46"/>
        <v>16160</v>
      </c>
      <c r="BB68" s="105">
        <f>AZ68*'Baseline Given'!K69/'Baseline Given'!L69</f>
        <v>39887.500818779699</v>
      </c>
      <c r="BC68" s="105">
        <f>BA68/'Baseline Given'!M69</f>
        <v>2886.669592294144</v>
      </c>
      <c r="BD68" s="105">
        <f>(BB68+BC68)/1000000</f>
        <v>4.2774170411073842E-2</v>
      </c>
      <c r="BF68" s="105">
        <f t="shared" si="66"/>
        <v>2763.522758071404</v>
      </c>
      <c r="BG68" s="106">
        <f>16160*F69</f>
        <v>16160</v>
      </c>
      <c r="BH68" s="105">
        <f>BF68*'Baseline Given'!K69/'Baseline Given'!L69</f>
        <v>27284.657493883522</v>
      </c>
      <c r="BI68" s="105">
        <f>BG68/'Baseline Given'!M69</f>
        <v>2886.669592294144</v>
      </c>
      <c r="BJ68" s="105">
        <f>(BH68+BI68)/1000000</f>
        <v>3.0171327086177667E-2</v>
      </c>
      <c r="BL68" s="105">
        <f t="shared" si="68"/>
        <v>1403.0772755487978</v>
      </c>
      <c r="BM68" s="106">
        <f t="shared" si="48"/>
        <v>16160</v>
      </c>
      <c r="BN68" s="106">
        <f>BL68*'Baseline Given'!K69/'Baseline Given'!L69</f>
        <v>13852.783657738577</v>
      </c>
      <c r="BO68" s="105">
        <f>BM68/'Baseline Given'!M69</f>
        <v>2886.669592294144</v>
      </c>
      <c r="BP68" s="105">
        <f>(BN68+BO68)/1000000</f>
        <v>1.6739453250032722E-2</v>
      </c>
      <c r="BR68" s="105">
        <f t="shared" si="70"/>
        <v>4.9495997578308248E-13</v>
      </c>
      <c r="BS68" s="106">
        <f t="shared" si="49"/>
        <v>16160</v>
      </c>
      <c r="BT68" s="106">
        <f>BR68*'Baseline Given'!K69/'Baseline Given'!L69</f>
        <v>4.8868109998294251E-12</v>
      </c>
      <c r="BU68" s="105">
        <f>BS68/'Baseline Given'!M69</f>
        <v>2886.669592294144</v>
      </c>
      <c r="BV68" s="105">
        <f>(BT68+BU68)/1000000</f>
        <v>2.8866695922941492E-3</v>
      </c>
      <c r="BX68" s="104">
        <v>150</v>
      </c>
      <c r="BY68" s="104">
        <v>-150</v>
      </c>
    </row>
    <row r="69" spans="1:77" x14ac:dyDescent="0.25">
      <c r="A69" s="18">
        <f>'Baseline Given'!E70</f>
        <v>67</v>
      </c>
      <c r="B69" s="18">
        <v>1</v>
      </c>
      <c r="C69" s="18">
        <f t="shared" si="72"/>
        <v>0.5</v>
      </c>
      <c r="D69" s="18">
        <f t="shared" si="73"/>
        <v>67</v>
      </c>
      <c r="E69" s="18">
        <v>0</v>
      </c>
      <c r="F69" s="18">
        <f t="shared" si="74"/>
        <v>1</v>
      </c>
      <c r="H69" s="104">
        <f t="shared" si="79"/>
        <v>66</v>
      </c>
      <c r="I69" s="104">
        <f t="shared" si="80"/>
        <v>1.1519173063162575</v>
      </c>
      <c r="J69" s="111">
        <f>'Baseline Given'!$B$28*SIN('Baseline-tilt up (1 pt)'!I69)</f>
        <v>25.350886449582173</v>
      </c>
      <c r="K69" s="104">
        <f>'Baseline Given'!$B$26*COS('Baseline-tilt up (1 pt)'!I69)*'Baseline Given'!$B$28</f>
        <v>12219807.588871919</v>
      </c>
      <c r="L69" s="107">
        <f t="shared" si="77"/>
        <v>482026.83614928671</v>
      </c>
      <c r="M69" s="104">
        <f>'Baseline Given'!$B$26*COS('Baseline-tilt up (1 pt)'!I69)</f>
        <v>440353.42662601511</v>
      </c>
      <c r="N69" s="104">
        <f t="shared" si="78"/>
        <v>196057.97720780966</v>
      </c>
      <c r="P69" s="106"/>
      <c r="Q69" s="106"/>
      <c r="R69" s="105"/>
      <c r="S69" s="105"/>
      <c r="T69" s="105"/>
      <c r="U69" s="116"/>
      <c r="V69" s="10"/>
      <c r="W69" s="10"/>
      <c r="AB69" s="10"/>
      <c r="AC69" s="10"/>
      <c r="AH69" s="10"/>
      <c r="AI69" s="10"/>
      <c r="AN69" s="10"/>
      <c r="AO69" s="10"/>
      <c r="AT69" s="10"/>
      <c r="AU69" s="10"/>
      <c r="AZ69" s="10"/>
      <c r="BA69" s="10"/>
      <c r="BF69" s="10"/>
      <c r="BG69" s="10"/>
      <c r="BL69" s="10"/>
      <c r="BM69" s="10"/>
      <c r="BN69" s="10"/>
      <c r="BO69" s="10"/>
      <c r="BP69" s="10"/>
      <c r="BX69" s="104">
        <v>150</v>
      </c>
      <c r="BY69" s="104">
        <v>-150</v>
      </c>
    </row>
    <row r="70" spans="1:77" x14ac:dyDescent="0.25">
      <c r="H70" s="104">
        <f t="shared" si="79"/>
        <v>67</v>
      </c>
      <c r="I70" s="104">
        <f t="shared" si="80"/>
        <v>1.1693705988362006</v>
      </c>
      <c r="J70" s="111">
        <f>'Baseline Given'!$B$28*SIN('Baseline-tilt up (1 pt)'!I70)</f>
        <v>25.544009683305216</v>
      </c>
      <c r="K70" s="104">
        <f>'Baseline Given'!$B$26*COS('Baseline-tilt up (1 pt)'!I70)*'Baseline Given'!$B$28</f>
        <v>11738945.31118482</v>
      </c>
      <c r="L70" s="107">
        <f t="shared" si="77"/>
        <v>459557.65976932883</v>
      </c>
      <c r="M70" s="104">
        <f>'Baseline Given'!$B$26*COS('Baseline-tilt up (1 pt)'!I70)</f>
        <v>423025.05625891243</v>
      </c>
      <c r="N70" s="104">
        <f t="shared" si="78"/>
        <v>179563.48300755967</v>
      </c>
      <c r="P70" s="10"/>
      <c r="Q70" s="10"/>
      <c r="V70" s="10"/>
      <c r="W70" s="10"/>
      <c r="AB70" s="10"/>
      <c r="AC70" s="10"/>
      <c r="AH70" s="10"/>
      <c r="AI70" s="10"/>
      <c r="AN70" s="10"/>
      <c r="AO70" s="10"/>
      <c r="AT70" s="10"/>
      <c r="AU70" s="10"/>
      <c r="BF70" s="10"/>
      <c r="BG70" s="10"/>
      <c r="BL70" s="10"/>
      <c r="BM70" s="10"/>
      <c r="BN70" s="10"/>
      <c r="BO70" s="10"/>
      <c r="BP70" s="10"/>
    </row>
    <row r="71" spans="1:77" x14ac:dyDescent="0.25">
      <c r="H71" s="104">
        <f t="shared" si="79"/>
        <v>68</v>
      </c>
      <c r="I71" s="104">
        <f t="shared" si="80"/>
        <v>1.1868238913561442</v>
      </c>
      <c r="J71" s="111">
        <f>'Baseline Given'!$B$28*SIN('Baseline-tilt up (1 pt)'!I71)</f>
        <v>25.72935196422835</v>
      </c>
      <c r="K71" s="104">
        <f>'Baseline Given'!$B$26*COS('Baseline-tilt up (1 pt)'!I71)*'Baseline Given'!$B$28</f>
        <v>11254507.237038204</v>
      </c>
      <c r="L71" s="107">
        <f t="shared" si="77"/>
        <v>437418.99340043246</v>
      </c>
      <c r="M71" s="104">
        <f>'Baseline Given'!$B$26*COS('Baseline-tilt up (1 pt)'!I71)</f>
        <v>405567.82836173708</v>
      </c>
      <c r="N71" s="104">
        <f t="shared" si="78"/>
        <v>163860.03901315329</v>
      </c>
      <c r="V71" s="10"/>
      <c r="W71" s="10"/>
      <c r="AB71" s="10"/>
      <c r="AC71" s="10"/>
      <c r="AH71" s="10"/>
      <c r="AI71" s="10"/>
      <c r="AT71" s="10"/>
      <c r="AU71" s="10"/>
      <c r="BF71" s="10"/>
      <c r="BG71" s="10"/>
    </row>
    <row r="72" spans="1:77" x14ac:dyDescent="0.25">
      <c r="H72" s="104">
        <f t="shared" si="79"/>
        <v>69</v>
      </c>
      <c r="I72" s="104">
        <f t="shared" si="80"/>
        <v>1.2042771838760873</v>
      </c>
      <c r="J72" s="111">
        <f>'Baseline Given'!$B$28*SIN('Baseline-tilt up (1 pt)'!I72)</f>
        <v>25.906856835297347</v>
      </c>
      <c r="K72" s="104">
        <f>'Baseline Given'!$B$26*COS('Baseline-tilt up (1 pt)'!I72)*'Baseline Given'!$B$28</f>
        <v>10766640.930962339</v>
      </c>
      <c r="L72" s="107">
        <f t="shared" si="77"/>
        <v>415590.39753109304</v>
      </c>
      <c r="M72" s="104">
        <f>'Baseline Given'!$B$26*COS('Baseline-tilt up (1 pt)'!I72)</f>
        <v>387987.06057521945</v>
      </c>
      <c r="N72" s="104">
        <f t="shared" si="78"/>
        <v>148934.27861393409</v>
      </c>
      <c r="AB72" s="10"/>
      <c r="AC72" s="10"/>
      <c r="AH72" s="10"/>
      <c r="AI72" s="10"/>
      <c r="BF72" s="10"/>
      <c r="BG72" s="10"/>
    </row>
    <row r="73" spans="1:77" x14ac:dyDescent="0.25">
      <c r="H73" s="104">
        <f t="shared" si="79"/>
        <v>70</v>
      </c>
      <c r="I73" s="109">
        <f t="shared" si="80"/>
        <v>1.2217304763960306</v>
      </c>
      <c r="J73" s="111">
        <f>'Baseline Given'!$B$28*SIN('Baseline-tilt up (1 pt)'!I73)</f>
        <v>26.076470226808954</v>
      </c>
      <c r="K73" s="104">
        <f>'Baseline Given'!$B$26*COS('Baseline-tilt up (1 pt)'!I73)*'Baseline Given'!$B$28</f>
        <v>10275495.001760107</v>
      </c>
      <c r="L73" s="107">
        <f t="shared" si="77"/>
        <v>394052.37412830419</v>
      </c>
      <c r="M73" s="109">
        <f>'Baseline Given'!$B$26*COS('Baseline-tilt up (1 pt)'!I73)</f>
        <v>370288.10817153536</v>
      </c>
      <c r="N73" s="109">
        <f t="shared" si="78"/>
        <v>134773.84947718267</v>
      </c>
      <c r="AB73" s="10"/>
      <c r="AC73" s="10"/>
      <c r="AH73" s="10"/>
      <c r="AI73" s="10"/>
      <c r="BF73" s="10"/>
      <c r="BG73" s="10"/>
    </row>
    <row r="74" spans="1:77" x14ac:dyDescent="0.25">
      <c r="H74" s="104">
        <f t="shared" si="79"/>
        <v>71</v>
      </c>
      <c r="I74" s="104">
        <f t="shared" si="80"/>
        <v>1.2391837689159739</v>
      </c>
      <c r="J74" s="111">
        <f>'Baseline Given'!$B$28*SIN('Baseline-tilt up (1 pt)'!I74)</f>
        <v>26.238140472881039</v>
      </c>
      <c r="K74" s="104">
        <f>'Baseline Given'!$B$26*COS('Baseline-tilt up (1 pt)'!I74)*'Baseline Given'!$B$28</f>
        <v>9781219.0572393816</v>
      </c>
      <c r="L74" s="107">
        <f t="shared" si="77"/>
        <v>372786.29052805621</v>
      </c>
      <c r="M74" s="104">
        <f>'Baseline Given'!$B$26*COS('Baseline-tilt up (1 pt)'!I74)</f>
        <v>352476.36242304079</v>
      </c>
      <c r="N74" s="104">
        <f t="shared" si="78"/>
        <v>121367.34461414872</v>
      </c>
      <c r="BF74" s="10"/>
      <c r="BG74" s="10"/>
    </row>
    <row r="75" spans="1:77" x14ac:dyDescent="0.25">
      <c r="H75" s="104">
        <f t="shared" si="79"/>
        <v>72</v>
      </c>
      <c r="I75" s="104">
        <f t="shared" si="80"/>
        <v>1.2566370614359172</v>
      </c>
      <c r="J75" s="111">
        <f>'Baseline Given'!$B$28*SIN('Baseline-tilt up (1 pt)'!I75)</f>
        <v>26.39181832719051</v>
      </c>
      <c r="K75" s="104">
        <f>'Baseline Given'!$B$26*COS('Baseline-tilt up (1 pt)'!I75)*'Baseline Given'!$B$28</f>
        <v>9283963.6586410217</v>
      </c>
      <c r="L75" s="107">
        <f t="shared" si="77"/>
        <v>351774.30912655604</v>
      </c>
      <c r="M75" s="104">
        <f>'Baseline Given'!$B$26*COS('Baseline-tilt up (1 pt)'!I75)</f>
        <v>334557.24896003684</v>
      </c>
      <c r="N75" s="104">
        <f t="shared" si="78"/>
        <v>108704.23970461199</v>
      </c>
      <c r="BF75" s="10"/>
      <c r="BG75" s="10"/>
    </row>
    <row r="76" spans="1:77" x14ac:dyDescent="0.25">
      <c r="H76" s="104">
        <f t="shared" si="79"/>
        <v>73</v>
      </c>
      <c r="I76" s="104">
        <f t="shared" si="80"/>
        <v>1.2740903539558606</v>
      </c>
      <c r="J76" s="111">
        <f>'Baseline Given'!$B$28*SIN('Baseline-tilt up (1 pt)'!I76)</f>
        <v>26.537456977974234</v>
      </c>
      <c r="K76" s="104">
        <f>'Baseline Given'!$B$26*COS('Baseline-tilt up (1 pt)'!I76)*'Baseline Given'!$B$28</f>
        <v>8783880.2747764681</v>
      </c>
      <c r="L76" s="107">
        <f t="shared" si="77"/>
        <v>330999.32228121866</v>
      </c>
      <c r="M76" s="104">
        <f>'Baseline Given'!$B$26*COS('Baseline-tilt up (1 pt)'!I76)</f>
        <v>316536.22611807095</v>
      </c>
      <c r="N76" s="104">
        <f t="shared" si="78"/>
        <v>96774.836117430445</v>
      </c>
      <c r="BF76" s="10"/>
      <c r="BG76" s="10"/>
    </row>
    <row r="77" spans="1:77" x14ac:dyDescent="0.25">
      <c r="H77" s="104">
        <f t="shared" si="79"/>
        <v>74</v>
      </c>
      <c r="I77" s="104">
        <f t="shared" si="80"/>
        <v>1.2915436464758039</v>
      </c>
      <c r="J77" s="111">
        <f>'Baseline Given'!$B$28*SIN('Baseline-tilt up (1 pt)'!I77)</f>
        <v>26.675012062288349</v>
      </c>
      <c r="K77" s="104">
        <f>'Baseline Given'!$B$26*COS('Baseline-tilt up (1 pt)'!I77)*'Baseline Given'!$B$28</f>
        <v>8281121.2358888574</v>
      </c>
      <c r="L77" s="107">
        <f t="shared" si="77"/>
        <v>310444.89189177338</v>
      </c>
      <c r="M77" s="104">
        <f>'Baseline Given'!$B$26*COS('Baseline-tilt up (1 pt)'!I77)</f>
        <v>298418.78327527415</v>
      </c>
      <c r="N77" s="104">
        <f t="shared" si="78"/>
        <v>85570.20912794258</v>
      </c>
      <c r="BF77" s="10"/>
      <c r="BG77" s="10"/>
    </row>
    <row r="78" spans="1:77" x14ac:dyDescent="0.25">
      <c r="H78" s="104">
        <f t="shared" si="79"/>
        <v>75</v>
      </c>
      <c r="I78" s="104">
        <f t="shared" si="80"/>
        <v>1.3089969389957472</v>
      </c>
      <c r="J78" s="111">
        <f>'Baseline Given'!$B$28*SIN('Baseline-tilt up (1 pt)'!I78)</f>
        <v>26.804441679521645</v>
      </c>
      <c r="K78" s="104">
        <f>'Baseline Given'!$B$26*COS('Baseline-tilt up (1 pt)'!I78)*'Baseline Given'!$B$28</f>
        <v>7775839.6872517727</v>
      </c>
      <c r="L78" s="107">
        <f t="shared" si="77"/>
        <v>290095.19318555493</v>
      </c>
      <c r="M78" s="104">
        <f>'Baseline Given'!$B$26*COS('Baseline-tilt up (1 pt)'!I78)</f>
        <v>280210.43918024405</v>
      </c>
      <c r="N78" s="104">
        <f t="shared" si="78"/>
        <v>75082.160889116611</v>
      </c>
      <c r="BF78" s="10"/>
      <c r="BG78" s="10"/>
    </row>
    <row r="79" spans="1:77" x14ac:dyDescent="0.25">
      <c r="H79" s="104">
        <f t="shared" si="79"/>
        <v>76</v>
      </c>
      <c r="I79" s="104">
        <f t="shared" si="80"/>
        <v>1.3264502315156903</v>
      </c>
      <c r="J79" s="111">
        <f>'Baseline Given'!$B$28*SIN('Baseline-tilt up (1 pt)'!I79)</f>
        <v>26.925706404158902</v>
      </c>
      <c r="K79" s="104">
        <f>'Baseline Given'!$B$26*COS('Baseline-tilt up (1 pt)'!I79)*'Baseline Given'!$B$28</f>
        <v>7268189.5425197082</v>
      </c>
      <c r="L79" s="107">
        <f t="shared" si="77"/>
        <v>269934.96227816981</v>
      </c>
      <c r="M79" s="104">
        <f>'Baseline Given'!$B$26*COS('Baseline-tilt up (1 pt)'!I79)</f>
        <v>261916.74027098046</v>
      </c>
      <c r="N79" s="104">
        <f t="shared" si="78"/>
        <v>65303.177762959691</v>
      </c>
    </row>
    <row r="80" spans="1:77" x14ac:dyDescent="0.25">
      <c r="H80" s="104">
        <f t="shared" si="79"/>
        <v>77</v>
      </c>
      <c r="I80" s="104">
        <f t="shared" si="80"/>
        <v>1.3439035240356338</v>
      </c>
      <c r="J80" s="111">
        <f>'Baseline Given'!$B$28*SIN('Baseline-tilt up (1 pt)'!I80)</f>
        <v>27.038769297790278</v>
      </c>
      <c r="K80" s="104">
        <f>'Baseline Given'!$B$26*COS('Baseline-tilt up (1 pt)'!I80)*'Baseline Given'!$B$28</f>
        <v>6758325.4368444439</v>
      </c>
      <c r="L80" s="107">
        <f t="shared" si="77"/>
        <v>249949.44712209082</v>
      </c>
      <c r="M80" s="104">
        <f>'Baseline Given'!$B$26*COS('Baseline-tilt up (1 pt)'!I80)</f>
        <v>243543.25898538536</v>
      </c>
      <c r="N80" s="104">
        <f t="shared" si="78"/>
        <v>56226.391662780443</v>
      </c>
    </row>
    <row r="81" spans="8:14" ht="15" customHeight="1" x14ac:dyDescent="0.25">
      <c r="H81" s="104">
        <f t="shared" si="79"/>
        <v>78</v>
      </c>
      <c r="I81" s="104">
        <f t="shared" si="80"/>
        <v>1.3613568165555769</v>
      </c>
      <c r="J81" s="111">
        <f>'Baseline Given'!$B$28*SIN('Baseline-tilt up (1 pt)'!I81)</f>
        <v>27.143595920363104</v>
      </c>
      <c r="K81" s="104">
        <f>'Baseline Given'!$B$26*COS('Baseline-tilt up (1 pt)'!I81)*'Baseline Given'!$B$28</f>
        <v>6246402.6797717614</v>
      </c>
      <c r="L81" s="107">
        <f t="shared" si="77"/>
        <v>230124.36149204959</v>
      </c>
      <c r="M81" s="104">
        <f>'Baseline Given'!$B$26*COS('Baseline-tilt up (1 pt)'!I81)</f>
        <v>225095.59206384726</v>
      </c>
      <c r="N81" s="104">
        <f t="shared" si="78"/>
        <v>47845.54509616932</v>
      </c>
    </row>
    <row r="82" spans="8:14" ht="15" customHeight="1" x14ac:dyDescent="0.25">
      <c r="H82" s="104">
        <f t="shared" si="79"/>
        <v>79</v>
      </c>
      <c r="I82" s="104">
        <f t="shared" si="80"/>
        <v>1.3788101090755203</v>
      </c>
      <c r="J82" s="111">
        <f>'Baseline Given'!$B$28*SIN('Baseline-tilt up (1 pt)'!I82)</f>
        <v>27.240154340672674</v>
      </c>
      <c r="K82" s="104">
        <f>'Baseline Given'!$B$26*COS('Baseline-tilt up (1 pt)'!I82)*'Baseline Given'!$B$28</f>
        <v>5732577.2079325542</v>
      </c>
      <c r="L82" s="107">
        <f t="shared" si="77"/>
        <v>210445.84168795103</v>
      </c>
      <c r="M82" s="104">
        <f>'Baseline Given'!$B$26*COS('Baseline-tilt up (1 pt)'!I82)</f>
        <v>206579.35884441636</v>
      </c>
      <c r="N82" s="104">
        <f t="shared" si="78"/>
        <v>40154.959633649349</v>
      </c>
    </row>
    <row r="83" spans="8:14" ht="15" customHeight="1" x14ac:dyDescent="0.25">
      <c r="H83" s="104">
        <f t="shared" si="79"/>
        <v>80</v>
      </c>
      <c r="I83" s="109">
        <f t="shared" si="80"/>
        <v>1.3962634015954636</v>
      </c>
      <c r="J83" s="111">
        <f>'Baseline Given'!$B$28*SIN('Baseline-tilt up (1 pt)'!I83)</f>
        <v>27.328415146088773</v>
      </c>
      <c r="K83" s="104">
        <f>'Baseline Given'!$B$26*COS('Baseline-tilt up (1 pt)'!I83)*'Baseline Given'!$B$28</f>
        <v>5217005.5375430863</v>
      </c>
      <c r="L83" s="107">
        <f t="shared" si="77"/>
        <v>190900.40566401966</v>
      </c>
      <c r="M83" s="109">
        <f>'Baseline Given'!$B$26*COS('Baseline-tilt up (1 pt)'!I83)</f>
        <v>188000.19955110221</v>
      </c>
      <c r="N83" s="109">
        <f t="shared" si="78"/>
        <v>33149.507559434773</v>
      </c>
    </row>
    <row r="84" spans="8:14" ht="15" customHeight="1" x14ac:dyDescent="0.25">
      <c r="H84" s="104">
        <f t="shared" si="79"/>
        <v>81</v>
      </c>
      <c r="I84" s="104">
        <f t="shared" si="80"/>
        <v>1.4137166941154069</v>
      </c>
      <c r="J84" s="111">
        <f>'Baseline Given'!$B$28*SIN('Baseline-tilt up (1 pt)'!I84)</f>
        <v>27.408351451515074</v>
      </c>
      <c r="K84" s="104">
        <f>'Baseline Given'!$B$26*COS('Baseline-tilt up (1 pt)'!I84)*'Baseline Given'!$B$28</f>
        <v>4699844.7167286165</v>
      </c>
      <c r="L84" s="107">
        <f t="shared" si="77"/>
        <v>171474.91431735925</v>
      </c>
      <c r="M84" s="104">
        <f>'Baseline Given'!$B$26*COS('Baseline-tilt up (1 pt)'!I84)</f>
        <v>169363.773575806</v>
      </c>
      <c r="N84" s="104">
        <f t="shared" si="78"/>
        <v>26824.586489055528</v>
      </c>
    </row>
    <row r="85" spans="8:14" ht="15" customHeight="1" x14ac:dyDescent="0.25">
      <c r="H85" s="104">
        <f t="shared" si="79"/>
        <v>82</v>
      </c>
      <c r="I85" s="104">
        <f t="shared" si="80"/>
        <v>1.43116998663535</v>
      </c>
      <c r="J85" s="111">
        <f>'Baseline Given'!$B$28*SIN('Baseline-tilt up (1 pt)'!I85)</f>
        <v>27.479938907578575</v>
      </c>
      <c r="K85" s="104">
        <f>'Baseline Given'!$B$26*COS('Baseline-tilt up (1 pt)'!I85)*'Baseline Given'!$B$28</f>
        <v>4181252.2776850197</v>
      </c>
      <c r="L85" s="107">
        <f t="shared" si="77"/>
        <v>152156.53469054439</v>
      </c>
      <c r="M85" s="104">
        <f>'Baseline Given'!$B$26*COS('Baseline-tilt up (1 pt)'!I85)</f>
        <v>150675.75775441513</v>
      </c>
      <c r="N85" s="104">
        <f t="shared" si="78"/>
        <v>21176.096764220871</v>
      </c>
    </row>
    <row r="86" spans="8:14" ht="15" customHeight="1" x14ac:dyDescent="0.25">
      <c r="H86" s="104">
        <f t="shared" si="79"/>
        <v>83</v>
      </c>
      <c r="I86" s="104">
        <f t="shared" si="80"/>
        <v>1.4486232791552935</v>
      </c>
      <c r="J86" s="111">
        <f>'Baseline Given'!$B$28*SIN('Baseline-tilt up (1 pt)'!I86)</f>
        <v>27.543155708046687</v>
      </c>
      <c r="K86" s="104">
        <f>'Baseline Given'!$B$26*COS('Baseline-tilt up (1 pt)'!I86)*'Baseline Given'!$B$28</f>
        <v>3661386.188692926</v>
      </c>
      <c r="L86" s="107">
        <f t="shared" si="77"/>
        <v>132932.70486152967</v>
      </c>
      <c r="M86" s="104">
        <f>'Baseline Given'!$B$26*COS('Baseline-tilt up (1 pt)'!I86)</f>
        <v>131941.84463758292</v>
      </c>
      <c r="N86" s="104">
        <f t="shared" si="78"/>
        <v>16200.421458544879</v>
      </c>
    </row>
    <row r="87" spans="8:14" ht="15" customHeight="1" x14ac:dyDescent="0.25">
      <c r="H87" s="104">
        <f t="shared" si="79"/>
        <v>84</v>
      </c>
      <c r="I87" s="104">
        <f t="shared" si="80"/>
        <v>1.4660765716752369</v>
      </c>
      <c r="J87" s="111">
        <f>'Baseline Given'!$B$28*SIN('Baseline-tilt up (1 pt)'!I87)</f>
        <v>27.597982596469585</v>
      </c>
      <c r="K87" s="104">
        <f>'Baseline Given'!$B$26*COS('Baseline-tilt up (1 pt)'!I87)*'Baseline Given'!$B$28</f>
        <v>3140404.8059991193</v>
      </c>
      <c r="L87" s="107">
        <f t="shared" si="77"/>
        <v>113791.10031038462</v>
      </c>
      <c r="M87" s="104">
        <f>'Baseline Given'!$B$26*COS('Baseline-tilt up (1 pt)'!I87)</f>
        <v>113167.74075672502</v>
      </c>
      <c r="N87" s="104">
        <f t="shared" si="78"/>
        <v>11894.408848979909</v>
      </c>
    </row>
    <row r="88" spans="8:14" ht="15" customHeight="1" x14ac:dyDescent="0.25">
      <c r="H88" s="104">
        <f t="shared" si="79"/>
        <v>85</v>
      </c>
      <c r="I88" s="104">
        <f t="shared" si="80"/>
        <v>1.4835298641951802</v>
      </c>
      <c r="J88" s="111">
        <f>'Baseline Given'!$B$28*SIN('Baseline-tilt up (1 pt)'!I88)</f>
        <v>27.644402872045937</v>
      </c>
      <c r="K88" s="104">
        <f>'Baseline Given'!$B$26*COS('Baseline-tilt up (1 pt)'!I88)*'Baseline Given'!$B$28</f>
        <v>2618466.82557962</v>
      </c>
      <c r="L88" s="107">
        <f t="shared" si="77"/>
        <v>94719.601566341575</v>
      </c>
      <c r="M88" s="104">
        <f>'Baseline Given'!$B$26*COS('Baseline-tilt up (1 pt)'!I88)</f>
        <v>94359.164885752078</v>
      </c>
      <c r="N88" s="104">
        <f t="shared" si="78"/>
        <v>8255.3572272767433</v>
      </c>
    </row>
    <row r="89" spans="8:14" ht="15" customHeight="1" x14ac:dyDescent="0.25">
      <c r="H89" s="104">
        <f t="shared" si="79"/>
        <v>86</v>
      </c>
      <c r="I89" s="104">
        <f t="shared" si="80"/>
        <v>1.5009831567151233</v>
      </c>
      <c r="J89" s="111">
        <f>'Baseline Given'!$B$28*SIN('Baseline-tilt up (1 pt)'!I89)</f>
        <v>27.68240239471012</v>
      </c>
      <c r="K89" s="104">
        <f>'Baseline Given'!$B$26*COS('Baseline-tilt up (1 pt)'!I89)*'Baseline Given'!$B$28</f>
        <v>2095731.2347993986</v>
      </c>
      <c r="L89" s="107">
        <f t="shared" si="77"/>
        <v>75706.262950641729</v>
      </c>
      <c r="M89" s="104">
        <f>'Baseline Given'!$B$26*COS('Baseline-tilt up (1 pt)'!I89)</f>
        <v>75521.846299077428</v>
      </c>
      <c r="N89" s="104">
        <f t="shared" si="78"/>
        <v>5281.0019437822975</v>
      </c>
    </row>
    <row r="90" spans="8:14" ht="15" customHeight="1" x14ac:dyDescent="0.25">
      <c r="H90" s="104">
        <f t="shared" si="79"/>
        <v>87</v>
      </c>
      <c r="I90" s="104">
        <f t="shared" si="80"/>
        <v>1.5184364492350666</v>
      </c>
      <c r="J90" s="111">
        <f>'Baseline Given'!$B$28*SIN('Baseline-tilt up (1 pt)'!I90)</f>
        <v>27.711969589439423</v>
      </c>
      <c r="K90" s="104">
        <f>'Baseline Given'!$B$26*COS('Baseline-tilt up (1 pt)'!I90)*'Baseline Given'!$B$28</f>
        <v>1572357.2639832462</v>
      </c>
      <c r="L90" s="107">
        <f t="shared" si="77"/>
        <v>56739.282240784705</v>
      </c>
      <c r="M90" s="104">
        <f>'Baseline Given'!$B$26*COS('Baseline-tilt up (1 pt)'!I90)</f>
        <v>56661.523026423289</v>
      </c>
      <c r="N90" s="104">
        <f t="shared" si="78"/>
        <v>2969.5045926097559</v>
      </c>
    </row>
    <row r="91" spans="8:14" ht="15" customHeight="1" x14ac:dyDescent="0.25">
      <c r="H91" s="104">
        <f t="shared" si="79"/>
        <v>88</v>
      </c>
      <c r="I91" s="104">
        <f t="shared" si="80"/>
        <v>1.5358897417550099</v>
      </c>
      <c r="J91" s="111">
        <f>'Baseline Given'!$B$28*SIN('Baseline-tilt up (1 pt)'!I91)</f>
        <v>27.733095449779906</v>
      </c>
      <c r="K91" s="104">
        <f>'Baseline Given'!$B$26*COS('Baseline-tilt up (1 pt)'!I91)*'Baseline Given'!$B$28</f>
        <v>1048504.3379127175</v>
      </c>
      <c r="L91" s="107">
        <f t="shared" si="77"/>
        <v>37806.971090240797</v>
      </c>
      <c r="M91" s="104">
        <f>'Baseline Given'!$B$26*COS('Baseline-tilt up (1 pt)'!I91)</f>
        <v>37783.940104962792</v>
      </c>
      <c r="N91" s="104">
        <f t="shared" si="78"/>
        <v>1319.4442628954123</v>
      </c>
    </row>
    <row r="92" spans="8:14" ht="15" customHeight="1" x14ac:dyDescent="0.25">
      <c r="H92" s="104">
        <f t="shared" si="79"/>
        <v>89</v>
      </c>
      <c r="I92" s="104">
        <f t="shared" si="80"/>
        <v>1.5533430342749535</v>
      </c>
      <c r="J92" s="111">
        <f>'Baseline Given'!$B$28*SIN('Baseline-tilt up (1 pt)'!I92)</f>
        <v>27.745773540589859</v>
      </c>
      <c r="K92" s="104">
        <f>'Baseline Given'!$B$26*COS('Baseline-tilt up (1 pt)'!I92)*'Baseline Given'!$B$28</f>
        <v>524332.02726376452</v>
      </c>
      <c r="L92" s="107">
        <f t="shared" si="77"/>
        <v>18897.726044534622</v>
      </c>
      <c r="M92" s="104">
        <f>'Baseline Given'!$B$26*COS('Baseline-tilt up (1 pt)'!I92)</f>
        <v>18894.847829324848</v>
      </c>
      <c r="N92" s="104">
        <f t="shared" si="78"/>
        <v>329.81079566965377</v>
      </c>
    </row>
    <row r="93" spans="8:14" ht="15" customHeight="1" x14ac:dyDescent="0.25">
      <c r="H93" s="104">
        <f t="shared" si="79"/>
        <v>90</v>
      </c>
      <c r="I93" s="109">
        <f t="shared" si="80"/>
        <v>1.5707963267948966</v>
      </c>
      <c r="J93" s="111">
        <f>'Baseline Given'!$B$28*SIN('Baseline-tilt up (1 pt)'!I93)</f>
        <v>27.75</v>
      </c>
      <c r="K93" s="104">
        <f>'Baseline Given'!$B$26*COS('Baseline-tilt up (1 pt)'!I93)*'Baseline Given'!$B$28</f>
        <v>1.8403896774057092E-9</v>
      </c>
      <c r="L93" s="107">
        <f t="shared" si="77"/>
        <v>6.6320348735340873E-11</v>
      </c>
      <c r="M93" s="109">
        <f>'Baseline Given'!$B$26*COS('Baseline-tilt up (1 pt)'!I93)</f>
        <v>6.6320348735340873E-11</v>
      </c>
      <c r="N93" s="109">
        <f t="shared" si="78"/>
        <v>4.0626136391051861E-27</v>
      </c>
    </row>
    <row r="94" spans="8:14" ht="15" customHeight="1" x14ac:dyDescent="0.25">
      <c r="N94" s="104"/>
    </row>
  </sheetData>
  <mergeCells count="24">
    <mergeCell ref="BX1:BY1"/>
    <mergeCell ref="BR1:BV1"/>
    <mergeCell ref="BL1:BP1"/>
    <mergeCell ref="BF1:BJ1"/>
    <mergeCell ref="AZ1:BD1"/>
    <mergeCell ref="BQ1:BQ1048576"/>
    <mergeCell ref="BW1:BW1048576"/>
    <mergeCell ref="A1:F1"/>
    <mergeCell ref="AT1:AX1"/>
    <mergeCell ref="AN1:AR1"/>
    <mergeCell ref="AH1:AL1"/>
    <mergeCell ref="AB1:AF1"/>
    <mergeCell ref="G1:G1048576"/>
    <mergeCell ref="I1:N1"/>
    <mergeCell ref="AG1:AG1048576"/>
    <mergeCell ref="O1:O1048576"/>
    <mergeCell ref="AA1:AA1048576"/>
    <mergeCell ref="AM1:AM1048576"/>
    <mergeCell ref="AS1:AS1048576"/>
    <mergeCell ref="AY1:AY1048576"/>
    <mergeCell ref="P1:T1"/>
    <mergeCell ref="V1:Z1"/>
    <mergeCell ref="BK1:BK1048576"/>
    <mergeCell ref="BE1:BE104857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BZ93"/>
  <sheetViews>
    <sheetView topLeftCell="BJ1" zoomScale="70" zoomScaleNormal="70" workbookViewId="0">
      <selection activeCell="BY1" sqref="BY1:BZ1"/>
    </sheetView>
  </sheetViews>
  <sheetFormatPr defaultColWidth="9.140625" defaultRowHeight="15" x14ac:dyDescent="0.25"/>
  <cols>
    <col min="1" max="4" width="9.140625" style="18"/>
    <col min="5" max="5" width="9.7109375" style="18" customWidth="1"/>
    <col min="6" max="7" width="9.140625" style="18"/>
    <col min="8" max="8" width="1.28515625" style="198" customWidth="1"/>
    <col min="9" max="9" width="10.28515625" style="18" hidden="1" customWidth="1"/>
    <col min="10" max="10" width="10.28515625" style="18" customWidth="1"/>
    <col min="11" max="11" width="10.28515625" style="101" customWidth="1"/>
    <col min="12" max="12" width="14.7109375" style="18" customWidth="1"/>
    <col min="13" max="13" width="15.140625" style="18" customWidth="1"/>
    <col min="14" max="14" width="15.85546875" style="18" customWidth="1"/>
    <col min="15" max="15" width="15.7109375" style="18" customWidth="1"/>
    <col min="16" max="16" width="1.28515625" style="198" customWidth="1"/>
    <col min="17" max="18" width="20.7109375" style="18" customWidth="1"/>
    <col min="19" max="19" width="16.42578125" style="18" bestFit="1" customWidth="1"/>
    <col min="20" max="21" width="16.42578125" style="18" customWidth="1"/>
    <col min="22" max="22" width="1.28515625" style="198" customWidth="1"/>
    <col min="23" max="23" width="17.140625" style="18" bestFit="1" customWidth="1"/>
    <col min="24" max="24" width="17.140625" style="18" customWidth="1"/>
    <col min="25" max="27" width="19.28515625" style="18" customWidth="1"/>
    <col min="28" max="28" width="1.28515625" style="199" customWidth="1"/>
    <col min="29" max="29" width="17.140625" style="18" bestFit="1" customWidth="1"/>
    <col min="30" max="30" width="17.140625" style="18" customWidth="1"/>
    <col min="31" max="31" width="19.28515625" style="18" bestFit="1" customWidth="1"/>
    <col min="32" max="33" width="19.28515625" style="18" customWidth="1"/>
    <col min="34" max="34" width="1.28515625" style="198" customWidth="1"/>
    <col min="35" max="35" width="17.140625" style="18" bestFit="1" customWidth="1"/>
    <col min="36" max="36" width="17.140625" style="18" customWidth="1"/>
    <col min="37" max="37" width="19.28515625" style="18" bestFit="1" customWidth="1"/>
    <col min="38" max="39" width="19.28515625" style="18" customWidth="1"/>
    <col min="40" max="40" width="1.28515625" style="198" customWidth="1"/>
    <col min="41" max="41" width="17.140625" style="18" bestFit="1" customWidth="1"/>
    <col min="42" max="42" width="17.140625" style="18" customWidth="1"/>
    <col min="43" max="43" width="20.5703125" style="18" bestFit="1" customWidth="1"/>
    <col min="44" max="45" width="20.5703125" style="18" customWidth="1"/>
    <col min="46" max="46" width="1.28515625" style="198" customWidth="1"/>
    <col min="47" max="47" width="17.140625" style="18" bestFit="1" customWidth="1"/>
    <col min="48" max="48" width="17.140625" style="18" customWidth="1"/>
    <col min="49" max="49" width="20.5703125" style="18" bestFit="1" customWidth="1"/>
    <col min="50" max="51" width="20.5703125" style="18" customWidth="1"/>
    <col min="52" max="52" width="1.28515625" style="198" customWidth="1"/>
    <col min="53" max="53" width="17.140625" style="18" bestFit="1" customWidth="1"/>
    <col min="54" max="54" width="17.140625" style="18" customWidth="1"/>
    <col min="55" max="55" width="19.28515625" style="18" bestFit="1" customWidth="1"/>
    <col min="56" max="57" width="19.28515625" style="18" customWidth="1"/>
    <col min="58" max="58" width="1.28515625" style="198" customWidth="1"/>
    <col min="59" max="63" width="19.140625" style="18" customWidth="1"/>
    <col min="64" max="64" width="1.28515625" style="198" customWidth="1"/>
    <col min="65" max="69" width="18.7109375" style="18" customWidth="1"/>
    <col min="70" max="70" width="1.28515625" style="198" customWidth="1"/>
    <col min="71" max="72" width="20.28515625" style="18" customWidth="1"/>
    <col min="73" max="73" width="16.85546875" style="18" bestFit="1" customWidth="1"/>
    <col min="74" max="75" width="16.85546875" style="18" customWidth="1"/>
    <col min="76" max="76" width="2.42578125" style="198" customWidth="1"/>
    <col min="77" max="77" width="17.5703125" style="18" bestFit="1" customWidth="1"/>
    <col min="78" max="78" width="15.28515625" style="18" customWidth="1"/>
    <col min="79" max="16384" width="9.140625" style="20"/>
  </cols>
  <sheetData>
    <row r="1" spans="1:78" ht="43.5" customHeight="1" x14ac:dyDescent="0.25">
      <c r="A1" s="191" t="s">
        <v>132</v>
      </c>
      <c r="B1" s="192"/>
      <c r="C1" s="192"/>
      <c r="D1" s="192"/>
      <c r="E1" s="192"/>
      <c r="F1" s="192"/>
      <c r="G1" s="193"/>
      <c r="J1" s="190" t="s">
        <v>133</v>
      </c>
      <c r="K1" s="190"/>
      <c r="L1" s="190"/>
      <c r="M1" s="190"/>
      <c r="N1" s="190"/>
      <c r="O1" s="190"/>
      <c r="Q1" s="190" t="s">
        <v>134</v>
      </c>
      <c r="R1" s="190"/>
      <c r="S1" s="190"/>
      <c r="T1" s="190"/>
      <c r="U1" s="190"/>
      <c r="W1" s="190" t="s">
        <v>135</v>
      </c>
      <c r="X1" s="190"/>
      <c r="Y1" s="190"/>
      <c r="Z1" s="190"/>
      <c r="AA1" s="190"/>
      <c r="AC1" s="190" t="s">
        <v>136</v>
      </c>
      <c r="AD1" s="190"/>
      <c r="AE1" s="190"/>
      <c r="AF1" s="190"/>
      <c r="AG1" s="190"/>
      <c r="AI1" s="190" t="s">
        <v>137</v>
      </c>
      <c r="AJ1" s="190"/>
      <c r="AK1" s="190"/>
      <c r="AL1" s="190"/>
      <c r="AM1" s="190"/>
      <c r="AO1" s="190" t="s">
        <v>138</v>
      </c>
      <c r="AP1" s="190"/>
      <c r="AQ1" s="190"/>
      <c r="AR1" s="190"/>
      <c r="AS1" s="190"/>
      <c r="AU1" s="190" t="s">
        <v>139</v>
      </c>
      <c r="AV1" s="190"/>
      <c r="AW1" s="190"/>
      <c r="AX1" s="190"/>
      <c r="AY1" s="190"/>
      <c r="BA1" s="190" t="s">
        <v>140</v>
      </c>
      <c r="BB1" s="190"/>
      <c r="BC1" s="190"/>
      <c r="BD1" s="190"/>
      <c r="BE1" s="190"/>
      <c r="BG1" s="190" t="s">
        <v>141</v>
      </c>
      <c r="BH1" s="190"/>
      <c r="BI1" s="190"/>
      <c r="BJ1" s="190"/>
      <c r="BK1" s="190"/>
      <c r="BM1" s="190" t="s">
        <v>142</v>
      </c>
      <c r="BN1" s="190"/>
      <c r="BO1" s="190"/>
      <c r="BP1" s="190"/>
      <c r="BQ1" s="190"/>
      <c r="BS1" s="190" t="s">
        <v>143</v>
      </c>
      <c r="BT1" s="190"/>
      <c r="BU1" s="190"/>
      <c r="BV1" s="190"/>
      <c r="BW1" s="190"/>
      <c r="BY1" s="246" t="s">
        <v>225</v>
      </c>
      <c r="BZ1" s="247"/>
    </row>
    <row r="2" spans="1:78" ht="60" customHeight="1" x14ac:dyDescent="0.25">
      <c r="A2" s="100" t="s">
        <v>49</v>
      </c>
      <c r="B2" s="99" t="s">
        <v>118</v>
      </c>
      <c r="C2" s="99" t="s">
        <v>119</v>
      </c>
      <c r="D2" s="99" t="s">
        <v>120</v>
      </c>
      <c r="E2" s="99" t="s">
        <v>131</v>
      </c>
      <c r="F2" s="99" t="s">
        <v>130</v>
      </c>
      <c r="G2" s="99" t="s">
        <v>159</v>
      </c>
      <c r="I2" s="18" t="s">
        <v>122</v>
      </c>
      <c r="J2" s="100" t="s">
        <v>123</v>
      </c>
      <c r="K2" s="110" t="s">
        <v>129</v>
      </c>
      <c r="L2" s="99" t="s">
        <v>125</v>
      </c>
      <c r="M2" s="99" t="s">
        <v>126</v>
      </c>
      <c r="N2" s="100" t="s">
        <v>127</v>
      </c>
      <c r="O2" s="100" t="s">
        <v>128</v>
      </c>
      <c r="Q2" s="99" t="s">
        <v>113</v>
      </c>
      <c r="R2" s="99" t="s">
        <v>157</v>
      </c>
      <c r="S2" s="100" t="s">
        <v>153</v>
      </c>
      <c r="T2" s="100" t="s">
        <v>155</v>
      </c>
      <c r="U2" s="100" t="s">
        <v>156</v>
      </c>
      <c r="W2" s="99" t="s">
        <v>113</v>
      </c>
      <c r="X2" s="99" t="s">
        <v>157</v>
      </c>
      <c r="Y2" s="100" t="s">
        <v>153</v>
      </c>
      <c r="Z2" s="100" t="s">
        <v>155</v>
      </c>
      <c r="AA2" s="100" t="s">
        <v>156</v>
      </c>
      <c r="AC2" s="99" t="s">
        <v>113</v>
      </c>
      <c r="AD2" s="99" t="s">
        <v>157</v>
      </c>
      <c r="AE2" s="100" t="s">
        <v>153</v>
      </c>
      <c r="AF2" s="100" t="s">
        <v>155</v>
      </c>
      <c r="AG2" s="100" t="s">
        <v>156</v>
      </c>
      <c r="AI2" s="99" t="s">
        <v>113</v>
      </c>
      <c r="AJ2" s="99" t="s">
        <v>157</v>
      </c>
      <c r="AK2" s="100" t="s">
        <v>153</v>
      </c>
      <c r="AL2" s="100" t="s">
        <v>155</v>
      </c>
      <c r="AM2" s="100" t="s">
        <v>156</v>
      </c>
      <c r="AO2" s="99" t="s">
        <v>113</v>
      </c>
      <c r="AP2" s="99" t="s">
        <v>157</v>
      </c>
      <c r="AQ2" s="100" t="s">
        <v>153</v>
      </c>
      <c r="AR2" s="100" t="s">
        <v>155</v>
      </c>
      <c r="AS2" s="100" t="s">
        <v>156</v>
      </c>
      <c r="AU2" s="99" t="s">
        <v>113</v>
      </c>
      <c r="AV2" s="99" t="s">
        <v>157</v>
      </c>
      <c r="AW2" s="100" t="s">
        <v>153</v>
      </c>
      <c r="AX2" s="100" t="s">
        <v>155</v>
      </c>
      <c r="AY2" s="100" t="s">
        <v>156</v>
      </c>
      <c r="BA2" s="99" t="s">
        <v>113</v>
      </c>
      <c r="BB2" s="99" t="s">
        <v>157</v>
      </c>
      <c r="BC2" s="100" t="s">
        <v>153</v>
      </c>
      <c r="BD2" s="100" t="s">
        <v>155</v>
      </c>
      <c r="BE2" s="100" t="s">
        <v>156</v>
      </c>
      <c r="BG2" s="99" t="s">
        <v>113</v>
      </c>
      <c r="BH2" s="99" t="s">
        <v>157</v>
      </c>
      <c r="BI2" s="100" t="s">
        <v>153</v>
      </c>
      <c r="BJ2" s="100" t="s">
        <v>155</v>
      </c>
      <c r="BK2" s="100" t="s">
        <v>156</v>
      </c>
      <c r="BM2" s="99" t="s">
        <v>113</v>
      </c>
      <c r="BN2" s="99" t="s">
        <v>157</v>
      </c>
      <c r="BO2" s="100" t="s">
        <v>153</v>
      </c>
      <c r="BP2" s="100" t="s">
        <v>155</v>
      </c>
      <c r="BQ2" s="100" t="s">
        <v>156</v>
      </c>
      <c r="BS2" s="99" t="s">
        <v>113</v>
      </c>
      <c r="BT2" s="99" t="s">
        <v>157</v>
      </c>
      <c r="BU2" s="100" t="s">
        <v>153</v>
      </c>
      <c r="BV2" s="100" t="s">
        <v>155</v>
      </c>
      <c r="BW2" s="100" t="s">
        <v>156</v>
      </c>
      <c r="BY2" s="99" t="s">
        <v>191</v>
      </c>
      <c r="BZ2" s="99" t="s">
        <v>190</v>
      </c>
    </row>
    <row r="3" spans="1:78" ht="15" customHeight="1" x14ac:dyDescent="0.25">
      <c r="A3" s="18">
        <f>'Baseline Given'!E4</f>
        <v>1</v>
      </c>
      <c r="B3" s="18">
        <v>67</v>
      </c>
      <c r="C3" s="18">
        <f t="shared" ref="C3:C34" si="0">C4+0.5</f>
        <v>33.5</v>
      </c>
      <c r="D3" s="18">
        <v>1</v>
      </c>
      <c r="E3" s="18">
        <v>26.75</v>
      </c>
      <c r="F3" s="18">
        <v>46.75</v>
      </c>
      <c r="G3" s="18">
        <v>67</v>
      </c>
      <c r="I3" s="103">
        <v>0</v>
      </c>
      <c r="J3" s="103"/>
      <c r="K3" s="111">
        <f t="shared" ref="K3:K34" si="1">(27.75*SIN(J3)+47.75*SIN(J3))</f>
        <v>0</v>
      </c>
      <c r="L3" s="103">
        <f t="shared" ref="L3:L34" si="2">27.75*610040*COS(J3)+47.75*472680*COS(J3)</f>
        <v>39499080</v>
      </c>
      <c r="M3" s="103" t="e">
        <f t="shared" ref="M3:M34" si="3">L3*2/K3</f>
        <v>#DIV/0!</v>
      </c>
      <c r="N3" s="104">
        <f t="shared" ref="N3:N34" si="4">610040*COS(J3)+472680*COS(J3)</f>
        <v>1082720</v>
      </c>
      <c r="O3" s="104" t="e">
        <f t="shared" ref="O3:O34" si="5">M3*COS(J3)</f>
        <v>#DIV/0!</v>
      </c>
      <c r="Q3" s="105">
        <f t="shared" ref="Q3:Q34" si="6">16160*B3*C3*COS($J$5)-($M$5/2)*E3*SIN($J$5)-($M$5/2)*F3*SIN($J$5)</f>
        <v>-2180297.7668933421</v>
      </c>
      <c r="R3" s="106">
        <f t="shared" ref="R3:R30" si="7">16160*G3+($M$5/2)*COS($J$5)+($M$5/2)*COS($J$5)</f>
        <v>31027531.134197064</v>
      </c>
      <c r="S3" s="105">
        <f>Q3*'Baseline Given'!K4/'Baseline Given'!L4</f>
        <v>-12473237.243575456</v>
      </c>
      <c r="T3" s="105">
        <f>R3/'Baseline Given'!M4</f>
        <v>2529089.377908824</v>
      </c>
      <c r="U3" s="105">
        <f t="shared" ref="U3:U34" si="8">(S3+T3)/1000000</f>
        <v>-9.9441478656666309</v>
      </c>
      <c r="W3" s="105">
        <f t="shared" ref="W3:W34" si="9">16160*B3*C3*COS($J$13)-($M$12/2)*E3*SIN($J$13)-($M$12/2)*F3*SIN($J$13)</f>
        <v>-6438413.3284950294</v>
      </c>
      <c r="X3" s="105">
        <f t="shared" ref="X3:X18" si="10">16160*G3+($M$12/2)*COS($J$13)+($M$12/2)*COS($J$13)</f>
        <v>7588643.7500326633</v>
      </c>
      <c r="Y3" s="105">
        <f>W3*'Baseline Given'!K4/'Baseline Given'!L4</f>
        <v>-36833435.385729767</v>
      </c>
      <c r="Z3" s="105">
        <f>X3/'Baseline Given'!M4</f>
        <v>618558.98936763592</v>
      </c>
      <c r="AA3" s="105">
        <f t="shared" ref="AA3:AA34" si="11">(Y3+Z3)/1000000</f>
        <v>-36.214876396362136</v>
      </c>
      <c r="AC3" s="105">
        <f t="shared" ref="AC3:AC34" si="12">16160*B3*C3*COS($J$23)-($M$22/2)*E3*SIN($J$23)-($M$22/2)*F3*SIN($J$23)</f>
        <v>-4111356.4995281696</v>
      </c>
      <c r="AD3" s="106">
        <f t="shared" ref="AD3:AD30" si="13">16160*G3+($M$22/2)*COS($J$23)+($M$22/2)*COS($J$23)</f>
        <v>3938231.9929154422</v>
      </c>
      <c r="AE3" s="105">
        <f>AC3*'Baseline Given'!K4/'Baseline Given'!L4</f>
        <v>-23520606.125557452</v>
      </c>
      <c r="AF3" s="105">
        <f>AD3/'Baseline Given'!M4</f>
        <v>321009.77219052898</v>
      </c>
      <c r="AG3" s="105">
        <f t="shared" ref="AG3:AG34" si="14">(AE3+AF3)/1000000</f>
        <v>-23.199596353366921</v>
      </c>
      <c r="AI3" s="105">
        <f t="shared" ref="AI3:AI34" si="15">16160*B3*C3*COS($J$33)-($M$32/2)*E3*SIN($J$33)-($M$32/2)*F3*SIN($J$33)</f>
        <v>-3273584.3899454325</v>
      </c>
      <c r="AJ3" s="106">
        <f t="shared" ref="AJ3:AJ30" si="16">16160*G3+($M$32/2)*COS($J$33)+($M$32/2)*COS($J$33)</f>
        <v>2717459.9860204048</v>
      </c>
      <c r="AK3" s="105">
        <f>AI3*'Baseline Given'!K4/'Baseline Given'!L4</f>
        <v>-18727806.519214801</v>
      </c>
      <c r="AL3" s="105">
        <f>AJ3/'Baseline Given'!M4</f>
        <v>221503.25644059081</v>
      </c>
      <c r="AM3" s="105">
        <f t="shared" ref="AM3:AM34" si="17">(AK3+AL3)/1000000</f>
        <v>-18.50630326277421</v>
      </c>
      <c r="AO3" s="105">
        <f t="shared" ref="AO3:AO34" si="18">16160*B3*C3*COS($J$43)-($M$42/2)*E3*SIN($J$43)-($M$42/2)*F3*SIN($J$43)</f>
        <v>-2737600.3296486568</v>
      </c>
      <c r="AP3" s="106">
        <f t="shared" ref="AP3:AP30" si="19">16160*G3+($M$42/2)*COS($J$43)+($M$42/2)*COS($J$43)</f>
        <v>2072536.7105688569</v>
      </c>
      <c r="AQ3" s="105">
        <f>AO3*'Baseline Given'!K4/'Baseline Given'!L4</f>
        <v>-15661502.253636209</v>
      </c>
      <c r="AR3" s="105">
        <f>AP3/'Baseline Given'!M4</f>
        <v>168934.82621466831</v>
      </c>
      <c r="AS3" s="105">
        <f t="shared" ref="AS3:AS34" si="20">(AQ3+AR3)/1000000</f>
        <v>-15.492567427421541</v>
      </c>
      <c r="AU3" s="105">
        <f t="shared" ref="AU3:AU34" si="21">16160*B3*C3*COS($J$53)-($M$52/2)*E3*SIN($J$53)-($M$52/2)*F3*SIN($J$53)</f>
        <v>-2291529.5454201866</v>
      </c>
      <c r="AV3" s="106">
        <f t="shared" ref="AV3:AV30" si="22">16160*G3+($M$52/2)*COS($J$53)+($M$52/2)*COS($J$53)</f>
        <v>1667376.220814642</v>
      </c>
      <c r="AW3" s="105">
        <f>AU3*'Baseline Given'!K4/'Baseline Given'!L4</f>
        <v>-13109581.68407226</v>
      </c>
      <c r="AX3" s="105">
        <f>AV3/'Baseline Given'!M4</f>
        <v>135909.73354603632</v>
      </c>
      <c r="AY3" s="105">
        <f t="shared" ref="AY3:AY34" si="23">(AW3+AX3)/1000000</f>
        <v>-12.973671950526223</v>
      </c>
      <c r="BA3" s="105">
        <f t="shared" ref="BA3:BA34" si="24">16160*B3*C3*COS($J$63)-($M$62/2)*E3*SIN($J$63)-($M$62/2)*F3*SIN($J$63)</f>
        <v>-1873732.8430859242</v>
      </c>
      <c r="BB3" s="106">
        <f t="shared" ref="BB3:BB30" si="25">16160*G3+($M$62/2)*COS($J$63)+($M$62/2)*COS($J$63)</f>
        <v>1397070.2206598562</v>
      </c>
      <c r="BC3" s="105">
        <f>BA3*'Baseline Given'!K4/'Baseline Given'!L4</f>
        <v>-10719413.943257589</v>
      </c>
      <c r="BD3" s="105">
        <f>BB3/'Baseline Given'!M4</f>
        <v>113876.78381440177</v>
      </c>
      <c r="BE3" s="105">
        <f t="shared" ref="BE3:BE34" si="26">(BC3+BD3)/1000000</f>
        <v>-10.605537159443186</v>
      </c>
      <c r="BG3" s="105">
        <f t="shared" ref="BG3:BG21" si="27">16160*B3*C3*COS($J$73)-($M$72/2)*E3*SIN($J$73)-($M$72/2)*F3*SIN($J$73)</f>
        <v>-1464998.1651391173</v>
      </c>
      <c r="BH3" s="106">
        <f t="shared" ref="BH3:BH30" si="28">16160*G3+($M$72/2)*COS($J$73)+($M$72/2)*COS($J$73)</f>
        <v>1220092.2884498388</v>
      </c>
      <c r="BI3" s="105">
        <f>BG3*'Baseline Given'!K4/'Baseline Given'!L4</f>
        <v>-8381089.0203406122</v>
      </c>
      <c r="BJ3" s="105">
        <f>BH3/'Baseline Given'!M4</f>
        <v>99451.111125822717</v>
      </c>
      <c r="BK3" s="105">
        <f t="shared" ref="BK3:BK34" si="29">(BI3+BJ3)/1000000</f>
        <v>-8.2816379092147887</v>
      </c>
      <c r="BM3" s="105">
        <f t="shared" ref="BM3:BM34" si="30">16160*B3*C3*COS($J$83)-($M$82/2)*E3*SIN($J$83)-($M$82/2)*F3*SIN($J$83)</f>
        <v>-1062489.1176594887</v>
      </c>
      <c r="BN3" s="106">
        <f t="shared" ref="BN3:BN30" si="31">16160*G3+($M$82/2)*COS($J$83)+($M$82/2)*COS($J$83)</f>
        <v>1118037.7089147652</v>
      </c>
      <c r="BO3" s="105">
        <f>BM3*'Baseline Given'!K4/'Baseline Given'!L4</f>
        <v>-6078380.2260951763</v>
      </c>
      <c r="BP3" s="105">
        <f>BN3/'Baseline Given'!M4</f>
        <v>91132.526190631572</v>
      </c>
      <c r="BQ3" s="105">
        <f t="shared" ref="BQ3:BQ34" si="32">(BO3+BP3)/1000000</f>
        <v>-5.9872476999045441</v>
      </c>
      <c r="BS3" s="105">
        <f t="shared" ref="BS3:BS34" si="33">16160*B3*C3*COS($J$93)-($M$92/2)*E3*SIN($J$93)-($M$92/2)*F3*SIN($J$93)</f>
        <v>-671195.19127624761</v>
      </c>
      <c r="BT3" s="106">
        <f t="shared" ref="BT3:BT30" si="34">16160*G3+($M$92/2)*COS($J$93)+($M$92/2)*COS($J$93)</f>
        <v>1082720</v>
      </c>
      <c r="BU3" s="105">
        <f>BS3*'Baseline Given'!K4/'Baseline Given'!L4</f>
        <v>-3839831.8728109724</v>
      </c>
      <c r="BV3" s="105">
        <f>BT3/'Baseline Given'!M4</f>
        <v>88253.739538800219</v>
      </c>
      <c r="BW3" s="105">
        <f t="shared" ref="BW3:BW34" si="35">(BU3+BV3)/1000000</f>
        <v>-3.7515781332721718</v>
      </c>
      <c r="BY3" s="104">
        <v>150</v>
      </c>
      <c r="BZ3" s="104">
        <v>-150</v>
      </c>
    </row>
    <row r="4" spans="1:78" ht="15" customHeight="1" x14ac:dyDescent="0.25">
      <c r="A4" s="18">
        <f>'Baseline Given'!E5</f>
        <v>2</v>
      </c>
      <c r="B4" s="18">
        <f t="shared" ref="B4:B35" si="36">B3-1</f>
        <v>66</v>
      </c>
      <c r="C4" s="18">
        <f t="shared" si="0"/>
        <v>33</v>
      </c>
      <c r="D4" s="18">
        <f t="shared" ref="D4:D35" si="37">D3+1</f>
        <v>2</v>
      </c>
      <c r="E4" s="18">
        <f t="shared" ref="E4:E22" si="38">E3-1</f>
        <v>25.75</v>
      </c>
      <c r="F4" s="18">
        <f t="shared" ref="F4:F22" si="39">F3-1</f>
        <v>45.75</v>
      </c>
      <c r="G4" s="18">
        <f t="shared" ref="G4:G22" si="40">G3-1</f>
        <v>66</v>
      </c>
      <c r="I4" s="104">
        <f t="shared" ref="I4:I35" si="41">I3+1</f>
        <v>1</v>
      </c>
      <c r="J4" s="104">
        <f t="shared" ref="J4:J35" si="42">I4*PI()/180</f>
        <v>1.7453292519943295E-2</v>
      </c>
      <c r="K4" s="111">
        <f t="shared" si="1"/>
        <v>1.3176566860149053</v>
      </c>
      <c r="L4" s="103">
        <f t="shared" si="2"/>
        <v>39493064.09879791</v>
      </c>
      <c r="M4" s="103">
        <f t="shared" si="3"/>
        <v>59944391.460935019</v>
      </c>
      <c r="N4" s="104">
        <f t="shared" si="4"/>
        <v>1082555.096499728</v>
      </c>
      <c r="O4" s="104">
        <f t="shared" si="5"/>
        <v>59935261.63976834</v>
      </c>
      <c r="Q4" s="105">
        <f t="shared" si="6"/>
        <v>-2208587.2781499214</v>
      </c>
      <c r="R4" s="106">
        <f t="shared" si="7"/>
        <v>31011371.134197064</v>
      </c>
      <c r="S4" s="105">
        <f>Q4*'Baseline Given'!K5/'Baseline Given'!L5</f>
        <v>-12717361.775450019</v>
      </c>
      <c r="T4" s="105">
        <f>R4/'Baseline Given'!M5</f>
        <v>2553200.6101231771</v>
      </c>
      <c r="U4" s="105">
        <f t="shared" si="8"/>
        <v>-10.164161165326842</v>
      </c>
      <c r="W4" s="105">
        <f t="shared" si="9"/>
        <v>-6349557.2406293191</v>
      </c>
      <c r="X4" s="105">
        <f t="shared" si="10"/>
        <v>7572483.7500326633</v>
      </c>
      <c r="Y4" s="105">
        <f>W4*'Baseline Given'!K5/'Baseline Given'!L5</f>
        <v>-36561659.727866016</v>
      </c>
      <c r="Z4" s="105">
        <f>X4/'Baseline Given'!M5</f>
        <v>623450.99309108092</v>
      </c>
      <c r="AA4" s="105">
        <f t="shared" si="11"/>
        <v>-35.938208734774932</v>
      </c>
      <c r="AC4" s="105">
        <f t="shared" si="12"/>
        <v>-4081866.4085181653</v>
      </c>
      <c r="AD4" s="106">
        <f t="shared" si="13"/>
        <v>3922071.9929154422</v>
      </c>
      <c r="AE4" s="105">
        <f>AC4*'Baseline Given'!K5/'Baseline Given'!L5</f>
        <v>-23503971.226197843</v>
      </c>
      <c r="AF4" s="105">
        <f>AD4/'Baseline Given'!M5</f>
        <v>322908.54093246482</v>
      </c>
      <c r="AG4" s="105">
        <f t="shared" si="14"/>
        <v>-23.181062685265378</v>
      </c>
      <c r="AI4" s="105">
        <f t="shared" si="15"/>
        <v>-3260432.3588844165</v>
      </c>
      <c r="AJ4" s="106">
        <f t="shared" si="16"/>
        <v>2701299.9860204048</v>
      </c>
      <c r="AK4" s="105">
        <f>AI4*'Baseline Given'!K5/'Baseline Given'!L5</f>
        <v>-18774036.354610562</v>
      </c>
      <c r="AL4" s="105">
        <f>AJ4/'Baseline Given'!M5</f>
        <v>222401.02646824167</v>
      </c>
      <c r="AM4" s="105">
        <f t="shared" si="17"/>
        <v>-18.551635328142318</v>
      </c>
      <c r="AO4" s="105">
        <f t="shared" si="18"/>
        <v>-2730267.4932305943</v>
      </c>
      <c r="AP4" s="106">
        <f t="shared" si="19"/>
        <v>2056376.7105688569</v>
      </c>
      <c r="AQ4" s="105">
        <f>AO4*'Baseline Given'!K5/'Baseline Given'!L5</f>
        <v>-15721271.148609569</v>
      </c>
      <c r="AR4" s="105">
        <f>AP4/'Baseline Given'!M5</f>
        <v>169303.77729341367</v>
      </c>
      <c r="AS4" s="105">
        <f t="shared" si="20"/>
        <v>-15.551967371316156</v>
      </c>
      <c r="AU4" s="105">
        <f t="shared" si="21"/>
        <v>-2285528.6707053203</v>
      </c>
      <c r="AV4" s="106">
        <f t="shared" si="22"/>
        <v>1651216.220814642</v>
      </c>
      <c r="AW4" s="105">
        <f>AU4*'Baseline Given'!K5/'Baseline Given'!L5</f>
        <v>-13160401.330333982</v>
      </c>
      <c r="AX4" s="105">
        <f>AV4/'Baseline Given'!M5</f>
        <v>135946.46441737819</v>
      </c>
      <c r="AY4" s="105">
        <f t="shared" si="23"/>
        <v>-13.024454865916605</v>
      </c>
      <c r="BA4" s="105">
        <f t="shared" si="24"/>
        <v>-1866582.2895325664</v>
      </c>
      <c r="BB4" s="106">
        <f t="shared" si="25"/>
        <v>1380910.2206598562</v>
      </c>
      <c r="BC4" s="105">
        <f>BA4*'Baseline Given'!K5/'Baseline Given'!L5</f>
        <v>-10748048.082355238</v>
      </c>
      <c r="BD4" s="105">
        <f>BB4/'Baseline Given'!M5</f>
        <v>113691.87136734329</v>
      </c>
      <c r="BE4" s="105">
        <f t="shared" si="26"/>
        <v>-10.634356210987896</v>
      </c>
      <c r="BG4" s="105">
        <f t="shared" si="27"/>
        <v>-1455119.4313878734</v>
      </c>
      <c r="BH4" s="106">
        <f t="shared" si="28"/>
        <v>1203932.2884498388</v>
      </c>
      <c r="BI4" s="105">
        <f>BG4*'Baseline Given'!K5/'Baseline Given'!L5</f>
        <v>-8378786.0314708138</v>
      </c>
      <c r="BJ4" s="105">
        <f>BH4/'Baseline Given'!M5</f>
        <v>99121.081751444101</v>
      </c>
      <c r="BK4" s="105">
        <f t="shared" si="29"/>
        <v>-8.2796649497193702</v>
      </c>
      <c r="BM4" s="105">
        <f t="shared" si="30"/>
        <v>-1048801.7148286197</v>
      </c>
      <c r="BN4" s="106">
        <f t="shared" si="31"/>
        <v>1101877.7089147652</v>
      </c>
      <c r="BO4" s="105">
        <f>BM4*'Baseline Given'!K5/'Baseline Given'!L5</f>
        <v>-6039150.4425221635</v>
      </c>
      <c r="BP4" s="105">
        <f>BN4/'Baseline Given'!M5</f>
        <v>90718.814931081506</v>
      </c>
      <c r="BQ4" s="105">
        <f t="shared" si="32"/>
        <v>-5.9484316275910816</v>
      </c>
      <c r="BS4" s="105">
        <f t="shared" si="33"/>
        <v>-652931.37654764217</v>
      </c>
      <c r="BT4" s="106">
        <f t="shared" si="34"/>
        <v>1066560</v>
      </c>
      <c r="BU4" s="105">
        <f>BS4*'Baseline Given'!K5/'Baseline Given'!L5</f>
        <v>-3759672.3535665008</v>
      </c>
      <c r="BV4" s="105">
        <f>BT4/'Baseline Given'!M5</f>
        <v>87811.068751168335</v>
      </c>
      <c r="BW4" s="105">
        <f t="shared" si="35"/>
        <v>-3.6718612848153325</v>
      </c>
      <c r="BY4" s="104">
        <v>150</v>
      </c>
      <c r="BZ4" s="104">
        <v>-150</v>
      </c>
    </row>
    <row r="5" spans="1:78" ht="15" customHeight="1" x14ac:dyDescent="0.25">
      <c r="A5" s="18">
        <f>'Baseline Given'!E6</f>
        <v>3</v>
      </c>
      <c r="B5" s="18">
        <f t="shared" si="36"/>
        <v>65</v>
      </c>
      <c r="C5" s="18">
        <f t="shared" si="0"/>
        <v>32.5</v>
      </c>
      <c r="D5" s="18">
        <f t="shared" si="37"/>
        <v>3</v>
      </c>
      <c r="E5" s="18">
        <f t="shared" si="38"/>
        <v>24.75</v>
      </c>
      <c r="F5" s="18">
        <f t="shared" si="39"/>
        <v>44.75</v>
      </c>
      <c r="G5" s="18">
        <f t="shared" si="40"/>
        <v>65</v>
      </c>
      <c r="I5" s="104">
        <f t="shared" si="41"/>
        <v>2</v>
      </c>
      <c r="J5" s="104">
        <f t="shared" si="42"/>
        <v>3.4906585039886591E-2</v>
      </c>
      <c r="K5" s="111">
        <f t="shared" si="1"/>
        <v>2.6349120010388232</v>
      </c>
      <c r="L5" s="103">
        <f t="shared" si="2"/>
        <v>39475018.227693424</v>
      </c>
      <c r="M5" s="112">
        <f t="shared" si="3"/>
        <v>29963063.823103208</v>
      </c>
      <c r="N5" s="109">
        <f t="shared" si="4"/>
        <v>1082060.4362301154</v>
      </c>
      <c r="O5" s="104">
        <f t="shared" si="5"/>
        <v>29944811.134197064</v>
      </c>
      <c r="Q5" s="105">
        <f t="shared" si="6"/>
        <v>-2220726.63364188</v>
      </c>
      <c r="R5" s="106">
        <f t="shared" si="7"/>
        <v>30995211.134197064</v>
      </c>
      <c r="S5" s="105">
        <f>Q5*'Baseline Given'!K6/'Baseline Given'!L6</f>
        <v>-12871082.284699852</v>
      </c>
      <c r="T5" s="105">
        <f>R5/'Baseline Given'!M6</f>
        <v>2577670.7799955592</v>
      </c>
      <c r="U5" s="105">
        <f t="shared" si="8"/>
        <v>-10.293411504704293</v>
      </c>
      <c r="W5" s="105">
        <f t="shared" si="9"/>
        <v>-6244786.6594749242</v>
      </c>
      <c r="X5" s="105">
        <f t="shared" si="10"/>
        <v>7556323.7500326633</v>
      </c>
      <c r="Y5" s="105">
        <f>W5*'Baseline Given'!K6/'Baseline Given'!L6</f>
        <v>-36194082.480419107</v>
      </c>
      <c r="Z5" s="105">
        <f>X5/'Baseline Given'!M6</f>
        <v>628410.46154887695</v>
      </c>
      <c r="AA5" s="105">
        <f t="shared" si="11"/>
        <v>-35.565672018870224</v>
      </c>
      <c r="AC5" s="105">
        <f t="shared" si="12"/>
        <v>-4037190.8847562447</v>
      </c>
      <c r="AD5" s="106">
        <f t="shared" si="13"/>
        <v>3905911.9929154422</v>
      </c>
      <c r="AE5" s="105">
        <f>AC5*'Baseline Given'!K6/'Baseline Given'!L6</f>
        <v>-23399105.180055901</v>
      </c>
      <c r="AF5" s="105">
        <f>AD5/'Baseline Given'!M6</f>
        <v>324829.37992521521</v>
      </c>
      <c r="AG5" s="105">
        <f t="shared" si="14"/>
        <v>-23.074275800130689</v>
      </c>
      <c r="AI5" s="105">
        <f t="shared" si="15"/>
        <v>-3233285.3572982438</v>
      </c>
      <c r="AJ5" s="106">
        <f t="shared" si="16"/>
        <v>2685139.9860204048</v>
      </c>
      <c r="AK5" s="105">
        <f>AI5*'Baseline Given'!K6/'Baseline Given'!L6</f>
        <v>-18739758.983956032</v>
      </c>
      <c r="AL5" s="105">
        <f>AJ5/'Baseline Given'!M6</f>
        <v>223305.68590726855</v>
      </c>
      <c r="AM5" s="105">
        <f t="shared" si="17"/>
        <v>-18.516453298048763</v>
      </c>
      <c r="AO5" s="105">
        <f t="shared" si="18"/>
        <v>-2710555.3786117341</v>
      </c>
      <c r="AP5" s="106">
        <f t="shared" si="19"/>
        <v>2040216.7105688569</v>
      </c>
      <c r="AQ5" s="105">
        <f>AO5*'Baseline Given'!K6/'Baseline Given'!L6</f>
        <v>-15710074.70565307</v>
      </c>
      <c r="AR5" s="105">
        <f>AP5/'Baseline Given'!M6</f>
        <v>169671.59787757436</v>
      </c>
      <c r="AS5" s="105">
        <f t="shared" si="20"/>
        <v>-15.540403107775495</v>
      </c>
      <c r="AU5" s="105">
        <f t="shared" si="21"/>
        <v>-2269140.3482179306</v>
      </c>
      <c r="AV5" s="106">
        <f t="shared" si="22"/>
        <v>1635056.220814642</v>
      </c>
      <c r="AW5" s="105">
        <f>AU5*'Baseline Given'!K6/'Baseline Given'!L6</f>
        <v>-13151682.739783512</v>
      </c>
      <c r="AX5" s="105">
        <f>AV5/'Baseline Given'!M6</f>
        <v>135977.02644438046</v>
      </c>
      <c r="AY5" s="105">
        <f t="shared" si="23"/>
        <v>-13.015705713339131</v>
      </c>
      <c r="BA5" s="105">
        <f t="shared" si="24"/>
        <v>-1851351.7359792069</v>
      </c>
      <c r="BB5" s="106">
        <f t="shared" si="25"/>
        <v>1364750.2206598562</v>
      </c>
      <c r="BC5" s="105">
        <f>BA5*'Baseline Given'!K6/'Baseline Given'!L6</f>
        <v>-10730226.841397442</v>
      </c>
      <c r="BD5" s="105">
        <f>BB5/'Baseline Given'!M6</f>
        <v>113497.42870136879</v>
      </c>
      <c r="BE5" s="105">
        <f t="shared" si="26"/>
        <v>-10.616729412696072</v>
      </c>
      <c r="BG5" s="105">
        <f t="shared" si="27"/>
        <v>-1439713.6521204887</v>
      </c>
      <c r="BH5" s="106">
        <f t="shared" si="28"/>
        <v>1187772.2884498388</v>
      </c>
      <c r="BI5" s="105">
        <f>BG5*'Baseline Given'!K6/'Baseline Given'!L6</f>
        <v>-8344418.7150847893</v>
      </c>
      <c r="BJ5" s="105">
        <f>BH5/'Baseline Given'!M6</f>
        <v>98779.321359345209</v>
      </c>
      <c r="BK5" s="105">
        <f t="shared" si="29"/>
        <v>-8.245639393725444</v>
      </c>
      <c r="BM5" s="105">
        <f t="shared" si="30"/>
        <v>-1032308.157446655</v>
      </c>
      <c r="BN5" s="106">
        <f t="shared" si="31"/>
        <v>1085717.7089147652</v>
      </c>
      <c r="BO5" s="105">
        <f>BM5*'Baseline Given'!K6/'Baseline Given'!L6</f>
        <v>-5983142.2005656324</v>
      </c>
      <c r="BP5" s="105">
        <f>BN5/'Baseline Given'!M6</f>
        <v>90292.103560010582</v>
      </c>
      <c r="BQ5" s="105">
        <f t="shared" si="32"/>
        <v>-5.8928500970056215</v>
      </c>
      <c r="BS5" s="105">
        <f t="shared" si="33"/>
        <v>-634667.56181903684</v>
      </c>
      <c r="BT5" s="106">
        <f t="shared" si="34"/>
        <v>1050400</v>
      </c>
      <c r="BU5" s="105">
        <f>BS5*'Baseline Given'!K6/'Baseline Given'!L6</f>
        <v>-3678461.9447762179</v>
      </c>
      <c r="BV5" s="105">
        <f>BT5/'Baseline Given'!M6</f>
        <v>87354.958660696211</v>
      </c>
      <c r="BW5" s="105">
        <f t="shared" si="35"/>
        <v>-3.5911069861155216</v>
      </c>
      <c r="BY5" s="104">
        <v>150</v>
      </c>
      <c r="BZ5" s="104">
        <v>-150</v>
      </c>
    </row>
    <row r="6" spans="1:78" ht="15" customHeight="1" x14ac:dyDescent="0.25">
      <c r="A6" s="18">
        <f>'Baseline Given'!E7</f>
        <v>4</v>
      </c>
      <c r="B6" s="18">
        <f t="shared" si="36"/>
        <v>64</v>
      </c>
      <c r="C6" s="18">
        <f t="shared" si="0"/>
        <v>32</v>
      </c>
      <c r="D6" s="18">
        <f t="shared" si="37"/>
        <v>4</v>
      </c>
      <c r="E6" s="18">
        <f t="shared" si="38"/>
        <v>23.75</v>
      </c>
      <c r="F6" s="18">
        <f t="shared" si="39"/>
        <v>43.75</v>
      </c>
      <c r="G6" s="18">
        <f t="shared" si="40"/>
        <v>64</v>
      </c>
      <c r="I6" s="104">
        <f t="shared" si="41"/>
        <v>3</v>
      </c>
      <c r="J6" s="104">
        <f t="shared" si="42"/>
        <v>5.2359877559829883E-2</v>
      </c>
      <c r="K6" s="111">
        <f t="shared" si="1"/>
        <v>3.9513646963422593</v>
      </c>
      <c r="L6" s="103">
        <f t="shared" si="2"/>
        <v>39444947.883633688</v>
      </c>
      <c r="M6" s="103">
        <f t="shared" si="3"/>
        <v>19965227.669391032</v>
      </c>
      <c r="N6" s="104">
        <f t="shared" si="4"/>
        <v>1081236.1698694723</v>
      </c>
      <c r="O6" s="104">
        <f t="shared" si="5"/>
        <v>19937866.018753111</v>
      </c>
      <c r="Q6" s="105">
        <f t="shared" si="6"/>
        <v>-2216715.8333692104</v>
      </c>
      <c r="R6" s="106">
        <f t="shared" si="7"/>
        <v>30979051.134197064</v>
      </c>
      <c r="S6" s="105">
        <f>Q6*'Baseline Given'!K7/'Baseline Given'!L7</f>
        <v>-12932609.248882923</v>
      </c>
      <c r="T6" s="105">
        <f>R6/'Baseline Given'!M7</f>
        <v>2602507.1140909288</v>
      </c>
      <c r="U6" s="105">
        <f t="shared" si="8"/>
        <v>-10.330102134791995</v>
      </c>
      <c r="W6" s="105">
        <f t="shared" si="9"/>
        <v>-6124101.5850318559</v>
      </c>
      <c r="X6" s="105">
        <f t="shared" si="10"/>
        <v>7540163.7500326633</v>
      </c>
      <c r="Y6" s="105">
        <f>W6*'Baseline Given'!K7/'Baseline Given'!L7</f>
        <v>-35728807.27761288</v>
      </c>
      <c r="Z6" s="105">
        <f>X6/'Baseline Given'!M7</f>
        <v>633438.69752062229</v>
      </c>
      <c r="AA6" s="105">
        <f t="shared" si="11"/>
        <v>-35.095368580092256</v>
      </c>
      <c r="AC6" s="105">
        <f t="shared" si="12"/>
        <v>-3977329.9282424301</v>
      </c>
      <c r="AD6" s="106">
        <f t="shared" si="13"/>
        <v>3889751.9929154422</v>
      </c>
      <c r="AE6" s="105">
        <f>AC6*'Baseline Given'!K7/'Baseline Given'!L7</f>
        <v>-23204261.476161722</v>
      </c>
      <c r="AF6" s="105">
        <f>AD6/'Baseline Given'!M7</f>
        <v>326772.66936807957</v>
      </c>
      <c r="AG6" s="105">
        <f t="shared" si="14"/>
        <v>-22.877488806793643</v>
      </c>
      <c r="AI6" s="105">
        <f t="shared" si="15"/>
        <v>-3192143.3851869144</v>
      </c>
      <c r="AJ6" s="106">
        <f t="shared" si="16"/>
        <v>2668979.9860204048</v>
      </c>
      <c r="AK6" s="105">
        <f>AI6*'Baseline Given'!K7/'Baseline Given'!L7</f>
        <v>-18623380.789536133</v>
      </c>
      <c r="AL6" s="105">
        <f>AJ6/'Baseline Given'!M7</f>
        <v>224217.30642733723</v>
      </c>
      <c r="AM6" s="105">
        <f t="shared" si="17"/>
        <v>-18.399163483108797</v>
      </c>
      <c r="AO6" s="105">
        <f t="shared" si="18"/>
        <v>-2678463.9857920706</v>
      </c>
      <c r="AP6" s="106">
        <f t="shared" si="19"/>
        <v>2024056.7105688569</v>
      </c>
      <c r="AQ6" s="105">
        <f>AO6*'Baseline Given'!K7/'Baseline Given'!L7</f>
        <v>-15626508.185672745</v>
      </c>
      <c r="AR6" s="105">
        <f>AP6/'Baseline Given'!M7</f>
        <v>170038.19664328347</v>
      </c>
      <c r="AS6" s="105">
        <f t="shared" si="20"/>
        <v>-15.456469989029461</v>
      </c>
      <c r="AU6" s="105">
        <f t="shared" si="21"/>
        <v>-2242364.5779580008</v>
      </c>
      <c r="AV6" s="106">
        <f t="shared" si="22"/>
        <v>1618896.220814642</v>
      </c>
      <c r="AW6" s="105">
        <f>AU6*'Baseline Given'!K7/'Baseline Given'!L7</f>
        <v>-13082247.369609956</v>
      </c>
      <c r="AX6" s="105">
        <f>AV6/'Baseline Given'!M7</f>
        <v>136001.22590566316</v>
      </c>
      <c r="AY6" s="105">
        <f t="shared" si="23"/>
        <v>-12.946246143704293</v>
      </c>
      <c r="BA6" s="105">
        <f t="shared" si="24"/>
        <v>-1828041.1824258473</v>
      </c>
      <c r="BB6" s="106">
        <f t="shared" si="25"/>
        <v>1348590.2206598562</v>
      </c>
      <c r="BC6" s="105">
        <f>BA6*'Baseline Given'!K7/'Baseline Given'!L7</f>
        <v>-10665030.649078125</v>
      </c>
      <c r="BD6" s="105">
        <f>BB6/'Baseline Given'!M7</f>
        <v>113293.19377979389</v>
      </c>
      <c r="BE6" s="105">
        <f t="shared" si="26"/>
        <v>-10.55173745529833</v>
      </c>
      <c r="BG6" s="105">
        <f t="shared" si="27"/>
        <v>-1418780.8273369595</v>
      </c>
      <c r="BH6" s="106">
        <f t="shared" si="28"/>
        <v>1171612.2884498388</v>
      </c>
      <c r="BI6" s="105">
        <f>BG6*'Baseline Given'!K7/'Baseline Given'!L7</f>
        <v>-8277352.3667522082</v>
      </c>
      <c r="BJ6" s="105">
        <f>BH6/'Baseline Given'!M7</f>
        <v>98425.523184639926</v>
      </c>
      <c r="BK6" s="105">
        <f t="shared" si="29"/>
        <v>-8.1789268435675684</v>
      </c>
      <c r="BM6" s="105">
        <f t="shared" si="30"/>
        <v>-1013008.4455135907</v>
      </c>
      <c r="BN6" s="106">
        <f t="shared" si="31"/>
        <v>1069557.7089147652</v>
      </c>
      <c r="BO6" s="105">
        <f>BM6*'Baseline Given'!K7/'Baseline Given'!L7</f>
        <v>-5910023.3753162045</v>
      </c>
      <c r="BP6" s="105">
        <f>BN6/'Baseline Given'!M7</f>
        <v>89852.059519950722</v>
      </c>
      <c r="BQ6" s="105">
        <f t="shared" si="32"/>
        <v>-5.8201713157962542</v>
      </c>
      <c r="BS6" s="105">
        <f t="shared" si="33"/>
        <v>-616403.74709043151</v>
      </c>
      <c r="BT6" s="106">
        <f t="shared" si="34"/>
        <v>1034240</v>
      </c>
      <c r="BU6" s="105">
        <f>BS6*'Baseline Given'!K7/'Baseline Given'!L7</f>
        <v>-3596179.8443743316</v>
      </c>
      <c r="BV6" s="105">
        <f>BT6/'Baseline Given'!M7</f>
        <v>86885.067783957667</v>
      </c>
      <c r="BW6" s="105">
        <f t="shared" si="35"/>
        <v>-3.5092947765903739</v>
      </c>
      <c r="BY6" s="104">
        <v>150</v>
      </c>
      <c r="BZ6" s="104">
        <v>-150</v>
      </c>
    </row>
    <row r="7" spans="1:78" ht="15" customHeight="1" x14ac:dyDescent="0.25">
      <c r="A7" s="18">
        <f>'Baseline Given'!E8</f>
        <v>5</v>
      </c>
      <c r="B7" s="18">
        <f t="shared" si="36"/>
        <v>63</v>
      </c>
      <c r="C7" s="18">
        <f t="shared" si="0"/>
        <v>31.5</v>
      </c>
      <c r="D7" s="18">
        <f t="shared" si="37"/>
        <v>5</v>
      </c>
      <c r="E7" s="18">
        <f t="shared" si="38"/>
        <v>22.75</v>
      </c>
      <c r="F7" s="18">
        <f t="shared" si="39"/>
        <v>42.75</v>
      </c>
      <c r="G7" s="18">
        <f t="shared" si="40"/>
        <v>63</v>
      </c>
      <c r="I7" s="104">
        <f t="shared" si="41"/>
        <v>4</v>
      </c>
      <c r="J7" s="104">
        <f t="shared" si="42"/>
        <v>6.9813170079773182E-2</v>
      </c>
      <c r="K7" s="111">
        <f t="shared" si="1"/>
        <v>5.2666137676814602</v>
      </c>
      <c r="L7" s="103">
        <f t="shared" si="2"/>
        <v>39402862.226336822</v>
      </c>
      <c r="M7" s="103">
        <f t="shared" si="3"/>
        <v>14963262.530520927</v>
      </c>
      <c r="N7" s="104">
        <f t="shared" si="4"/>
        <v>1080082.5484973169</v>
      </c>
      <c r="O7" s="104">
        <f t="shared" si="5"/>
        <v>14926812.775047522</v>
      </c>
      <c r="Q7" s="105">
        <f t="shared" si="6"/>
        <v>-2196554.8773319051</v>
      </c>
      <c r="R7" s="106">
        <f t="shared" si="7"/>
        <v>30962891.134197064</v>
      </c>
      <c r="S7" s="105">
        <f>Q7*'Baseline Given'!K8/'Baseline Given'!L8</f>
        <v>-12900105.601049518</v>
      </c>
      <c r="T7" s="105">
        <f>R7/'Baseline Given'!M8</f>
        <v>2627717.02245171</v>
      </c>
      <c r="U7" s="105">
        <f t="shared" si="8"/>
        <v>-10.272388578597809</v>
      </c>
      <c r="W7" s="105">
        <f t="shared" si="9"/>
        <v>-5987502.017300114</v>
      </c>
      <c r="X7" s="105">
        <f t="shared" si="10"/>
        <v>7524003.7500326633</v>
      </c>
      <c r="Y7" s="105">
        <f>W7*'Baseline Given'!K8/'Baseline Given'!L8</f>
        <v>-35163887.370521374</v>
      </c>
      <c r="Z7" s="105">
        <f>X7/'Baseline Given'!M8</f>
        <v>638537.03600421338</v>
      </c>
      <c r="AA7" s="105">
        <f t="shared" si="11"/>
        <v>-34.525350334517157</v>
      </c>
      <c r="AC7" s="105">
        <f t="shared" si="12"/>
        <v>-3902283.538976714</v>
      </c>
      <c r="AD7" s="106">
        <f t="shared" si="13"/>
        <v>3873591.9929154422</v>
      </c>
      <c r="AE7" s="105">
        <f>AC7*'Baseline Given'!K8/'Baseline Given'!L8</f>
        <v>-22917647.201777771</v>
      </c>
      <c r="AF7" s="105">
        <f>AD7/'Baseline Given'!M8</f>
        <v>328738.79812129849</v>
      </c>
      <c r="AG7" s="105">
        <f t="shared" si="14"/>
        <v>-22.588908403656472</v>
      </c>
      <c r="AI7" s="105">
        <f t="shared" si="15"/>
        <v>-3137006.4425504319</v>
      </c>
      <c r="AJ7" s="106">
        <f t="shared" si="16"/>
        <v>2652819.9860204048</v>
      </c>
      <c r="AK7" s="105">
        <f>AI7*'Baseline Given'!K8/'Baseline Given'!L8</f>
        <v>-18423265.813976966</v>
      </c>
      <c r="AL7" s="105">
        <f>AJ7/'Baseline Given'!M8</f>
        <v>225135.96048099449</v>
      </c>
      <c r="AM7" s="105">
        <f t="shared" si="17"/>
        <v>-18.198129853495971</v>
      </c>
      <c r="AO7" s="105">
        <f t="shared" si="18"/>
        <v>-2633993.3147716038</v>
      </c>
      <c r="AP7" s="106">
        <f t="shared" si="19"/>
        <v>2007896.7105688569</v>
      </c>
      <c r="AQ7" s="105">
        <f>AO7*'Baseline Given'!K8/'Baseline Given'!L8</f>
        <v>-15469129.528093221</v>
      </c>
      <c r="AR7" s="105">
        <f>AP7/'Baseline Given'!M8</f>
        <v>170403.47888764433</v>
      </c>
      <c r="AS7" s="105">
        <f t="shared" si="20"/>
        <v>-15.298726049205577</v>
      </c>
      <c r="AU7" s="105">
        <f t="shared" si="21"/>
        <v>-2205201.3599255383</v>
      </c>
      <c r="AV7" s="106">
        <f t="shared" si="22"/>
        <v>1602736.220814642</v>
      </c>
      <c r="AW7" s="105">
        <f>AU7*'Baseline Given'!K8/'Baseline Given'!L8</f>
        <v>-12950885.365164036</v>
      </c>
      <c r="AX7" s="105">
        <f>AV7/'Baseline Given'!M8</f>
        <v>136018.86308617709</v>
      </c>
      <c r="AY7" s="105">
        <f t="shared" si="23"/>
        <v>-12.814866502077859</v>
      </c>
      <c r="BA7" s="105">
        <f t="shared" si="24"/>
        <v>-1796650.6288724896</v>
      </c>
      <c r="BB7" s="106">
        <f t="shared" si="25"/>
        <v>1332430.2206598562</v>
      </c>
      <c r="BC7" s="105">
        <f>BA7*'Baseline Given'!K8/'Baseline Given'!L8</f>
        <v>-10551515.502676442</v>
      </c>
      <c r="BD7" s="105">
        <f>BB7/'Baseline Given'!M8</f>
        <v>113078.89682788782</v>
      </c>
      <c r="BE7" s="105">
        <f t="shared" si="26"/>
        <v>-10.438436605848555</v>
      </c>
      <c r="BG7" s="105">
        <f t="shared" si="27"/>
        <v>-1392320.9570372915</v>
      </c>
      <c r="BH7" s="106">
        <f t="shared" si="28"/>
        <v>1155452.2884498388</v>
      </c>
      <c r="BI7" s="105">
        <f>BG7*'Baseline Given'!K8/'Baseline Given'!L8</f>
        <v>-8176935.419046863</v>
      </c>
      <c r="BJ7" s="105">
        <f>BH7/'Baseline Given'!M8</f>
        <v>98059.371582296517</v>
      </c>
      <c r="BK7" s="105">
        <f t="shared" si="29"/>
        <v>-8.0788760474645667</v>
      </c>
      <c r="BM7" s="105">
        <f t="shared" si="30"/>
        <v>-990902.5790294297</v>
      </c>
      <c r="BN7" s="106">
        <f t="shared" si="31"/>
        <v>1053397.7089147652</v>
      </c>
      <c r="BO7" s="106">
        <f>BM7*'Baseline Given'!K8/'Baseline Given'!L8</f>
        <v>-5819453.0178817175</v>
      </c>
      <c r="BP7" s="105">
        <f>BN7/'Baseline Given'!M8</f>
        <v>89398.340714695049</v>
      </c>
      <c r="BQ7" s="105">
        <f t="shared" si="32"/>
        <v>-5.7300546771670229</v>
      </c>
      <c r="BS7" s="105">
        <f t="shared" si="33"/>
        <v>-598139.93236182618</v>
      </c>
      <c r="BT7" s="106">
        <f t="shared" si="34"/>
        <v>1018080</v>
      </c>
      <c r="BU7" s="105">
        <f>BS7*'Baseline Given'!K8/'Baseline Given'!L8</f>
        <v>-3512804.6976202438</v>
      </c>
      <c r="BV7" s="105">
        <f>BT7/'Baseline Given'!M8</f>
        <v>86401.044870870435</v>
      </c>
      <c r="BW7" s="105">
        <f t="shared" si="35"/>
        <v>-3.4264036527493733</v>
      </c>
      <c r="BY7" s="104">
        <v>150</v>
      </c>
      <c r="BZ7" s="104">
        <v>-150</v>
      </c>
    </row>
    <row r="8" spans="1:78" ht="15" customHeight="1" x14ac:dyDescent="0.25">
      <c r="A8" s="18">
        <f>'Baseline Given'!E9</f>
        <v>6</v>
      </c>
      <c r="B8" s="18">
        <f t="shared" si="36"/>
        <v>62</v>
      </c>
      <c r="C8" s="18">
        <f t="shared" si="0"/>
        <v>31</v>
      </c>
      <c r="D8" s="18">
        <f t="shared" si="37"/>
        <v>6</v>
      </c>
      <c r="E8" s="18">
        <f t="shared" si="38"/>
        <v>21.75</v>
      </c>
      <c r="F8" s="18">
        <f t="shared" si="39"/>
        <v>41.75</v>
      </c>
      <c r="G8" s="18">
        <f t="shared" si="40"/>
        <v>62</v>
      </c>
      <c r="I8" s="104">
        <f t="shared" si="41"/>
        <v>5</v>
      </c>
      <c r="J8" s="104">
        <f t="shared" si="42"/>
        <v>8.7266462599716474E-2</v>
      </c>
      <c r="K8" s="111">
        <f t="shared" si="1"/>
        <v>6.5802585774481912</v>
      </c>
      <c r="L8" s="103">
        <f t="shared" si="2"/>
        <v>39348774.07550171</v>
      </c>
      <c r="M8" s="103">
        <f t="shared" si="3"/>
        <v>11959643.716846481</v>
      </c>
      <c r="N8" s="104">
        <f t="shared" si="4"/>
        <v>1078599.9235178947</v>
      </c>
      <c r="O8" s="104">
        <f t="shared" si="5"/>
        <v>11914133.661788723</v>
      </c>
      <c r="Q8" s="105">
        <f t="shared" si="6"/>
        <v>-2160243.765529979</v>
      </c>
      <c r="R8" s="106">
        <f t="shared" si="7"/>
        <v>30946731.134197064</v>
      </c>
      <c r="S8" s="105">
        <f>Q8*'Baseline Given'!K9/'Baseline Given'!L9</f>
        <v>-12771685.140215747</v>
      </c>
      <c r="T8" s="105">
        <f>R8/'Baseline Given'!M9</f>
        <v>2653308.1042270814</v>
      </c>
      <c r="U8" s="105">
        <f t="shared" si="8"/>
        <v>-10.118377035988667</v>
      </c>
      <c r="W8" s="105">
        <f t="shared" si="9"/>
        <v>-5834987.9562796913</v>
      </c>
      <c r="X8" s="105">
        <f t="shared" si="10"/>
        <v>7507843.7500326633</v>
      </c>
      <c r="Y8" s="105">
        <f>W8*'Baseline Given'!K9/'Baseline Given'!L9</f>
        <v>-34497323.94263956</v>
      </c>
      <c r="Z8" s="105">
        <f>X8/'Baseline Given'!M9</f>
        <v>643706.84518661234</v>
      </c>
      <c r="AA8" s="105">
        <f t="shared" si="11"/>
        <v>-33.853617097452947</v>
      </c>
      <c r="AC8" s="105">
        <f t="shared" si="12"/>
        <v>-3812051.7169590928</v>
      </c>
      <c r="AD8" s="106">
        <f t="shared" si="13"/>
        <v>3857431.9929154422</v>
      </c>
      <c r="AE8" s="105">
        <f>AC8*'Baseline Given'!K9/'Baseline Given'!L9</f>
        <v>-22537421.491076961</v>
      </c>
      <c r="AF8" s="105">
        <f>AD8/'Baseline Given'!M9</f>
        <v>330728.16395129473</v>
      </c>
      <c r="AG8" s="105">
        <f t="shared" si="14"/>
        <v>-22.206693327125667</v>
      </c>
      <c r="AI8" s="105">
        <f t="shared" si="15"/>
        <v>-3067874.5293887872</v>
      </c>
      <c r="AJ8" s="106">
        <f t="shared" si="16"/>
        <v>2636659.9860204048</v>
      </c>
      <c r="AK8" s="105">
        <f>AI8*'Baseline Given'!K9/'Baseline Given'!L9</f>
        <v>-18137734.344729625</v>
      </c>
      <c r="AL8" s="105">
        <f>AJ8/'Baseline Given'!M9</f>
        <v>226061.72130627895</v>
      </c>
      <c r="AM8" s="105">
        <f t="shared" si="17"/>
        <v>-17.911672623423346</v>
      </c>
      <c r="AO8" s="105">
        <f t="shared" si="18"/>
        <v>-2577143.3655503355</v>
      </c>
      <c r="AP8" s="106">
        <f t="shared" si="19"/>
        <v>1991736.7105688569</v>
      </c>
      <c r="AQ8" s="105">
        <f>AO8*'Baseline Given'!K9/'Baseline Given'!L9</f>
        <v>-15236458.103111256</v>
      </c>
      <c r="AR8" s="105">
        <f>AP8/'Baseline Given'!M9</f>
        <v>170767.34640316162</v>
      </c>
      <c r="AS8" s="105">
        <f t="shared" si="20"/>
        <v>-15.065690756708095</v>
      </c>
      <c r="AU8" s="105">
        <f t="shared" si="21"/>
        <v>-2157650.6941205356</v>
      </c>
      <c r="AV8" s="106">
        <f t="shared" si="22"/>
        <v>1586576.220814642</v>
      </c>
      <c r="AW8" s="105">
        <f>AU8*'Baseline Given'!K9/'Baseline Given'!L9</f>
        <v>-12756354.513128214</v>
      </c>
      <c r="AX8" s="105">
        <f>AV8/'Baseline Given'!M9</f>
        <v>136029.73207110871</v>
      </c>
      <c r="AY8" s="105">
        <f t="shared" si="23"/>
        <v>-12.620324781057105</v>
      </c>
      <c r="BA8" s="105">
        <f t="shared" si="24"/>
        <v>-1757180.0753191318</v>
      </c>
      <c r="BB8" s="106">
        <f t="shared" si="25"/>
        <v>1316270.2206598562</v>
      </c>
      <c r="BC8" s="105">
        <f>BA8*'Baseline Given'!K9/'Baseline Given'!L9</f>
        <v>-10388712.151256107</v>
      </c>
      <c r="BD8" s="105">
        <f>BB8/'Baseline Given'!M9</f>
        <v>112854.26007305439</v>
      </c>
      <c r="BE8" s="105">
        <f t="shared" si="26"/>
        <v>-10.275857891183053</v>
      </c>
      <c r="BG8" s="105">
        <f t="shared" si="27"/>
        <v>-1360334.0412214762</v>
      </c>
      <c r="BH8" s="106">
        <f t="shared" si="28"/>
        <v>1139292.2884498388</v>
      </c>
      <c r="BI8" s="105">
        <f>BG8*'Baseline Given'!K9/'Baseline Given'!L9</f>
        <v>-8042498.8777762344</v>
      </c>
      <c r="BJ8" s="105">
        <f>BH8/'Baseline Given'!M9</f>
        <v>97680.541732143945</v>
      </c>
      <c r="BK8" s="105">
        <f t="shared" si="29"/>
        <v>-7.9448183360440909</v>
      </c>
      <c r="BM8" s="105">
        <f t="shared" si="30"/>
        <v>-965990.55799417151</v>
      </c>
      <c r="BN8" s="106">
        <f t="shared" si="31"/>
        <v>1037237.7089147652</v>
      </c>
      <c r="BO8" s="105">
        <f>BM8*'Baseline Given'!K9/'Baseline Given'!L9</f>
        <v>-5711081.0603802968</v>
      </c>
      <c r="BP8" s="105">
        <f>BN8/'Baseline Given'!M9</f>
        <v>88930.595194020716</v>
      </c>
      <c r="BQ8" s="105">
        <f t="shared" si="32"/>
        <v>-5.6221504651862766</v>
      </c>
      <c r="BS8" s="105">
        <f t="shared" si="33"/>
        <v>-579876.11763322074</v>
      </c>
      <c r="BT8" s="106">
        <f t="shared" si="34"/>
        <v>1001920</v>
      </c>
      <c r="BU8" s="105">
        <f>BS8*'Baseline Given'!K9/'Baseline Given'!L9</f>
        <v>-3428314.5786213018</v>
      </c>
      <c r="BV8" s="105">
        <f>BT8/'Baseline Given'!M9</f>
        <v>85902.528582399551</v>
      </c>
      <c r="BW8" s="105">
        <f t="shared" si="35"/>
        <v>-3.3424120500389023</v>
      </c>
      <c r="BY8" s="104">
        <v>150</v>
      </c>
      <c r="BZ8" s="104">
        <v>-150</v>
      </c>
    </row>
    <row r="9" spans="1:78" ht="15" customHeight="1" x14ac:dyDescent="0.25">
      <c r="A9" s="18">
        <f>'Baseline Given'!E10</f>
        <v>7</v>
      </c>
      <c r="B9" s="18">
        <f t="shared" si="36"/>
        <v>61</v>
      </c>
      <c r="C9" s="18">
        <f t="shared" si="0"/>
        <v>30.5</v>
      </c>
      <c r="D9" s="18">
        <f t="shared" si="37"/>
        <v>7</v>
      </c>
      <c r="E9" s="18">
        <f t="shared" si="38"/>
        <v>20.75</v>
      </c>
      <c r="F9" s="18">
        <f t="shared" si="39"/>
        <v>40.75</v>
      </c>
      <c r="G9" s="18">
        <f t="shared" si="40"/>
        <v>61</v>
      </c>
      <c r="I9" s="104">
        <f t="shared" si="41"/>
        <v>6</v>
      </c>
      <c r="J9" s="104">
        <f t="shared" si="42"/>
        <v>0.10471975511965977</v>
      </c>
      <c r="K9" s="111">
        <f t="shared" si="1"/>
        <v>7.8918989767078358</v>
      </c>
      <c r="L9" s="103">
        <f t="shared" si="2"/>
        <v>39282699.906903058</v>
      </c>
      <c r="M9" s="103">
        <f t="shared" si="3"/>
        <v>9955195.8338144179</v>
      </c>
      <c r="N9" s="104">
        <f t="shared" si="4"/>
        <v>1076788.746553137</v>
      </c>
      <c r="O9" s="104">
        <f t="shared" si="5"/>
        <v>9900660.229407452</v>
      </c>
      <c r="Q9" s="105">
        <f t="shared" si="6"/>
        <v>-2107782.4979634173</v>
      </c>
      <c r="R9" s="106">
        <f t="shared" si="7"/>
        <v>30930571.134197064</v>
      </c>
      <c r="S9" s="105">
        <f>Q9*'Baseline Given'!K10/'Baseline Given'!L10</f>
        <v>-12545410.877637303</v>
      </c>
      <c r="T9" s="105">
        <f>R9/'Baseline Given'!M10</f>
        <v>2679288.153505024</v>
      </c>
      <c r="U9" s="105">
        <f t="shared" si="8"/>
        <v>-9.8661227241322784</v>
      </c>
      <c r="W9" s="105">
        <f t="shared" si="9"/>
        <v>-5666559.4019705951</v>
      </c>
      <c r="X9" s="105">
        <f t="shared" si="10"/>
        <v>7491683.7500326633</v>
      </c>
      <c r="Y9" s="105">
        <f>W9*'Baseline Given'!K10/'Baseline Given'!L10</f>
        <v>-33727064.357421972</v>
      </c>
      <c r="Z9" s="105">
        <f>X9/'Baseline Given'!M10</f>
        <v>648949.527449121</v>
      </c>
      <c r="AA9" s="105">
        <f t="shared" si="11"/>
        <v>-33.078114829972854</v>
      </c>
      <c r="AC9" s="105">
        <f t="shared" si="12"/>
        <v>-3706634.4621895812</v>
      </c>
      <c r="AD9" s="106">
        <f t="shared" si="13"/>
        <v>3841271.9929154422</v>
      </c>
      <c r="AE9" s="105">
        <f>AC9*'Baseline Given'!K10/'Baseline Given'!L10</f>
        <v>-22061693.911164425</v>
      </c>
      <c r="AF9" s="105">
        <f>AD9/'Baseline Given'!M10</f>
        <v>332741.17378421791</v>
      </c>
      <c r="AG9" s="105">
        <f t="shared" si="14"/>
        <v>-21.728952737380208</v>
      </c>
      <c r="AI9" s="105">
        <f t="shared" si="15"/>
        <v>-2984747.6457019858</v>
      </c>
      <c r="AJ9" s="106">
        <f t="shared" si="16"/>
        <v>2620499.9860204048</v>
      </c>
      <c r="AK9" s="105">
        <f>AI9*'Baseline Given'!K10/'Baseline Given'!L10</f>
        <v>-17765061.441383082</v>
      </c>
      <c r="AL9" s="105">
        <f>AJ9/'Baseline Given'!M10</f>
        <v>226994.66292887172</v>
      </c>
      <c r="AM9" s="105">
        <f t="shared" si="17"/>
        <v>-17.538066778454212</v>
      </c>
      <c r="AO9" s="105">
        <f t="shared" si="18"/>
        <v>-2507914.1381282657</v>
      </c>
      <c r="AP9" s="106">
        <f t="shared" si="19"/>
        <v>1975576.7105688569</v>
      </c>
      <c r="AQ9" s="105">
        <f>AO9*'Baseline Given'!K10/'Baseline Given'!L10</f>
        <v>-14926973.413554169</v>
      </c>
      <c r="AR9" s="105">
        <f>AP9/'Baseline Given'!M10</f>
        <v>171129.6973470829</v>
      </c>
      <c r="AS9" s="105">
        <f t="shared" si="20"/>
        <v>-14.755843716207087</v>
      </c>
      <c r="AU9" s="105">
        <f t="shared" si="21"/>
        <v>-2099712.580543004</v>
      </c>
      <c r="AV9" s="106">
        <f t="shared" si="22"/>
        <v>1570416.220814642</v>
      </c>
      <c r="AW9" s="105">
        <f>AU9*'Baseline Given'!K10/'Baseline Given'!L10</f>
        <v>-12497379.152406871</v>
      </c>
      <c r="AX9" s="105">
        <f>AV9/'Baseline Given'!M10</f>
        <v>136033.62053178676</v>
      </c>
      <c r="AY9" s="105">
        <f t="shared" si="23"/>
        <v>-12.361345531875084</v>
      </c>
      <c r="BA9" s="105">
        <f t="shared" si="24"/>
        <v>-1709629.5217657723</v>
      </c>
      <c r="BB9" s="106">
        <f t="shared" si="25"/>
        <v>1300110.2206598562</v>
      </c>
      <c r="BC9" s="105">
        <f>BA9*'Baseline Given'!K10/'Baseline Given'!L10</f>
        <v>-10175625.245875075</v>
      </c>
      <c r="BD9" s="105">
        <f>BB9/'Baseline Given'!M10</f>
        <v>112618.99747507463</v>
      </c>
      <c r="BE9" s="105">
        <f t="shared" si="26"/>
        <v>-10.063006248400001</v>
      </c>
      <c r="BG9" s="105">
        <f t="shared" si="27"/>
        <v>-1322820.0798895201</v>
      </c>
      <c r="BH9" s="106">
        <f t="shared" si="28"/>
        <v>1123132.2884498388</v>
      </c>
      <c r="BI9" s="105">
        <f>BG9*'Baseline Given'!K10/'Baseline Given'!L10</f>
        <v>-7873355.7354412852</v>
      </c>
      <c r="BJ9" s="105">
        <f>BH9/'Baseline Given'!M10</f>
        <v>97288.699332669377</v>
      </c>
      <c r="BK9" s="105">
        <f t="shared" si="29"/>
        <v>-7.7760670361086159</v>
      </c>
      <c r="BM9" s="105">
        <f t="shared" si="30"/>
        <v>-938272.38240781566</v>
      </c>
      <c r="BN9" s="106">
        <f t="shared" si="31"/>
        <v>1021077.7089147652</v>
      </c>
      <c r="BO9" s="105">
        <f>BM9*'Baseline Given'!K10/'Baseline Given'!L10</f>
        <v>-5584548.0090185162</v>
      </c>
      <c r="BP9" s="105">
        <f>BN9/'Baseline Given'!M10</f>
        <v>88448.460826470284</v>
      </c>
      <c r="BQ9" s="105">
        <f t="shared" si="32"/>
        <v>-5.4960995481920456</v>
      </c>
      <c r="BS9" s="105">
        <f t="shared" si="33"/>
        <v>-561612.30290461541</v>
      </c>
      <c r="BT9" s="106">
        <f t="shared" si="34"/>
        <v>985760</v>
      </c>
      <c r="BU9" s="105">
        <f>BS9*'Baseline Given'!K10/'Baseline Given'!L10</f>
        <v>-3342686.971109285</v>
      </c>
      <c r="BV9" s="105">
        <f>BT9/'Baseline Given'!M10</f>
        <v>85389.147156065752</v>
      </c>
      <c r="BW9" s="105">
        <f t="shared" si="35"/>
        <v>-3.2572978239532193</v>
      </c>
      <c r="BY9" s="104">
        <v>150</v>
      </c>
      <c r="BZ9" s="104">
        <v>-150</v>
      </c>
    </row>
    <row r="10" spans="1:78" ht="15" customHeight="1" x14ac:dyDescent="0.25">
      <c r="A10" s="18">
        <f>'Baseline Given'!E11</f>
        <v>8</v>
      </c>
      <c r="B10" s="18">
        <f t="shared" si="36"/>
        <v>60</v>
      </c>
      <c r="C10" s="18">
        <f t="shared" si="0"/>
        <v>30</v>
      </c>
      <c r="D10" s="18">
        <f t="shared" si="37"/>
        <v>8</v>
      </c>
      <c r="E10" s="18">
        <f t="shared" si="38"/>
        <v>19.75</v>
      </c>
      <c r="F10" s="18">
        <f t="shared" si="39"/>
        <v>39.75</v>
      </c>
      <c r="G10" s="18">
        <f t="shared" si="40"/>
        <v>60</v>
      </c>
      <c r="I10" s="104">
        <f t="shared" si="41"/>
        <v>7</v>
      </c>
      <c r="J10" s="104">
        <f t="shared" si="42"/>
        <v>0.12217304763960307</v>
      </c>
      <c r="K10" s="111">
        <f t="shared" si="1"/>
        <v>9.2011354270886336</v>
      </c>
      <c r="L10" s="103">
        <f t="shared" si="2"/>
        <v>39204659.847372711</v>
      </c>
      <c r="M10" s="103">
        <f t="shared" si="3"/>
        <v>8521700.4266564976</v>
      </c>
      <c r="N10" s="104">
        <f t="shared" si="4"/>
        <v>1074649.5693050921</v>
      </c>
      <c r="O10" s="104">
        <f t="shared" si="5"/>
        <v>8458180.9639181178</v>
      </c>
      <c r="Q10" s="105">
        <f t="shared" si="6"/>
        <v>-2039171.0746322386</v>
      </c>
      <c r="R10" s="106">
        <f t="shared" si="7"/>
        <v>30914411.134197064</v>
      </c>
      <c r="S10" s="105">
        <f>Q10*'Baseline Given'!K11/'Baseline Given'!L11</f>
        <v>-12219293.315839069</v>
      </c>
      <c r="T10" s="105">
        <f>R10/'Baseline Given'!M11</f>
        <v>2705665.1653555129</v>
      </c>
      <c r="U10" s="105">
        <f t="shared" si="8"/>
        <v>-9.5136281504835569</v>
      </c>
      <c r="W10" s="105">
        <f t="shared" si="9"/>
        <v>-5482216.3543728106</v>
      </c>
      <c r="X10" s="105">
        <f t="shared" si="10"/>
        <v>7475523.7500326633</v>
      </c>
      <c r="Y10" s="105">
        <f>W10*'Baseline Given'!K11/'Baseline Given'!L11</f>
        <v>-32851000.334561259</v>
      </c>
      <c r="Z10" s="105">
        <f>X10/'Baseline Given'!M11</f>
        <v>654266.52040857403</v>
      </c>
      <c r="AA10" s="105">
        <f t="shared" si="11"/>
        <v>-32.196733814152687</v>
      </c>
      <c r="AC10" s="105">
        <f t="shared" si="12"/>
        <v>-3586031.7746681646</v>
      </c>
      <c r="AD10" s="106">
        <f t="shared" si="13"/>
        <v>3825111.9929154422</v>
      </c>
      <c r="AE10" s="105">
        <f>AC10*'Baseline Given'!K11/'Baseline Given'!L11</f>
        <v>-21488522.782470256</v>
      </c>
      <c r="AF10" s="105">
        <f>AD10/'Baseline Given'!M11</f>
        <v>334778.24396811757</v>
      </c>
      <c r="AG10" s="105">
        <f t="shared" si="14"/>
        <v>-21.153744538502139</v>
      </c>
      <c r="AI10" s="105">
        <f t="shared" si="15"/>
        <v>-2887625.7914900333</v>
      </c>
      <c r="AJ10" s="106">
        <f t="shared" si="16"/>
        <v>2604339.9860204048</v>
      </c>
      <c r="AK10" s="105">
        <f>AI10*'Baseline Given'!K11/'Baseline Given'!L11</f>
        <v>-17303475.403093491</v>
      </c>
      <c r="AL10" s="105">
        <f>AJ10/'Baseline Given'!M11</f>
        <v>227934.86016374963</v>
      </c>
      <c r="AM10" s="105">
        <f t="shared" si="17"/>
        <v>-17.075540542929744</v>
      </c>
      <c r="AO10" s="105">
        <f t="shared" si="18"/>
        <v>-2426305.6325053927</v>
      </c>
      <c r="AP10" s="106">
        <f t="shared" si="19"/>
        <v>1959416.7105688569</v>
      </c>
      <c r="AQ10" s="105">
        <f>AO10*'Baseline Given'!K11/'Baseline Given'!L11</f>
        <v>-14539113.743952433</v>
      </c>
      <c r="AR10" s="105">
        <f>AP10/'Baseline Given'!M11</f>
        <v>171490.4261054215</v>
      </c>
      <c r="AS10" s="105">
        <f t="shared" si="20"/>
        <v>-14.367623317847011</v>
      </c>
      <c r="AU10" s="105">
        <f t="shared" si="21"/>
        <v>-2031387.0191929415</v>
      </c>
      <c r="AV10" s="106">
        <f t="shared" si="22"/>
        <v>1554256.220814642</v>
      </c>
      <c r="AW10" s="105">
        <f>AU10*'Baseline Given'!K11/'Baseline Given'!L11</f>
        <v>-12172649.040730039</v>
      </c>
      <c r="AX10" s="105">
        <f>AV10/'Baseline Given'!M11</f>
        <v>136030.30950324153</v>
      </c>
      <c r="AY10" s="105">
        <f t="shared" si="23"/>
        <v>-12.036618731226797</v>
      </c>
      <c r="BA10" s="105">
        <f t="shared" si="24"/>
        <v>-1653998.9682124145</v>
      </c>
      <c r="BB10" s="106">
        <f t="shared" si="25"/>
        <v>1283950.2206598562</v>
      </c>
      <c r="BC10" s="105">
        <f>BA10*'Baseline Given'!K11/'Baseline Given'!L11</f>
        <v>-9911232.4552404918</v>
      </c>
      <c r="BD10" s="105">
        <f>BB10/'Baseline Given'!M11</f>
        <v>112372.81444598104</v>
      </c>
      <c r="BE10" s="105">
        <f t="shared" si="26"/>
        <v>-9.7988596407945092</v>
      </c>
      <c r="BG10" s="105">
        <f t="shared" si="27"/>
        <v>-1279779.0730414232</v>
      </c>
      <c r="BH10" s="106">
        <f t="shared" si="28"/>
        <v>1106972.2884498388</v>
      </c>
      <c r="BI10" s="105">
        <f>BG10*'Baseline Given'!K11/'Baseline Given'!L11</f>
        <v>-7668800.3608456794</v>
      </c>
      <c r="BJ10" s="105">
        <f>BH10/'Baseline Given'!M11</f>
        <v>96883.500283124347</v>
      </c>
      <c r="BK10" s="105">
        <f t="shared" si="29"/>
        <v>-7.5719168605625553</v>
      </c>
      <c r="BM10" s="105">
        <f t="shared" si="30"/>
        <v>-907748.05227036169</v>
      </c>
      <c r="BN10" s="106">
        <f t="shared" si="31"/>
        <v>1004917.7089147652</v>
      </c>
      <c r="BO10" s="105">
        <f>BM10*'Baseline Given'!K11/'Baseline Given'!L11</f>
        <v>-5439484.6246892735</v>
      </c>
      <c r="BP10" s="105">
        <f>BN10/'Baseline Given'!M11</f>
        <v>87951.564959678813</v>
      </c>
      <c r="BQ10" s="105">
        <f t="shared" si="32"/>
        <v>-5.3515330597295945</v>
      </c>
      <c r="BS10" s="105">
        <f t="shared" si="33"/>
        <v>-543348.48817600997</v>
      </c>
      <c r="BT10" s="106">
        <f t="shared" si="34"/>
        <v>969600</v>
      </c>
      <c r="BU10" s="105">
        <f>BS10*'Baseline Given'!K11/'Baseline Given'!L11</f>
        <v>-3255898.7484352072</v>
      </c>
      <c r="BV10" s="105">
        <f>BT10/'Baseline Given'!M11</f>
        <v>84860.518058735557</v>
      </c>
      <c r="BW10" s="105">
        <f t="shared" si="35"/>
        <v>-3.1710382303764719</v>
      </c>
      <c r="BY10" s="104">
        <v>150</v>
      </c>
      <c r="BZ10" s="104">
        <v>-150</v>
      </c>
    </row>
    <row r="11" spans="1:78" ht="15" customHeight="1" x14ac:dyDescent="0.25">
      <c r="A11" s="18">
        <f>'Baseline Given'!E12</f>
        <v>9</v>
      </c>
      <c r="B11" s="18">
        <f t="shared" si="36"/>
        <v>59</v>
      </c>
      <c r="C11" s="18">
        <f t="shared" si="0"/>
        <v>29.5</v>
      </c>
      <c r="D11" s="18">
        <f t="shared" si="37"/>
        <v>9</v>
      </c>
      <c r="E11" s="18">
        <f t="shared" si="38"/>
        <v>18.75</v>
      </c>
      <c r="F11" s="18">
        <f t="shared" si="39"/>
        <v>38.75</v>
      </c>
      <c r="G11" s="18">
        <f t="shared" si="40"/>
        <v>59</v>
      </c>
      <c r="I11" s="104">
        <f t="shared" si="41"/>
        <v>8</v>
      </c>
      <c r="J11" s="104">
        <f t="shared" si="42"/>
        <v>0.13962634015954636</v>
      </c>
      <c r="K11" s="111">
        <f t="shared" si="1"/>
        <v>10.50756912248494</v>
      </c>
      <c r="L11" s="103">
        <f t="shared" si="2"/>
        <v>39114677.668668784</v>
      </c>
      <c r="M11" s="103">
        <f t="shared" si="3"/>
        <v>7445047.8912326274</v>
      </c>
      <c r="N11" s="104">
        <f t="shared" si="4"/>
        <v>1072183.0433878731</v>
      </c>
      <c r="O11" s="104">
        <f t="shared" si="5"/>
        <v>7372593.1969394349</v>
      </c>
      <c r="Q11" s="105">
        <f t="shared" si="6"/>
        <v>-1954409.4955364205</v>
      </c>
      <c r="R11" s="106">
        <f t="shared" si="7"/>
        <v>30898251.134197064</v>
      </c>
      <c r="S11" s="105">
        <f>Q11*'Baseline Given'!K12/'Baseline Given'!L12</f>
        <v>-11791288.657187149</v>
      </c>
      <c r="T11" s="105">
        <f>R11/'Baseline Given'!M12</f>
        <v>2732447.3420936461</v>
      </c>
      <c r="U11" s="105">
        <f t="shared" si="8"/>
        <v>-9.0588413150935025</v>
      </c>
      <c r="W11" s="105">
        <f t="shared" si="9"/>
        <v>-5281958.8134863563</v>
      </c>
      <c r="X11" s="105">
        <f t="shared" si="10"/>
        <v>7459363.7500326633</v>
      </c>
      <c r="Y11" s="105">
        <f>W11*'Baseline Given'!K12/'Baseline Given'!L12</f>
        <v>-31866966.051603876</v>
      </c>
      <c r="Z11" s="105">
        <f>X11/'Baseline Given'!M12</f>
        <v>659659.29799593193</v>
      </c>
      <c r="AA11" s="105">
        <f t="shared" si="11"/>
        <v>-31.207306753607945</v>
      </c>
      <c r="AC11" s="105">
        <f t="shared" si="12"/>
        <v>-3450243.6543948464</v>
      </c>
      <c r="AD11" s="106">
        <f t="shared" si="13"/>
        <v>3808951.9929154422</v>
      </c>
      <c r="AE11" s="105">
        <f>AC11*'Baseline Given'!K12/'Baseline Given'!L12</f>
        <v>-20815913.430379547</v>
      </c>
      <c r="AF11" s="105">
        <f>AD11/'Baseline Given'!M12</f>
        <v>336839.80054408853</v>
      </c>
      <c r="AG11" s="105">
        <f t="shared" si="14"/>
        <v>-20.479073629835462</v>
      </c>
      <c r="AI11" s="105">
        <f t="shared" si="15"/>
        <v>-2776508.9667529184</v>
      </c>
      <c r="AJ11" s="106">
        <f t="shared" si="16"/>
        <v>2588179.9860204048</v>
      </c>
      <c r="AK11" s="105">
        <f>AI11*'Baseline Given'!K12/'Baseline Given'!L12</f>
        <v>-16751156.173269836</v>
      </c>
      <c r="AL11" s="105">
        <f>AJ11/'Baseline Given'!M12</f>
        <v>228882.38861630327</v>
      </c>
      <c r="AM11" s="105">
        <f t="shared" si="17"/>
        <v>-16.522273784653532</v>
      </c>
      <c r="AO11" s="105">
        <f t="shared" si="18"/>
        <v>-2332317.8486817162</v>
      </c>
      <c r="AP11" s="106">
        <f t="shared" si="19"/>
        <v>1943256.7105688569</v>
      </c>
      <c r="AQ11" s="105">
        <f>AO11*'Baseline Given'!K12/'Baseline Given'!L12</f>
        <v>-14071274.754305126</v>
      </c>
      <c r="AR11" s="105">
        <f>AP11/'Baseline Given'!M12</f>
        <v>171849.42315142133</v>
      </c>
      <c r="AS11" s="105">
        <f t="shared" si="20"/>
        <v>-13.899425331153706</v>
      </c>
      <c r="AU11" s="105">
        <f t="shared" si="21"/>
        <v>-1952674.0100703351</v>
      </c>
      <c r="AV11" s="106">
        <f t="shared" si="22"/>
        <v>1538096.220814642</v>
      </c>
      <c r="AW11" s="105">
        <f>AU11*'Baseline Given'!K12/'Baseline Given'!L12</f>
        <v>-11780818.174855936</v>
      </c>
      <c r="AX11" s="105">
        <f>AV11/'Baseline Given'!M12</f>
        <v>136019.57315305073</v>
      </c>
      <c r="AY11" s="105">
        <f t="shared" si="23"/>
        <v>-11.644798601702886</v>
      </c>
      <c r="BA11" s="105">
        <f t="shared" si="24"/>
        <v>-1590288.4146590568</v>
      </c>
      <c r="BB11" s="106">
        <f t="shared" si="25"/>
        <v>1267790.2206598562</v>
      </c>
      <c r="BC11" s="105">
        <f>BA11*'Baseline Given'!K12/'Baseline Given'!L12</f>
        <v>-9594483.5451583769</v>
      </c>
      <c r="BD11" s="105">
        <f>BB11/'Baseline Given'!M12</f>
        <v>112115.40755911339</v>
      </c>
      <c r="BE11" s="105">
        <f t="shared" si="26"/>
        <v>-9.4823681375992628</v>
      </c>
      <c r="BG11" s="105">
        <f t="shared" si="27"/>
        <v>-1231211.02067718</v>
      </c>
      <c r="BH11" s="106">
        <f t="shared" si="28"/>
        <v>1090812.2884498388</v>
      </c>
      <c r="BI11" s="105">
        <f>BG11*'Baseline Given'!K12/'Baseline Given'!L12</f>
        <v>-7428107.8637156626</v>
      </c>
      <c r="BJ11" s="105">
        <f>BH11/'Baseline Given'!M12</f>
        <v>96464.590353434076</v>
      </c>
      <c r="BK11" s="105">
        <f t="shared" si="29"/>
        <v>-7.3316432733622285</v>
      </c>
      <c r="BM11" s="105">
        <f t="shared" si="30"/>
        <v>-874417.56758180959</v>
      </c>
      <c r="BN11" s="106">
        <f t="shared" si="31"/>
        <v>988757.70891476516</v>
      </c>
      <c r="BO11" s="105">
        <f>BM11*'Baseline Given'!K12/'Baseline Given'!L12</f>
        <v>-5275511.5904933102</v>
      </c>
      <c r="BP11" s="105">
        <f>BN11/'Baseline Given'!M12</f>
        <v>87439.524067709397</v>
      </c>
      <c r="BQ11" s="105">
        <f t="shared" si="32"/>
        <v>-5.188072066425601</v>
      </c>
      <c r="BS11" s="105">
        <f t="shared" si="33"/>
        <v>-525084.67344740464</v>
      </c>
      <c r="BT11" s="106">
        <f t="shared" si="34"/>
        <v>953440</v>
      </c>
      <c r="BU11" s="105">
        <f>BS11*'Baseline Given'!K12/'Baseline Given'!L12</f>
        <v>-3167926.1527451081</v>
      </c>
      <c r="BV11" s="105">
        <f>BT11/'Baseline Given'!M12</f>
        <v>84316.247626144701</v>
      </c>
      <c r="BW11" s="105">
        <f t="shared" si="35"/>
        <v>-3.0836099051189634</v>
      </c>
      <c r="BY11" s="104">
        <v>150</v>
      </c>
      <c r="BZ11" s="104">
        <v>-150</v>
      </c>
    </row>
    <row r="12" spans="1:78" ht="15" customHeight="1" x14ac:dyDescent="0.25">
      <c r="A12" s="18">
        <f>'Baseline Given'!E13</f>
        <v>10</v>
      </c>
      <c r="B12" s="18">
        <f t="shared" si="36"/>
        <v>58</v>
      </c>
      <c r="C12" s="18">
        <f t="shared" si="0"/>
        <v>29</v>
      </c>
      <c r="D12" s="18">
        <f t="shared" si="37"/>
        <v>10</v>
      </c>
      <c r="E12" s="18">
        <f t="shared" si="38"/>
        <v>17.75</v>
      </c>
      <c r="F12" s="18">
        <f t="shared" si="39"/>
        <v>37.75</v>
      </c>
      <c r="G12" s="18">
        <f t="shared" si="40"/>
        <v>58</v>
      </c>
      <c r="I12" s="104">
        <f t="shared" si="41"/>
        <v>9</v>
      </c>
      <c r="J12" s="104">
        <f t="shared" si="42"/>
        <v>0.15707963267948966</v>
      </c>
      <c r="K12" s="111">
        <f t="shared" si="1"/>
        <v>11.810802110537431</v>
      </c>
      <c r="L12" s="103">
        <f t="shared" si="2"/>
        <v>39012780.780234598</v>
      </c>
      <c r="M12" s="113">
        <f t="shared" si="3"/>
        <v>6606288.1106826682</v>
      </c>
      <c r="N12" s="104">
        <f t="shared" si="4"/>
        <v>1069389.9201291676</v>
      </c>
      <c r="O12" s="104">
        <f t="shared" si="5"/>
        <v>6524953.7415335523</v>
      </c>
      <c r="Q12" s="105">
        <f t="shared" si="6"/>
        <v>-1853497.7606759742</v>
      </c>
      <c r="R12" s="106">
        <f t="shared" si="7"/>
        <v>30882091.134197064</v>
      </c>
      <c r="S12" s="105">
        <f>Q12*'Baseline Given'!K13/'Baseline Given'!L13</f>
        <v>-11259296.938616684</v>
      </c>
      <c r="T12" s="105">
        <f>R12/'Baseline Given'!M13</f>
        <v>2759643.0997719313</v>
      </c>
      <c r="U12" s="105">
        <f t="shared" si="8"/>
        <v>-8.4996538388447522</v>
      </c>
      <c r="W12" s="105">
        <f t="shared" si="9"/>
        <v>-5065786.779311223</v>
      </c>
      <c r="X12" s="105">
        <f t="shared" si="10"/>
        <v>7443203.7500326633</v>
      </c>
      <c r="Y12" s="105">
        <f>W12*'Baseline Given'!K13/'Baseline Given'!L13</f>
        <v>-30772736.167311121</v>
      </c>
      <c r="Z12" s="105">
        <f>X12/'Baseline Given'!M13</f>
        <v>665129.37157382886</v>
      </c>
      <c r="AA12" s="105">
        <f t="shared" si="11"/>
        <v>-30.107606795737293</v>
      </c>
      <c r="AC12" s="105">
        <f t="shared" si="12"/>
        <v>-3299270.1013696268</v>
      </c>
      <c r="AD12" s="106">
        <f t="shared" si="13"/>
        <v>3792791.9929154422</v>
      </c>
      <c r="AE12" s="105">
        <f>AC12*'Baseline Given'!K13/'Baseline Given'!L13</f>
        <v>-20041816.364791747</v>
      </c>
      <c r="AF12" s="105">
        <f>AD12/'Baseline Given'!M13</f>
        <v>338926.27952674642</v>
      </c>
      <c r="AG12" s="105">
        <f t="shared" si="14"/>
        <v>-19.702890085265</v>
      </c>
      <c r="AI12" s="105">
        <f t="shared" si="15"/>
        <v>-2651397.1714906543</v>
      </c>
      <c r="AJ12" s="106">
        <f t="shared" si="16"/>
        <v>2572019.9860204048</v>
      </c>
      <c r="AK12" s="105">
        <f>AI12*'Baseline Given'!K13/'Baseline Given'!L13</f>
        <v>-16106233.678498894</v>
      </c>
      <c r="AL12" s="105">
        <f>AJ12/'Baseline Given'!M13</f>
        <v>229837.324682879</v>
      </c>
      <c r="AM12" s="105">
        <f t="shared" si="17"/>
        <v>-15.876396353816016</v>
      </c>
      <c r="AO12" s="105">
        <f t="shared" si="18"/>
        <v>-2225950.7866572384</v>
      </c>
      <c r="AP12" s="106">
        <f t="shared" si="19"/>
        <v>1927096.7105688569</v>
      </c>
      <c r="AQ12" s="105">
        <f>AO12*'Baseline Given'!K13/'Baseline Given'!L13</f>
        <v>-13521808.015878502</v>
      </c>
      <c r="AR12" s="105">
        <f>AP12/'Baseline Given'!M13</f>
        <v>172206.57489821257</v>
      </c>
      <c r="AS12" s="105">
        <f t="shared" si="20"/>
        <v>-13.349601440980289</v>
      </c>
      <c r="AU12" s="105">
        <f t="shared" si="21"/>
        <v>-1863573.5531751998</v>
      </c>
      <c r="AV12" s="106">
        <f t="shared" si="22"/>
        <v>1521936.220814642</v>
      </c>
      <c r="AW12" s="105">
        <f>AU12*'Baseline Given'!K13/'Baseline Given'!L13</f>
        <v>-11320503.562140897</v>
      </c>
      <c r="AX12" s="105">
        <f>AV12/'Baseline Given'!M13</f>
        <v>136001.17854108839</v>
      </c>
      <c r="AY12" s="105">
        <f t="shared" si="23"/>
        <v>-11.184502383599808</v>
      </c>
      <c r="BA12" s="105">
        <f t="shared" si="24"/>
        <v>-1518497.8611056991</v>
      </c>
      <c r="BB12" s="106">
        <f t="shared" si="25"/>
        <v>1251630.2206598562</v>
      </c>
      <c r="BC12" s="105">
        <f>BA12*'Baseline Given'!K13/'Baseline Given'!L13</f>
        <v>-9224299.420037061</v>
      </c>
      <c r="BD12" s="105">
        <f>BB12/'Baseline Given'!M13</f>
        <v>111846.46424688422</v>
      </c>
      <c r="BE12" s="105">
        <f t="shared" si="26"/>
        <v>-9.112452955790177</v>
      </c>
      <c r="BG12" s="105">
        <f t="shared" si="27"/>
        <v>-1177115.922796797</v>
      </c>
      <c r="BH12" s="106">
        <f t="shared" si="28"/>
        <v>1074652.2884498388</v>
      </c>
      <c r="BI12" s="105">
        <f>BG12*'Baseline Given'!K13/'Baseline Given'!L13</f>
        <v>-7150533.4331288077</v>
      </c>
      <c r="BJ12" s="105">
        <f>BH12/'Baseline Given'!M13</f>
        <v>96031.604841380511</v>
      </c>
      <c r="BK12" s="105">
        <f t="shared" si="29"/>
        <v>-7.0545018282874272</v>
      </c>
      <c r="BM12" s="105">
        <f t="shared" si="30"/>
        <v>-838280.92834216123</v>
      </c>
      <c r="BN12" s="106">
        <f t="shared" si="31"/>
        <v>972597.70891476516</v>
      </c>
      <c r="BO12" s="105">
        <f>BM12*'Baseline Given'!K13/'Baseline Given'!L13</f>
        <v>-5092239.16555552</v>
      </c>
      <c r="BP12" s="105">
        <f>BN12/'Baseline Given'!M13</f>
        <v>86911.94338483407</v>
      </c>
      <c r="BQ12" s="105">
        <f t="shared" si="32"/>
        <v>-5.0053272221706866</v>
      </c>
      <c r="BS12" s="105">
        <f t="shared" si="33"/>
        <v>-506820.85871879919</v>
      </c>
      <c r="BT12" s="106">
        <f t="shared" si="34"/>
        <v>937280</v>
      </c>
      <c r="BU12" s="105">
        <f>BS12*'Baseline Given'!K13/'Baseline Given'!L13</f>
        <v>-3078744.7732974347</v>
      </c>
      <c r="BV12" s="105">
        <f>BT12/'Baseline Given'!M13</f>
        <v>83755.930688580513</v>
      </c>
      <c r="BW12" s="105">
        <f t="shared" si="35"/>
        <v>-2.994988842608854</v>
      </c>
      <c r="BY12" s="104">
        <v>150</v>
      </c>
      <c r="BZ12" s="104">
        <v>-150</v>
      </c>
    </row>
    <row r="13" spans="1:78" ht="15" customHeight="1" x14ac:dyDescent="0.25">
      <c r="A13" s="18">
        <f>'Baseline Given'!E14</f>
        <v>11</v>
      </c>
      <c r="B13" s="18">
        <f t="shared" si="36"/>
        <v>57</v>
      </c>
      <c r="C13" s="18">
        <f t="shared" si="0"/>
        <v>28.5</v>
      </c>
      <c r="D13" s="18">
        <f t="shared" si="37"/>
        <v>11</v>
      </c>
      <c r="E13" s="18">
        <f t="shared" si="38"/>
        <v>16.75</v>
      </c>
      <c r="F13" s="18">
        <f t="shared" si="39"/>
        <v>36.75</v>
      </c>
      <c r="G13" s="18">
        <f t="shared" si="40"/>
        <v>57</v>
      </c>
      <c r="I13" s="104">
        <f t="shared" si="41"/>
        <v>10</v>
      </c>
      <c r="J13" s="109">
        <f t="shared" si="42"/>
        <v>0.17453292519943295</v>
      </c>
      <c r="K13" s="111">
        <f t="shared" si="1"/>
        <v>13.110437413853241</v>
      </c>
      <c r="L13" s="103">
        <f t="shared" si="2"/>
        <v>38899000.22084944</v>
      </c>
      <c r="M13" s="114">
        <f t="shared" si="3"/>
        <v>5934050.7098178929</v>
      </c>
      <c r="N13" s="109">
        <f t="shared" si="4"/>
        <v>1066271.050341378</v>
      </c>
      <c r="O13" s="104">
        <f t="shared" si="5"/>
        <v>5843899.1457962571</v>
      </c>
      <c r="Q13" s="105">
        <f t="shared" si="6"/>
        <v>-1736435.8700508997</v>
      </c>
      <c r="R13" s="106">
        <f t="shared" si="7"/>
        <v>30865931.134197064</v>
      </c>
      <c r="S13" s="105">
        <f>Q13*'Baseline Given'!K14/'Baseline Given'!L14</f>
        <v>-10621160.088937972</v>
      </c>
      <c r="T13" s="105">
        <f>R13/'Baseline Given'!M14</f>
        <v>2787261.0749113304</v>
      </c>
      <c r="U13" s="105">
        <f t="shared" si="8"/>
        <v>-7.8338990140266418</v>
      </c>
      <c r="W13" s="105">
        <f t="shared" si="9"/>
        <v>-4833700.2518474143</v>
      </c>
      <c r="X13" s="105">
        <f t="shared" si="10"/>
        <v>7427043.7500326633</v>
      </c>
      <c r="Y13" s="105">
        <f>W13*'Baseline Given'!K14/'Baseline Given'!L14</f>
        <v>-29566023.762977369</v>
      </c>
      <c r="Z13" s="105">
        <f>X13/'Baseline Given'!M14</f>
        <v>670678.29109468497</v>
      </c>
      <c r="AA13" s="105">
        <f t="shared" si="11"/>
        <v>-28.895345471882685</v>
      </c>
      <c r="AC13" s="105">
        <f t="shared" si="12"/>
        <v>-3133111.1155925132</v>
      </c>
      <c r="AD13" s="106">
        <f t="shared" si="13"/>
        <v>3776631.9929154422</v>
      </c>
      <c r="AE13" s="105">
        <f>AC13*'Baseline Given'!K14/'Baseline Given'!L14</f>
        <v>-19164125.384120107</v>
      </c>
      <c r="AF13" s="105">
        <f>AD13/'Baseline Given'!M14</f>
        <v>341038.12719440408</v>
      </c>
      <c r="AG13" s="105">
        <f t="shared" si="14"/>
        <v>-18.823087256925703</v>
      </c>
      <c r="AI13" s="105">
        <f t="shared" si="15"/>
        <v>-2512290.4057032261</v>
      </c>
      <c r="AJ13" s="106">
        <f t="shared" si="16"/>
        <v>2555859.9860204048</v>
      </c>
      <c r="AK13" s="105">
        <f>AI13*'Baseline Given'!K14/'Baseline Given'!L14</f>
        <v>-15366786.098524174</v>
      </c>
      <c r="AL13" s="105">
        <f>AJ13/'Baseline Given'!M14</f>
        <v>230799.74555069936</v>
      </c>
      <c r="AM13" s="105">
        <f t="shared" si="17"/>
        <v>-15.135986352973474</v>
      </c>
      <c r="AO13" s="105">
        <f t="shared" si="18"/>
        <v>-2107204.4464319553</v>
      </c>
      <c r="AP13" s="106">
        <f t="shared" si="19"/>
        <v>1910936.7105688569</v>
      </c>
      <c r="AQ13" s="105">
        <f>AO13*'Baseline Given'!K14/'Baseline Given'!L14</f>
        <v>-12889019.486230535</v>
      </c>
      <c r="AR13" s="105">
        <f>AP13/'Baseline Given'!M14</f>
        <v>172561.76354539223</v>
      </c>
      <c r="AS13" s="105">
        <f t="shared" si="20"/>
        <v>-12.716457722685144</v>
      </c>
      <c r="AU13" s="105">
        <f t="shared" si="21"/>
        <v>-1764085.6485075261</v>
      </c>
      <c r="AV13" s="106">
        <f t="shared" si="22"/>
        <v>1505776.220814642</v>
      </c>
      <c r="AW13" s="105">
        <f>AU13*'Baseline Given'!K14/'Baseline Given'!L14</f>
        <v>-10790283.941120829</v>
      </c>
      <c r="AX13" s="105">
        <f>AV13/'Baseline Given'!M14</f>
        <v>135974.88536977256</v>
      </c>
      <c r="AY13" s="105">
        <f t="shared" si="23"/>
        <v>-10.654309055751057</v>
      </c>
      <c r="BA13" s="105">
        <f t="shared" si="24"/>
        <v>-1438627.3075523395</v>
      </c>
      <c r="BB13" s="106">
        <f t="shared" si="25"/>
        <v>1235470.2206598562</v>
      </c>
      <c r="BC13" s="105">
        <f>BA13*'Baseline Given'!K14/'Baseline Given'!L14</f>
        <v>-8799571.1246066969</v>
      </c>
      <c r="BD13" s="105">
        <f>BB13/'Baseline Given'!M14</f>
        <v>111565.66248675749</v>
      </c>
      <c r="BE13" s="105">
        <f t="shared" si="26"/>
        <v>-8.6880054621199392</v>
      </c>
      <c r="BG13" s="105">
        <f t="shared" si="27"/>
        <v>-1117493.7794002686</v>
      </c>
      <c r="BH13" s="106">
        <f t="shared" si="28"/>
        <v>1058492.2884498388</v>
      </c>
      <c r="BI13" s="105">
        <f>BG13*'Baseline Given'!K14/'Baseline Given'!L14</f>
        <v>-6835311.6484829774</v>
      </c>
      <c r="BJ13" s="105">
        <f>BH13/'Baseline Given'!M14</f>
        <v>95584.16821650177</v>
      </c>
      <c r="BK13" s="105">
        <f t="shared" si="29"/>
        <v>-6.7397274802664757</v>
      </c>
      <c r="BM13" s="105">
        <f t="shared" si="30"/>
        <v>-799338.13455141429</v>
      </c>
      <c r="BN13" s="106">
        <f t="shared" si="31"/>
        <v>956437.70891476516</v>
      </c>
      <c r="BO13" s="105">
        <f>BM13*'Baseline Given'!K14/'Baseline Given'!L14</f>
        <v>-4889266.8244723314</v>
      </c>
      <c r="BP13" s="105">
        <f>BN13/'Baseline Given'!M14</f>
        <v>86368.41652516849</v>
      </c>
      <c r="BQ13" s="105">
        <f t="shared" si="32"/>
        <v>-4.8028984079471631</v>
      </c>
      <c r="BS13" s="105">
        <f t="shared" si="33"/>
        <v>-488557.04399019387</v>
      </c>
      <c r="BT13" s="106">
        <f t="shared" si="34"/>
        <v>921120</v>
      </c>
      <c r="BU13" s="105">
        <f>BS13*'Baseline Given'!K14/'Baseline Given'!L14</f>
        <v>-2988329.5238804617</v>
      </c>
      <c r="BV13" s="105">
        <f>BT13/'Baseline Given'!M14</f>
        <v>83179.150182119134</v>
      </c>
      <c r="BW13" s="105">
        <f t="shared" si="35"/>
        <v>-2.9051503736983424</v>
      </c>
      <c r="BY13" s="104">
        <v>150</v>
      </c>
      <c r="BZ13" s="104">
        <v>-150</v>
      </c>
    </row>
    <row r="14" spans="1:78" ht="15" customHeight="1" x14ac:dyDescent="0.25">
      <c r="A14" s="18">
        <f>'Baseline Given'!E15</f>
        <v>12</v>
      </c>
      <c r="B14" s="18">
        <f t="shared" si="36"/>
        <v>56</v>
      </c>
      <c r="C14" s="18">
        <f t="shared" si="0"/>
        <v>28</v>
      </c>
      <c r="D14" s="18">
        <f t="shared" si="37"/>
        <v>12</v>
      </c>
      <c r="E14" s="18">
        <f t="shared" si="38"/>
        <v>15.75</v>
      </c>
      <c r="F14" s="18">
        <f t="shared" si="39"/>
        <v>35.75</v>
      </c>
      <c r="G14" s="18">
        <f t="shared" si="40"/>
        <v>56</v>
      </c>
      <c r="I14" s="104">
        <f t="shared" si="41"/>
        <v>11</v>
      </c>
      <c r="J14" s="104">
        <f t="shared" si="42"/>
        <v>0.19198621771937624</v>
      </c>
      <c r="K14" s="111">
        <f t="shared" si="1"/>
        <v>14.406079150929134</v>
      </c>
      <c r="L14" s="103">
        <f t="shared" si="2"/>
        <v>38773370.64917396</v>
      </c>
      <c r="M14" s="103">
        <f t="shared" si="3"/>
        <v>5382917.8977783462</v>
      </c>
      <c r="N14" s="104">
        <f t="shared" si="4"/>
        <v>1062827.3840624548</v>
      </c>
      <c r="O14" s="104">
        <f t="shared" si="5"/>
        <v>5284018.5347261783</v>
      </c>
      <c r="Q14" s="105">
        <f t="shared" si="6"/>
        <v>-1603223.8236612007</v>
      </c>
      <c r="R14" s="106">
        <f t="shared" si="7"/>
        <v>30849771.134197064</v>
      </c>
      <c r="S14" s="105">
        <f>Q14*'Baseline Given'!K15/'Baseline Given'!L15</f>
        <v>-9874659.9049467668</v>
      </c>
      <c r="T14" s="105">
        <f>R14/'Baseline Given'!M15</f>
        <v>2815310.1314811986</v>
      </c>
      <c r="U14" s="105">
        <f t="shared" si="8"/>
        <v>-7.0593497734655681</v>
      </c>
      <c r="W14" s="105">
        <f t="shared" si="9"/>
        <v>-4585699.2310949247</v>
      </c>
      <c r="X14" s="105">
        <f t="shared" si="10"/>
        <v>7410883.7500326633</v>
      </c>
      <c r="Y14" s="105">
        <f>W14*'Baseline Given'!K15/'Baseline Given'!L15</f>
        <v>-28244478.197703905</v>
      </c>
      <c r="Z14" s="105">
        <f>X14/'Baseline Given'!M15</f>
        <v>676307.64630109689</v>
      </c>
      <c r="AA14" s="105">
        <f t="shared" si="11"/>
        <v>-27.568170551402808</v>
      </c>
      <c r="AC14" s="105">
        <f t="shared" si="12"/>
        <v>-2951766.6970634907</v>
      </c>
      <c r="AD14" s="106">
        <f t="shared" si="13"/>
        <v>3760471.9929154422</v>
      </c>
      <c r="AE14" s="105">
        <f>AC14*'Baseline Given'!K15/'Baseline Given'!L15</f>
        <v>-18180675.600046225</v>
      </c>
      <c r="AF14" s="105">
        <f>AD14/'Baseline Given'!M15</f>
        <v>343175.80038934335</v>
      </c>
      <c r="AG14" s="105">
        <f t="shared" si="14"/>
        <v>-17.837499799656882</v>
      </c>
      <c r="AI14" s="105">
        <f t="shared" si="15"/>
        <v>-2359188.6693906449</v>
      </c>
      <c r="AJ14" s="106">
        <f t="shared" si="16"/>
        <v>2539699.9860204048</v>
      </c>
      <c r="AK14" s="105">
        <f>AI14*'Baseline Given'!K15/'Baseline Given'!L15</f>
        <v>-14530838.063918114</v>
      </c>
      <c r="AL14" s="105">
        <f>AJ14/'Baseline Given'!M15</f>
        <v>231769.72919711744</v>
      </c>
      <c r="AM14" s="105">
        <f t="shared" si="17"/>
        <v>-14.299068334720998</v>
      </c>
      <c r="AO14" s="105">
        <f t="shared" si="18"/>
        <v>-1976078.8280058708</v>
      </c>
      <c r="AP14" s="106">
        <f t="shared" si="19"/>
        <v>1894776.7105688569</v>
      </c>
      <c r="AQ14" s="105">
        <f>AO14*'Baseline Given'!K15/'Baseline Given'!L15</f>
        <v>-12171167.920498263</v>
      </c>
      <c r="AR14" s="105">
        <f>AP14/'Baseline Given'!M15</f>
        <v>172914.86691925378</v>
      </c>
      <c r="AS14" s="105">
        <f t="shared" si="20"/>
        <v>-11.99825305357901</v>
      </c>
      <c r="AU14" s="105">
        <f t="shared" si="21"/>
        <v>-1654210.2960673217</v>
      </c>
      <c r="AV14" s="106">
        <f t="shared" si="22"/>
        <v>1489616.220814642</v>
      </c>
      <c r="AW14" s="105">
        <f>AU14*'Baseline Given'!K15/'Baseline Given'!L15</f>
        <v>-10188698.448619127</v>
      </c>
      <c r="AX14" s="105">
        <f>AV14/'Baseline Given'!M15</f>
        <v>135940.44572439088</v>
      </c>
      <c r="AY14" s="105">
        <f t="shared" si="23"/>
        <v>-10.052758002894738</v>
      </c>
      <c r="BA14" s="105">
        <f t="shared" si="24"/>
        <v>-1350676.7539989799</v>
      </c>
      <c r="BB14" s="106">
        <f t="shared" si="25"/>
        <v>1219310.2206598562</v>
      </c>
      <c r="BC14" s="105">
        <f>BA14*'Baseline Given'!K15/'Baseline Given'!L15</f>
        <v>-8319158.8039150164</v>
      </c>
      <c r="BD14" s="105">
        <f>BB14/'Baseline Given'!M15</f>
        <v>111272.67047492195</v>
      </c>
      <c r="BE14" s="105">
        <f t="shared" si="26"/>
        <v>-8.2078861334400948</v>
      </c>
      <c r="BG14" s="105">
        <f t="shared" si="27"/>
        <v>-1052344.5904875984</v>
      </c>
      <c r="BH14" s="106">
        <f t="shared" si="28"/>
        <v>1042332.2884498388</v>
      </c>
      <c r="BI14" s="105">
        <f>BG14*'Baseline Given'!K15/'Baseline Given'!L15</f>
        <v>-6481655.7616670588</v>
      </c>
      <c r="BJ14" s="105">
        <f>BH14/'Baseline Given'!M15</f>
        <v>95121.893750126561</v>
      </c>
      <c r="BK14" s="105">
        <f t="shared" si="29"/>
        <v>-6.3865338679169321</v>
      </c>
      <c r="BM14" s="105">
        <f t="shared" si="30"/>
        <v>-757589.18620956969</v>
      </c>
      <c r="BN14" s="106">
        <f t="shared" si="31"/>
        <v>940277.70891476516</v>
      </c>
      <c r="BO14" s="105">
        <f>BM14*'Baseline Given'!K15/'Baseline Given'!L15</f>
        <v>-4666182.8816896295</v>
      </c>
      <c r="BP14" s="105">
        <f>BN14/'Baseline Given'!M15</f>
        <v>85808.525087541682</v>
      </c>
      <c r="BQ14" s="105">
        <f t="shared" si="32"/>
        <v>-4.5803743566020874</v>
      </c>
      <c r="BS14" s="105">
        <f t="shared" si="33"/>
        <v>-470293.22926158848</v>
      </c>
      <c r="BT14" s="106">
        <f t="shared" si="34"/>
        <v>904960</v>
      </c>
      <c r="BU14" s="105">
        <f>BS14*'Baseline Given'!K15/'Baseline Given'!L15</f>
        <v>-2896654.6192858536</v>
      </c>
      <c r="BV14" s="105">
        <f>BT14/'Baseline Given'!M15</f>
        <v>82585.476744786763</v>
      </c>
      <c r="BW14" s="105">
        <f t="shared" si="35"/>
        <v>-2.8140691425410669</v>
      </c>
      <c r="BY14" s="104">
        <v>150</v>
      </c>
      <c r="BZ14" s="104">
        <v>-150</v>
      </c>
    </row>
    <row r="15" spans="1:78" ht="15" customHeight="1" x14ac:dyDescent="0.25">
      <c r="A15" s="18">
        <f>'Baseline Given'!E16</f>
        <v>13</v>
      </c>
      <c r="B15" s="18">
        <f t="shared" si="36"/>
        <v>55</v>
      </c>
      <c r="C15" s="18">
        <f t="shared" si="0"/>
        <v>27.5</v>
      </c>
      <c r="D15" s="18">
        <f t="shared" si="37"/>
        <v>13</v>
      </c>
      <c r="E15" s="18">
        <f t="shared" si="38"/>
        <v>14.75</v>
      </c>
      <c r="F15" s="18">
        <f t="shared" si="39"/>
        <v>34.75</v>
      </c>
      <c r="G15" s="18">
        <f t="shared" si="40"/>
        <v>55</v>
      </c>
      <c r="I15" s="104">
        <f t="shared" si="41"/>
        <v>12</v>
      </c>
      <c r="J15" s="104">
        <f t="shared" si="42"/>
        <v>0.20943951023931953</v>
      </c>
      <c r="K15" s="111">
        <f t="shared" si="1"/>
        <v>15.697332656740828</v>
      </c>
      <c r="L15" s="103">
        <f t="shared" si="2"/>
        <v>38635930.333192647</v>
      </c>
      <c r="M15" s="103">
        <f t="shared" si="3"/>
        <v>4922610.8891310794</v>
      </c>
      <c r="N15" s="104">
        <f t="shared" si="4"/>
        <v>1059059.9702665061</v>
      </c>
      <c r="O15" s="104">
        <f t="shared" si="5"/>
        <v>4815040.0305496715</v>
      </c>
      <c r="Q15" s="105">
        <f t="shared" si="6"/>
        <v>-1453861.6215068698</v>
      </c>
      <c r="R15" s="106">
        <f t="shared" si="7"/>
        <v>30833611.134197064</v>
      </c>
      <c r="S15" s="105">
        <f>Q15*'Baseline Given'!K16/'Baseline Given'!L16</f>
        <v>-9017515.9423511755</v>
      </c>
      <c r="T15" s="105">
        <f>R15/'Baseline Given'!M16</f>
        <v>2843799.3681386691</v>
      </c>
      <c r="U15" s="105">
        <f t="shared" si="8"/>
        <v>-6.1737165742125066</v>
      </c>
      <c r="W15" s="105">
        <f t="shared" si="9"/>
        <v>-4321783.7170537617</v>
      </c>
      <c r="X15" s="105">
        <f t="shared" si="10"/>
        <v>7394723.7500326633</v>
      </c>
      <c r="Y15" s="105">
        <f>W15*'Baseline Given'!K16/'Baseline Given'!L16</f>
        <v>-26805682.873403959</v>
      </c>
      <c r="Z15" s="105">
        <f>X15/'Baseline Given'!M16</f>
        <v>682019.06797027239</v>
      </c>
      <c r="AA15" s="105">
        <f t="shared" si="11"/>
        <v>-26.123663805433686</v>
      </c>
      <c r="AC15" s="105">
        <f t="shared" si="12"/>
        <v>-2755236.8457825743</v>
      </c>
      <c r="AD15" s="106">
        <f t="shared" si="13"/>
        <v>3744311.9929154422</v>
      </c>
      <c r="AE15" s="105">
        <f>AC15*'Baseline Given'!K16/'Baseline Given'!L16</f>
        <v>-17089241.379139278</v>
      </c>
      <c r="AF15" s="105">
        <f>AD15/'Baseline Given'!M16</f>
        <v>345339.76682858821</v>
      </c>
      <c r="AG15" s="105">
        <f t="shared" si="14"/>
        <v>-16.74390161231069</v>
      </c>
      <c r="AI15" s="105">
        <f t="shared" si="15"/>
        <v>-2192091.9625529069</v>
      </c>
      <c r="AJ15" s="106">
        <f t="shared" si="16"/>
        <v>2523539.9860204048</v>
      </c>
      <c r="AK15" s="105">
        <f>AI15*'Baseline Given'!K16/'Baseline Given'!L16</f>
        <v>-13596358.777895773</v>
      </c>
      <c r="AL15" s="105">
        <f>AJ15/'Baseline Given'!M16</f>
        <v>232747.35438815394</v>
      </c>
      <c r="AM15" s="105">
        <f t="shared" si="17"/>
        <v>-13.363611423507619</v>
      </c>
      <c r="AO15" s="105">
        <f t="shared" si="18"/>
        <v>-1832573.9313789848</v>
      </c>
      <c r="AP15" s="106">
        <f t="shared" si="19"/>
        <v>1878616.7105688569</v>
      </c>
      <c r="AQ15" s="105">
        <f>AO15*'Baseline Given'!K16/'Baseline Given'!L16</f>
        <v>-11366463.215817872</v>
      </c>
      <c r="AR15" s="105">
        <f>AP15/'Baseline Given'!M16</f>
        <v>173265.75830637236</v>
      </c>
      <c r="AS15" s="105">
        <f t="shared" si="20"/>
        <v>-11.1931974575115</v>
      </c>
      <c r="AU15" s="105">
        <f t="shared" si="21"/>
        <v>-1533947.4958545845</v>
      </c>
      <c r="AV15" s="106">
        <f t="shared" si="22"/>
        <v>1473456.220814642</v>
      </c>
      <c r="AW15" s="105">
        <f>AU15*'Baseline Given'!K16/'Baseline Given'!L16</f>
        <v>-9514245.2307542507</v>
      </c>
      <c r="AX15" s="105">
        <f>AV15/'Baseline Given'!M16</f>
        <v>135897.60380305798</v>
      </c>
      <c r="AY15" s="105">
        <f t="shared" si="23"/>
        <v>-9.378347626951193</v>
      </c>
      <c r="BA15" s="105">
        <f t="shared" si="24"/>
        <v>-1254646.2004456222</v>
      </c>
      <c r="BB15" s="106">
        <f t="shared" si="25"/>
        <v>1203150.2206598562</v>
      </c>
      <c r="BC15" s="105">
        <f>BA15*'Baseline Given'!K16/'Baseline Given'!L16</f>
        <v>-7781890.6195504554</v>
      </c>
      <c r="BD15" s="105">
        <f>BB15/'Baseline Given'!M16</f>
        <v>110967.14628711292</v>
      </c>
      <c r="BE15" s="105">
        <f t="shared" si="26"/>
        <v>-7.6709234732633425</v>
      </c>
      <c r="BG15" s="105">
        <f t="shared" si="27"/>
        <v>-981668.35605878569</v>
      </c>
      <c r="BH15" s="106">
        <f t="shared" si="28"/>
        <v>1026172.2884498388</v>
      </c>
      <c r="BI15" s="105">
        <f>BG15*'Baseline Given'!K16/'Baseline Given'!L16</f>
        <v>-6088756.9490188519</v>
      </c>
      <c r="BJ15" s="105">
        <f>BH15/'Baseline Given'!M16</f>
        <v>94644.383130930233</v>
      </c>
      <c r="BK15" s="105">
        <f t="shared" si="29"/>
        <v>-5.9941125658879217</v>
      </c>
      <c r="BM15" s="105">
        <f t="shared" si="30"/>
        <v>-713034.08331662882</v>
      </c>
      <c r="BN15" s="106">
        <f t="shared" si="31"/>
        <v>924117.70891476516</v>
      </c>
      <c r="BO15" s="105">
        <f>BM15*'Baseline Given'!K16/'Baseline Given'!L16</f>
        <v>-4422564.1000711117</v>
      </c>
      <c r="BP15" s="105">
        <f>BN15/'Baseline Given'!M16</f>
        <v>85231.838244949671</v>
      </c>
      <c r="BQ15" s="105">
        <f t="shared" si="32"/>
        <v>-4.3373322618261625</v>
      </c>
      <c r="BS15" s="105">
        <f t="shared" si="33"/>
        <v>-452029.41453298309</v>
      </c>
      <c r="BT15" s="106">
        <f t="shared" si="34"/>
        <v>888800</v>
      </c>
      <c r="BU15" s="105">
        <f>BS15*'Baseline Given'!K16/'Baseline Given'!L16</f>
        <v>-2803693.5507920221</v>
      </c>
      <c r="BV15" s="105">
        <f>BT15/'Baseline Given'!M16</f>
        <v>81974.468296980078</v>
      </c>
      <c r="BW15" s="105">
        <f t="shared" si="35"/>
        <v>-2.7217190824950421</v>
      </c>
      <c r="BY15" s="104">
        <v>150</v>
      </c>
      <c r="BZ15" s="104">
        <v>-150</v>
      </c>
    </row>
    <row r="16" spans="1:78" ht="15" customHeight="1" x14ac:dyDescent="0.25">
      <c r="A16" s="18">
        <f>'Baseline Given'!E17</f>
        <v>14</v>
      </c>
      <c r="B16" s="18">
        <f t="shared" si="36"/>
        <v>54</v>
      </c>
      <c r="C16" s="18">
        <f t="shared" si="0"/>
        <v>27</v>
      </c>
      <c r="D16" s="18">
        <f t="shared" si="37"/>
        <v>14</v>
      </c>
      <c r="E16" s="18">
        <f t="shared" si="38"/>
        <v>13.75</v>
      </c>
      <c r="F16" s="18">
        <f t="shared" si="39"/>
        <v>33.75</v>
      </c>
      <c r="G16" s="18">
        <f t="shared" si="40"/>
        <v>54</v>
      </c>
      <c r="I16" s="104">
        <f t="shared" si="41"/>
        <v>13</v>
      </c>
      <c r="J16" s="104">
        <f t="shared" si="42"/>
        <v>0.22689280275926285</v>
      </c>
      <c r="K16" s="111">
        <f t="shared" si="1"/>
        <v>16.983804602961808</v>
      </c>
      <c r="L16" s="103">
        <f t="shared" si="2"/>
        <v>38486721.138557188</v>
      </c>
      <c r="M16" s="103">
        <f t="shared" si="3"/>
        <v>4532167.2073223786</v>
      </c>
      <c r="N16" s="104">
        <f t="shared" si="4"/>
        <v>1054969.9565442698</v>
      </c>
      <c r="O16" s="104">
        <f t="shared" si="5"/>
        <v>4416008.0554162245</v>
      </c>
      <c r="Q16" s="105">
        <f t="shared" si="6"/>
        <v>-1288349.2635879107</v>
      </c>
      <c r="R16" s="106">
        <f t="shared" si="7"/>
        <v>30817451.134197064</v>
      </c>
      <c r="S16" s="105">
        <f>Q16*'Baseline Given'!K17/'Baseline Given'!L17</f>
        <v>-8047383.3173032431</v>
      </c>
      <c r="T16" s="105">
        <f>R16/'Baseline Given'!M17</f>
        <v>2872738.1257385812</v>
      </c>
      <c r="U16" s="105">
        <f t="shared" si="8"/>
        <v>-5.1746451915646627</v>
      </c>
      <c r="W16" s="105">
        <f t="shared" si="9"/>
        <v>-4041953.7097239159</v>
      </c>
      <c r="X16" s="105">
        <f t="shared" si="10"/>
        <v>7378563.7500326633</v>
      </c>
      <c r="Y16" s="105">
        <f>W16*'Baseline Given'!K17/'Baseline Given'!L17</f>
        <v>-25247152.905074567</v>
      </c>
      <c r="Z16" s="105">
        <f>X16/'Baseline Given'!M17</f>
        <v>687814.22920438228</v>
      </c>
      <c r="AA16" s="105">
        <f t="shared" si="11"/>
        <v>-24.559338675870183</v>
      </c>
      <c r="AC16" s="105">
        <f t="shared" si="12"/>
        <v>-2543521.5617497563</v>
      </c>
      <c r="AD16" s="106">
        <f t="shared" si="13"/>
        <v>3728151.9929154422</v>
      </c>
      <c r="AE16" s="105">
        <f>AC16*'Baseline Given'!K17/'Baseline Given'!L17</f>
        <v>-15887534.19722772</v>
      </c>
      <c r="AF16" s="105">
        <f>AD16/'Baseline Given'!M17</f>
        <v>347530.50542560744</v>
      </c>
      <c r="AG16" s="105">
        <f t="shared" si="14"/>
        <v>-15.540003691802113</v>
      </c>
      <c r="AI16" s="105">
        <f t="shared" si="15"/>
        <v>-2011000.2851900123</v>
      </c>
      <c r="AJ16" s="106">
        <f t="shared" si="16"/>
        <v>2507379.9860204048</v>
      </c>
      <c r="AK16" s="105">
        <f>AI16*'Baseline Given'!K17/'Baseline Given'!L17</f>
        <v>-12561260.05851976</v>
      </c>
      <c r="AL16" s="105">
        <f>AJ16/'Baseline Given'!M17</f>
        <v>233732.70067626442</v>
      </c>
      <c r="AM16" s="105">
        <f t="shared" si="17"/>
        <v>-12.327527357843495</v>
      </c>
      <c r="AO16" s="105">
        <f t="shared" si="18"/>
        <v>-1676689.7565512937</v>
      </c>
      <c r="AP16" s="106">
        <f t="shared" si="19"/>
        <v>1862456.7105688569</v>
      </c>
      <c r="AQ16" s="105">
        <f>AO16*'Baseline Given'!K17/'Baseline Given'!L17</f>
        <v>-10473064.685571129</v>
      </c>
      <c r="AR16" s="105">
        <f>AP16/'Baseline Given'!M17</f>
        <v>173614.3062802401</v>
      </c>
      <c r="AS16" s="105">
        <f t="shared" si="20"/>
        <v>-10.299450379290889</v>
      </c>
      <c r="AU16" s="105">
        <f t="shared" si="21"/>
        <v>-1403297.247869309</v>
      </c>
      <c r="AV16" s="106">
        <f t="shared" si="22"/>
        <v>1457296.220814642</v>
      </c>
      <c r="AW16" s="105">
        <f>AU16*'Baseline Given'!K17/'Baseline Given'!L17</f>
        <v>-8765379.9950734098</v>
      </c>
      <c r="AX16" s="105">
        <f>AV16/'Baseline Given'!M17</f>
        <v>135846.09563584041</v>
      </c>
      <c r="AY16" s="105">
        <f t="shared" si="23"/>
        <v>-8.6295338994375683</v>
      </c>
      <c r="BA16" s="105">
        <f t="shared" si="24"/>
        <v>-1150535.6468922645</v>
      </c>
      <c r="BB16" s="106">
        <f t="shared" si="25"/>
        <v>1186990.2206598562</v>
      </c>
      <c r="BC16" s="105">
        <f>BA16*'Baseline Given'!K17/'Baseline Given'!L17</f>
        <v>-7186561.6199280955</v>
      </c>
      <c r="BD16" s="105">
        <f>BB16/'Baseline Given'!M17</f>
        <v>110648.73752601033</v>
      </c>
      <c r="BE16" s="105">
        <f t="shared" si="26"/>
        <v>-7.0759128824020845</v>
      </c>
      <c r="BG16" s="105">
        <f t="shared" si="27"/>
        <v>-905465.07611383032</v>
      </c>
      <c r="BH16" s="106">
        <f t="shared" si="28"/>
        <v>1010012.2884498388</v>
      </c>
      <c r="BI16" s="105">
        <f>BG16*'Baseline Given'!K17/'Baseline Given'!L17</f>
        <v>-5655783.5315764481</v>
      </c>
      <c r="BJ16" s="105">
        <f>BH16/'Baseline Given'!M17</f>
        <v>94151.226065371433</v>
      </c>
      <c r="BK16" s="105">
        <f t="shared" si="29"/>
        <v>-5.5616323055110772</v>
      </c>
      <c r="BM16" s="105">
        <f t="shared" si="30"/>
        <v>-665672.82587258937</v>
      </c>
      <c r="BN16" s="106">
        <f t="shared" si="31"/>
        <v>907957.70891476516</v>
      </c>
      <c r="BO16" s="105">
        <f>BM16*'Baseline Given'!K17/'Baseline Given'!L17</f>
        <v>-4157975.2828753428</v>
      </c>
      <c r="BP16" s="105">
        <f>BN16/'Baseline Given'!M17</f>
        <v>84637.912317911672</v>
      </c>
      <c r="BQ16" s="105">
        <f t="shared" si="32"/>
        <v>-4.0733373705574314</v>
      </c>
      <c r="BS16" s="105">
        <f t="shared" si="33"/>
        <v>-433765.59980437771</v>
      </c>
      <c r="BT16" s="106">
        <f t="shared" si="34"/>
        <v>872640</v>
      </c>
      <c r="BU16" s="105">
        <f>BS16*'Baseline Given'!K17/'Baseline Given'!L17</f>
        <v>-2709419.0606083246</v>
      </c>
      <c r="BV16" s="105">
        <f>BT16/'Baseline Given'!M17</f>
        <v>81345.669605450676</v>
      </c>
      <c r="BW16" s="105">
        <f t="shared" si="35"/>
        <v>-2.6280733910028737</v>
      </c>
      <c r="BY16" s="104">
        <v>150</v>
      </c>
      <c r="BZ16" s="104">
        <v>-150</v>
      </c>
    </row>
    <row r="17" spans="1:78" ht="15" customHeight="1" x14ac:dyDescent="0.25">
      <c r="A17" s="18">
        <f>'Baseline Given'!E18</f>
        <v>15</v>
      </c>
      <c r="B17" s="18">
        <f t="shared" si="36"/>
        <v>53</v>
      </c>
      <c r="C17" s="18">
        <f t="shared" si="0"/>
        <v>26.5</v>
      </c>
      <c r="D17" s="18">
        <f t="shared" si="37"/>
        <v>15</v>
      </c>
      <c r="E17" s="18">
        <f t="shared" si="38"/>
        <v>12.75</v>
      </c>
      <c r="F17" s="18">
        <f t="shared" si="39"/>
        <v>32.75</v>
      </c>
      <c r="G17" s="18">
        <f t="shared" si="40"/>
        <v>53</v>
      </c>
      <c r="I17" s="104">
        <f t="shared" si="41"/>
        <v>14</v>
      </c>
      <c r="J17" s="104">
        <f t="shared" si="42"/>
        <v>0.24434609527920614</v>
      </c>
      <c r="K17" s="111">
        <f t="shared" si="1"/>
        <v>18.265103117774913</v>
      </c>
      <c r="L17" s="103">
        <f t="shared" si="2"/>
        <v>38325788.515833691</v>
      </c>
      <c r="M17" s="103">
        <f t="shared" si="3"/>
        <v>4196613.4293034971</v>
      </c>
      <c r="N17" s="104">
        <f t="shared" si="4"/>
        <v>1050558.5887535468</v>
      </c>
      <c r="O17" s="104">
        <f t="shared" si="5"/>
        <v>4071956.0752856368</v>
      </c>
      <c r="Q17" s="105">
        <f t="shared" si="6"/>
        <v>-1106686.7499043271</v>
      </c>
      <c r="R17" s="106">
        <f t="shared" si="7"/>
        <v>30801291.134197064</v>
      </c>
      <c r="S17" s="105">
        <f>Q17*'Baseline Given'!K18/'Baseline Given'!L18</f>
        <v>-6961850.4140826715</v>
      </c>
      <c r="T17" s="105">
        <f>R17/'Baseline Given'!M18</f>
        <v>2902135.9951255932</v>
      </c>
      <c r="U17" s="105">
        <f t="shared" si="8"/>
        <v>-4.0597144189570784</v>
      </c>
      <c r="W17" s="105">
        <f t="shared" si="9"/>
        <v>-3746209.2091053985</v>
      </c>
      <c r="X17" s="105">
        <f t="shared" si="10"/>
        <v>7362403.7500326633</v>
      </c>
      <c r="Y17" s="105">
        <f>W17*'Baseline Given'!K18/'Baseline Given'!L18</f>
        <v>-23566332.691617925</v>
      </c>
      <c r="Z17" s="105">
        <f>X17/'Baseline Given'!M18</f>
        <v>693694.84676878084</v>
      </c>
      <c r="AA17" s="105">
        <f t="shared" si="11"/>
        <v>-22.872637844849145</v>
      </c>
      <c r="AC17" s="105">
        <f t="shared" si="12"/>
        <v>-2316620.8449650351</v>
      </c>
      <c r="AD17" s="106">
        <f t="shared" si="13"/>
        <v>3711991.9929154422</v>
      </c>
      <c r="AE17" s="105">
        <f>AC17*'Baseline Given'!K18/'Baseline Given'!L18</f>
        <v>-14573200.402179424</v>
      </c>
      <c r="AF17" s="105">
        <f>AD17/'Baseline Given'!M18</f>
        <v>349748.50662339665</v>
      </c>
      <c r="AG17" s="105">
        <f t="shared" si="14"/>
        <v>-14.223451895556027</v>
      </c>
      <c r="AI17" s="105">
        <f t="shared" si="15"/>
        <v>-1815913.637301961</v>
      </c>
      <c r="AJ17" s="106">
        <f t="shared" si="16"/>
        <v>2491219.9860204048</v>
      </c>
      <c r="AK17" s="105">
        <f>AI17*'Baseline Given'!K18/'Baseline Given'!L18</f>
        <v>-11423394.297331143</v>
      </c>
      <c r="AL17" s="105">
        <f>AJ17/'Baseline Given'!M18</f>
        <v>234725.84839728224</v>
      </c>
      <c r="AM17" s="105">
        <f t="shared" si="17"/>
        <v>-11.188668448933861</v>
      </c>
      <c r="AO17" s="105">
        <f t="shared" si="18"/>
        <v>-1508426.303522801</v>
      </c>
      <c r="AP17" s="106">
        <f t="shared" si="19"/>
        <v>1846296.7105688569</v>
      </c>
      <c r="AQ17" s="105">
        <f>AO17*'Baseline Given'!K18/'Baseline Given'!L18</f>
        <v>-9489079.2599633578</v>
      </c>
      <c r="AR17" s="105">
        <f>AP17/'Baseline Given'!M18</f>
        <v>173960.37452062927</v>
      </c>
      <c r="AS17" s="105">
        <f t="shared" si="20"/>
        <v>-9.3151188854427289</v>
      </c>
      <c r="AU17" s="105">
        <f t="shared" si="21"/>
        <v>-1262259.5521115009</v>
      </c>
      <c r="AV17" s="106">
        <f t="shared" si="22"/>
        <v>1441136.220814642</v>
      </c>
      <c r="AW17" s="105">
        <f>AU17*'Baseline Given'!K18/'Baseline Given'!L18</f>
        <v>-7940514.5008801734</v>
      </c>
      <c r="AX17" s="105">
        <f>AV17/'Baseline Given'!M18</f>
        <v>135785.64879255879</v>
      </c>
      <c r="AY17" s="105">
        <f t="shared" si="23"/>
        <v>-7.8047288520876155</v>
      </c>
      <c r="BA17" s="105">
        <f t="shared" si="24"/>
        <v>-1038345.0933389068</v>
      </c>
      <c r="BB17" s="106">
        <f t="shared" si="25"/>
        <v>1170830.2206598562</v>
      </c>
      <c r="BC17" s="105">
        <f>BA17*'Baseline Given'!K18/'Baseline Given'!L18</f>
        <v>-6531932.5623507351</v>
      </c>
      <c r="BD17" s="105">
        <f>BB17/'Baseline Given'!M18</f>
        <v>110317.08095461263</v>
      </c>
      <c r="BE17" s="105">
        <f t="shared" si="26"/>
        <v>-6.421615481396123</v>
      </c>
      <c r="BG17" s="105">
        <f t="shared" si="27"/>
        <v>-823734.75065273233</v>
      </c>
      <c r="BH17" s="106">
        <f t="shared" si="28"/>
        <v>993852.28844983876</v>
      </c>
      <c r="BI17" s="105">
        <f>BG17*'Baseline Given'!K18/'Baseline Given'!L18</f>
        <v>-5181880.1620438453</v>
      </c>
      <c r="BJ17" s="105">
        <f>BH17/'Baseline Given'!M18</f>
        <v>93641.999862334967</v>
      </c>
      <c r="BK17" s="105">
        <f t="shared" si="29"/>
        <v>-5.0882381621815105</v>
      </c>
      <c r="BM17" s="105">
        <f t="shared" si="30"/>
        <v>-615505.41387745319</v>
      </c>
      <c r="BN17" s="106">
        <f t="shared" si="31"/>
        <v>891797.70891476516</v>
      </c>
      <c r="BO17" s="105">
        <f>BM17*'Baseline Given'!K18/'Baseline Given'!L18</f>
        <v>-3871968.8483153125</v>
      </c>
      <c r="BP17" s="105">
        <f>BN17/'Baseline Given'!M18</f>
        <v>84026.290331012249</v>
      </c>
      <c r="BQ17" s="105">
        <f t="shared" si="32"/>
        <v>-3.7879425579843002</v>
      </c>
      <c r="BS17" s="105">
        <f t="shared" si="33"/>
        <v>-415501.78507577232</v>
      </c>
      <c r="BT17" s="106">
        <f t="shared" si="34"/>
        <v>856480</v>
      </c>
      <c r="BU17" s="105">
        <f>BS17*'Baseline Given'!K18/'Baseline Given'!L18</f>
        <v>-2613803.1152283382</v>
      </c>
      <c r="BV17" s="105">
        <f>BT17/'Baseline Given'!M18</f>
        <v>80698.611830122682</v>
      </c>
      <c r="BW17" s="105">
        <f t="shared" si="35"/>
        <v>-2.5331045033982154</v>
      </c>
      <c r="BY17" s="104">
        <v>150</v>
      </c>
      <c r="BZ17" s="104">
        <v>-150</v>
      </c>
    </row>
    <row r="18" spans="1:78" ht="15" customHeight="1" x14ac:dyDescent="0.25">
      <c r="A18" s="18">
        <f>'Baseline Given'!E19</f>
        <v>16</v>
      </c>
      <c r="B18" s="18">
        <f t="shared" si="36"/>
        <v>52</v>
      </c>
      <c r="C18" s="18">
        <f t="shared" si="0"/>
        <v>26</v>
      </c>
      <c r="D18" s="18">
        <f t="shared" si="37"/>
        <v>16</v>
      </c>
      <c r="E18" s="18">
        <f t="shared" si="38"/>
        <v>11.75</v>
      </c>
      <c r="F18" s="18">
        <f t="shared" si="39"/>
        <v>31.75</v>
      </c>
      <c r="G18" s="18">
        <f t="shared" si="40"/>
        <v>52</v>
      </c>
      <c r="I18" s="104">
        <f t="shared" si="41"/>
        <v>15</v>
      </c>
      <c r="J18" s="104">
        <f t="shared" si="42"/>
        <v>0.26179938779914941</v>
      </c>
      <c r="K18" s="111">
        <f t="shared" si="1"/>
        <v>19.540837905240316</v>
      </c>
      <c r="L18" s="103">
        <f t="shared" si="2"/>
        <v>38153181.486658007</v>
      </c>
      <c r="M18" s="103">
        <f t="shared" si="3"/>
        <v>3904968.8321119915</v>
      </c>
      <c r="N18" s="104">
        <f t="shared" si="4"/>
        <v>1045827.2106397001</v>
      </c>
      <c r="O18" s="104">
        <f t="shared" si="5"/>
        <v>3771910.2457908336</v>
      </c>
      <c r="Q18" s="105">
        <f t="shared" si="6"/>
        <v>-908874.08045610599</v>
      </c>
      <c r="R18" s="106">
        <f t="shared" si="7"/>
        <v>30785131.134197064</v>
      </c>
      <c r="S18" s="105">
        <f>Q18*'Baseline Given'!K19/'Baseline Given'!L19</f>
        <v>-5758436.494225475</v>
      </c>
      <c r="T18" s="105">
        <f>R18/'Baseline Given'!M19</f>
        <v>2932002.8252206235</v>
      </c>
      <c r="U18" s="105">
        <f t="shared" si="8"/>
        <v>-2.8264336690048513</v>
      </c>
      <c r="W18" s="105">
        <f t="shared" si="9"/>
        <v>-3434550.2151982002</v>
      </c>
      <c r="X18" s="105">
        <f t="shared" si="10"/>
        <v>7346243.7500326633</v>
      </c>
      <c r="Y18" s="105">
        <f>W18*'Baseline Given'!K19/'Baseline Given'!L19</f>
        <v>-21760593.382223133</v>
      </c>
      <c r="Z18" s="105">
        <f>X18/'Baseline Given'!M19</f>
        <v>699662.68248013756</v>
      </c>
      <c r="AA18" s="105">
        <f t="shared" si="11"/>
        <v>-21.060930699742997</v>
      </c>
      <c r="AC18" s="105">
        <f t="shared" si="12"/>
        <v>-2074534.6954284199</v>
      </c>
      <c r="AD18" s="106">
        <f t="shared" si="13"/>
        <v>3695831.9929154422</v>
      </c>
      <c r="AE18" s="105">
        <f>AC18*'Baseline Given'!K19/'Baseline Given'!L19</f>
        <v>-13143818.880495491</v>
      </c>
      <c r="AF18" s="105">
        <f>AD18/'Baseline Given'!M19</f>
        <v>351994.27273940283</v>
      </c>
      <c r="AG18" s="105">
        <f t="shared" si="14"/>
        <v>-12.791824607756087</v>
      </c>
      <c r="AI18" s="105">
        <f t="shared" si="15"/>
        <v>-1606832.018888751</v>
      </c>
      <c r="AJ18" s="106">
        <f t="shared" si="16"/>
        <v>2475059.9860204048</v>
      </c>
      <c r="AK18" s="105">
        <f>AI18*'Baseline Given'!K19/'Baseline Given'!L19</f>
        <v>-10180552.330214512</v>
      </c>
      <c r="AL18" s="105">
        <f>AJ18/'Baseline Given'!M19</f>
        <v>235726.87866647341</v>
      </c>
      <c r="AM18" s="105">
        <f t="shared" si="17"/>
        <v>-9.9448254515480379</v>
      </c>
      <c r="AO18" s="105">
        <f t="shared" si="18"/>
        <v>-1327783.5722935069</v>
      </c>
      <c r="AP18" s="106">
        <f t="shared" si="19"/>
        <v>1830136.7105688569</v>
      </c>
      <c r="AQ18" s="105">
        <f>AO18*'Baseline Given'!K19/'Baseline Given'!L19</f>
        <v>-8412559.6092375983</v>
      </c>
      <c r="AR18" s="105">
        <f>AP18/'Baseline Given'!M19</f>
        <v>174303.82162534262</v>
      </c>
      <c r="AS18" s="105">
        <f t="shared" si="20"/>
        <v>-8.2382557876122551</v>
      </c>
      <c r="AU18" s="105">
        <f t="shared" si="21"/>
        <v>-1110834.4085811563</v>
      </c>
      <c r="AV18" s="106">
        <f t="shared" si="22"/>
        <v>1424976.220814642</v>
      </c>
      <c r="AW18" s="105">
        <f>AU18*'Baseline Given'!K19/'Baseline Given'!L19</f>
        <v>-7038014.9846555442</v>
      </c>
      <c r="AX18" s="105">
        <f>AV18/'Baseline Given'!M19</f>
        <v>135715.9820787526</v>
      </c>
      <c r="AY18" s="105">
        <f t="shared" si="23"/>
        <v>-6.9022990025767914</v>
      </c>
      <c r="BA18" s="105">
        <f t="shared" si="24"/>
        <v>-918074.53978554718</v>
      </c>
      <c r="BB18" s="106">
        <f t="shared" si="25"/>
        <v>1154670.2206598562</v>
      </c>
      <c r="BC18" s="105">
        <f>BA18*'Baseline Given'!K19/'Baseline Given'!L19</f>
        <v>-5816728.684426019</v>
      </c>
      <c r="BD18" s="105">
        <f>BB18/'Baseline Given'!M19</f>
        <v>109971.80211495368</v>
      </c>
      <c r="BE18" s="105">
        <f t="shared" si="26"/>
        <v>-5.7067568823110655</v>
      </c>
      <c r="BG18" s="105">
        <f t="shared" si="27"/>
        <v>-736477.37967549078</v>
      </c>
      <c r="BH18" s="106">
        <f t="shared" si="28"/>
        <v>977692.28844983876</v>
      </c>
      <c r="BI18" s="105">
        <f>BG18*'Baseline Given'!K19/'Baseline Given'!L19</f>
        <v>-4666166.9768012641</v>
      </c>
      <c r="BJ18" s="105">
        <f>BH18/'Baseline Given'!M19</f>
        <v>93116.269001272536</v>
      </c>
      <c r="BK18" s="105">
        <f t="shared" si="29"/>
        <v>-4.5730507077999913</v>
      </c>
      <c r="BM18" s="105">
        <f t="shared" si="30"/>
        <v>-562531.84733121796</v>
      </c>
      <c r="BN18" s="106">
        <f t="shared" si="31"/>
        <v>875637.70891476516</v>
      </c>
      <c r="BO18" s="105">
        <f>BM18*'Baseline Given'!K19/'Baseline Given'!L19</f>
        <v>-3564084.3858266468</v>
      </c>
      <c r="BP18" s="105">
        <f>BN18/'Baseline Given'!M19</f>
        <v>83396.501551877096</v>
      </c>
      <c r="BQ18" s="105">
        <f t="shared" si="32"/>
        <v>-3.4806878842747695</v>
      </c>
      <c r="BS18" s="105">
        <f t="shared" si="33"/>
        <v>-397237.97034716688</v>
      </c>
      <c r="BT18" s="106">
        <f t="shared" si="34"/>
        <v>840320</v>
      </c>
      <c r="BU18" s="105">
        <f>BS18*'Baseline Given'!K19/'Baseline Given'!L19</f>
        <v>-2516816.8776374911</v>
      </c>
      <c r="BV18" s="105">
        <f>BT18/'Baseline Given'!M19</f>
        <v>80032.81205297538</v>
      </c>
      <c r="BW18" s="105">
        <f t="shared" si="35"/>
        <v>-2.4367840655845159</v>
      </c>
      <c r="BY18" s="104">
        <v>150</v>
      </c>
      <c r="BZ18" s="104">
        <v>-150</v>
      </c>
    </row>
    <row r="19" spans="1:78" ht="15" customHeight="1" x14ac:dyDescent="0.25">
      <c r="A19" s="18">
        <f>'Baseline Given'!E20</f>
        <v>17</v>
      </c>
      <c r="B19" s="18">
        <f t="shared" si="36"/>
        <v>51</v>
      </c>
      <c r="C19" s="18">
        <f t="shared" si="0"/>
        <v>25.5</v>
      </c>
      <c r="D19" s="18">
        <f t="shared" si="37"/>
        <v>17</v>
      </c>
      <c r="E19" s="18">
        <f t="shared" si="38"/>
        <v>10.75</v>
      </c>
      <c r="F19" s="18">
        <f t="shared" si="39"/>
        <v>30.75</v>
      </c>
      <c r="G19" s="18">
        <f t="shared" si="40"/>
        <v>51</v>
      </c>
      <c r="I19" s="104">
        <f t="shared" si="41"/>
        <v>16</v>
      </c>
      <c r="J19" s="104">
        <f t="shared" si="42"/>
        <v>0.27925268031909273</v>
      </c>
      <c r="K19" s="111">
        <f t="shared" si="1"/>
        <v>20.810620364183436</v>
      </c>
      <c r="L19" s="103">
        <f t="shared" si="2"/>
        <v>37968952.628803335</v>
      </c>
      <c r="M19" s="103">
        <f t="shared" si="3"/>
        <v>3648997.6717994064</v>
      </c>
      <c r="N19" s="104">
        <f t="shared" si="4"/>
        <v>1040777.2634263367</v>
      </c>
      <c r="O19" s="104">
        <f t="shared" si="5"/>
        <v>3507641.6904688748</v>
      </c>
      <c r="Q19" s="105">
        <f t="shared" si="6"/>
        <v>-694911.255243266</v>
      </c>
      <c r="R19" s="106">
        <f t="shared" si="7"/>
        <v>30768971.134197064</v>
      </c>
      <c r="S19" s="105">
        <f>Q19*'Baseline Given'!K20/'Baseline Given'!L20</f>
        <v>-4434589.2021189481</v>
      </c>
      <c r="T19" s="105">
        <f>R19/'Baseline Given'!M20</f>
        <v>2962348.7314144731</v>
      </c>
      <c r="U19" s="105">
        <f t="shared" si="8"/>
        <v>-1.4722404707044749</v>
      </c>
      <c r="W19" s="105">
        <f t="shared" si="9"/>
        <v>-3106976.7280023284</v>
      </c>
      <c r="X19" s="105">
        <f>16160*G19+($M$12/2)*COS($J$13)+($M$12/2)*COS($J$13)</f>
        <v>7330083.7500326633</v>
      </c>
      <c r="Y19" s="105">
        <f>W19*'Baseline Given'!K20/'Baseline Given'!L20</f>
        <v>-19827230.2330327</v>
      </c>
      <c r="Z19" s="105">
        <f>X19/'Baseline Given'!M20</f>
        <v>705719.5446466381</v>
      </c>
      <c r="AA19" s="105">
        <f t="shared" si="11"/>
        <v>-19.12151068838606</v>
      </c>
      <c r="AC19" s="105">
        <f t="shared" si="12"/>
        <v>-1817263.1131398994</v>
      </c>
      <c r="AD19" s="106">
        <f t="shared" si="13"/>
        <v>3679671.9929154422</v>
      </c>
      <c r="AE19" s="105">
        <f>AC19*'Baseline Given'!K20/'Baseline Given'!L20</f>
        <v>-11596898.622858156</v>
      </c>
      <c r="AF19" s="105">
        <f>AD19/'Baseline Given'!M20</f>
        <v>354268.31832278887</v>
      </c>
      <c r="AG19" s="105">
        <f t="shared" si="14"/>
        <v>-11.242630304535366</v>
      </c>
      <c r="AI19" s="105">
        <f t="shared" si="15"/>
        <v>-1383755.4299503881</v>
      </c>
      <c r="AJ19" s="106">
        <f t="shared" si="16"/>
        <v>2458899.9860204048</v>
      </c>
      <c r="AK19" s="105">
        <f>AI19*'Baseline Given'!K20/'Baseline Given'!L20</f>
        <v>-8830461.2160631977</v>
      </c>
      <c r="AL19" s="105">
        <f>AJ19/'Baseline Given'!M20</f>
        <v>236735.87337364492</v>
      </c>
      <c r="AM19" s="105">
        <f t="shared" si="17"/>
        <v>-8.5937253426895541</v>
      </c>
      <c r="AO19" s="105">
        <f t="shared" si="18"/>
        <v>-1134761.5628634095</v>
      </c>
      <c r="AP19" s="106">
        <f t="shared" si="19"/>
        <v>1813976.7105688569</v>
      </c>
      <c r="AQ19" s="105">
        <f>AO19*'Baseline Given'!K20/'Baseline Given'!L20</f>
        <v>-7241502.185616618</v>
      </c>
      <c r="AR19" s="105">
        <f>AP19/'Baseline Given'!M20</f>
        <v>174644.50091399785</v>
      </c>
      <c r="AS19" s="105">
        <f t="shared" si="20"/>
        <v>-7.0668576847026197</v>
      </c>
      <c r="AU19" s="105">
        <f t="shared" si="21"/>
        <v>-949021.81727827899</v>
      </c>
      <c r="AV19" s="106">
        <f t="shared" si="22"/>
        <v>1408816.220814642</v>
      </c>
      <c r="AW19" s="105">
        <f>AU19*'Baseline Given'!K20/'Baseline Given'!L20</f>
        <v>-6056200.5172938099</v>
      </c>
      <c r="AX19" s="105">
        <f>AV19/'Baseline Given'!M20</f>
        <v>135636.80521926866</v>
      </c>
      <c r="AY19" s="105">
        <f t="shared" si="23"/>
        <v>-5.9205637120745411</v>
      </c>
      <c r="BA19" s="105">
        <f t="shared" si="24"/>
        <v>-789723.98623218853</v>
      </c>
      <c r="BB19" s="106">
        <f t="shared" si="25"/>
        <v>1138510.2206598562</v>
      </c>
      <c r="BC19" s="105">
        <f>BA19*'Baseline Given'!K20/'Baseline Given'!L20</f>
        <v>-5039638.4222811637</v>
      </c>
      <c r="BD19" s="105">
        <f>BB19/'Baseline Given'!M20</f>
        <v>109612.51493150224</v>
      </c>
      <c r="BE19" s="105">
        <f t="shared" si="26"/>
        <v>-4.9300259073496617</v>
      </c>
      <c r="BG19" s="105">
        <f t="shared" si="27"/>
        <v>-643692.96318210568</v>
      </c>
      <c r="BH19" s="106">
        <f t="shared" si="28"/>
        <v>961532.28844983876</v>
      </c>
      <c r="BI19" s="105">
        <f>BG19*'Baseline Given'!K20/'Baseline Given'!L20</f>
        <v>-4107738.7111941981</v>
      </c>
      <c r="BJ19" s="105">
        <f>BH19/'Baseline Given'!M20</f>
        <v>92573.584683099471</v>
      </c>
      <c r="BK19" s="105">
        <f t="shared" si="29"/>
        <v>-4.015165126511099</v>
      </c>
      <c r="BM19" s="105">
        <f t="shared" si="30"/>
        <v>-506752.126233886</v>
      </c>
      <c r="BN19" s="106">
        <f t="shared" si="31"/>
        <v>859477.70891476516</v>
      </c>
      <c r="BO19" s="105">
        <f>BM19*'Baseline Given'!K20/'Baseline Given'!L20</f>
        <v>-3233848.1931206076</v>
      </c>
      <c r="BP19" s="105">
        <f>BN19/'Baseline Given'!M20</f>
        <v>82748.061011794169</v>
      </c>
      <c r="BQ19" s="105">
        <f t="shared" si="32"/>
        <v>-3.1511001321088137</v>
      </c>
      <c r="BS19" s="105">
        <f t="shared" si="33"/>
        <v>-378974.15561856155</v>
      </c>
      <c r="BT19" s="106">
        <f t="shared" si="34"/>
        <v>824160</v>
      </c>
      <c r="BU19" s="105">
        <f>BS19*'Baseline Given'!K20/'Baseline Given'!L20</f>
        <v>-2418430.6783171864</v>
      </c>
      <c r="BV19" s="105">
        <f>BT19/'Baseline Given'!M20</f>
        <v>79347.77278818698</v>
      </c>
      <c r="BW19" s="105">
        <f t="shared" si="35"/>
        <v>-2.3390829055289992</v>
      </c>
      <c r="BY19" s="104">
        <v>150</v>
      </c>
      <c r="BZ19" s="104">
        <v>-150</v>
      </c>
    </row>
    <row r="20" spans="1:78" ht="15" customHeight="1" x14ac:dyDescent="0.25">
      <c r="A20" s="18">
        <f>'Baseline Given'!E21</f>
        <v>18</v>
      </c>
      <c r="B20" s="18">
        <f t="shared" si="36"/>
        <v>50</v>
      </c>
      <c r="C20" s="18">
        <f t="shared" si="0"/>
        <v>25</v>
      </c>
      <c r="D20" s="18">
        <f t="shared" si="37"/>
        <v>18</v>
      </c>
      <c r="E20" s="18">
        <f t="shared" si="38"/>
        <v>9.75</v>
      </c>
      <c r="F20" s="18">
        <f t="shared" si="39"/>
        <v>29.75</v>
      </c>
      <c r="G20" s="18">
        <f t="shared" si="40"/>
        <v>50</v>
      </c>
      <c r="I20" s="104">
        <f t="shared" si="41"/>
        <v>17</v>
      </c>
      <c r="J20" s="104">
        <f t="shared" si="42"/>
        <v>0.29670597283903605</v>
      </c>
      <c r="K20" s="111">
        <f t="shared" si="1"/>
        <v>22.074063706566626</v>
      </c>
      <c r="L20" s="103">
        <f t="shared" si="2"/>
        <v>37773158.060164414</v>
      </c>
      <c r="M20" s="103">
        <f t="shared" si="3"/>
        <v>3422401.8343235641</v>
      </c>
      <c r="N20" s="104">
        <f t="shared" si="4"/>
        <v>1035410.2853762977</v>
      </c>
      <c r="O20" s="104">
        <f t="shared" si="5"/>
        <v>3272859.1509802407</v>
      </c>
      <c r="Q20" s="105">
        <f t="shared" si="6"/>
        <v>-464798.27426579222</v>
      </c>
      <c r="R20" s="106">
        <f t="shared" si="7"/>
        <v>30752811.134197064</v>
      </c>
      <c r="S20" s="105">
        <f>Q20*'Baseline Given'!K21/'Baseline Given'!L21</f>
        <v>-2987681.9617931014</v>
      </c>
      <c r="T20" s="105">
        <f>R20/'Baseline Given'!M21</f>
        <v>2993184.104281975</v>
      </c>
      <c r="U20" s="105">
        <f t="shared" si="8"/>
        <v>5.5021424888735638E-3</v>
      </c>
      <c r="W20" s="105">
        <f t="shared" si="9"/>
        <v>-2763488.7475177776</v>
      </c>
      <c r="X20" s="105">
        <f t="shared" ref="X20:X30" si="43">16160*G20+($M$12/2)*COS($J$13)+($M$12/2)*COS($J$13)</f>
        <v>7313923.7500326633</v>
      </c>
      <c r="Y20" s="105">
        <f>W20*'Baseline Given'!K21/'Baseline Given'!L21</f>
        <v>-17763459.848509859</v>
      </c>
      <c r="Z20" s="105">
        <f>X20/'Baseline Given'!M21</f>
        <v>711867.28956249496</v>
      </c>
      <c r="AA20" s="105">
        <f t="shared" si="11"/>
        <v>-17.051592558947366</v>
      </c>
      <c r="AC20" s="105">
        <f t="shared" si="12"/>
        <v>-1544806.0980994795</v>
      </c>
      <c r="AD20" s="106">
        <f t="shared" si="13"/>
        <v>3663511.9929154422</v>
      </c>
      <c r="AE20" s="105">
        <f>AC20*'Baseline Given'!K21/'Baseline Given'!L21</f>
        <v>-9929876.1834914107</v>
      </c>
      <c r="AF20" s="105">
        <f>AD20/'Baseline Given'!M21</f>
        <v>356571.17052454414</v>
      </c>
      <c r="AG20" s="105">
        <f t="shared" si="14"/>
        <v>-9.5733050129668662</v>
      </c>
      <c r="AI20" s="105">
        <f t="shared" si="15"/>
        <v>-1146683.8704868667</v>
      </c>
      <c r="AJ20" s="106">
        <f t="shared" si="16"/>
        <v>2442739.9860204048</v>
      </c>
      <c r="AK20" s="105">
        <f>AI20*'Baseline Given'!K21/'Baseline Given'!L21</f>
        <v>-7370781.918552503</v>
      </c>
      <c r="AL20" s="105">
        <f>AJ20/'Baseline Given'!M21</f>
        <v>237752.91517723392</v>
      </c>
      <c r="AM20" s="105">
        <f t="shared" si="17"/>
        <v>-7.1330290033752695</v>
      </c>
      <c r="AO20" s="105">
        <f t="shared" si="18"/>
        <v>-929360.27523250878</v>
      </c>
      <c r="AP20" s="106">
        <f t="shared" si="19"/>
        <v>1797816.7105688569</v>
      </c>
      <c r="AQ20" s="105">
        <f>AO20*'Baseline Given'!K21/'Baseline Given'!L21</f>
        <v>-5973845.1798369568</v>
      </c>
      <c r="AR20" s="105">
        <f>AP20/'Baseline Given'!M21</f>
        <v>174982.26022346722</v>
      </c>
      <c r="AS20" s="105">
        <f t="shared" si="20"/>
        <v>-5.79886291961349</v>
      </c>
      <c r="AU20" s="105">
        <f t="shared" si="21"/>
        <v>-776821.778202869</v>
      </c>
      <c r="AV20" s="106">
        <f t="shared" si="22"/>
        <v>1392656.220814642</v>
      </c>
      <c r="AW20" s="105">
        <f>AU20*'Baseline Given'!K21/'Baseline Given'!L21</f>
        <v>-4993341.2896829341</v>
      </c>
      <c r="AX20" s="105">
        <f>AV20/'Baseline Given'!M21</f>
        <v>135547.81852890376</v>
      </c>
      <c r="AY20" s="105">
        <f t="shared" si="23"/>
        <v>-4.8577934711540305</v>
      </c>
      <c r="BA20" s="105">
        <f t="shared" si="24"/>
        <v>-653293.43267883081</v>
      </c>
      <c r="BB20" s="106">
        <f t="shared" si="25"/>
        <v>1122350.2206598562</v>
      </c>
      <c r="BC20" s="105">
        <f>BA20*'Baseline Given'!K21/'Baseline Given'!L21</f>
        <v>-4199312.0728677539</v>
      </c>
      <c r="BD20" s="105">
        <f>BB20/'Baseline Given'!M21</f>
        <v>109238.82129854469</v>
      </c>
      <c r="BE20" s="105">
        <f t="shared" si="26"/>
        <v>-4.0900732515692093</v>
      </c>
      <c r="BG20" s="105">
        <f t="shared" si="27"/>
        <v>-545381.50117257982</v>
      </c>
      <c r="BH20" s="106">
        <f t="shared" si="28"/>
        <v>945372.28844983876</v>
      </c>
      <c r="BI20" s="105">
        <f>BG20*'Baseline Given'!K21/'Baseline Given'!L21</f>
        <v>-3505663.7762324861</v>
      </c>
      <c r="BJ20" s="105">
        <f>BH20/'Baseline Given'!M21</f>
        <v>92013.484363064956</v>
      </c>
      <c r="BK20" s="105">
        <f t="shared" si="29"/>
        <v>-3.4136502918694211</v>
      </c>
      <c r="BM20" s="105">
        <f t="shared" si="30"/>
        <v>-448166.25058545638</v>
      </c>
      <c r="BN20" s="106">
        <f t="shared" si="31"/>
        <v>843317.70891476516</v>
      </c>
      <c r="BO20" s="105">
        <f>BM20*'Baseline Given'!K21/'Baseline Given'!L21</f>
        <v>-2880772.7930438225</v>
      </c>
      <c r="BP20" s="105">
        <f>BN20/'Baseline Given'!M21</f>
        <v>82080.469007148989</v>
      </c>
      <c r="BQ20" s="105">
        <f t="shared" si="32"/>
        <v>-2.7986923240366735</v>
      </c>
      <c r="BS20" s="105">
        <f t="shared" si="33"/>
        <v>-360710.3408899561</v>
      </c>
      <c r="BT20" s="106">
        <f t="shared" si="34"/>
        <v>808000</v>
      </c>
      <c r="BU20" s="105">
        <f>BS20*'Baseline Given'!K21/'Baseline Given'!L21</f>
        <v>-2318613.9849841455</v>
      </c>
      <c r="BV20" s="105">
        <f>BT20/'Baseline Given'!M21</f>
        <v>78642.981472691346</v>
      </c>
      <c r="BW20" s="105">
        <f t="shared" si="35"/>
        <v>-2.239971003511454</v>
      </c>
      <c r="BY20" s="104">
        <v>150</v>
      </c>
      <c r="BZ20" s="104">
        <v>-150</v>
      </c>
    </row>
    <row r="21" spans="1:78" ht="15" customHeight="1" x14ac:dyDescent="0.25">
      <c r="A21" s="18">
        <f>'Baseline Given'!E22</f>
        <v>19</v>
      </c>
      <c r="B21" s="18">
        <f t="shared" si="36"/>
        <v>49</v>
      </c>
      <c r="C21" s="18">
        <f t="shared" si="0"/>
        <v>24.5</v>
      </c>
      <c r="D21" s="18">
        <f t="shared" si="37"/>
        <v>19</v>
      </c>
      <c r="E21" s="18">
        <f t="shared" si="38"/>
        <v>8.75</v>
      </c>
      <c r="F21" s="18">
        <f t="shared" si="39"/>
        <v>28.75</v>
      </c>
      <c r="G21" s="18">
        <f t="shared" si="40"/>
        <v>49</v>
      </c>
      <c r="I21" s="104">
        <f t="shared" si="41"/>
        <v>18</v>
      </c>
      <c r="J21" s="104">
        <f t="shared" si="42"/>
        <v>0.31415926535897931</v>
      </c>
      <c r="K21" s="111">
        <f t="shared" si="1"/>
        <v>23.330783075308531</v>
      </c>
      <c r="L21" s="103">
        <f t="shared" si="2"/>
        <v>37565857.421663575</v>
      </c>
      <c r="M21" s="103">
        <f t="shared" si="3"/>
        <v>3220282.6026375708</v>
      </c>
      <c r="N21" s="104">
        <f t="shared" si="4"/>
        <v>1029727.9113230887</v>
      </c>
      <c r="O21" s="104">
        <f t="shared" si="5"/>
        <v>3062670.7535503781</v>
      </c>
      <c r="Q21" s="105">
        <f t="shared" si="6"/>
        <v>-218535.13752369024</v>
      </c>
      <c r="R21" s="106">
        <f t="shared" si="7"/>
        <v>30736651.134197064</v>
      </c>
      <c r="S21" s="105">
        <f>Q21*'Baseline Given'!K22/'Baseline Given'!L22</f>
        <v>-1415011.2593326548</v>
      </c>
      <c r="T21" s="105">
        <f>R21/'Baseline Given'!M22</f>
        <v>3024519.6186307999</v>
      </c>
      <c r="U21" s="105">
        <f t="shared" si="8"/>
        <v>1.6095083592981452</v>
      </c>
      <c r="W21" s="105">
        <f t="shared" si="9"/>
        <v>-2404086.2737445515</v>
      </c>
      <c r="X21" s="105">
        <f t="shared" si="43"/>
        <v>7297763.7500326633</v>
      </c>
      <c r="Y21" s="105">
        <f>W21*'Baseline Given'!K22/'Baseline Given'!L22</f>
        <v>-15566417.301596889</v>
      </c>
      <c r="Z21" s="105">
        <f>X21/'Baseline Given'!M22</f>
        <v>718107.82305913896</v>
      </c>
      <c r="AA21" s="105">
        <f t="shared" si="11"/>
        <v>-14.84830947853775</v>
      </c>
      <c r="AC21" s="105">
        <f t="shared" si="12"/>
        <v>-1257163.650307158</v>
      </c>
      <c r="AD21" s="106">
        <f t="shared" si="13"/>
        <v>3647351.9929154422</v>
      </c>
      <c r="AE21" s="105">
        <f>AC21*'Baseline Given'!K22/'Baseline Given'!L22</f>
        <v>-8140113.0278902063</v>
      </c>
      <c r="AF21" s="105">
        <f>AD21/'Baseline Given'!M22</f>
        <v>358903.36948098615</v>
      </c>
      <c r="AG21" s="105">
        <f t="shared" si="14"/>
        <v>-7.7812096584092201</v>
      </c>
      <c r="AI21" s="105">
        <f t="shared" si="15"/>
        <v>-895617.34049819224</v>
      </c>
      <c r="AJ21" s="106">
        <f t="shared" si="16"/>
        <v>2426579.9860204048</v>
      </c>
      <c r="AK21" s="105">
        <f>AI21*'Baseline Given'!K22/'Baseline Given'!L22</f>
        <v>-5799106.8860545494</v>
      </c>
      <c r="AL21" s="105">
        <f>AJ21/'Baseline Given'!M22</f>
        <v>238778.08749730894</v>
      </c>
      <c r="AM21" s="105">
        <f t="shared" si="17"/>
        <v>-5.5603287985572409</v>
      </c>
      <c r="AO21" s="105">
        <f t="shared" si="18"/>
        <v>-711579.70940080658</v>
      </c>
      <c r="AP21" s="106">
        <f t="shared" si="19"/>
        <v>1781656.7105688569</v>
      </c>
      <c r="AQ21" s="105">
        <f>AO21*'Baseline Given'!K22/'Baseline Given'!L22</f>
        <v>-4607466.387896765</v>
      </c>
      <c r="AR21" s="105">
        <f>AP21/'Baseline Given'!M22</f>
        <v>175316.94169458168</v>
      </c>
      <c r="AS21" s="105">
        <f t="shared" si="20"/>
        <v>-4.4321494462021835</v>
      </c>
      <c r="AU21" s="105">
        <f t="shared" si="21"/>
        <v>-594234.29135492072</v>
      </c>
      <c r="AV21" s="106">
        <f t="shared" si="22"/>
        <v>1376496.220814642</v>
      </c>
      <c r="AW21" s="105">
        <f>AU21*'Baseline Given'!K22/'Baseline Given'!L22</f>
        <v>-3847656.8229565471</v>
      </c>
      <c r="AX21" s="105">
        <f>AV21/'Baseline Given'!M22</f>
        <v>135448.71256950599</v>
      </c>
      <c r="AY21" s="105">
        <f t="shared" si="23"/>
        <v>-3.7122081103870412</v>
      </c>
      <c r="BA21" s="105">
        <f t="shared" si="24"/>
        <v>-508782.87912547216</v>
      </c>
      <c r="BB21" s="106">
        <f t="shared" si="25"/>
        <v>1106190.2206598562</v>
      </c>
      <c r="BC21" s="105">
        <f>BA21*'Baseline Given'!K22/'Baseline Given'!L22</f>
        <v>-3294360.397490697</v>
      </c>
      <c r="BD21" s="105">
        <f>BB21/'Baseline Given'!M22</f>
        <v>108850.31065082128</v>
      </c>
      <c r="BE21" s="105">
        <f t="shared" si="26"/>
        <v>-3.1855100868398756</v>
      </c>
      <c r="BG21" s="105">
        <f t="shared" si="27"/>
        <v>-441542.99364691041</v>
      </c>
      <c r="BH21" s="106">
        <f t="shared" si="28"/>
        <v>929212.28844983876</v>
      </c>
      <c r="BI21" s="105">
        <f>BG21*'Baseline Given'!K22/'Baseline Given'!L22</f>
        <v>-2858983.2947211755</v>
      </c>
      <c r="BJ21" s="105">
        <f>BH21/'Baseline Given'!M22</f>
        <v>91435.49126477653</v>
      </c>
      <c r="BK21" s="105">
        <f t="shared" si="29"/>
        <v>-2.7675478034563992</v>
      </c>
      <c r="BM21" s="105">
        <f t="shared" si="30"/>
        <v>-386774.2203859291</v>
      </c>
      <c r="BN21" s="106">
        <f t="shared" si="31"/>
        <v>827157.70891476516</v>
      </c>
      <c r="BO21" s="105">
        <f>BM21*'Baseline Given'!K22/'Baseline Given'!L22</f>
        <v>-2504356.4292097902</v>
      </c>
      <c r="BP21" s="105">
        <f>BN21/'Baseline Given'!M22</f>
        <v>81393.210580804065</v>
      </c>
      <c r="BQ21" s="105">
        <f t="shared" si="32"/>
        <v>-2.4229632186289862</v>
      </c>
      <c r="BS21" s="105">
        <f t="shared" si="33"/>
        <v>-342446.52616135072</v>
      </c>
      <c r="BT21" s="106">
        <f t="shared" si="34"/>
        <v>791840</v>
      </c>
      <c r="BU21" s="105">
        <f>BS21*'Baseline Given'!K22/'Baseline Given'!L22</f>
        <v>-2217335.371000174</v>
      </c>
      <c r="BV21" s="105">
        <f>BT21/'Baseline Given'!M22</f>
        <v>77917.909936260068</v>
      </c>
      <c r="BW21" s="105">
        <f t="shared" si="35"/>
        <v>-2.1394174610639141</v>
      </c>
      <c r="BY21" s="104">
        <v>150</v>
      </c>
      <c r="BZ21" s="104">
        <v>-150</v>
      </c>
    </row>
    <row r="22" spans="1:78" ht="15" customHeight="1" x14ac:dyDescent="0.25">
      <c r="A22" s="18">
        <f>'Baseline Given'!E23</f>
        <v>20</v>
      </c>
      <c r="B22" s="18">
        <f t="shared" si="36"/>
        <v>48</v>
      </c>
      <c r="C22" s="18">
        <f t="shared" si="0"/>
        <v>24</v>
      </c>
      <c r="D22" s="18">
        <f t="shared" si="37"/>
        <v>20</v>
      </c>
      <c r="E22" s="18">
        <f t="shared" si="38"/>
        <v>7.75</v>
      </c>
      <c r="F22" s="18">
        <f t="shared" si="39"/>
        <v>27.75</v>
      </c>
      <c r="G22" s="18">
        <f t="shared" si="40"/>
        <v>48</v>
      </c>
      <c r="I22" s="104">
        <f t="shared" si="41"/>
        <v>19</v>
      </c>
      <c r="J22" s="104">
        <f t="shared" si="42"/>
        <v>0.33161255787892258</v>
      </c>
      <c r="K22" s="111">
        <f t="shared" si="1"/>
        <v>24.580395661515325</v>
      </c>
      <c r="L22" s="103">
        <f t="shared" si="2"/>
        <v>37347113.859083459</v>
      </c>
      <c r="M22" s="113">
        <f t="shared" si="3"/>
        <v>3038772.3918990078</v>
      </c>
      <c r="N22" s="104">
        <f t="shared" si="4"/>
        <v>1023731.8721728923</v>
      </c>
      <c r="O22" s="104">
        <f t="shared" si="5"/>
        <v>2873215.743558879</v>
      </c>
      <c r="Q22" s="105">
        <f t="shared" si="6"/>
        <v>43878.154983039945</v>
      </c>
      <c r="R22" s="106">
        <f t="shared" si="7"/>
        <v>30720491.134197064</v>
      </c>
      <c r="S22" s="105">
        <f>Q22*'Baseline Given'!K23/'Baseline Given'!L23</f>
        <v>286206.19499815698</v>
      </c>
      <c r="T22" s="105">
        <f>R22/'Baseline Given'!M23</f>
        <v>3056366.2428996675</v>
      </c>
      <c r="U22" s="105">
        <f t="shared" si="8"/>
        <v>3.3425724378978248</v>
      </c>
      <c r="W22" s="105">
        <f t="shared" si="9"/>
        <v>-2028769.3066826425</v>
      </c>
      <c r="X22" s="105">
        <f t="shared" si="43"/>
        <v>7281603.7500326633</v>
      </c>
      <c r="Y22" s="105">
        <f>W22*'Baseline Given'!K23/'Baseline Given'!L23</f>
        <v>-13233153.126404772</v>
      </c>
      <c r="Z22" s="105">
        <f>X22/'Baseline Given'!M23</f>
        <v>724443.10211556591</v>
      </c>
      <c r="AA22" s="105">
        <f t="shared" si="11"/>
        <v>-12.508710024289206</v>
      </c>
      <c r="AC22" s="105">
        <f t="shared" si="12"/>
        <v>-954335.7697629407</v>
      </c>
      <c r="AD22" s="106">
        <f t="shared" si="13"/>
        <v>3631191.9929154422</v>
      </c>
      <c r="AE22" s="105">
        <f>AC22*'Baseline Given'!K23/'Baseline Given'!L23</f>
        <v>-6224892.7631543074</v>
      </c>
      <c r="AF22" s="105">
        <f>AD22/'Baseline Given'!M23</f>
        <v>361265.46871121175</v>
      </c>
      <c r="AG22" s="105">
        <f t="shared" si="14"/>
        <v>-5.8636272944430958</v>
      </c>
      <c r="AI22" s="105">
        <f t="shared" si="15"/>
        <v>-630555.83998435922</v>
      </c>
      <c r="AJ22" s="106">
        <f t="shared" si="16"/>
        <v>2410419.9860204048</v>
      </c>
      <c r="AK22" s="105">
        <f>AI22*'Baseline Given'!K23/'Baseline Given'!L23</f>
        <v>-4112957.5244343383</v>
      </c>
      <c r="AL22" s="105">
        <f>AJ22/'Baseline Given'!M23</f>
        <v>239811.47450740481</v>
      </c>
      <c r="AM22" s="105">
        <f t="shared" si="17"/>
        <v>-3.8731460499269335</v>
      </c>
      <c r="AO22" s="105">
        <f t="shared" si="18"/>
        <v>-481419.86536830105</v>
      </c>
      <c r="AP22" s="106">
        <f t="shared" si="19"/>
        <v>1765496.7105688569</v>
      </c>
      <c r="AQ22" s="105">
        <f>AO22*'Baseline Given'!K23/'Baseline Given'!L23</f>
        <v>-3140180.9833810036</v>
      </c>
      <c r="AR22" s="105">
        <f>AP22/'Baseline Given'!M23</f>
        <v>175648.38154968168</v>
      </c>
      <c r="AS22" s="105">
        <f t="shared" si="20"/>
        <v>-2.9645326018313223</v>
      </c>
      <c r="AU22" s="105">
        <f t="shared" si="21"/>
        <v>-401259.35673443973</v>
      </c>
      <c r="AV22" s="106">
        <f t="shared" si="22"/>
        <v>1360336.220814642</v>
      </c>
      <c r="AW22" s="105">
        <f>AU22*'Baseline Given'!K23/'Baseline Given'!L23</f>
        <v>-2617314.0995277008</v>
      </c>
      <c r="AX22" s="105">
        <f>AV22/'Baseline Given'!M23</f>
        <v>135339.16779290608</v>
      </c>
      <c r="AY22" s="105">
        <f t="shared" si="23"/>
        <v>-2.4819749317347948</v>
      </c>
      <c r="BA22" s="105">
        <f t="shared" si="24"/>
        <v>-356192.32557211444</v>
      </c>
      <c r="BB22" s="106">
        <f t="shared" si="25"/>
        <v>1090030.2206598562</v>
      </c>
      <c r="BC22" s="105">
        <f>BA22*'Baseline Given'!K23/'Baseline Given'!L23</f>
        <v>-2323353.1635262198</v>
      </c>
      <c r="BD22" s="105">
        <f>BB22/'Baseline Given'!M23</f>
        <v>108446.55951664479</v>
      </c>
      <c r="BE22" s="105">
        <f t="shared" si="26"/>
        <v>-2.2149066040095753</v>
      </c>
      <c r="BG22" s="105">
        <f>16160*B22*C22*COS($J$73)-($M$72/2)*E22*SIN($J$73)-($M$72/2)*F22*SIN($J$73)</f>
        <v>-332177.44060509745</v>
      </c>
      <c r="BH22" s="106">
        <f t="shared" si="28"/>
        <v>913052.28844983876</v>
      </c>
      <c r="BI22" s="105">
        <f>BG22*'Baseline Given'!K23/'Baseline Given'!L23</f>
        <v>-2166710.0947284303</v>
      </c>
      <c r="BJ22" s="105">
        <f>BH22/'Baseline Given'!M23</f>
        <v>90839.113874515708</v>
      </c>
      <c r="BK22" s="105">
        <f t="shared" si="29"/>
        <v>-2.0758709808539146</v>
      </c>
      <c r="BM22" s="105">
        <f t="shared" si="30"/>
        <v>-322576.03563530417</v>
      </c>
      <c r="BN22" s="106">
        <f t="shared" si="31"/>
        <v>810997.70891476516</v>
      </c>
      <c r="BO22" s="105">
        <f>BM22*'Baseline Given'!K23/'Baseline Given'!L23</f>
        <v>-2104082.5393058495</v>
      </c>
      <c r="BP22" s="105">
        <f>BN22/'Baseline Given'!M23</f>
        <v>80685.754982505576</v>
      </c>
      <c r="BQ22" s="105">
        <f t="shared" si="32"/>
        <v>-2.023396784323344</v>
      </c>
      <c r="BS22" s="105">
        <f t="shared" si="33"/>
        <v>-324182.71143274539</v>
      </c>
      <c r="BT22" s="106">
        <f t="shared" si="34"/>
        <v>775680</v>
      </c>
      <c r="BU22" s="105">
        <f>BS22*'Baseline Given'!K23/'Baseline Given'!L23</f>
        <v>-2114562.4823836526</v>
      </c>
      <c r="BV22" s="105">
        <f>BT22/'Baseline Given'!M23</f>
        <v>77172.013850174349</v>
      </c>
      <c r="BW22" s="105">
        <f t="shared" si="35"/>
        <v>-2.037390468533478</v>
      </c>
      <c r="BY22" s="104">
        <v>150</v>
      </c>
      <c r="BZ22" s="104">
        <v>-150</v>
      </c>
    </row>
    <row r="23" spans="1:78" ht="15" customHeight="1" x14ac:dyDescent="0.25">
      <c r="A23" s="18">
        <f>'Baseline Given'!E24</f>
        <v>21</v>
      </c>
      <c r="B23" s="18">
        <f t="shared" si="36"/>
        <v>47</v>
      </c>
      <c r="C23" s="18">
        <f t="shared" si="0"/>
        <v>23.5</v>
      </c>
      <c r="D23" s="18">
        <f t="shared" si="37"/>
        <v>21</v>
      </c>
      <c r="E23" s="18">
        <f>E22-1</f>
        <v>6.75</v>
      </c>
      <c r="F23" s="18">
        <f t="shared" ref="F23:F49" si="44">F22-1</f>
        <v>26.75</v>
      </c>
      <c r="G23" s="18">
        <f t="shared" ref="G23:G49" si="45">G22-1</f>
        <v>47</v>
      </c>
      <c r="I23" s="104">
        <f t="shared" si="41"/>
        <v>20</v>
      </c>
      <c r="J23" s="109">
        <f t="shared" si="42"/>
        <v>0.3490658503988659</v>
      </c>
      <c r="K23" s="111">
        <f t="shared" si="1"/>
        <v>25.822520821087988</v>
      </c>
      <c r="L23" s="103">
        <f t="shared" si="2"/>
        <v>37116994.003832266</v>
      </c>
      <c r="M23" s="103">
        <f t="shared" si="3"/>
        <v>2874776.9639531579</v>
      </c>
      <c r="N23" s="109">
        <f t="shared" si="4"/>
        <v>1017423.9943773188</v>
      </c>
      <c r="O23" s="104">
        <f t="shared" si="5"/>
        <v>2701406.6994320997</v>
      </c>
      <c r="Q23" s="105">
        <f t="shared" si="6"/>
        <v>322441.60325439833</v>
      </c>
      <c r="R23" s="106">
        <f t="shared" si="7"/>
        <v>30704331.134197064</v>
      </c>
      <c r="S23" s="105">
        <f>Q23*'Baseline Given'!K24/'Baseline Given'!L24</f>
        <v>2118836.431174974</v>
      </c>
      <c r="T23" s="105">
        <f>R23/'Baseline Given'!M24</f>
        <v>3088735.2489214861</v>
      </c>
      <c r="U23" s="105">
        <f t="shared" si="8"/>
        <v>5.2075716800964607</v>
      </c>
      <c r="W23" s="105">
        <f t="shared" si="9"/>
        <v>-1637537.846332062</v>
      </c>
      <c r="X23" s="105">
        <f t="shared" si="43"/>
        <v>7265443.7500326633</v>
      </c>
      <c r="Y23" s="105">
        <f>W23*'Baseline Given'!K24/'Baseline Given'!L24</f>
        <v>-10760630.176803496</v>
      </c>
      <c r="Z23" s="105">
        <f>X23/'Baseline Given'!M24</f>
        <v>730875.13653044251</v>
      </c>
      <c r="AA23" s="105">
        <f t="shared" si="11"/>
        <v>-10.029755040273054</v>
      </c>
      <c r="AC23" s="105">
        <f t="shared" si="12"/>
        <v>-636322.45646682009</v>
      </c>
      <c r="AD23" s="106">
        <f t="shared" si="13"/>
        <v>3615031.9929154422</v>
      </c>
      <c r="AE23" s="105">
        <f>AC23*'Baseline Given'!K24/'Baseline Given'!L24</f>
        <v>-4181418.244819059</v>
      </c>
      <c r="AF23" s="105">
        <f>AD23/'Baseline Given'!M24</f>
        <v>363658.03552909114</v>
      </c>
      <c r="AG23" s="105">
        <f t="shared" si="14"/>
        <v>-3.8177602092899678</v>
      </c>
      <c r="AI23" s="105">
        <f t="shared" si="15"/>
        <v>-351499.36894536577</v>
      </c>
      <c r="AJ23" s="106">
        <f t="shared" si="16"/>
        <v>2394259.9860204048</v>
      </c>
      <c r="AK23" s="105">
        <f>AI23*'Baseline Given'!K24/'Baseline Given'!L24</f>
        <v>-2309781.5571548613</v>
      </c>
      <c r="AL23" s="105">
        <f>AJ23/'Baseline Given'!M24</f>
        <v>240853.16112510976</v>
      </c>
      <c r="AM23" s="105">
        <f t="shared" si="17"/>
        <v>-2.0689283960297513</v>
      </c>
      <c r="AO23" s="105">
        <f t="shared" si="18"/>
        <v>-238880.7431349922</v>
      </c>
      <c r="AP23" s="106">
        <f t="shared" si="19"/>
        <v>1749336.7105688569</v>
      </c>
      <c r="AQ23" s="105">
        <f>AO23*'Baseline Given'!K24/'Baseline Given'!L24</f>
        <v>-1569739.1904519016</v>
      </c>
      <c r="AR23" s="105">
        <f>AP23/'Baseline Given'!M24</f>
        <v>175976.40986057877</v>
      </c>
      <c r="AS23" s="105">
        <f t="shared" si="20"/>
        <v>-1.3937627805913229</v>
      </c>
      <c r="AU23" s="105">
        <f t="shared" si="21"/>
        <v>-197896.97434142604</v>
      </c>
      <c r="AV23" s="106">
        <f t="shared" si="22"/>
        <v>1344176.220814642</v>
      </c>
      <c r="AW23" s="105">
        <f>AU23*'Baseline Given'!K24/'Baseline Given'!L24</f>
        <v>-1300425.6107828815</v>
      </c>
      <c r="AX23" s="105">
        <f>AV23/'Baseline Given'!M24</f>
        <v>135218.8541690188</v>
      </c>
      <c r="AY23" s="105">
        <f t="shared" si="23"/>
        <v>-1.1652067566138626</v>
      </c>
      <c r="BA23" s="105">
        <f t="shared" si="24"/>
        <v>-195521.77201875392</v>
      </c>
      <c r="BB23" s="106">
        <f t="shared" si="25"/>
        <v>1073870.2206598562</v>
      </c>
      <c r="BC23" s="105">
        <f>BA23*'Baseline Given'!K24/'Baseline Given'!L24</f>
        <v>-1284817.6211131413</v>
      </c>
      <c r="BD23" s="105">
        <f>BB23/'Baseline Given'!M24</f>
        <v>108027.13105269313</v>
      </c>
      <c r="BE23" s="105">
        <f t="shared" si="26"/>
        <v>-1.1767904900604482</v>
      </c>
      <c r="BG23" s="105">
        <f t="shared" ref="BG23:BG69" si="46">16160*B23*C23*COS($J$73)-($M$72/2)*E23*SIN($J$73)-($M$72/2)*F23*SIN($J$73)</f>
        <v>-217284.8420471428</v>
      </c>
      <c r="BH23" s="106">
        <f t="shared" si="28"/>
        <v>896892.28844983876</v>
      </c>
      <c r="BI23" s="105">
        <f>BG23*'Baseline Given'!K24/'Baseline Given'!L24</f>
        <v>-1427827.6581708626</v>
      </c>
      <c r="BJ23" s="105">
        <f>BH23/'Baseline Given'!M24</f>
        <v>90223.845414938332</v>
      </c>
      <c r="BK23" s="105">
        <f t="shared" si="29"/>
        <v>-1.3376038127559242</v>
      </c>
      <c r="BM23" s="105">
        <f t="shared" si="30"/>
        <v>-255571.69633358205</v>
      </c>
      <c r="BN23" s="106">
        <f t="shared" si="31"/>
        <v>794837.70891476516</v>
      </c>
      <c r="BO23" s="105">
        <f>BM23*'Baseline Given'!K24/'Baseline Given'!L24</f>
        <v>-1679419.2049142607</v>
      </c>
      <c r="BP23" s="105">
        <f>BN23/'Baseline Given'!M24</f>
        <v>79957.555107354783</v>
      </c>
      <c r="BQ23" s="105">
        <f t="shared" si="32"/>
        <v>-1.5994616498069059</v>
      </c>
      <c r="BS23" s="105">
        <f t="shared" si="33"/>
        <v>-305918.89670414</v>
      </c>
      <c r="BT23" s="106">
        <f t="shared" si="34"/>
        <v>759520</v>
      </c>
      <c r="BU23" s="105">
        <f>BS23*'Baseline Given'!K24/'Baseline Given'!L24</f>
        <v>-2010262.0033500397</v>
      </c>
      <c r="BV23" s="105">
        <f>BT23/'Baseline Given'!M24</f>
        <v>76404.732153504883</v>
      </c>
      <c r="BW23" s="105">
        <f t="shared" si="35"/>
        <v>-1.9338572711965349</v>
      </c>
      <c r="BY23" s="104">
        <v>150</v>
      </c>
      <c r="BZ23" s="104">
        <v>-150</v>
      </c>
    </row>
    <row r="24" spans="1:78" ht="15" customHeight="1" x14ac:dyDescent="0.25">
      <c r="A24" s="18">
        <f>'Baseline Given'!E25</f>
        <v>22</v>
      </c>
      <c r="B24" s="18">
        <f t="shared" si="36"/>
        <v>46</v>
      </c>
      <c r="C24" s="18">
        <f t="shared" si="0"/>
        <v>23</v>
      </c>
      <c r="D24" s="18">
        <f t="shared" si="37"/>
        <v>22</v>
      </c>
      <c r="E24" s="18">
        <f t="shared" ref="E24:E29" si="47">E23-1</f>
        <v>5.75</v>
      </c>
      <c r="F24" s="18">
        <f t="shared" si="44"/>
        <v>25.75</v>
      </c>
      <c r="G24" s="18">
        <f t="shared" si="45"/>
        <v>46</v>
      </c>
      <c r="I24" s="104">
        <f t="shared" si="41"/>
        <v>21</v>
      </c>
      <c r="J24" s="104">
        <f t="shared" si="42"/>
        <v>0.36651914291880922</v>
      </c>
      <c r="K24" s="111">
        <f t="shared" si="1"/>
        <v>27.056780190670171</v>
      </c>
      <c r="L24" s="103">
        <f t="shared" si="2"/>
        <v>36875567.95264709</v>
      </c>
      <c r="M24" s="103">
        <f t="shared" si="3"/>
        <v>2725791.2946613412</v>
      </c>
      <c r="N24" s="104">
        <f t="shared" si="4"/>
        <v>1010806.1993770504</v>
      </c>
      <c r="O24" s="104">
        <f t="shared" si="5"/>
        <v>2544745.3994122948</v>
      </c>
      <c r="Q24" s="105">
        <f t="shared" si="6"/>
        <v>617155.20729038492</v>
      </c>
      <c r="R24" s="106">
        <f t="shared" si="7"/>
        <v>30688171.134197064</v>
      </c>
      <c r="S24" s="105">
        <f>Q24*'Baseline Given'!K25/'Baseline Given'!L25</f>
        <v>4085831.3170096441</v>
      </c>
      <c r="T24" s="105">
        <f>R24/'Baseline Given'!M25</f>
        <v>3121638.2220677165</v>
      </c>
      <c r="U24" s="105">
        <f t="shared" si="8"/>
        <v>7.2074695390773602</v>
      </c>
      <c r="W24" s="105">
        <f t="shared" si="9"/>
        <v>-1230391.8926928043</v>
      </c>
      <c r="X24" s="105">
        <f t="shared" si="43"/>
        <v>7249283.7500326633</v>
      </c>
      <c r="Y24" s="105">
        <f>W24*'Baseline Given'!K25/'Baseline Given'!L25</f>
        <v>-8145720.3438836671</v>
      </c>
      <c r="Z24" s="105">
        <f>X24/'Baseline Given'!M25</f>
        <v>737405.99065870151</v>
      </c>
      <c r="AA24" s="105">
        <f t="shared" si="11"/>
        <v>-7.4083143532249656</v>
      </c>
      <c r="AC24" s="105">
        <f t="shared" si="12"/>
        <v>-303123.71041879803</v>
      </c>
      <c r="AD24" s="106">
        <f t="shared" si="13"/>
        <v>3598871.9929154422</v>
      </c>
      <c r="AE24" s="105">
        <f>AC24*'Baseline Given'!K25/'Baseline Given'!L25</f>
        <v>-2006808.5537104458</v>
      </c>
      <c r="AF24" s="105">
        <f>AD24/'Baseline Given'!M25</f>
        <v>366081.6514704242</v>
      </c>
      <c r="AG24" s="105">
        <f t="shared" si="14"/>
        <v>-1.6407269022400217</v>
      </c>
      <c r="AI24" s="105">
        <f t="shared" si="15"/>
        <v>-58447.927381221205</v>
      </c>
      <c r="AJ24" s="106">
        <f t="shared" si="16"/>
        <v>2378099.9860204048</v>
      </c>
      <c r="AK24" s="105">
        <f>AI24*'Baseline Given'!K25/'Baseline Given'!L25</f>
        <v>-386950.26678456686</v>
      </c>
      <c r="AL24" s="105">
        <f>AJ24/'Baseline Given'!M25</f>
        <v>241903.23300131815</v>
      </c>
      <c r="AM24" s="105">
        <f t="shared" si="17"/>
        <v>-0.14504703378324871</v>
      </c>
      <c r="AO24" s="105">
        <f t="shared" si="18"/>
        <v>16037.657299119979</v>
      </c>
      <c r="AP24" s="106">
        <f t="shared" si="19"/>
        <v>1733176.7105688569</v>
      </c>
      <c r="AQ24" s="105">
        <f>AO24*'Baseline Given'!K25/'Baseline Given'!L25</f>
        <v>106176.1477018224</v>
      </c>
      <c r="AR24" s="105">
        <f>AP24/'Baseline Given'!M25</f>
        <v>176300.85030646771</v>
      </c>
      <c r="AS24" s="105">
        <f t="shared" si="20"/>
        <v>0.28247699800829007</v>
      </c>
      <c r="AU24" s="105">
        <f t="shared" si="21"/>
        <v>15852.855824127793</v>
      </c>
      <c r="AV24" s="106">
        <f t="shared" si="22"/>
        <v>1328016.220814642</v>
      </c>
      <c r="AW24" s="105">
        <f>AU24*'Baseline Given'!K25/'Baseline Given'!L25</f>
        <v>104952.6829314808</v>
      </c>
      <c r="AX24" s="105">
        <f>AV24/'Baseline Given'!M25</f>
        <v>135087.43079841972</v>
      </c>
      <c r="AY24" s="105">
        <f t="shared" si="23"/>
        <v>0.2400401137299005</v>
      </c>
      <c r="BA24" s="105">
        <f t="shared" si="24"/>
        <v>-26771.218465396203</v>
      </c>
      <c r="BB24" s="106">
        <f t="shared" si="25"/>
        <v>1057710.2206598562</v>
      </c>
      <c r="BC24" s="105">
        <f>BA24*'Baseline Given'!K25/'Baseline Given'!L25</f>
        <v>-177236.9114094759</v>
      </c>
      <c r="BD24" s="105">
        <f>BB24/'Baseline Given'!M25</f>
        <v>107591.5745596247</v>
      </c>
      <c r="BE24" s="105">
        <f t="shared" si="26"/>
        <v>-6.9645336849851205E-2</v>
      </c>
      <c r="BG24" s="105">
        <f t="shared" si="46"/>
        <v>-96865.197973042727</v>
      </c>
      <c r="BH24" s="106">
        <f t="shared" si="28"/>
        <v>880732.28844983876</v>
      </c>
      <c r="BI24" s="105">
        <f>BG24*'Baseline Given'!K25/'Baseline Given'!L25</f>
        <v>-641289.02216387913</v>
      </c>
      <c r="BJ24" s="105">
        <f>BH24/'Baseline Given'!M25</f>
        <v>89589.163297206062</v>
      </c>
      <c r="BK24" s="105">
        <f t="shared" si="29"/>
        <v>-0.55169985886667305</v>
      </c>
      <c r="BM24" s="105">
        <f t="shared" si="30"/>
        <v>-185761.2024807618</v>
      </c>
      <c r="BN24" s="106">
        <f t="shared" si="31"/>
        <v>778677.70891476516</v>
      </c>
      <c r="BO24" s="105">
        <f>BM24*'Baseline Given'!K25/'Baseline Given'!L25</f>
        <v>-1229818.5766164092</v>
      </c>
      <c r="BP24" s="105">
        <f>BN24/'Baseline Given'!M25</f>
        <v>79208.046911331505</v>
      </c>
      <c r="BQ24" s="105">
        <f t="shared" si="32"/>
        <v>-1.1506105297050777</v>
      </c>
      <c r="BS24" s="105">
        <f t="shared" si="33"/>
        <v>-287655.08197553456</v>
      </c>
      <c r="BT24" s="106">
        <f t="shared" si="34"/>
        <v>743360</v>
      </c>
      <c r="BU24" s="105">
        <f>BS24*'Baseline Given'!K25/'Baseline Given'!L25</f>
        <v>-1904399.6203042755</v>
      </c>
      <c r="BV24" s="105">
        <f>BT24/'Baseline Given'!M25</f>
        <v>75615.486455966427</v>
      </c>
      <c r="BW24" s="105">
        <f t="shared" si="35"/>
        <v>-1.8287841338483091</v>
      </c>
      <c r="BY24" s="104">
        <v>150</v>
      </c>
      <c r="BZ24" s="104">
        <v>-150</v>
      </c>
    </row>
    <row r="25" spans="1:78" ht="15" customHeight="1" x14ac:dyDescent="0.25">
      <c r="A25" s="18">
        <f>'Baseline Given'!E26</f>
        <v>23</v>
      </c>
      <c r="B25" s="18">
        <f t="shared" si="36"/>
        <v>45</v>
      </c>
      <c r="C25" s="18">
        <f t="shared" si="0"/>
        <v>22.5</v>
      </c>
      <c r="D25" s="18">
        <f t="shared" si="37"/>
        <v>23</v>
      </c>
      <c r="E25" s="18">
        <f t="shared" si="47"/>
        <v>4.75</v>
      </c>
      <c r="F25" s="18">
        <f t="shared" si="44"/>
        <v>24.75</v>
      </c>
      <c r="G25" s="18">
        <f t="shared" si="45"/>
        <v>45</v>
      </c>
      <c r="I25" s="104">
        <f t="shared" si="41"/>
        <v>22</v>
      </c>
      <c r="J25" s="104">
        <f t="shared" si="42"/>
        <v>0.38397243543875248</v>
      </c>
      <c r="K25" s="111">
        <f t="shared" si="1"/>
        <v>28.282797802901356</v>
      </c>
      <c r="L25" s="103">
        <f t="shared" si="2"/>
        <v>36622909.246241905</v>
      </c>
      <c r="M25" s="103">
        <f t="shared" si="3"/>
        <v>2589765.6590738692</v>
      </c>
      <c r="N25" s="104">
        <f t="shared" si="4"/>
        <v>1003880.5030165522</v>
      </c>
      <c r="O25" s="104">
        <f t="shared" si="5"/>
        <v>2401188.9062048066</v>
      </c>
      <c r="Q25" s="105">
        <f t="shared" si="6"/>
        <v>928018.96709100157</v>
      </c>
      <c r="R25" s="106">
        <f t="shared" si="7"/>
        <v>30672011.134197064</v>
      </c>
      <c r="S25" s="105">
        <f>Q25*'Baseline Given'!K26/'Baseline Given'!L26</f>
        <v>6190231.7959562987</v>
      </c>
      <c r="T25" s="105">
        <f>R25/'Baseline Given'!M26</f>
        <v>3155087.0717910822</v>
      </c>
      <c r="U25" s="105">
        <f t="shared" si="8"/>
        <v>9.3453188677473822</v>
      </c>
      <c r="W25" s="105">
        <f t="shared" si="9"/>
        <v>-807331.44576486573</v>
      </c>
      <c r="X25" s="105">
        <f t="shared" si="43"/>
        <v>7233123.7500326633</v>
      </c>
      <c r="Y25" s="105">
        <f>W25*'Baseline Given'!K26/'Baseline Given'!L26</f>
        <v>-5385201.1248375466</v>
      </c>
      <c r="Z25" s="105">
        <f>X25/'Baseline Given'!M26</f>
        <v>744037.7852154983</v>
      </c>
      <c r="AA25" s="105">
        <f t="shared" si="11"/>
        <v>-4.6411633396220484</v>
      </c>
      <c r="AC25" s="105">
        <f t="shared" si="12"/>
        <v>45260.468381121755</v>
      </c>
      <c r="AD25" s="106">
        <f t="shared" si="13"/>
        <v>3582711.9929154422</v>
      </c>
      <c r="AE25" s="105">
        <f>AC25*'Baseline Given'!K26/'Baseline Given'!L26</f>
        <v>301904.16403980769</v>
      </c>
      <c r="AF25" s="105">
        <f>AD25/'Baseline Given'!M26</f>
        <v>368536.91273590777</v>
      </c>
      <c r="AG25" s="105">
        <f t="shared" si="14"/>
        <v>0.67044107677571541</v>
      </c>
      <c r="AI25" s="105">
        <f t="shared" si="15"/>
        <v>248598.48470808566</v>
      </c>
      <c r="AJ25" s="106">
        <f t="shared" si="16"/>
        <v>2361939.9860204048</v>
      </c>
      <c r="AK25" s="105">
        <f>AI25*'Baseline Given'!K26/'Baseline Given'!L26</f>
        <v>1658244.3883559599</v>
      </c>
      <c r="AL25" s="105">
        <f>AJ25/'Baseline Given'!M26</f>
        <v>242961.77650805586</v>
      </c>
      <c r="AM25" s="105">
        <f t="shared" si="17"/>
        <v>1.9012061648640157</v>
      </c>
      <c r="AO25" s="105">
        <f t="shared" si="18"/>
        <v>283335.33593403362</v>
      </c>
      <c r="AP25" s="106">
        <f t="shared" si="19"/>
        <v>1717016.7105688569</v>
      </c>
      <c r="AQ25" s="105">
        <f>AO25*'Baseline Given'!K26/'Baseline Given'!L26</f>
        <v>1889952.1104775281</v>
      </c>
      <c r="AR25" s="105">
        <f>AP25/'Baseline Given'!M26</f>
        <v>176621.51992130419</v>
      </c>
      <c r="AS25" s="105">
        <f t="shared" si="20"/>
        <v>2.0665736303988322</v>
      </c>
      <c r="AU25" s="105">
        <f t="shared" si="21"/>
        <v>239990.13376221061</v>
      </c>
      <c r="AV25" s="106">
        <f t="shared" si="22"/>
        <v>1311856.220814642</v>
      </c>
      <c r="AW25" s="105">
        <f>AU25*'Baseline Given'!K26/'Baseline Given'!L26</f>
        <v>1600823.4846615626</v>
      </c>
      <c r="AX25" s="105">
        <f>AV25/'Baseline Given'!M26</f>
        <v>134944.54550866658</v>
      </c>
      <c r="AY25" s="105">
        <f t="shared" si="23"/>
        <v>1.7357680301702292</v>
      </c>
      <c r="BA25" s="105">
        <f t="shared" si="24"/>
        <v>150059.33508796245</v>
      </c>
      <c r="BB25" s="106">
        <f t="shared" si="25"/>
        <v>1041550.2206598562</v>
      </c>
      <c r="BC25" s="105">
        <f>BA25*'Baseline Given'!K26/'Baseline Given'!L26</f>
        <v>1000951.5971999284</v>
      </c>
      <c r="BD25" s="105">
        <f>BB25/'Baseline Given'!M26</f>
        <v>107139.42497762096</v>
      </c>
      <c r="BE25" s="105">
        <f t="shared" si="26"/>
        <v>1.1080910221775493</v>
      </c>
      <c r="BG25" s="105">
        <f t="shared" si="46"/>
        <v>29081.491617197171</v>
      </c>
      <c r="BH25" s="106">
        <f t="shared" si="28"/>
        <v>864572.28844983876</v>
      </c>
      <c r="BI25" s="105">
        <f>BG25*'Baseline Given'!K26/'Baseline Given'!L26</f>
        <v>193984.36935713794</v>
      </c>
      <c r="BJ25" s="105">
        <f>BH25/'Baseline Given'!M26</f>
        <v>88934.528550546092</v>
      </c>
      <c r="BK25" s="105">
        <f t="shared" si="29"/>
        <v>0.28291889790768404</v>
      </c>
      <c r="BM25" s="105">
        <f t="shared" si="30"/>
        <v>-113144.5540768439</v>
      </c>
      <c r="BN25" s="106">
        <f t="shared" si="31"/>
        <v>762517.70891476516</v>
      </c>
      <c r="BO25" s="105">
        <f>BM25*'Baseline Given'!K26/'Baseline Given'!L26</f>
        <v>-754716.27307493985</v>
      </c>
      <c r="BP25" s="105">
        <f>BN25/'Baseline Given'!M26</f>
        <v>78436.648802804717</v>
      </c>
      <c r="BQ25" s="105">
        <f t="shared" si="32"/>
        <v>-0.67627962427213506</v>
      </c>
      <c r="BS25" s="105">
        <f t="shared" si="33"/>
        <v>-269391.26724692917</v>
      </c>
      <c r="BT25" s="106">
        <f t="shared" si="34"/>
        <v>727200</v>
      </c>
      <c r="BU25" s="105">
        <f>BS25*'Baseline Given'!K26/'Baseline Given'!L26</f>
        <v>-1796939.984203337</v>
      </c>
      <c r="BV25" s="105">
        <f>BT25/'Baseline Given'!M26</f>
        <v>74803.680416260948</v>
      </c>
      <c r="BW25" s="105">
        <f t="shared" si="35"/>
        <v>-1.7221363037870761</v>
      </c>
      <c r="BY25" s="104">
        <v>150</v>
      </c>
      <c r="BZ25" s="104">
        <v>-150</v>
      </c>
    </row>
    <row r="26" spans="1:78" ht="15" customHeight="1" x14ac:dyDescent="0.25">
      <c r="A26" s="18">
        <f>'Baseline Given'!E27</f>
        <v>24</v>
      </c>
      <c r="B26" s="18">
        <f t="shared" si="36"/>
        <v>44</v>
      </c>
      <c r="C26" s="18">
        <f t="shared" si="0"/>
        <v>22</v>
      </c>
      <c r="D26" s="18">
        <f t="shared" si="37"/>
        <v>24</v>
      </c>
      <c r="E26" s="18">
        <f t="shared" si="47"/>
        <v>3.75</v>
      </c>
      <c r="F26" s="18">
        <f t="shared" si="44"/>
        <v>23.75</v>
      </c>
      <c r="G26" s="18">
        <f t="shared" si="45"/>
        <v>44</v>
      </c>
      <c r="I26" s="104">
        <f t="shared" si="41"/>
        <v>23</v>
      </c>
      <c r="J26" s="104">
        <f t="shared" si="42"/>
        <v>0.40142572795869574</v>
      </c>
      <c r="K26" s="111">
        <f t="shared" si="1"/>
        <v>29.500200200940164</v>
      </c>
      <c r="L26" s="103">
        <f t="shared" si="2"/>
        <v>36359094.846906215</v>
      </c>
      <c r="M26" s="103">
        <f t="shared" si="3"/>
        <v>2465006.650751303</v>
      </c>
      <c r="N26" s="104">
        <f t="shared" si="4"/>
        <v>996649.01493002626</v>
      </c>
      <c r="O26" s="104">
        <f t="shared" si="5"/>
        <v>2269050.585809119</v>
      </c>
      <c r="Q26" s="105">
        <f t="shared" si="6"/>
        <v>1255032.8826562446</v>
      </c>
      <c r="R26" s="106">
        <f t="shared" si="7"/>
        <v>30655851.134197064</v>
      </c>
      <c r="S26" s="105">
        <f>Q26*'Baseline Given'!K27/'Baseline Given'!L27</f>
        <v>8435171.2725875676</v>
      </c>
      <c r="T26" s="105">
        <f>R26/'Baseline Given'!M27</f>
        <v>3189094.042584599</v>
      </c>
      <c r="U26" s="105">
        <f t="shared" si="8"/>
        <v>11.624265315172165</v>
      </c>
      <c r="W26" s="105">
        <f t="shared" si="9"/>
        <v>-368356.50554825179</v>
      </c>
      <c r="X26" s="105">
        <f t="shared" si="43"/>
        <v>7216963.7500326633</v>
      </c>
      <c r="Y26" s="105">
        <f>W26*'Baseline Given'!K27/'Baseline Given'!L27</f>
        <v>-2475752.0353531721</v>
      </c>
      <c r="Z26" s="105">
        <f>X26/'Baseline Given'!M27</f>
        <v>750772.69915053679</v>
      </c>
      <c r="AA26" s="105">
        <f t="shared" si="11"/>
        <v>-1.7249793362026353</v>
      </c>
      <c r="AC26" s="105">
        <f t="shared" si="12"/>
        <v>408830.07993294299</v>
      </c>
      <c r="AD26" s="106">
        <f t="shared" si="13"/>
        <v>3566551.9929154422</v>
      </c>
      <c r="AE26" s="105">
        <f>AC26*'Baseline Given'!K27/'Baseline Given'!L27</f>
        <v>2747778.001100074</v>
      </c>
      <c r="AF26" s="105">
        <f>AD26/'Baseline Given'!M27</f>
        <v>371024.43065059511</v>
      </c>
      <c r="AG26" s="105">
        <f t="shared" si="14"/>
        <v>3.1188024317506691</v>
      </c>
      <c r="AI26" s="105">
        <f t="shared" si="15"/>
        <v>569639.86732254364</v>
      </c>
      <c r="AJ26" s="106">
        <f t="shared" si="16"/>
        <v>2345779.9860204048</v>
      </c>
      <c r="AK26" s="105">
        <f>AI26*'Baseline Given'!K27/'Baseline Given'!L27</f>
        <v>3828592.7890510992</v>
      </c>
      <c r="AL26" s="105">
        <f>AJ26/'Baseline Given'!M27</f>
        <v>244028.87872477909</v>
      </c>
      <c r="AM26" s="105">
        <f t="shared" si="17"/>
        <v>4.072621667775878</v>
      </c>
      <c r="AO26" s="105">
        <f t="shared" si="18"/>
        <v>563012.29276975058</v>
      </c>
      <c r="AP26" s="106">
        <f t="shared" si="19"/>
        <v>1700856.7105688569</v>
      </c>
      <c r="AQ26" s="105">
        <f>AO26*'Baseline Given'!K27/'Baseline Given'!L27</f>
        <v>3784048.3573894119</v>
      </c>
      <c r="AR26" s="105">
        <f>AP26/'Baseline Given'!M27</f>
        <v>176938.22883013714</v>
      </c>
      <c r="AS26" s="105">
        <f t="shared" si="20"/>
        <v>3.960986586219549</v>
      </c>
      <c r="AU26" s="105">
        <f t="shared" si="21"/>
        <v>474514.85947282892</v>
      </c>
      <c r="AV26" s="106">
        <f t="shared" si="22"/>
        <v>1295696.220814642</v>
      </c>
      <c r="AW26" s="105">
        <f>AU26*'Baseline Given'!K27/'Baseline Given'!L27</f>
        <v>3189250.390451686</v>
      </c>
      <c r="AX26" s="105">
        <f>AV26/'Baseline Given'!M27</f>
        <v>134789.83443359489</v>
      </c>
      <c r="AY26" s="105">
        <f t="shared" si="23"/>
        <v>3.3240402248852807</v>
      </c>
      <c r="BA26" s="105">
        <f t="shared" si="24"/>
        <v>334969.8886413211</v>
      </c>
      <c r="BB26" s="106">
        <f t="shared" si="25"/>
        <v>1025390.2206598562</v>
      </c>
      <c r="BC26" s="105">
        <f>BA26*'Baseline Given'!K27/'Baseline Given'!L27</f>
        <v>2251358.0487779495</v>
      </c>
      <c r="BD26" s="105">
        <f>BB26/'Baseline Given'!M27</f>
        <v>106670.20236091397</v>
      </c>
      <c r="BE26" s="105">
        <f t="shared" si="26"/>
        <v>2.3580282511388635</v>
      </c>
      <c r="BG26" s="105">
        <f t="shared" si="46"/>
        <v>160555.22672358155</v>
      </c>
      <c r="BH26" s="106">
        <f t="shared" si="28"/>
        <v>848412.28844983876</v>
      </c>
      <c r="BI26" s="105">
        <f>BG26*'Baseline Given'!K27/'Baseline Given'!L27</f>
        <v>1079103.8663912732</v>
      </c>
      <c r="BJ26" s="105">
        <f>BH26/'Baseline Given'!M27</f>
        <v>88259.385228183586</v>
      </c>
      <c r="BK26" s="105">
        <f t="shared" si="29"/>
        <v>1.1673632516194568</v>
      </c>
      <c r="BM26" s="105">
        <f t="shared" si="30"/>
        <v>-37721.751121828798</v>
      </c>
      <c r="BN26" s="106">
        <f t="shared" si="31"/>
        <v>746357.70891476516</v>
      </c>
      <c r="BO26" s="105">
        <f>BM26*'Baseline Given'!K27/'Baseline Given'!L27</f>
        <v>-253530.75270913096</v>
      </c>
      <c r="BP26" s="105">
        <f>BN26/'Baseline Given'!M27</f>
        <v>77642.761008909438</v>
      </c>
      <c r="BQ26" s="105">
        <f t="shared" si="32"/>
        <v>-0.17588799170022151</v>
      </c>
      <c r="BS26" s="105">
        <f t="shared" si="33"/>
        <v>-251127.45251832381</v>
      </c>
      <c r="BT26" s="106">
        <f t="shared" si="34"/>
        <v>711040</v>
      </c>
      <c r="BU26" s="105">
        <f>BS26*'Baseline Given'!K27/'Baseline Given'!L27</f>
        <v>-1687846.6712022156</v>
      </c>
      <c r="BV26" s="105">
        <f>BT26/'Baseline Given'!M27</f>
        <v>73968.69909476566</v>
      </c>
      <c r="BW26" s="105">
        <f t="shared" si="35"/>
        <v>-1.6138779721074501</v>
      </c>
      <c r="BY26" s="104">
        <v>150</v>
      </c>
      <c r="BZ26" s="104">
        <v>-150</v>
      </c>
    </row>
    <row r="27" spans="1:78" ht="15" customHeight="1" x14ac:dyDescent="0.25">
      <c r="A27" s="18">
        <f>'Baseline Given'!E28</f>
        <v>25</v>
      </c>
      <c r="B27" s="18">
        <f t="shared" si="36"/>
        <v>43</v>
      </c>
      <c r="C27" s="18">
        <f t="shared" si="0"/>
        <v>21.5</v>
      </c>
      <c r="D27" s="18">
        <f t="shared" si="37"/>
        <v>25</v>
      </c>
      <c r="E27" s="18">
        <f t="shared" si="47"/>
        <v>2.75</v>
      </c>
      <c r="F27" s="18">
        <f t="shared" si="44"/>
        <v>22.75</v>
      </c>
      <c r="G27" s="18">
        <f t="shared" si="45"/>
        <v>43</v>
      </c>
      <c r="I27" s="104">
        <f t="shared" si="41"/>
        <v>24</v>
      </c>
      <c r="J27" s="104">
        <f t="shared" si="42"/>
        <v>0.41887902047863906</v>
      </c>
      <c r="K27" s="111">
        <f t="shared" si="1"/>
        <v>30.70861655222291</v>
      </c>
      <c r="L27" s="103">
        <f t="shared" si="2"/>
        <v>36084205.1150617</v>
      </c>
      <c r="M27" s="103">
        <f t="shared" si="3"/>
        <v>2350102.9461029018</v>
      </c>
      <c r="N27" s="104">
        <f t="shared" si="4"/>
        <v>989113.93789879675</v>
      </c>
      <c r="O27" s="104">
        <f t="shared" si="5"/>
        <v>2146925.8714048001</v>
      </c>
      <c r="Q27" s="105">
        <f t="shared" si="6"/>
        <v>1598196.9539861176</v>
      </c>
      <c r="R27" s="106">
        <f t="shared" si="7"/>
        <v>30639691.134197064</v>
      </c>
      <c r="S27" s="105">
        <f>Q27*'Baseline Given'!K28/'Baseline Given'!L28</f>
        <v>10823879.153658777</v>
      </c>
      <c r="T27" s="105">
        <f>R27/'Baseline Given'!M28</f>
        <v>3223671.72537586</v>
      </c>
      <c r="U27" s="105">
        <f t="shared" si="8"/>
        <v>14.047550879034638</v>
      </c>
      <c r="W27" s="105">
        <f t="shared" si="9"/>
        <v>86532.927957041189</v>
      </c>
      <c r="X27" s="105">
        <f t="shared" si="43"/>
        <v>7200803.7500326633</v>
      </c>
      <c r="Y27" s="105">
        <f>W27*'Baseline Given'!K28/'Baseline Given'!L28</f>
        <v>586049.14286891499</v>
      </c>
      <c r="Z27" s="105">
        <f>X27/'Baseline Given'!M28</f>
        <v>757612.97159593808</v>
      </c>
      <c r="AA27" s="105">
        <f t="shared" si="11"/>
        <v>1.3436621144648531</v>
      </c>
      <c r="AC27" s="105">
        <f t="shared" si="12"/>
        <v>787585.12423666567</v>
      </c>
      <c r="AD27" s="106">
        <f t="shared" si="13"/>
        <v>3550391.9929154422</v>
      </c>
      <c r="AE27" s="106">
        <f>AC27*'Baseline Given'!K28/'Baseline Given'!L28</f>
        <v>5333964.7448927946</v>
      </c>
      <c r="AF27" s="105">
        <f>AD27/'Baseline Given'!M28</f>
        <v>373544.83214056375</v>
      </c>
      <c r="AG27" s="105">
        <f t="shared" si="14"/>
        <v>5.7075095770333588</v>
      </c>
      <c r="AI27" s="105">
        <f t="shared" si="15"/>
        <v>904676.22046216018</v>
      </c>
      <c r="AJ27" s="106">
        <f t="shared" si="16"/>
        <v>2329619.9860204048</v>
      </c>
      <c r="AK27" s="105">
        <f>AI27*'Baseline Given'!K28/'Baseline Given'!L28</f>
        <v>6126970.8086030083</v>
      </c>
      <c r="AL27" s="105">
        <f>AJ27/'Baseline Given'!M28</f>
        <v>245104.62742304298</v>
      </c>
      <c r="AM27" s="105">
        <f t="shared" si="17"/>
        <v>6.3720754360260514</v>
      </c>
      <c r="AO27" s="105">
        <f t="shared" si="18"/>
        <v>855068.52780627087</v>
      </c>
      <c r="AP27" s="106">
        <f t="shared" si="19"/>
        <v>1684696.7105688569</v>
      </c>
      <c r="AQ27" s="105">
        <f>AO27*'Baseline Given'!K28/'Baseline Given'!L28</f>
        <v>5790999.9077325165</v>
      </c>
      <c r="AR27" s="105">
        <f>AP27/'Baseline Given'!M28</f>
        <v>177250.77997385836</v>
      </c>
      <c r="AS27" s="105">
        <f t="shared" si="20"/>
        <v>5.9682506877063748</v>
      </c>
      <c r="AU27" s="105">
        <f t="shared" si="21"/>
        <v>719427.03295598272</v>
      </c>
      <c r="AV27" s="106">
        <f t="shared" si="22"/>
        <v>1279536.220814642</v>
      </c>
      <c r="AW27" s="105">
        <f>AU27*'Baseline Given'!K28/'Baseline Given'!L28</f>
        <v>4872360.2214164194</v>
      </c>
      <c r="AX27" s="105">
        <f>AV27/'Baseline Given'!M28</f>
        <v>134622.92157477839</v>
      </c>
      <c r="AY27" s="105">
        <f t="shared" si="23"/>
        <v>5.0069831429911984</v>
      </c>
      <c r="BA27" s="105">
        <f t="shared" si="24"/>
        <v>527960.44219467975</v>
      </c>
      <c r="BB27" s="106">
        <f t="shared" si="25"/>
        <v>1009230.2206598562</v>
      </c>
      <c r="BC27" s="105">
        <f>BA27*'Baseline Given'!K28/'Baseline Given'!L28</f>
        <v>3575641.9194608866</v>
      </c>
      <c r="BD27" s="105">
        <f>BB27/'Baseline Given'!M28</f>
        <v>106183.41133030735</v>
      </c>
      <c r="BE27" s="105">
        <f t="shared" si="26"/>
        <v>3.6818253307911939</v>
      </c>
      <c r="BG27" s="105">
        <f t="shared" si="46"/>
        <v>297556.00734610762</v>
      </c>
      <c r="BH27" s="106">
        <f t="shared" si="28"/>
        <v>832252.28844983876</v>
      </c>
      <c r="BI27" s="105">
        <f>BG27*'Baseline Given'!K28/'Baseline Given'!L28</f>
        <v>2015214.8688098728</v>
      </c>
      <c r="BJ27" s="105">
        <f>BH27/'Baseline Given'!M28</f>
        <v>87563.159788536403</v>
      </c>
      <c r="BK27" s="105">
        <f t="shared" si="29"/>
        <v>2.1027780285984092</v>
      </c>
      <c r="BM27" s="105">
        <f t="shared" si="30"/>
        <v>40507.206384283956</v>
      </c>
      <c r="BN27" s="106">
        <f t="shared" si="31"/>
        <v>730197.70891476516</v>
      </c>
      <c r="BO27" s="105">
        <f>BM27*'Baseline Given'!K28/'Baseline Given'!L28</f>
        <v>274337.3435059202</v>
      </c>
      <c r="BP27" s="105">
        <f>BN27/'Baseline Given'!M28</f>
        <v>76825.764915611217</v>
      </c>
      <c r="BQ27" s="105">
        <f t="shared" si="32"/>
        <v>0.35116310842153137</v>
      </c>
      <c r="BS27" s="105">
        <f t="shared" si="33"/>
        <v>-232863.63778971843</v>
      </c>
      <c r="BT27" s="106">
        <f t="shared" si="34"/>
        <v>694880</v>
      </c>
      <c r="BU27" s="105">
        <f>BS27*'Baseline Given'!K28/'Baseline Given'!L28</f>
        <v>-1577082.141491289</v>
      </c>
      <c r="BV27" s="105">
        <f>BT27/'Baseline Given'!M28</f>
        <v>73109.908279363604</v>
      </c>
      <c r="BW27" s="105">
        <f t="shared" si="35"/>
        <v>-1.5039722332119254</v>
      </c>
      <c r="BY27" s="104">
        <v>150</v>
      </c>
      <c r="BZ27" s="104">
        <v>-150</v>
      </c>
    </row>
    <row r="28" spans="1:78" ht="15" customHeight="1" x14ac:dyDescent="0.25">
      <c r="A28" s="18">
        <f>'Baseline Given'!E29</f>
        <v>26</v>
      </c>
      <c r="B28" s="18">
        <f t="shared" si="36"/>
        <v>42</v>
      </c>
      <c r="C28" s="18">
        <f t="shared" si="0"/>
        <v>21</v>
      </c>
      <c r="D28" s="18">
        <f t="shared" si="37"/>
        <v>26</v>
      </c>
      <c r="E28" s="18">
        <f t="shared" si="47"/>
        <v>1.75</v>
      </c>
      <c r="F28" s="18">
        <f t="shared" si="44"/>
        <v>21.75</v>
      </c>
      <c r="G28" s="18">
        <f t="shared" si="45"/>
        <v>42</v>
      </c>
      <c r="I28" s="104">
        <f t="shared" si="41"/>
        <v>25</v>
      </c>
      <c r="J28" s="104">
        <f t="shared" si="42"/>
        <v>0.43633231299858238</v>
      </c>
      <c r="K28" s="111">
        <f t="shared" si="1"/>
        <v>31.907678761422808</v>
      </c>
      <c r="L28" s="103">
        <f t="shared" si="2"/>
        <v>35798323.784783602</v>
      </c>
      <c r="M28" s="103">
        <f t="shared" si="3"/>
        <v>2243868.8851327337</v>
      </c>
      <c r="N28" s="104">
        <f t="shared" si="4"/>
        <v>981277.56718032167</v>
      </c>
      <c r="O28" s="104">
        <f t="shared" si="5"/>
        <v>2033635.8436850428</v>
      </c>
      <c r="Q28" s="105">
        <f t="shared" si="6"/>
        <v>1957511.1810806207</v>
      </c>
      <c r="R28" s="106">
        <f t="shared" si="7"/>
        <v>30623531.134197064</v>
      </c>
      <c r="S28" s="105">
        <f>Q28*'Baseline Given'!K29/'Baseline Given'!L29</f>
        <v>13359684.553166399</v>
      </c>
      <c r="T28" s="105">
        <f>R28/'Baseline Given'!M29</f>
        <v>3258833.0693764277</v>
      </c>
      <c r="U28" s="105">
        <f t="shared" si="8"/>
        <v>16.618517622542825</v>
      </c>
      <c r="W28" s="105">
        <f t="shared" si="9"/>
        <v>557336.85475100763</v>
      </c>
      <c r="X28" s="105">
        <f t="shared" si="43"/>
        <v>7184643.7500326633</v>
      </c>
      <c r="Y28" s="105">
        <f>W28*'Baseline Given'!K29/'Baseline Given'!L29</f>
        <v>3803730.2883843514</v>
      </c>
      <c r="Z28" s="105">
        <f>X28/'Baseline Given'!M29</f>
        <v>764560.9038909747</v>
      </c>
      <c r="AA28" s="105">
        <f t="shared" si="11"/>
        <v>4.5682911922753258</v>
      </c>
      <c r="AC28" s="105">
        <f t="shared" si="12"/>
        <v>1181525.6012922879</v>
      </c>
      <c r="AD28" s="106">
        <f t="shared" si="13"/>
        <v>3534231.9929154422</v>
      </c>
      <c r="AE28" s="106">
        <f>AC28*'Baseline Given'!K29/'Baseline Given'!L29</f>
        <v>8063713.4936013008</v>
      </c>
      <c r="AF28" s="105">
        <f>AD28/'Baseline Given'!M29</f>
        <v>376098.76022754039</v>
      </c>
      <c r="AG28" s="105">
        <f t="shared" si="14"/>
        <v>8.4398122538288405</v>
      </c>
      <c r="AI28" s="105">
        <f t="shared" si="15"/>
        <v>1253707.5441269334</v>
      </c>
      <c r="AJ28" s="106">
        <f t="shared" si="16"/>
        <v>2313459.9860204048</v>
      </c>
      <c r="AK28" s="105">
        <f>AI28*'Baseline Given'!K29/'Baseline Given'!L29</f>
        <v>8556343.1122853719</v>
      </c>
      <c r="AL28" s="105">
        <f>AJ28/'Baseline Given'!M29</f>
        <v>246189.11104942692</v>
      </c>
      <c r="AM28" s="105">
        <f t="shared" si="17"/>
        <v>8.8025322233347989</v>
      </c>
      <c r="AO28" s="105">
        <f t="shared" si="18"/>
        <v>1159504.0410435926</v>
      </c>
      <c r="AP28" s="106">
        <f t="shared" si="19"/>
        <v>1668536.7105688569</v>
      </c>
      <c r="AQ28" s="105">
        <f>AO28*'Baseline Given'!K29/'Baseline Given'!L29</f>
        <v>7913420.0489790794</v>
      </c>
      <c r="AR28" s="105">
        <f>AP28/'Baseline Given'!M29</f>
        <v>177558.96882180125</v>
      </c>
      <c r="AS28" s="105">
        <f t="shared" si="20"/>
        <v>8.0909790178008798</v>
      </c>
      <c r="AU28" s="105">
        <f t="shared" si="21"/>
        <v>974726.65421167016</v>
      </c>
      <c r="AV28" s="106">
        <f t="shared" si="22"/>
        <v>1263376.220814642</v>
      </c>
      <c r="AW28" s="106">
        <f>AU28*'Baseline Given'!K29/'Baseline Given'!L29</f>
        <v>6652345.4638162283</v>
      </c>
      <c r="AX28" s="105">
        <f>AV28/'Baseline Given'!M29</f>
        <v>134443.41834430065</v>
      </c>
      <c r="AY28" s="105">
        <f t="shared" si="23"/>
        <v>6.7867888821605282</v>
      </c>
      <c r="BA28" s="105">
        <f t="shared" si="24"/>
        <v>729030.99574803747</v>
      </c>
      <c r="BB28" s="106">
        <f t="shared" si="25"/>
        <v>993070.22065985622</v>
      </c>
      <c r="BC28" s="106">
        <f>BA28*'Baseline Given'!K29/'Baseline Given'!L29</f>
        <v>4975513.9213549383</v>
      </c>
      <c r="BD28" s="105">
        <f>BB28/'Baseline Given'!M29</f>
        <v>105678.54050264601</v>
      </c>
      <c r="BE28" s="105">
        <f t="shared" si="26"/>
        <v>5.0811924618575839</v>
      </c>
      <c r="BG28" s="105">
        <f t="shared" si="46"/>
        <v>440083.83348477725</v>
      </c>
      <c r="BH28" s="106">
        <f t="shared" si="28"/>
        <v>816092.28844983876</v>
      </c>
      <c r="BI28" s="105">
        <f>BG28*'Baseline Given'!K29/'Baseline Given'!L29</f>
        <v>3003498.1404597596</v>
      </c>
      <c r="BJ28" s="105">
        <f>BH28/'Baseline Given'!M29</f>
        <v>86845.260450502654</v>
      </c>
      <c r="BK28" s="105">
        <f t="shared" si="29"/>
        <v>3.0903434009102626</v>
      </c>
      <c r="BM28" s="105">
        <f t="shared" si="30"/>
        <v>121542.31844149483</v>
      </c>
      <c r="BN28" s="106">
        <f t="shared" si="31"/>
        <v>714037.70891476516</v>
      </c>
      <c r="BO28" s="105">
        <f>BM28*'Baseline Given'!K29/'Baseline Given'!L29</f>
        <v>829505.87967650278</v>
      </c>
      <c r="BP28" s="105">
        <f>BN28/'Baseline Given'!M29</f>
        <v>75985.022380216353</v>
      </c>
      <c r="BQ28" s="105">
        <f t="shared" si="32"/>
        <v>0.90549090205671923</v>
      </c>
      <c r="BS28" s="105">
        <f t="shared" si="33"/>
        <v>-214599.82306111301</v>
      </c>
      <c r="BT28" s="106">
        <f t="shared" si="34"/>
        <v>678720</v>
      </c>
      <c r="BU28" s="105">
        <f>BS28*'Baseline Given'!K29/'Baseline Given'!L29</f>
        <v>-1464607.6962273638</v>
      </c>
      <c r="BV28" s="105">
        <f>BT28/'Baseline Given'!M29</f>
        <v>72226.65378315009</v>
      </c>
      <c r="BW28" s="105">
        <f t="shared" si="35"/>
        <v>-1.3923810424442138</v>
      </c>
      <c r="BY28" s="104">
        <v>150</v>
      </c>
      <c r="BZ28" s="104">
        <v>-150</v>
      </c>
    </row>
    <row r="29" spans="1:78" ht="15" customHeight="1" x14ac:dyDescent="0.25">
      <c r="A29" s="18">
        <f>'Baseline Given'!E30</f>
        <v>27</v>
      </c>
      <c r="B29" s="18">
        <f t="shared" si="36"/>
        <v>41</v>
      </c>
      <c r="C29" s="18">
        <f t="shared" si="0"/>
        <v>20.5</v>
      </c>
      <c r="D29" s="18">
        <f t="shared" si="37"/>
        <v>27</v>
      </c>
      <c r="E29" s="18">
        <f t="shared" si="47"/>
        <v>0.75</v>
      </c>
      <c r="F29" s="18">
        <f t="shared" si="44"/>
        <v>20.75</v>
      </c>
      <c r="G29" s="18">
        <f t="shared" si="45"/>
        <v>41</v>
      </c>
      <c r="I29" s="104">
        <f t="shared" si="41"/>
        <v>26</v>
      </c>
      <c r="J29" s="104">
        <f t="shared" si="42"/>
        <v>0.4537856055185257</v>
      </c>
      <c r="K29" s="111">
        <f t="shared" si="1"/>
        <v>33.097021582575344</v>
      </c>
      <c r="L29" s="103">
        <f t="shared" si="2"/>
        <v>35501537.9382945</v>
      </c>
      <c r="M29" s="103">
        <f t="shared" si="3"/>
        <v>2145301.0718635218</v>
      </c>
      <c r="N29" s="104">
        <f t="shared" si="4"/>
        <v>973142.28980903421</v>
      </c>
      <c r="O29" s="104">
        <f t="shared" si="5"/>
        <v>1928183.8309101549</v>
      </c>
      <c r="Q29" s="105">
        <f t="shared" si="6"/>
        <v>2332975.5639397502</v>
      </c>
      <c r="R29" s="106">
        <f t="shared" si="7"/>
        <v>30607371.134197064</v>
      </c>
      <c r="S29" s="105">
        <f>Q29*'Baseline Given'!K30/'Baseline Given'!L30</f>
        <v>16046020.170330616</v>
      </c>
      <c r="T29" s="105">
        <f>R29/'Baseline Given'!M30</f>
        <v>3294591.3944072532</v>
      </c>
      <c r="U29" s="105">
        <f t="shared" si="8"/>
        <v>19.340611564737866</v>
      </c>
      <c r="W29" s="105">
        <f t="shared" si="9"/>
        <v>1044055.2748336531</v>
      </c>
      <c r="X29" s="105">
        <f t="shared" si="43"/>
        <v>7168483.7500326633</v>
      </c>
      <c r="Y29" s="105">
        <f>W29*'Baseline Given'!K30/'Baseline Given'!L30</f>
        <v>7180929.0495224074</v>
      </c>
      <c r="Z29" s="105">
        <f>X29/'Baseline Given'!M30</f>
        <v>771618.86168716883</v>
      </c>
      <c r="AA29" s="105">
        <f t="shared" si="11"/>
        <v>7.9525479112095763</v>
      </c>
      <c r="AC29" s="105">
        <f t="shared" si="12"/>
        <v>1590651.5110998098</v>
      </c>
      <c r="AD29" s="106">
        <f t="shared" si="13"/>
        <v>3518071.9929154422</v>
      </c>
      <c r="AE29" s="106">
        <f>AC29*'Baseline Given'!K30/'Baseline Given'!L30</f>
        <v>10940374.440944457</v>
      </c>
      <c r="AF29" s="105">
        <f>AD29/'Baseline Given'!M30</f>
        <v>378686.87454227038</v>
      </c>
      <c r="AG29" s="105">
        <f t="shared" si="14"/>
        <v>11.319061315486728</v>
      </c>
      <c r="AI29" s="105">
        <f t="shared" si="15"/>
        <v>1616733.8383168634</v>
      </c>
      <c r="AJ29" s="106">
        <f t="shared" si="16"/>
        <v>2297299.9860204048</v>
      </c>
      <c r="AK29" s="105">
        <f>AI29*'Baseline Given'!K30/'Baseline Given'!L30</f>
        <v>11119766.610790951</v>
      </c>
      <c r="AL29" s="105">
        <f>AJ29/'Baseline Given'!M30</f>
        <v>247282.418706597</v>
      </c>
      <c r="AM29" s="105">
        <f t="shared" si="17"/>
        <v>11.367049029497549</v>
      </c>
      <c r="AO29" s="105">
        <f t="shared" si="18"/>
        <v>1476318.8324817177</v>
      </c>
      <c r="AP29" s="106">
        <f t="shared" si="19"/>
        <v>1652376.7105688569</v>
      </c>
      <c r="AQ29" s="105">
        <f>AO29*'Baseline Given'!K30/'Baseline Given'!L30</f>
        <v>10154003.380916838</v>
      </c>
      <c r="AR29" s="105">
        <f>AP29/'Baseline Given'!M30</f>
        <v>177862.58307159031</v>
      </c>
      <c r="AS29" s="105">
        <f t="shared" si="20"/>
        <v>10.331865963988427</v>
      </c>
      <c r="AU29" s="105">
        <f t="shared" si="21"/>
        <v>1240413.7232398931</v>
      </c>
      <c r="AV29" s="106">
        <f t="shared" si="22"/>
        <v>1247216.220814642</v>
      </c>
      <c r="AW29" s="106">
        <f>AU29*'Baseline Given'!K30/'Baseline Given'!L30</f>
        <v>8531466.8230173718</v>
      </c>
      <c r="AX29" s="105">
        <f>AV29/'Baseline Given'!M30</f>
        <v>134250.92308793776</v>
      </c>
      <c r="AY29" s="105">
        <f t="shared" si="23"/>
        <v>8.6657177461053099</v>
      </c>
      <c r="BA29" s="105">
        <f t="shared" si="24"/>
        <v>938181.54930139706</v>
      </c>
      <c r="BB29" s="106">
        <f t="shared" si="25"/>
        <v>976910.22065985622</v>
      </c>
      <c r="BC29" s="106">
        <f>BA29*'Baseline Given'!K30/'Baseline Given'!L30</f>
        <v>6452737.9952921877</v>
      </c>
      <c r="BD29" s="105">
        <f>BB29/'Baseline Given'!M30</f>
        <v>105155.06189613452</v>
      </c>
      <c r="BE29" s="105">
        <f t="shared" si="26"/>
        <v>6.5578930571883216</v>
      </c>
      <c r="BG29" s="105">
        <f t="shared" si="46"/>
        <v>588138.70513958903</v>
      </c>
      <c r="BH29" s="106">
        <f t="shared" si="28"/>
        <v>799932.28844983876</v>
      </c>
      <c r="BI29" s="105">
        <f>BG29*'Baseline Given'!K30/'Baseline Given'!L30</f>
        <v>4045171.1845986983</v>
      </c>
      <c r="BJ29" s="105">
        <f>BH29/'Baseline Given'!M30</f>
        <v>86105.076521609488</v>
      </c>
      <c r="BK29" s="105">
        <f t="shared" si="29"/>
        <v>4.1312762611203073</v>
      </c>
      <c r="BM29" s="105">
        <f t="shared" si="30"/>
        <v>205383.58504980267</v>
      </c>
      <c r="BN29" s="106">
        <f t="shared" si="31"/>
        <v>697877.70891476516</v>
      </c>
      <c r="BO29" s="105">
        <f>BM29*'Baseline Given'!K30/'Baseline Given'!L30</f>
        <v>1412611.9447211907</v>
      </c>
      <c r="BP29" s="105">
        <f>BN29/'Baseline Given'!M30</f>
        <v>75119.875015020691</v>
      </c>
      <c r="BQ29" s="105">
        <f t="shared" si="32"/>
        <v>1.4877318197362113</v>
      </c>
      <c r="BS29" s="105">
        <f t="shared" si="33"/>
        <v>-196336.00833250763</v>
      </c>
      <c r="BT29" s="106">
        <f t="shared" si="34"/>
        <v>662560</v>
      </c>
      <c r="BU29" s="105">
        <f>BS29*'Baseline Given'!K30/'Baseline Given'!L30</f>
        <v>-1350383.4324545793</v>
      </c>
      <c r="BV29" s="105">
        <f>BT29/'Baseline Given'!M30</f>
        <v>71318.260712681556</v>
      </c>
      <c r="BW29" s="105">
        <f t="shared" si="35"/>
        <v>-1.2790651717418977</v>
      </c>
      <c r="BY29" s="104">
        <v>150</v>
      </c>
      <c r="BZ29" s="104">
        <v>-150</v>
      </c>
    </row>
    <row r="30" spans="1:78" ht="15" customHeight="1" x14ac:dyDescent="0.25">
      <c r="A30" s="18">
        <f>'Baseline Given'!E31</f>
        <v>28</v>
      </c>
      <c r="B30" s="18">
        <f t="shared" si="36"/>
        <v>40</v>
      </c>
      <c r="C30" s="18">
        <f t="shared" si="0"/>
        <v>20</v>
      </c>
      <c r="D30" s="18">
        <f t="shared" si="37"/>
        <v>28</v>
      </c>
      <c r="E30" s="10">
        <v>0</v>
      </c>
      <c r="F30" s="18">
        <f t="shared" si="44"/>
        <v>19.75</v>
      </c>
      <c r="G30" s="18">
        <f t="shared" si="45"/>
        <v>40</v>
      </c>
      <c r="I30" s="104">
        <f t="shared" si="41"/>
        <v>27</v>
      </c>
      <c r="J30" s="104">
        <f t="shared" si="42"/>
        <v>0.47123889803846897</v>
      </c>
      <c r="K30" s="111">
        <f t="shared" si="1"/>
        <v>34.27628273033578</v>
      </c>
      <c r="L30" s="103">
        <f t="shared" si="2"/>
        <v>35193937.979438275</v>
      </c>
      <c r="M30" s="103">
        <f t="shared" si="3"/>
        <v>2053544.6189612818</v>
      </c>
      <c r="N30" s="104">
        <f t="shared" si="4"/>
        <v>964710.58386922977</v>
      </c>
      <c r="O30" s="104">
        <f t="shared" si="5"/>
        <v>1829721.653206418</v>
      </c>
      <c r="Q30" s="105">
        <f t="shared" si="6"/>
        <v>2593878.1216771062</v>
      </c>
      <c r="R30" s="106">
        <f t="shared" si="7"/>
        <v>30591211.134197064</v>
      </c>
      <c r="S30" s="105">
        <f>Q30*'Baseline Given'!K31/'Baseline Given'!L31</f>
        <v>17980351.635211825</v>
      </c>
      <c r="T30" s="105">
        <f>R30/'Baseline Given'!M31</f>
        <v>3330960.4037221312</v>
      </c>
      <c r="U30" s="105">
        <f t="shared" si="8"/>
        <v>21.311312038933956</v>
      </c>
      <c r="W30" s="105">
        <f t="shared" si="9"/>
        <v>1403291.9517596345</v>
      </c>
      <c r="X30" s="105">
        <f t="shared" si="43"/>
        <v>7152323.7500326633</v>
      </c>
      <c r="Y30" s="105">
        <f>W30*'Baseline Given'!K31/'Baseline Given'!L31</f>
        <v>9727397.1851796415</v>
      </c>
      <c r="Z30" s="105">
        <f>X30/'Baseline Given'!M31</f>
        <v>778789.27713744156</v>
      </c>
      <c r="AA30" s="105">
        <f t="shared" si="11"/>
        <v>10.506186462317084</v>
      </c>
      <c r="AC30" s="105">
        <f t="shared" si="12"/>
        <v>1885047.6825328097</v>
      </c>
      <c r="AD30" s="106">
        <f t="shared" si="13"/>
        <v>3501911.9929154422</v>
      </c>
      <c r="AE30" s="106">
        <f>AC30*'Baseline Given'!K31/'Baseline Given'!L31</f>
        <v>13066851.483047541</v>
      </c>
      <c r="AF30" s="105">
        <f>AD30/'Baseline Given'!M31</f>
        <v>381309.85185746098</v>
      </c>
      <c r="AG30" s="105">
        <f t="shared" si="14"/>
        <v>13.448161334905002</v>
      </c>
      <c r="AI30" s="105">
        <f t="shared" si="15"/>
        <v>1875777.9066589586</v>
      </c>
      <c r="AJ30" s="106">
        <f t="shared" si="16"/>
        <v>2281139.9860204048</v>
      </c>
      <c r="AK30" s="105">
        <f>AI30*'Baseline Given'!K31/'Baseline Given'!L31</f>
        <v>13002594.867288094</v>
      </c>
      <c r="AL30" s="105">
        <f>AJ30/'Baseline Given'!M31</f>
        <v>248384.64013238097</v>
      </c>
      <c r="AM30" s="105">
        <f t="shared" si="17"/>
        <v>13.250979507420475</v>
      </c>
      <c r="AO30" s="105">
        <f t="shared" si="18"/>
        <v>1701693.5475242157</v>
      </c>
      <c r="AP30" s="106">
        <f t="shared" si="19"/>
        <v>1636216.7105688569</v>
      </c>
      <c r="AQ30" s="105">
        <f>AO30*'Baseline Given'!K31/'Baseline Given'!L31</f>
        <v>11795869.707275806</v>
      </c>
      <c r="AR30" s="105">
        <f>AP30/'Baseline Given'!M31</f>
        <v>178161.40233561202</v>
      </c>
      <c r="AS30" s="105">
        <f t="shared" si="20"/>
        <v>11.974031109611419</v>
      </c>
      <c r="AU30" s="105">
        <f t="shared" si="21"/>
        <v>1429392.4710920984</v>
      </c>
      <c r="AV30" s="106">
        <f t="shared" si="22"/>
        <v>1231056.220814642</v>
      </c>
      <c r="AW30" s="106">
        <f>AU30*'Baseline Given'!K31/'Baseline Given'!L31</f>
        <v>9908321.844490895</v>
      </c>
      <c r="AX30" s="105">
        <f>AV30/'Baseline Given'!M31</f>
        <v>134045.0205878065</v>
      </c>
      <c r="AY30" s="105">
        <f t="shared" si="23"/>
        <v>10.042366865078701</v>
      </c>
      <c r="BA30" s="105">
        <f t="shared" si="24"/>
        <v>1087353.2836605851</v>
      </c>
      <c r="BB30" s="106">
        <f t="shared" si="25"/>
        <v>960750.22065985622</v>
      </c>
      <c r="BC30" s="106">
        <f>BA30*'Baseline Given'!K31/'Baseline Given'!L31</f>
        <v>7537360.4598193662</v>
      </c>
      <c r="BD30" s="105">
        <f>BB30/'Baseline Given'!M31</f>
        <v>104612.43031034633</v>
      </c>
      <c r="BE30" s="105">
        <f t="shared" si="26"/>
        <v>7.6419728901297121</v>
      </c>
      <c r="BG30" s="105">
        <f t="shared" si="46"/>
        <v>694542.21473870147</v>
      </c>
      <c r="BH30" s="106">
        <f t="shared" si="28"/>
        <v>783772.28844983876</v>
      </c>
      <c r="BI30" s="105">
        <f>BG30*'Baseline Given'!K31/'Baseline Given'!L31</f>
        <v>4814456.4473315729</v>
      </c>
      <c r="BJ30" s="105">
        <f>BH30/'Baseline Given'!M31</f>
        <v>85341.977697726659</v>
      </c>
      <c r="BK30" s="105">
        <f t="shared" si="29"/>
        <v>4.8997984250292994</v>
      </c>
      <c r="BM30" s="105">
        <f t="shared" si="30"/>
        <v>266993.9211493507</v>
      </c>
      <c r="BN30" s="106">
        <f t="shared" si="31"/>
        <v>681717.70891476516</v>
      </c>
      <c r="BO30" s="105">
        <f>BM30*'Baseline Given'!K31/'Baseline Given'!L31</f>
        <v>1850759.5043152701</v>
      </c>
      <c r="BP30" s="105">
        <f>BN30/'Baseline Given'!M31</f>
        <v>74229.643440720669</v>
      </c>
      <c r="BQ30" s="105">
        <f t="shared" si="32"/>
        <v>1.9249891477559908</v>
      </c>
      <c r="BS30" s="105">
        <f t="shared" si="33"/>
        <v>-180355.17044497791</v>
      </c>
      <c r="BT30" s="106">
        <f t="shared" si="34"/>
        <v>646400</v>
      </c>
      <c r="BU30" s="105">
        <f>BS30*'Baseline Given'!K31/'Baseline Given'!L31</f>
        <v>-1250193.4291857008</v>
      </c>
      <c r="BV30" s="105">
        <f>BT30/'Baseline Given'!M31</f>
        <v>70384.032705362828</v>
      </c>
      <c r="BW30" s="105">
        <f t="shared" si="35"/>
        <v>-1.179809396480338</v>
      </c>
      <c r="BY30" s="104">
        <v>150</v>
      </c>
      <c r="BZ30" s="104">
        <v>-150</v>
      </c>
    </row>
    <row r="31" spans="1:78" ht="15" customHeight="1" x14ac:dyDescent="0.25">
      <c r="A31" s="18">
        <f>'Baseline Given'!E32</f>
        <v>29</v>
      </c>
      <c r="B31" s="18">
        <f t="shared" si="36"/>
        <v>39</v>
      </c>
      <c r="C31" s="18">
        <f t="shared" si="0"/>
        <v>19.5</v>
      </c>
      <c r="D31" s="18">
        <f t="shared" si="37"/>
        <v>29</v>
      </c>
      <c r="E31" s="18">
        <v>0</v>
      </c>
      <c r="F31" s="18">
        <f t="shared" si="44"/>
        <v>18.75</v>
      </c>
      <c r="G31" s="18">
        <f t="shared" si="45"/>
        <v>39</v>
      </c>
      <c r="I31" s="104">
        <f t="shared" si="41"/>
        <v>28</v>
      </c>
      <c r="J31" s="104">
        <f t="shared" si="42"/>
        <v>0.48869219055841229</v>
      </c>
      <c r="K31" s="111">
        <f t="shared" si="1"/>
        <v>35.445102990334753</v>
      </c>
      <c r="L31" s="103">
        <f t="shared" si="2"/>
        <v>34875617.606142186</v>
      </c>
      <c r="M31" s="103">
        <f t="shared" si="3"/>
        <v>1967866.6255054835</v>
      </c>
      <c r="N31" s="104">
        <f t="shared" si="4"/>
        <v>955985.0177402175</v>
      </c>
      <c r="O31" s="104">
        <f t="shared" si="5"/>
        <v>1737523.1000574862</v>
      </c>
      <c r="Q31" s="105">
        <f t="shared" si="6"/>
        <v>2478794.8925198875</v>
      </c>
      <c r="R31" s="106">
        <f t="shared" ref="R31:R50" si="48">16160*G31+($M$5/2)*COS($J$5)</f>
        <v>15602645.567098532</v>
      </c>
      <c r="S31" s="105">
        <f>Q31*'Baseline Given'!K32/'Baseline Given'!L32</f>
        <v>17318384.253124833</v>
      </c>
      <c r="T31" s="105">
        <f>R31/'Baseline Given'!M32</f>
        <v>1718688.724243396</v>
      </c>
      <c r="U31" s="105">
        <f t="shared" si="8"/>
        <v>19.037072977368229</v>
      </c>
      <c r="W31" s="105">
        <f t="shared" si="9"/>
        <v>1348254.4126382582</v>
      </c>
      <c r="X31" s="105">
        <f t="shared" ref="X31:X50" si="49">16160*G31+($M$12/2)*COS($J$13)</f>
        <v>3883201.8750163317</v>
      </c>
      <c r="Y31" s="105">
        <f>W31*'Baseline Given'!K32/'Baseline Given'!L32</f>
        <v>9419733.7825332582</v>
      </c>
      <c r="Z31" s="105">
        <f>X31/'Baseline Given'!M32</f>
        <v>427748.95115383196</v>
      </c>
      <c r="AA31" s="105">
        <f t="shared" si="11"/>
        <v>9.8474827336870892</v>
      </c>
      <c r="AC31" s="105">
        <f t="shared" si="12"/>
        <v>1804883.7733384389</v>
      </c>
      <c r="AD31" s="106">
        <f t="shared" ref="AD31:AD50" si="50">16160*G31+($M$22/2)*COS($J$23)</f>
        <v>2057995.9964577211</v>
      </c>
      <c r="AE31" s="106">
        <f>AC31*'Baseline Given'!K32/'Baseline Given'!L32</f>
        <v>12610027.079380134</v>
      </c>
      <c r="AF31" s="105">
        <f>AD31/'Baseline Given'!M32</f>
        <v>226695.81888782774</v>
      </c>
      <c r="AG31" s="105">
        <f t="shared" si="14"/>
        <v>12.836722898267961</v>
      </c>
      <c r="AI31" s="105">
        <f t="shared" si="15"/>
        <v>1794885.35640724</v>
      </c>
      <c r="AJ31" s="106">
        <f t="shared" ref="AJ31:AJ50" si="51">16160*G31+($M$32/2)*COS($J$33)</f>
        <v>1447609.9930102024</v>
      </c>
      <c r="AK31" s="105">
        <f>AI31*'Baseline Given'!K32/'Baseline Given'!L32</f>
        <v>12540171.995016368</v>
      </c>
      <c r="AL31" s="105">
        <f>AJ31/'Baseline Given'!M32</f>
        <v>159459.55840560462</v>
      </c>
      <c r="AM31" s="105">
        <f t="shared" si="17"/>
        <v>12.699631553421971</v>
      </c>
      <c r="AO31" s="105">
        <f t="shared" si="18"/>
        <v>1627989.4769782275</v>
      </c>
      <c r="AP31" s="106">
        <f t="shared" ref="AP31:AP50" si="52">16160*G31+($M$42/2)*COS($J$43)</f>
        <v>1125148.3552844285</v>
      </c>
      <c r="AQ31" s="105">
        <f>AO31*'Baseline Given'!K32/'Baseline Given'!L32</f>
        <v>11374134.829562735</v>
      </c>
      <c r="AR31" s="105">
        <f>AP31/'Baseline Given'!M32</f>
        <v>123939.22447396562</v>
      </c>
      <c r="AS31" s="105">
        <f t="shared" si="20"/>
        <v>11.498074054036701</v>
      </c>
      <c r="AU31" s="105">
        <f t="shared" si="21"/>
        <v>1367471.3598711891</v>
      </c>
      <c r="AV31" s="106">
        <f t="shared" ref="AV31:AV50" si="53">16160*G31+($M$52/2)*COS($J$53)</f>
        <v>922568.11040732102</v>
      </c>
      <c r="AW31" s="106">
        <f>AU31*'Baseline Given'!K32/'Baseline Given'!L32</f>
        <v>9553995.1840538979</v>
      </c>
      <c r="AX31" s="105">
        <f>AV31/'Baseline Given'!M32</f>
        <v>101624.26633898463</v>
      </c>
      <c r="AY31" s="105">
        <f t="shared" si="23"/>
        <v>9.6556194503928836</v>
      </c>
      <c r="BA31" s="105">
        <f t="shared" si="24"/>
        <v>1040428.5604372639</v>
      </c>
      <c r="BB31" s="106">
        <f t="shared" ref="BB31:BB50" si="54">16160*G31+($M$62/2)*COS($J$63)</f>
        <v>787415.11032992811</v>
      </c>
      <c r="BC31" s="106">
        <f>BA31*'Baseline Given'!K32/'Baseline Given'!L32</f>
        <v>7269073.230686225</v>
      </c>
      <c r="BD31" s="105">
        <f>BB31/'Baseline Given'!M32</f>
        <v>86736.666907096878</v>
      </c>
      <c r="BE31" s="105">
        <f t="shared" si="26"/>
        <v>7.3558098975933222</v>
      </c>
      <c r="BG31" s="105">
        <f t="shared" si="46"/>
        <v>664937.54713842971</v>
      </c>
      <c r="BH31" s="106">
        <f t="shared" ref="BH31:BH50" si="55">16160*G31+($M$72/2)*COS($J$73)</f>
        <v>698926.14422491938</v>
      </c>
      <c r="BI31" s="105">
        <f>BG31*'Baseline Given'!K32/'Baseline Given'!L32</f>
        <v>4645662.2855015993</v>
      </c>
      <c r="BJ31" s="105">
        <f>BH31/'Baseline Given'!M32</f>
        <v>76989.28223373495</v>
      </c>
      <c r="BK31" s="105">
        <f t="shared" si="29"/>
        <v>4.7226515677353342</v>
      </c>
      <c r="BM31" s="105">
        <f t="shared" si="30"/>
        <v>256299.15662042494</v>
      </c>
      <c r="BN31" s="106">
        <f t="shared" ref="BN31:BN50" si="56">16160*G31+($M$82/2)*COS($J$83)</f>
        <v>647898.85445738258</v>
      </c>
      <c r="BO31" s="105">
        <f>BM31*'Baseline Given'!K32/'Baseline Given'!L32</f>
        <v>1790663.3951436265</v>
      </c>
      <c r="BP31" s="105">
        <f>BN31/'Baseline Given'!M32</f>
        <v>71368.438821313932</v>
      </c>
      <c r="BQ31" s="105">
        <f t="shared" si="32"/>
        <v>1.8620318339649404</v>
      </c>
      <c r="BS31" s="105">
        <f t="shared" si="33"/>
        <v>-171223.26308067521</v>
      </c>
      <c r="BT31" s="106">
        <f t="shared" ref="BT31:BT50" si="57">16160*G31+($M$92/2)*COS($J$93)</f>
        <v>630240</v>
      </c>
      <c r="BU31" s="105">
        <f>BS31*'Baseline Given'!K32/'Baseline Given'!L32</f>
        <v>-1196270.9266721734</v>
      </c>
      <c r="BV31" s="105">
        <f>BT31/'Baseline Given'!M32</f>
        <v>69423.25113449253</v>
      </c>
      <c r="BW31" s="105">
        <f t="shared" si="35"/>
        <v>-1.1268476755376811</v>
      </c>
      <c r="BY31" s="104">
        <v>150</v>
      </c>
      <c r="BZ31" s="104">
        <v>-150</v>
      </c>
    </row>
    <row r="32" spans="1:78" ht="15" customHeight="1" x14ac:dyDescent="0.25">
      <c r="A32" s="18">
        <f>'Baseline Given'!E33</f>
        <v>30</v>
      </c>
      <c r="B32" s="18">
        <f t="shared" si="36"/>
        <v>38</v>
      </c>
      <c r="C32" s="18">
        <f t="shared" si="0"/>
        <v>19</v>
      </c>
      <c r="D32" s="18">
        <f t="shared" si="37"/>
        <v>30</v>
      </c>
      <c r="E32" s="18">
        <v>0</v>
      </c>
      <c r="F32" s="18">
        <f t="shared" si="44"/>
        <v>17.75</v>
      </c>
      <c r="G32" s="18">
        <f t="shared" si="45"/>
        <v>38</v>
      </c>
      <c r="I32" s="104">
        <f t="shared" si="41"/>
        <v>29</v>
      </c>
      <c r="J32" s="104">
        <f t="shared" si="42"/>
        <v>0.50614548307835561</v>
      </c>
      <c r="K32" s="111">
        <f t="shared" si="1"/>
        <v>36.603126328598449</v>
      </c>
      <c r="L32" s="103">
        <f t="shared" si="2"/>
        <v>34546673.781875566</v>
      </c>
      <c r="M32" s="113">
        <f t="shared" si="3"/>
        <v>1887635.1419678514</v>
      </c>
      <c r="N32" s="104">
        <f t="shared" si="4"/>
        <v>946968.2493139666</v>
      </c>
      <c r="O32" s="104">
        <f t="shared" si="5"/>
        <v>1650962.8950539539</v>
      </c>
      <c r="Q32" s="105">
        <f t="shared" si="6"/>
        <v>2379861.8191272933</v>
      </c>
      <c r="R32" s="106">
        <f t="shared" si="48"/>
        <v>15586485.567098532</v>
      </c>
      <c r="S32" s="105">
        <f>Q32*'Baseline Given'!K33/'Baseline Given'!L33</f>
        <v>16759605.854896214</v>
      </c>
      <c r="T32" s="105">
        <f>R32/'Baseline Given'!M33</f>
        <v>1737011.2301385035</v>
      </c>
      <c r="U32" s="105">
        <f t="shared" si="8"/>
        <v>18.496617085034718</v>
      </c>
      <c r="W32" s="105">
        <f t="shared" si="9"/>
        <v>1309131.3668055609</v>
      </c>
      <c r="X32" s="105">
        <f t="shared" si="49"/>
        <v>3867041.8750163317</v>
      </c>
      <c r="Y32" s="105">
        <f>W32*'Baseline Given'!K33/'Baseline Given'!L33</f>
        <v>9219243.5475049801</v>
      </c>
      <c r="Z32" s="105">
        <f>X32/'Baseline Given'!M33</f>
        <v>430956.36507682787</v>
      </c>
      <c r="AA32" s="105">
        <f t="shared" si="11"/>
        <v>9.6501999125818081</v>
      </c>
      <c r="AC32" s="105">
        <f t="shared" si="12"/>
        <v>1739905.2968959715</v>
      </c>
      <c r="AD32" s="106">
        <f t="shared" si="50"/>
        <v>2041835.9964577211</v>
      </c>
      <c r="AE32" s="106">
        <f>AC32*'Baseline Given'!K33/'Baseline Given'!L33</f>
        <v>12252865.593480473</v>
      </c>
      <c r="AF32" s="105">
        <f>AD32/'Baseline Given'!M33</f>
        <v>227549.18295595804</v>
      </c>
      <c r="AG32" s="105">
        <f t="shared" si="14"/>
        <v>12.480414776436431</v>
      </c>
      <c r="AI32" s="105">
        <f t="shared" si="15"/>
        <v>1727987.7766806735</v>
      </c>
      <c r="AJ32" s="106">
        <f t="shared" si="51"/>
        <v>1431449.9930102024</v>
      </c>
      <c r="AK32" s="105">
        <f>AI32*'Baseline Given'!K33/'Baseline Given'!L33</f>
        <v>12168939.316765217</v>
      </c>
      <c r="AL32" s="105">
        <f>AJ32/'Baseline Given'!M33</f>
        <v>159525.68027837097</v>
      </c>
      <c r="AM32" s="105">
        <f t="shared" si="17"/>
        <v>12.328464997043588</v>
      </c>
      <c r="AO32" s="105">
        <f t="shared" si="18"/>
        <v>1566664.6846330427</v>
      </c>
      <c r="AP32" s="106">
        <f t="shared" si="52"/>
        <v>1108988.3552844285</v>
      </c>
      <c r="AQ32" s="105">
        <f>AO32*'Baseline Given'!K33/'Baseline Given'!L33</f>
        <v>11032860.147680139</v>
      </c>
      <c r="AR32" s="105">
        <f>AP32/'Baseline Given'!M33</f>
        <v>123589.45311495718</v>
      </c>
      <c r="AS32" s="105">
        <f t="shared" si="20"/>
        <v>11.156449600795096</v>
      </c>
      <c r="AU32" s="105">
        <f t="shared" si="21"/>
        <v>1315937.6964228135</v>
      </c>
      <c r="AV32" s="106">
        <f t="shared" si="53"/>
        <v>906408.11040732102</v>
      </c>
      <c r="AW32" s="106">
        <f>AU32*'Baseline Given'!K33/'Baseline Given'!L33</f>
        <v>9267175.4907744788</v>
      </c>
      <c r="AX32" s="105">
        <f>AV32/'Baseline Given'!M33</f>
        <v>101013.21815545259</v>
      </c>
      <c r="AY32" s="105">
        <f t="shared" si="23"/>
        <v>9.3681887089299316</v>
      </c>
      <c r="BA32" s="105">
        <f t="shared" si="24"/>
        <v>1001583.8372139428</v>
      </c>
      <c r="BB32" s="106">
        <f t="shared" si="54"/>
        <v>771255.11032992811</v>
      </c>
      <c r="BC32" s="106">
        <f>BA32*'Baseline Given'!K33/'Baseline Given'!L33</f>
        <v>7053413.8610181054</v>
      </c>
      <c r="BD32" s="105">
        <f>BB32/'Baseline Given'!M33</f>
        <v>85951.305839766719</v>
      </c>
      <c r="BE32" s="105">
        <f t="shared" si="26"/>
        <v>7.1393651668578721</v>
      </c>
      <c r="BG32" s="105">
        <f t="shared" si="46"/>
        <v>640859.92505430151</v>
      </c>
      <c r="BH32" s="106">
        <f t="shared" si="55"/>
        <v>682766.14422491938</v>
      </c>
      <c r="BI32" s="105">
        <f>BG32*'Baseline Given'!K33/'Baseline Given'!L33</f>
        <v>4513102.2590408362</v>
      </c>
      <c r="BJ32" s="105">
        <f>BH32/'Baseline Given'!M33</f>
        <v>76089.792979407488</v>
      </c>
      <c r="BK32" s="105">
        <f t="shared" si="29"/>
        <v>4.5891920520202429</v>
      </c>
      <c r="BM32" s="105">
        <f t="shared" si="30"/>
        <v>248410.54664259683</v>
      </c>
      <c r="BN32" s="106">
        <f t="shared" si="56"/>
        <v>631738.85445738258</v>
      </c>
      <c r="BO32" s="105">
        <f>BM32*'Baseline Given'!K33/'Baseline Given'!L33</f>
        <v>1749371.6729553328</v>
      </c>
      <c r="BP32" s="105">
        <f>BN32/'Baseline Given'!M33</f>
        <v>70403.137383559617</v>
      </c>
      <c r="BQ32" s="105">
        <f t="shared" si="32"/>
        <v>1.8197748103388924</v>
      </c>
      <c r="BS32" s="105">
        <f t="shared" si="33"/>
        <v>-162091.35571637252</v>
      </c>
      <c r="BT32" s="106">
        <f t="shared" si="57"/>
        <v>614080</v>
      </c>
      <c r="BU32" s="105">
        <f>BS32*'Baseline Given'!K33/'Baseline Given'!L33</f>
        <v>-1141489.4816407315</v>
      </c>
      <c r="BV32" s="105">
        <f>BT32/'Baseline Given'!M33</f>
        <v>68435.174280408013</v>
      </c>
      <c r="BW32" s="105">
        <f t="shared" si="35"/>
        <v>-1.0730543073603234</v>
      </c>
      <c r="BY32" s="104">
        <v>150</v>
      </c>
      <c r="BZ32" s="104">
        <v>-150</v>
      </c>
    </row>
    <row r="33" spans="1:78" ht="15" customHeight="1" x14ac:dyDescent="0.25">
      <c r="A33" s="18">
        <f>'Baseline Given'!E34</f>
        <v>31</v>
      </c>
      <c r="B33" s="18">
        <f t="shared" si="36"/>
        <v>37</v>
      </c>
      <c r="C33" s="18">
        <f t="shared" si="0"/>
        <v>18.5</v>
      </c>
      <c r="D33" s="18">
        <f t="shared" si="37"/>
        <v>31</v>
      </c>
      <c r="E33" s="18">
        <v>0</v>
      </c>
      <c r="F33" s="18">
        <f t="shared" si="44"/>
        <v>16.75</v>
      </c>
      <c r="G33" s="18">
        <f t="shared" si="45"/>
        <v>37</v>
      </c>
      <c r="I33" s="104">
        <f t="shared" si="41"/>
        <v>30</v>
      </c>
      <c r="J33" s="109">
        <f t="shared" si="42"/>
        <v>0.52359877559829882</v>
      </c>
      <c r="K33" s="111">
        <f t="shared" si="1"/>
        <v>37.749999999999993</v>
      </c>
      <c r="L33" s="103">
        <f t="shared" si="2"/>
        <v>34207206.706113845</v>
      </c>
      <c r="M33" s="103">
        <f t="shared" si="3"/>
        <v>1812302.342045767</v>
      </c>
      <c r="N33" s="109">
        <f t="shared" si="4"/>
        <v>937663.02518548747</v>
      </c>
      <c r="O33" s="104">
        <f t="shared" si="5"/>
        <v>1569499.8675496692</v>
      </c>
      <c r="Q33" s="105">
        <f t="shared" si="6"/>
        <v>2297078.901499331</v>
      </c>
      <c r="R33" s="106">
        <f t="shared" si="48"/>
        <v>15570325.567098532</v>
      </c>
      <c r="S33" s="105">
        <f>Q33*'Baseline Given'!K34/'Baseline Given'!L34</f>
        <v>16306501.813018596</v>
      </c>
      <c r="T33" s="105">
        <f>R33/'Baseline Given'!M34</f>
        <v>1755646.820974441</v>
      </c>
      <c r="U33" s="105">
        <f t="shared" si="8"/>
        <v>18.062148633993036</v>
      </c>
      <c r="W33" s="105">
        <f t="shared" si="9"/>
        <v>1285922.8142615389</v>
      </c>
      <c r="X33" s="105">
        <f t="shared" si="49"/>
        <v>3850881.8750163317</v>
      </c>
      <c r="Y33" s="105">
        <f>W33*'Baseline Given'!K34/'Baseline Given'!L34</f>
        <v>9128507.8141944129</v>
      </c>
      <c r="Z33" s="105">
        <f>X33/'Baseline Given'!M34</f>
        <v>434209.83669774118</v>
      </c>
      <c r="AA33" s="105">
        <f t="shared" si="11"/>
        <v>9.5627176508921536</v>
      </c>
      <c r="AC33" s="105">
        <f t="shared" si="12"/>
        <v>1690112.2532054018</v>
      </c>
      <c r="AD33" s="106">
        <f t="shared" si="50"/>
        <v>2025675.9964577211</v>
      </c>
      <c r="AE33" s="106">
        <f>AC33*'Baseline Given'!K34/'Baseline Given'!L34</f>
        <v>11997767.470290292</v>
      </c>
      <c r="AF33" s="105">
        <f>AD33/'Baseline Given'!M34</f>
        <v>228407.01744992138</v>
      </c>
      <c r="AG33" s="105">
        <f t="shared" si="14"/>
        <v>12.226174487740213</v>
      </c>
      <c r="AI33" s="105">
        <f t="shared" si="15"/>
        <v>1675085.1674792673</v>
      </c>
      <c r="AJ33" s="106">
        <f t="shared" si="51"/>
        <v>1415289.9930102024</v>
      </c>
      <c r="AK33" s="105">
        <f>AI33*'Baseline Given'!K34/'Baseline Given'!L34</f>
        <v>11891093.206520921</v>
      </c>
      <c r="AL33" s="105">
        <f>AJ33/'Baseline Given'!M34</f>
        <v>159582.36494654903</v>
      </c>
      <c r="AM33" s="105">
        <f t="shared" si="17"/>
        <v>12.050675571467471</v>
      </c>
      <c r="AO33" s="105">
        <f t="shared" si="18"/>
        <v>1517719.1704886593</v>
      </c>
      <c r="AP33" s="106">
        <f t="shared" si="52"/>
        <v>1092828.3552844285</v>
      </c>
      <c r="AQ33" s="105">
        <f>AO33*'Baseline Given'!K34/'Baseline Given'!L34</f>
        <v>10773983.596763974</v>
      </c>
      <c r="AR33" s="105">
        <f>AP33/'Baseline Given'!M34</f>
        <v>123222.89727069343</v>
      </c>
      <c r="AS33" s="105">
        <f t="shared" si="20"/>
        <v>10.897206494034666</v>
      </c>
      <c r="AU33" s="105">
        <f t="shared" si="21"/>
        <v>1274791.4807469724</v>
      </c>
      <c r="AV33" s="106">
        <f t="shared" si="53"/>
        <v>890248.11040732102</v>
      </c>
      <c r="AW33" s="106">
        <f>AU33*'Baseline Given'!K34/'Baseline Given'!L34</f>
        <v>9049488.7130141612</v>
      </c>
      <c r="AX33" s="105">
        <f>AV33/'Baseline Given'!M34</f>
        <v>100380.7697006536</v>
      </c>
      <c r="AY33" s="105">
        <f t="shared" si="23"/>
        <v>9.1498694827148146</v>
      </c>
      <c r="BA33" s="105">
        <f t="shared" si="24"/>
        <v>970819.11399062257</v>
      </c>
      <c r="BB33" s="106">
        <f t="shared" si="54"/>
        <v>755095.11032992811</v>
      </c>
      <c r="BC33" s="106">
        <f>BA33*'Baseline Given'!K34/'Baseline Given'!L34</f>
        <v>6891649.9263775088</v>
      </c>
      <c r="BD33" s="105">
        <f>BB33/'Baseline Given'!M34</f>
        <v>85141.465043310483</v>
      </c>
      <c r="BE33" s="105">
        <f t="shared" si="26"/>
        <v>6.9767913914208188</v>
      </c>
      <c r="BG33" s="105">
        <f t="shared" si="46"/>
        <v>622309.34848631546</v>
      </c>
      <c r="BH33" s="106">
        <f t="shared" si="55"/>
        <v>666606.14422491938</v>
      </c>
      <c r="BI33" s="105">
        <f>BG33*'Baseline Given'!K34/'Baseline Given'!L34</f>
        <v>4417649.0902106175</v>
      </c>
      <c r="BJ33" s="105">
        <f>BH33/'Baseline Given'!M34</f>
        <v>75163.807776987596</v>
      </c>
      <c r="BK33" s="105">
        <f t="shared" si="29"/>
        <v>4.492812897987605</v>
      </c>
      <c r="BM33" s="105">
        <f t="shared" si="30"/>
        <v>243328.09121586615</v>
      </c>
      <c r="BN33" s="106">
        <f t="shared" si="56"/>
        <v>615578.85445738258</v>
      </c>
      <c r="BO33" s="105">
        <f>BM33*'Baseline Given'!K34/'Baseline Given'!L34</f>
        <v>1727337.2534047591</v>
      </c>
      <c r="BP33" s="105">
        <f>BN33/'Baseline Given'!M34</f>
        <v>69410.177342141687</v>
      </c>
      <c r="BQ33" s="105">
        <f t="shared" si="32"/>
        <v>1.7967474307469009</v>
      </c>
      <c r="BS33" s="105">
        <f t="shared" si="33"/>
        <v>-152959.44835206986</v>
      </c>
      <c r="BT33" s="106">
        <f t="shared" si="57"/>
        <v>597920</v>
      </c>
      <c r="BU33" s="105">
        <f>BS33*'Baseline Given'!K34/'Baseline Given'!L34</f>
        <v>-1085828.4059129772</v>
      </c>
      <c r="BV33" s="105">
        <f>BT33/'Baseline Given'!M34</f>
        <v>67419.03646608541</v>
      </c>
      <c r="BW33" s="105">
        <f t="shared" si="35"/>
        <v>-1.0184093694468919</v>
      </c>
      <c r="BY33" s="104">
        <v>150</v>
      </c>
      <c r="BZ33" s="104">
        <v>-150</v>
      </c>
    </row>
    <row r="34" spans="1:78" ht="15" customHeight="1" x14ac:dyDescent="0.25">
      <c r="A34" s="18">
        <f>'Baseline Given'!E35</f>
        <v>32</v>
      </c>
      <c r="B34" s="18">
        <f t="shared" si="36"/>
        <v>36</v>
      </c>
      <c r="C34" s="18">
        <f t="shared" si="0"/>
        <v>18</v>
      </c>
      <c r="D34" s="18">
        <f t="shared" si="37"/>
        <v>32</v>
      </c>
      <c r="E34" s="18">
        <v>0</v>
      </c>
      <c r="F34" s="18">
        <f t="shared" si="44"/>
        <v>15.75</v>
      </c>
      <c r="G34" s="18">
        <f t="shared" si="45"/>
        <v>36</v>
      </c>
      <c r="I34" s="104">
        <f t="shared" si="41"/>
        <v>31</v>
      </c>
      <c r="J34" s="104">
        <f t="shared" si="42"/>
        <v>0.54105206811824214</v>
      </c>
      <c r="K34" s="111">
        <f t="shared" si="1"/>
        <v>38.885374655709086</v>
      </c>
      <c r="L34" s="103">
        <f t="shared" si="2"/>
        <v>33857319.783816792</v>
      </c>
      <c r="M34" s="103">
        <f t="shared" si="3"/>
        <v>1741390.9514098468</v>
      </c>
      <c r="N34" s="104">
        <f t="shared" si="4"/>
        <v>928072.17981619108</v>
      </c>
      <c r="O34" s="104">
        <f t="shared" si="5"/>
        <v>1492663.3812870616</v>
      </c>
      <c r="Q34" s="105">
        <f t="shared" si="6"/>
        <v>2230446.1396359941</v>
      </c>
      <c r="R34" s="106">
        <f t="shared" si="48"/>
        <v>15554165.567098532</v>
      </c>
      <c r="S34" s="105">
        <f>Q34*'Baseline Given'!K35/'Baseline Given'!L35</f>
        <v>15961637.961683908</v>
      </c>
      <c r="T34" s="105">
        <f>R34/'Baseline Given'!M35</f>
        <v>1774602.7894912895</v>
      </c>
      <c r="U34" s="105">
        <f t="shared" si="8"/>
        <v>17.736240751175199</v>
      </c>
      <c r="W34" s="105">
        <f t="shared" si="9"/>
        <v>1278628.7550061941</v>
      </c>
      <c r="X34" s="105">
        <f t="shared" si="49"/>
        <v>3834721.8750163317</v>
      </c>
      <c r="Y34" s="105">
        <f>W34*'Baseline Given'!K35/'Baseline Given'!L35</f>
        <v>9150191.485071335</v>
      </c>
      <c r="Z34" s="105">
        <f>X34/'Baseline Given'!M35</f>
        <v>437510.33168387908</v>
      </c>
      <c r="AA34" s="105">
        <f t="shared" si="11"/>
        <v>9.5877018167552155</v>
      </c>
      <c r="AC34" s="105">
        <f t="shared" si="12"/>
        <v>1655504.6422667354</v>
      </c>
      <c r="AD34" s="106">
        <f t="shared" si="50"/>
        <v>2009515.9964577211</v>
      </c>
      <c r="AE34" s="106">
        <f>AC34*'Baseline Given'!K35/'Baseline Given'!L35</f>
        <v>11847210.866997719</v>
      </c>
      <c r="AF34" s="105">
        <f>AD34/'Baseline Given'!M35</f>
        <v>229269.30264806596</v>
      </c>
      <c r="AG34" s="105">
        <f t="shared" si="14"/>
        <v>12.076480169645784</v>
      </c>
      <c r="AI34" s="105">
        <f t="shared" si="15"/>
        <v>1636177.5288030161</v>
      </c>
      <c r="AJ34" s="106">
        <f t="shared" si="51"/>
        <v>1399129.9930102024</v>
      </c>
      <c r="AK34" s="105">
        <f>AI34*'Baseline Given'!K35/'Baseline Given'!L35</f>
        <v>11708901.143902311</v>
      </c>
      <c r="AL34" s="105">
        <f>AJ34/'Baseline Given'!M35</f>
        <v>159629.26315435852</v>
      </c>
      <c r="AM34" s="105">
        <f t="shared" si="17"/>
        <v>11.868530407056669</v>
      </c>
      <c r="AO34" s="105">
        <f t="shared" si="18"/>
        <v>1481152.9345450802</v>
      </c>
      <c r="AP34" s="106">
        <f t="shared" si="52"/>
        <v>1076668.3552844285</v>
      </c>
      <c r="AQ34" s="105">
        <f>AO34*'Baseline Given'!K35/'Baseline Given'!L35</f>
        <v>10599505.850857513</v>
      </c>
      <c r="AR34" s="105">
        <f>AP34/'Baseline Given'!M35</f>
        <v>122839.03359536882</v>
      </c>
      <c r="AS34" s="105">
        <f t="shared" si="20"/>
        <v>10.722344884452882</v>
      </c>
      <c r="AU34" s="105">
        <f t="shared" si="21"/>
        <v>1244032.7128436659</v>
      </c>
      <c r="AV34" s="106">
        <f t="shared" si="53"/>
        <v>874088.11040732102</v>
      </c>
      <c r="AW34" s="106">
        <f>AU34*'Baseline Given'!K35/'Baseline Given'!L35</f>
        <v>8902613.4377504755</v>
      </c>
      <c r="AX34" s="105">
        <f>AV34/'Baseline Given'!M35</f>
        <v>99726.288260113637</v>
      </c>
      <c r="AY34" s="105">
        <f t="shared" si="23"/>
        <v>9.0023397260105895</v>
      </c>
      <c r="BA34" s="105">
        <f t="shared" si="24"/>
        <v>948134.39076730143</v>
      </c>
      <c r="BB34" s="106">
        <f t="shared" si="54"/>
        <v>738935.11032992811</v>
      </c>
      <c r="BC34" s="106">
        <f>BA34*'Baseline Given'!K35/'Baseline Given'!L35</f>
        <v>6785090.0389458481</v>
      </c>
      <c r="BD34" s="105">
        <f>BB34/'Baseline Given'!M35</f>
        <v>84306.438837088746</v>
      </c>
      <c r="BE34" s="105">
        <f t="shared" si="26"/>
        <v>6.8693964777829368</v>
      </c>
      <c r="BG34" s="105">
        <f t="shared" si="46"/>
        <v>609285.8174344725</v>
      </c>
      <c r="BH34" s="106">
        <f t="shared" si="55"/>
        <v>650446.14422491938</v>
      </c>
      <c r="BI34" s="105">
        <f>BG34*'Baseline Given'!K35/'Baseline Given'!L35</f>
        <v>4360203.7548706857</v>
      </c>
      <c r="BJ34" s="105">
        <f>BH34/'Baseline Given'!M35</f>
        <v>74210.5731725675</v>
      </c>
      <c r="BK34" s="105">
        <f t="shared" si="29"/>
        <v>4.4344143280432533</v>
      </c>
      <c r="BM34" s="105">
        <f t="shared" si="30"/>
        <v>241051.79034023313</v>
      </c>
      <c r="BN34" s="106">
        <f t="shared" si="56"/>
        <v>599418.85445738258</v>
      </c>
      <c r="BO34" s="105">
        <f>BM34*'Baseline Given'!K35/'Baseline Given'!L35</f>
        <v>1725027.7148832905</v>
      </c>
      <c r="BP34" s="105">
        <f>BN34/'Baseline Given'!M35</f>
        <v>68388.777694628341</v>
      </c>
      <c r="BQ34" s="105">
        <f t="shared" si="32"/>
        <v>1.7934164925779188</v>
      </c>
      <c r="BS34" s="105">
        <f t="shared" si="33"/>
        <v>-143827.54098776719</v>
      </c>
      <c r="BT34" s="106">
        <f t="shared" si="57"/>
        <v>581760</v>
      </c>
      <c r="BU34" s="105">
        <f>BS34*'Baseline Given'!K35/'Baseline Given'!L35</f>
        <v>-1029266.3415493423</v>
      </c>
      <c r="BV34" s="105">
        <f>BT34/'Baseline Given'!M35</f>
        <v>66374.047155461434</v>
      </c>
      <c r="BW34" s="105">
        <f t="shared" si="35"/>
        <v>-0.96289229439388091</v>
      </c>
      <c r="BY34" s="104">
        <v>150</v>
      </c>
      <c r="BZ34" s="104">
        <v>-150</v>
      </c>
    </row>
    <row r="35" spans="1:78" ht="15" customHeight="1" x14ac:dyDescent="0.25">
      <c r="A35" s="18">
        <f>'Baseline Given'!E36</f>
        <v>33</v>
      </c>
      <c r="B35" s="18">
        <f t="shared" si="36"/>
        <v>35</v>
      </c>
      <c r="C35" s="18">
        <f t="shared" ref="C35:C68" si="58">C36+0.5</f>
        <v>17.5</v>
      </c>
      <c r="D35" s="18">
        <f t="shared" si="37"/>
        <v>33</v>
      </c>
      <c r="E35" s="18">
        <v>0</v>
      </c>
      <c r="F35" s="18">
        <f t="shared" si="44"/>
        <v>14.75</v>
      </c>
      <c r="G35" s="18">
        <f t="shared" si="45"/>
        <v>35</v>
      </c>
      <c r="I35" s="104">
        <f t="shared" si="41"/>
        <v>32</v>
      </c>
      <c r="J35" s="104">
        <f t="shared" si="42"/>
        <v>0.55850536063818546</v>
      </c>
      <c r="K35" s="111">
        <f t="shared" ref="K35:K66" si="59">(27.75*SIN(J35)+47.75*SIN(J35))</f>
        <v>40.008904449606973</v>
      </c>
      <c r="L35" s="103">
        <f t="shared" ref="L35:L66" si="60">27.75*610040*COS(J35)+47.75*472680*COS(J35)</f>
        <v>33497119.593930364</v>
      </c>
      <c r="M35" s="103">
        <f t="shared" ref="M35:M66" si="61">L35*2/K35</f>
        <v>1674483.2209100602</v>
      </c>
      <c r="N35" s="104">
        <f t="shared" ref="N35:N66" si="62">610040*COS(J35)+472680*COS(J35)</f>
        <v>918198.63467048551</v>
      </c>
      <c r="O35" s="104">
        <f t="shared" ref="O35:O66" si="63">M35*COS(J35)</f>
        <v>1420042.3075386565</v>
      </c>
      <c r="Q35" s="105">
        <f t="shared" ref="Q35:Q69" si="64">16160*B35*C35*COS($J$5)-($M$5/2)*E35*SIN($J$5)-($M$5/2)*F35*SIN($J$5)</f>
        <v>2179963.5335372882</v>
      </c>
      <c r="R35" s="106">
        <f t="shared" si="48"/>
        <v>15538005.567098532</v>
      </c>
      <c r="S35" s="105">
        <f>Q35*'Baseline Given'!K36/'Baseline Given'!L36</f>
        <v>15727663.879445825</v>
      </c>
      <c r="T35" s="105">
        <f>R35/'Baseline Given'!M36</f>
        <v>1793886.6434665495</v>
      </c>
      <c r="U35" s="105">
        <f t="shared" ref="U35:U66" si="65">(S35+T35)/1000000</f>
        <v>17.521550522912374</v>
      </c>
      <c r="W35" s="105">
        <f t="shared" ref="W35:W69" si="66">16160*B35*C35*COS($J$13)-($M$12/2)*E35*SIN($J$13)-($M$12/2)*F35*SIN($J$13)</f>
        <v>1287249.1890395284</v>
      </c>
      <c r="X35" s="105">
        <f t="shared" si="49"/>
        <v>3818561.8750163317</v>
      </c>
      <c r="Y35" s="105">
        <f>W35*'Baseline Given'!K36/'Baseline Given'!L36</f>
        <v>9287046.4403833225</v>
      </c>
      <c r="Z35" s="105">
        <f>X35/'Baseline Given'!M36</f>
        <v>440858.84222794231</v>
      </c>
      <c r="AA35" s="105">
        <f t="shared" ref="AA35:AA66" si="67">(Y35+Z35)/1000000</f>
        <v>9.7279052826112657</v>
      </c>
      <c r="AC35" s="105">
        <f t="shared" ref="AC35:AC69" si="68">16160*B35*C35*COS($J$23)-($M$22/2)*E35*SIN($J$23)-($M$22/2)*F35*SIN($J$23)</f>
        <v>1636082.4640799658</v>
      </c>
      <c r="AD35" s="106">
        <f t="shared" si="50"/>
        <v>1993355.9964577211</v>
      </c>
      <c r="AE35" s="106">
        <f>AC35*'Baseline Given'!K36/'Baseline Given'!L36</f>
        <v>11803754.823527675</v>
      </c>
      <c r="AF35" s="105">
        <f>AD35/'Baseline Given'!M36</f>
        <v>230136.01599495325</v>
      </c>
      <c r="AG35" s="105">
        <f t="shared" ref="AG35:AG66" si="69">(AE35+AF35)/1000000</f>
        <v>12.033890839522629</v>
      </c>
      <c r="AI35" s="105">
        <f t="shared" ref="AI35:AI69" si="70">16160*B35*C35*COS($J$33)-($M$32/2)*E35*SIN($J$33)-($M$32/2)*F35*SIN($J$33)</f>
        <v>1611264.8606519233</v>
      </c>
      <c r="AJ35" s="106">
        <f t="shared" si="51"/>
        <v>1382969.9930102024</v>
      </c>
      <c r="AK35" s="105">
        <f>AI35*'Baseline Given'!K36/'Baseline Given'!L36</f>
        <v>11624704.615116032</v>
      </c>
      <c r="AL35" s="105">
        <f>AJ35/'Baseline Given'!M36</f>
        <v>159666.01299392476</v>
      </c>
      <c r="AM35" s="105">
        <f t="shared" ref="AM35:AM66" si="71">(AK35+AL35)/1000000</f>
        <v>11.784370628109956</v>
      </c>
      <c r="AO35" s="105">
        <f t="shared" ref="AO35:AO69" si="72">16160*B35*C35*COS($J$43)-($M$42/2)*E35*SIN($J$43)-($M$42/2)*F35*SIN($J$43)</f>
        <v>1456965.9768023025</v>
      </c>
      <c r="AP35" s="106">
        <f t="shared" si="52"/>
        <v>1060508.3552844285</v>
      </c>
      <c r="AQ35" s="105">
        <f>AO35*'Baseline Given'!K36/'Baseline Given'!L36</f>
        <v>10511492.882522166</v>
      </c>
      <c r="AR35" s="105">
        <f>AP35/'Baseline Given'!M36</f>
        <v>122437.32090415657</v>
      </c>
      <c r="AS35" s="105">
        <f t="shared" ref="AS35:AS66" si="73">(AQ35+AR35)/1000000</f>
        <v>10.633930203426322</v>
      </c>
      <c r="AU35" s="105">
        <f t="shared" ref="AU35:AU69" si="74">16160*B35*C35*COS($J$53)-($M$52/2)*E35*SIN($J$53)-($M$52/2)*F35*SIN($J$53)</f>
        <v>1223661.392712893</v>
      </c>
      <c r="AV35" s="106">
        <f t="shared" si="53"/>
        <v>857928.11040732102</v>
      </c>
      <c r="AW35" s="106">
        <f>AU35*'Baseline Given'!K36/'Baseline Given'!L36</f>
        <v>8828283.038117962</v>
      </c>
      <c r="AX35" s="105">
        <f>AV35/'Baseline Given'!M36</f>
        <v>99049.120021751689</v>
      </c>
      <c r="AY35" s="105">
        <f t="shared" ref="AY35:AY66" si="75">(AW35+AX35)/1000000</f>
        <v>8.9273321581397127</v>
      </c>
      <c r="BA35" s="105">
        <f t="shared" ref="BA35:BA69" si="76">16160*B35*C35*COS($J$63)-($M$62/2)*E35*SIN($J$63)-($M$62/2)*F35*SIN($J$63)</f>
        <v>933529.66754398169</v>
      </c>
      <c r="BB35" s="106">
        <f t="shared" si="54"/>
        <v>722775.11032992811</v>
      </c>
      <c r="BC35" s="106">
        <f>BA35*'Baseline Given'!K36/'Baseline Given'!L36</f>
        <v>6735085.5217282521</v>
      </c>
      <c r="BD35" s="105">
        <f>BB35/'Baseline Given'!M36</f>
        <v>83445.498268864001</v>
      </c>
      <c r="BE35" s="105">
        <f t="shared" ref="BE35:BE66" si="77">(BC35+BD35)/1000000</f>
        <v>6.8185310199971161</v>
      </c>
      <c r="BG35" s="105">
        <f t="shared" si="46"/>
        <v>601789.33189877216</v>
      </c>
      <c r="BH35" s="106">
        <f t="shared" si="55"/>
        <v>634286.14422491938</v>
      </c>
      <c r="BI35" s="105">
        <f>BG35*'Baseline Given'!K36/'Baseline Given'!L36</f>
        <v>4341696.6351644984</v>
      </c>
      <c r="BJ35" s="105">
        <f>BH35/'Baseline Given'!M36</f>
        <v>73229.311017260305</v>
      </c>
      <c r="BK35" s="105">
        <f t="shared" ref="BK35:BK66" si="78">(BI35+BJ35)/1000000</f>
        <v>4.414925946181758</v>
      </c>
      <c r="BM35" s="105">
        <f t="shared" ref="BM35:BM69" si="79">16160*B35*C35*COS($J$83)-($M$82/2)*E35*SIN($J$83)-($M$82/2)*F35*SIN($J$83)</f>
        <v>241581.64401569753</v>
      </c>
      <c r="BN35" s="106">
        <f t="shared" si="56"/>
        <v>583258.85445738258</v>
      </c>
      <c r="BO35" s="105">
        <f>BM35*'Baseline Given'!K36/'Baseline Given'!L36</f>
        <v>1742925.8967270863</v>
      </c>
      <c r="BP35" s="105">
        <f>BN35/'Baseline Given'!M36</f>
        <v>67338.131922813962</v>
      </c>
      <c r="BQ35" s="105">
        <f t="shared" ref="BQ35:BQ66" si="80">(BO35+BP35)/1000000</f>
        <v>1.8102640286499003</v>
      </c>
      <c r="BS35" s="105">
        <f t="shared" ref="BS35:BS69" si="81">16160*B35*C35*COS($J$93)-($M$92/2)*E35*SIN($J$93)-($M$92/2)*F35*SIN($J$93)</f>
        <v>-134695.6336234645</v>
      </c>
      <c r="BT35" s="106">
        <f t="shared" si="57"/>
        <v>565600</v>
      </c>
      <c r="BU35" s="105">
        <f>BS35*'Baseline Given'!K36/'Baseline Given'!L36</f>
        <v>-971781.23352428782</v>
      </c>
      <c r="BV35" s="105">
        <f>BT35/'Baseline Given'!M36</f>
        <v>65299.390012649128</v>
      </c>
      <c r="BW35" s="105">
        <f t="shared" ref="BW35:BW66" si="82">(BU35+BV35)/1000000</f>
        <v>-0.90648184351163874</v>
      </c>
      <c r="BY35" s="104">
        <v>150</v>
      </c>
      <c r="BZ35" s="104">
        <v>-150</v>
      </c>
    </row>
    <row r="36" spans="1:78" ht="15" customHeight="1" x14ac:dyDescent="0.25">
      <c r="A36" s="18">
        <f>'Baseline Given'!E37</f>
        <v>34</v>
      </c>
      <c r="B36" s="18">
        <f t="shared" ref="B36:B69" si="83">B35-1</f>
        <v>34</v>
      </c>
      <c r="C36" s="18">
        <f t="shared" si="58"/>
        <v>17</v>
      </c>
      <c r="D36" s="18">
        <f t="shared" ref="D36:D68" si="84">D35+1</f>
        <v>34</v>
      </c>
      <c r="E36" s="18">
        <v>0</v>
      </c>
      <c r="F36" s="18">
        <f t="shared" si="44"/>
        <v>13.75</v>
      </c>
      <c r="G36" s="18">
        <f t="shared" si="45"/>
        <v>34</v>
      </c>
      <c r="I36" s="104">
        <f t="shared" ref="I36:I67" si="85">I35+1</f>
        <v>33</v>
      </c>
      <c r="J36" s="104">
        <f t="shared" ref="J36:J67" si="86">I36*PI()/180</f>
        <v>0.57595865315812877</v>
      </c>
      <c r="K36" s="111">
        <f t="shared" si="59"/>
        <v>41.120247143634543</v>
      </c>
      <c r="L36" s="103">
        <f t="shared" si="60"/>
        <v>33126715.85692174</v>
      </c>
      <c r="M36" s="103">
        <f t="shared" si="61"/>
        <v>1611211.9045009091</v>
      </c>
      <c r="N36" s="104">
        <f t="shared" si="62"/>
        <v>908045.39732586953</v>
      </c>
      <c r="O36" s="104">
        <f t="shared" si="63"/>
        <v>1351276.0030282058</v>
      </c>
      <c r="Q36" s="105">
        <f t="shared" si="64"/>
        <v>2145631.0832032114</v>
      </c>
      <c r="R36" s="106">
        <f t="shared" si="48"/>
        <v>15521845.567098532</v>
      </c>
      <c r="S36" s="105">
        <f>Q36*'Baseline Given'!K37/'Baseline Given'!L37</f>
        <v>15607316.333914578</v>
      </c>
      <c r="T36" s="105">
        <f>R36/'Baseline Given'!M37</f>
        <v>1813506.1133956686</v>
      </c>
      <c r="U36" s="105">
        <f t="shared" si="65"/>
        <v>17.420822447310247</v>
      </c>
      <c r="W36" s="105">
        <f t="shared" si="66"/>
        <v>1311784.1163615389</v>
      </c>
      <c r="X36" s="105">
        <f t="shared" si="49"/>
        <v>3802401.8750163317</v>
      </c>
      <c r="Y36" s="105">
        <f>W36*'Baseline Given'!K37/'Baseline Given'!L37</f>
        <v>9541915.1158522442</v>
      </c>
      <c r="Z36" s="105">
        <f>X36/'Baseline Given'!M37</f>
        <v>444256.38794821908</v>
      </c>
      <c r="AA36" s="105">
        <f t="shared" si="67"/>
        <v>9.9861715038004633</v>
      </c>
      <c r="AC36" s="105">
        <f t="shared" si="68"/>
        <v>1631845.7186450986</v>
      </c>
      <c r="AD36" s="106">
        <f t="shared" si="50"/>
        <v>1977195.9964577211</v>
      </c>
      <c r="AE36" s="106">
        <f>AC36*'Baseline Given'!K37/'Baseline Given'!L37</f>
        <v>11870042.589528468</v>
      </c>
      <c r="AF36" s="105">
        <f>AD36/'Baseline Given'!M37</f>
        <v>231007.13194557169</v>
      </c>
      <c r="AG36" s="105">
        <f t="shared" si="69"/>
        <v>12.101049721474038</v>
      </c>
      <c r="AI36" s="105">
        <f t="shared" si="70"/>
        <v>1600347.1630259855</v>
      </c>
      <c r="AJ36" s="106">
        <f t="shared" si="51"/>
        <v>1366809.9930102024</v>
      </c>
      <c r="AK36" s="105">
        <f>AI36*'Baseline Given'!K37/'Baseline Given'!L37</f>
        <v>11640922.157103069</v>
      </c>
      <c r="AL36" s="105">
        <f>AJ36/'Baseline Given'!M37</f>
        <v>159692.2393963513</v>
      </c>
      <c r="AM36" s="105">
        <f t="shared" si="71"/>
        <v>11.800614396499419</v>
      </c>
      <c r="AO36" s="105">
        <f t="shared" si="72"/>
        <v>1445158.2972603282</v>
      </c>
      <c r="AP36" s="106">
        <f t="shared" si="52"/>
        <v>1044348.3552844285</v>
      </c>
      <c r="AQ36" s="105">
        <f>AO36*'Baseline Given'!K37/'Baseline Given'!L37</f>
        <v>10512078.648791239</v>
      </c>
      <c r="AR36" s="105">
        <f>AP36/'Baseline Given'!M37</f>
        <v>122017.19947771981</v>
      </c>
      <c r="AS36" s="105">
        <f t="shared" si="73"/>
        <v>10.634095848268958</v>
      </c>
      <c r="AU36" s="105">
        <f t="shared" si="74"/>
        <v>1213677.5203546556</v>
      </c>
      <c r="AV36" s="106">
        <f t="shared" si="53"/>
        <v>841768.11040732102</v>
      </c>
      <c r="AW36" s="106">
        <f>AU36*'Baseline Given'!K37/'Baseline Given'!L37</f>
        <v>8828287.9269521423</v>
      </c>
      <c r="AX36" s="105">
        <f>AV36/'Baseline Given'!M37</f>
        <v>98348.589263187212</v>
      </c>
      <c r="AY36" s="105">
        <f t="shared" si="75"/>
        <v>8.9266365162153303</v>
      </c>
      <c r="BA36" s="105">
        <f t="shared" si="76"/>
        <v>927004.94432066055</v>
      </c>
      <c r="BB36" s="106">
        <f t="shared" si="54"/>
        <v>706615.11032992811</v>
      </c>
      <c r="BC36" s="106">
        <f>BA36*'Baseline Given'!K37/'Baseline Given'!L37</f>
        <v>6743032.1653972603</v>
      </c>
      <c r="BD36" s="105">
        <f>BB36/'Baseline Given'!M37</f>
        <v>82557.890223914816</v>
      </c>
      <c r="BE36" s="105">
        <f t="shared" si="77"/>
        <v>6.8255900556211753</v>
      </c>
      <c r="BG36" s="105">
        <f t="shared" si="46"/>
        <v>599819.89187921491</v>
      </c>
      <c r="BH36" s="106">
        <f t="shared" si="55"/>
        <v>618126.14422491938</v>
      </c>
      <c r="BI36" s="105">
        <f>BG36*'Baseline Given'!K37/'Baseline Given'!L37</f>
        <v>4363088.7291013002</v>
      </c>
      <c r="BJ36" s="105">
        <f>BH36/'Baseline Given'!M37</f>
        <v>72219.217525118424</v>
      </c>
      <c r="BK36" s="105">
        <f t="shared" si="78"/>
        <v>4.435307946626418</v>
      </c>
      <c r="BM36" s="105">
        <f t="shared" si="79"/>
        <v>244917.65224225959</v>
      </c>
      <c r="BN36" s="106">
        <f t="shared" si="56"/>
        <v>567098.85445738258</v>
      </c>
      <c r="BO36" s="105">
        <f>BM36*'Baseline Given'!K37/'Baseline Given'!L37</f>
        <v>1781530.5269524758</v>
      </c>
      <c r="BP36" s="105">
        <f>BN36/'Baseline Given'!M37</f>
        <v>66257.407021115432</v>
      </c>
      <c r="BQ36" s="105">
        <f t="shared" si="80"/>
        <v>1.8477879339735912</v>
      </c>
      <c r="BS36" s="105">
        <f t="shared" si="81"/>
        <v>-125563.72625916182</v>
      </c>
      <c r="BT36" s="106">
        <f t="shared" si="57"/>
        <v>549440</v>
      </c>
      <c r="BU36" s="105">
        <f>BS36*'Baseline Given'!K37/'Baseline Given'!L37</f>
        <v>-913350.30105275183</v>
      </c>
      <c r="BV36" s="105">
        <f>BT36/'Baseline Given'!M37</f>
        <v>64194.221920117554</v>
      </c>
      <c r="BW36" s="105">
        <f t="shared" si="82"/>
        <v>-0.84915607913263436</v>
      </c>
      <c r="BY36" s="104">
        <v>150</v>
      </c>
      <c r="BZ36" s="104">
        <v>-150</v>
      </c>
    </row>
    <row r="37" spans="1:78" ht="15" customHeight="1" x14ac:dyDescent="0.25">
      <c r="A37" s="18">
        <f>'Baseline Given'!E38</f>
        <v>35</v>
      </c>
      <c r="B37" s="18">
        <f t="shared" si="83"/>
        <v>33</v>
      </c>
      <c r="C37" s="18">
        <f t="shared" si="58"/>
        <v>16.5</v>
      </c>
      <c r="D37" s="18">
        <f t="shared" si="84"/>
        <v>35</v>
      </c>
      <c r="E37" s="18">
        <v>0</v>
      </c>
      <c r="F37" s="18">
        <f t="shared" si="44"/>
        <v>12.75</v>
      </c>
      <c r="G37" s="18">
        <f t="shared" si="45"/>
        <v>33</v>
      </c>
      <c r="I37" s="104">
        <f t="shared" si="85"/>
        <v>34</v>
      </c>
      <c r="J37" s="104">
        <f t="shared" si="86"/>
        <v>0.59341194567807209</v>
      </c>
      <c r="K37" s="111">
        <f t="shared" si="59"/>
        <v>42.219064212041388</v>
      </c>
      <c r="L37" s="103">
        <f t="shared" si="60"/>
        <v>32746221.401357394</v>
      </c>
      <c r="M37" s="103">
        <f t="shared" si="61"/>
        <v>1551252.8291433696</v>
      </c>
      <c r="N37" s="104">
        <f t="shared" si="62"/>
        <v>897615.56055679463</v>
      </c>
      <c r="O37" s="104">
        <f t="shared" si="63"/>
        <v>1286046.87989216</v>
      </c>
      <c r="Q37" s="105">
        <f t="shared" si="64"/>
        <v>2127448.788633761</v>
      </c>
      <c r="R37" s="106">
        <f t="shared" si="48"/>
        <v>15505685.567098532</v>
      </c>
      <c r="S37" s="105">
        <f>Q37*'Baseline Given'!K38/'Baseline Given'!L38</f>
        <v>15603422.897892993</v>
      </c>
      <c r="T37" s="105">
        <f>R37/'Baseline Given'!M38</f>
        <v>1833469.1604951692</v>
      </c>
      <c r="U37" s="105">
        <f t="shared" si="65"/>
        <v>17.436892058388164</v>
      </c>
      <c r="W37" s="105">
        <f t="shared" si="66"/>
        <v>1352233.5369722256</v>
      </c>
      <c r="X37" s="105">
        <f t="shared" si="49"/>
        <v>3786241.8750163317</v>
      </c>
      <c r="Y37" s="105">
        <f>W37*'Baseline Given'!K38/'Baseline Given'!L38</f>
        <v>9917734.2584313173</v>
      </c>
      <c r="Z37" s="105">
        <f>X37/'Baseline Given'!M38</f>
        <v>447704.0168251553</v>
      </c>
      <c r="AA37" s="105">
        <f t="shared" si="67"/>
        <v>10.365438275256471</v>
      </c>
      <c r="AC37" s="105">
        <f t="shared" si="68"/>
        <v>1642794.405962131</v>
      </c>
      <c r="AD37" s="106">
        <f t="shared" si="50"/>
        <v>1961035.9964577211</v>
      </c>
      <c r="AE37" s="106">
        <f>AC37*'Baseline Given'!K38/'Baseline Given'!L38</f>
        <v>12048805.11694083</v>
      </c>
      <c r="AF37" s="105">
        <f>AD37/'Baseline Given'!M38</f>
        <v>231882.62180134904</v>
      </c>
      <c r="AG37" s="105">
        <f t="shared" si="69"/>
        <v>12.280687738742179</v>
      </c>
      <c r="AI37" s="105">
        <f t="shared" si="70"/>
        <v>1603424.4359252043</v>
      </c>
      <c r="AJ37" s="106">
        <f t="shared" si="51"/>
        <v>1350649.9930102024</v>
      </c>
      <c r="AK37" s="105">
        <f>AI37*'Baseline Given'!K38/'Baseline Given'!L38</f>
        <v>11760052.553191436</v>
      </c>
      <c r="AL37" s="105">
        <f>AJ37/'Baseline Given'!M38</f>
        <v>159707.55359968313</v>
      </c>
      <c r="AM37" s="105">
        <f t="shared" si="71"/>
        <v>11.91976010679112</v>
      </c>
      <c r="AO37" s="105">
        <f t="shared" si="72"/>
        <v>1445729.8959191563</v>
      </c>
      <c r="AP37" s="106">
        <f t="shared" si="52"/>
        <v>1028188.3552844285</v>
      </c>
      <c r="AQ37" s="105">
        <f>AO37*'Baseline Given'!K38/'Baseline Given'!L38</f>
        <v>10603467.910802349</v>
      </c>
      <c r="AR37" s="105">
        <f>AP37/'Baseline Given'!M38</f>
        <v>121578.09033573771</v>
      </c>
      <c r="AS37" s="105">
        <f t="shared" si="73"/>
        <v>10.725046001138088</v>
      </c>
      <c r="AU37" s="105">
        <f t="shared" si="74"/>
        <v>1214081.0957689518</v>
      </c>
      <c r="AV37" s="106">
        <f t="shared" si="53"/>
        <v>825608.11040732102</v>
      </c>
      <c r="AW37" s="106">
        <f>AU37*'Baseline Given'!K38/'Baseline Given'!L38</f>
        <v>8904477.9224913437</v>
      </c>
      <c r="AX37" s="105">
        <f>AV37/'Baseline Given'!M38</f>
        <v>97623.997503115024</v>
      </c>
      <c r="AY37" s="105">
        <f t="shared" si="75"/>
        <v>9.002101919994459</v>
      </c>
      <c r="BA37" s="105">
        <f t="shared" si="76"/>
        <v>928560.22109733988</v>
      </c>
      <c r="BB37" s="106">
        <f t="shared" si="54"/>
        <v>690455.11032992811</v>
      </c>
      <c r="BC37" s="106">
        <f>BA37*'Baseline Given'!K38/'Baseline Given'!L38</f>
        <v>6810372.0725740278</v>
      </c>
      <c r="BD37" s="105">
        <f>BB37/'Baseline Given'!M38</f>
        <v>81642.836494916541</v>
      </c>
      <c r="BE37" s="105">
        <f t="shared" si="77"/>
        <v>6.8920149090689442</v>
      </c>
      <c r="BG37" s="105">
        <f t="shared" si="46"/>
        <v>603377.49737579981</v>
      </c>
      <c r="BH37" s="106">
        <f t="shared" si="55"/>
        <v>601966.14422491938</v>
      </c>
      <c r="BI37" s="105">
        <f>BG37*'Baseline Given'!K38/'Baseline Given'!L38</f>
        <v>4425372.9203385618</v>
      </c>
      <c r="BJ37" s="105">
        <f>BH37/'Baseline Given'!M38</f>
        <v>71179.462289657517</v>
      </c>
      <c r="BK37" s="105">
        <f t="shared" si="78"/>
        <v>4.4965523826282192</v>
      </c>
      <c r="BM37" s="105">
        <f t="shared" si="79"/>
        <v>251059.8150199193</v>
      </c>
      <c r="BN37" s="106">
        <f t="shared" si="56"/>
        <v>550938.85445738258</v>
      </c>
      <c r="BO37" s="105">
        <f>BM37*'Baseline Given'!K38/'Baseline Given'!L38</f>
        <v>1841356.881233471</v>
      </c>
      <c r="BP37" s="105">
        <f>BN37/'Baseline Given'!M38</f>
        <v>65145.742482327769</v>
      </c>
      <c r="BQ37" s="105">
        <f t="shared" si="80"/>
        <v>1.9065026237157989</v>
      </c>
      <c r="BS37" s="105">
        <f t="shared" si="81"/>
        <v>-116431.81889485913</v>
      </c>
      <c r="BT37" s="106">
        <f t="shared" si="57"/>
        <v>533280</v>
      </c>
      <c r="BU37" s="105">
        <f>BS37*'Baseline Given'!K38/'Baseline Given'!L38</f>
        <v>-853950.0074895221</v>
      </c>
      <c r="BV37" s="105">
        <f>BT37/'Baseline Given'!M38</f>
        <v>63057.671953799567</v>
      </c>
      <c r="BW37" s="105">
        <f t="shared" si="82"/>
        <v>-0.79089233553572258</v>
      </c>
      <c r="BY37" s="104">
        <v>150</v>
      </c>
      <c r="BZ37" s="104">
        <v>-150</v>
      </c>
    </row>
    <row r="38" spans="1:78" ht="15" customHeight="1" x14ac:dyDescent="0.25">
      <c r="A38" s="18">
        <f>'Baseline Given'!E39</f>
        <v>36</v>
      </c>
      <c r="B38" s="18">
        <f t="shared" si="83"/>
        <v>32</v>
      </c>
      <c r="C38" s="18">
        <f t="shared" si="58"/>
        <v>16</v>
      </c>
      <c r="D38" s="18">
        <f t="shared" si="84"/>
        <v>36</v>
      </c>
      <c r="E38" s="18">
        <v>0</v>
      </c>
      <c r="F38" s="18">
        <f t="shared" si="44"/>
        <v>11.75</v>
      </c>
      <c r="G38" s="18">
        <f t="shared" si="45"/>
        <v>32</v>
      </c>
      <c r="I38" s="104">
        <f t="shared" si="85"/>
        <v>35</v>
      </c>
      <c r="J38" s="104">
        <f t="shared" si="86"/>
        <v>0.6108652381980153</v>
      </c>
      <c r="K38" s="111">
        <f t="shared" si="59"/>
        <v>43.30502094450398</v>
      </c>
      <c r="L38" s="103">
        <f t="shared" si="60"/>
        <v>32355752.129534431</v>
      </c>
      <c r="M38" s="103">
        <f t="shared" si="61"/>
        <v>1494318.7382820484</v>
      </c>
      <c r="N38" s="104">
        <f t="shared" si="62"/>
        <v>886912.30139257712</v>
      </c>
      <c r="O38" s="104">
        <f t="shared" si="63"/>
        <v>1224074.2492830867</v>
      </c>
      <c r="Q38" s="105">
        <f t="shared" si="64"/>
        <v>2125416.6498289397</v>
      </c>
      <c r="R38" s="106">
        <f t="shared" si="48"/>
        <v>15489525.567098532</v>
      </c>
      <c r="S38" s="105">
        <f>Q38*'Baseline Given'!K39/'Baseline Given'!L39</f>
        <v>15718905.746991459</v>
      </c>
      <c r="T38" s="105">
        <f>R38/'Baseline Given'!M39</f>
        <v>1853783.9850440058</v>
      </c>
      <c r="U38" s="105">
        <f t="shared" si="65"/>
        <v>17.572689732035464</v>
      </c>
      <c r="W38" s="105">
        <f t="shared" si="66"/>
        <v>1408597.4508715924</v>
      </c>
      <c r="X38" s="105">
        <f t="shared" si="49"/>
        <v>3770081.8750163317</v>
      </c>
      <c r="Y38" s="105">
        <f>W38*'Baseline Given'!K39/'Baseline Given'!L39</f>
        <v>10417538.870548051</v>
      </c>
      <c r="Z38" s="105">
        <f>X38/'Baseline Given'!M39</f>
        <v>451202.80617601273</v>
      </c>
      <c r="AA38" s="105">
        <f t="shared" si="67"/>
        <v>10.868741676724063</v>
      </c>
      <c r="AC38" s="105">
        <f t="shared" si="68"/>
        <v>1668928.5260310629</v>
      </c>
      <c r="AD38" s="106">
        <f t="shared" si="50"/>
        <v>1944875.9964577211</v>
      </c>
      <c r="AE38" s="106">
        <f>AC38*'Baseline Given'!K39/'Baseline Given'!L39</f>
        <v>12342864.72784479</v>
      </c>
      <c r="AF38" s="105">
        <f>AD38/'Baseline Given'!M39</f>
        <v>232762.45353750876</v>
      </c>
      <c r="AG38" s="105">
        <f t="shared" si="69"/>
        <v>12.575627181382298</v>
      </c>
      <c r="AI38" s="105">
        <f t="shared" si="70"/>
        <v>1620496.6793495808</v>
      </c>
      <c r="AJ38" s="106">
        <f t="shared" si="51"/>
        <v>1334489.9930102024</v>
      </c>
      <c r="AK38" s="105">
        <f>AI38*'Baseline Given'!K39/'Baseline Given'!L39</f>
        <v>11984678.18912532</v>
      </c>
      <c r="AL38" s="105">
        <f>AJ38/'Baseline Given'!M39</f>
        <v>159711.55259258198</v>
      </c>
      <c r="AM38" s="105">
        <f t="shared" si="71"/>
        <v>12.144389741717902</v>
      </c>
      <c r="AO38" s="105">
        <f t="shared" si="72"/>
        <v>1458680.7727787867</v>
      </c>
      <c r="AP38" s="106">
        <f t="shared" si="52"/>
        <v>1012028.3552844285</v>
      </c>
      <c r="AQ38" s="105">
        <f>AO38*'Baseline Given'!K39/'Baseline Given'!L39</f>
        <v>10787939.194935638</v>
      </c>
      <c r="AR38" s="105">
        <f>AP38/'Baseline Given'!M39</f>
        <v>121119.39447788541</v>
      </c>
      <c r="AS38" s="105">
        <f t="shared" si="73"/>
        <v>10.909058589413524</v>
      </c>
      <c r="AU38" s="105">
        <f t="shared" si="74"/>
        <v>1224872.1189557835</v>
      </c>
      <c r="AV38" s="106">
        <f t="shared" si="53"/>
        <v>809448.11040732102</v>
      </c>
      <c r="AW38" s="106">
        <f>AU38*'Baseline Given'!K39/'Baseline Given'!L39</f>
        <v>9058764.7328034565</v>
      </c>
      <c r="AX38" s="105">
        <f>AV38/'Baseline Given'!M39</f>
        <v>96874.622614945765</v>
      </c>
      <c r="AY38" s="105">
        <f t="shared" si="75"/>
        <v>9.155639355418403</v>
      </c>
      <c r="BA38" s="105">
        <f t="shared" si="76"/>
        <v>938195.4978740192</v>
      </c>
      <c r="BB38" s="106">
        <f t="shared" si="54"/>
        <v>674295.11032992811</v>
      </c>
      <c r="BC38" s="106">
        <f>BA38*'Baseline Given'!K39/'Baseline Given'!L39</f>
        <v>6938595.5946662752</v>
      </c>
      <c r="BD38" s="105">
        <f>BB38/'Baseline Given'!M39</f>
        <v>80699.532810626217</v>
      </c>
      <c r="BE38" s="105">
        <f t="shared" si="77"/>
        <v>7.0192951274769015</v>
      </c>
      <c r="BG38" s="105">
        <f t="shared" si="46"/>
        <v>612462.14838852733</v>
      </c>
      <c r="BH38" s="106">
        <f t="shared" si="55"/>
        <v>585806.14422491938</v>
      </c>
      <c r="BI38" s="105">
        <f>BG38*'Baseline Given'!K39/'Baseline Given'!L39</f>
        <v>4529575.3116895873</v>
      </c>
      <c r="BJ38" s="105">
        <f>BH38/'Baseline Given'!M39</f>
        <v>70109.187256918303</v>
      </c>
      <c r="BK38" s="105">
        <f t="shared" si="78"/>
        <v>4.5996844989465053</v>
      </c>
      <c r="BM38" s="105">
        <f t="shared" si="79"/>
        <v>260008.13234867668</v>
      </c>
      <c r="BN38" s="106">
        <f t="shared" si="56"/>
        <v>534778.85445738258</v>
      </c>
      <c r="BO38" s="105">
        <f>BM38*'Baseline Given'!K39/'Baseline Given'!L39</f>
        <v>1922937.4749506493</v>
      </c>
      <c r="BP38" s="105">
        <f>BN38/'Baseline Given'!M39</f>
        <v>64002.249238610835</v>
      </c>
      <c r="BQ38" s="105">
        <f t="shared" si="80"/>
        <v>1.9869397241892601</v>
      </c>
      <c r="BS38" s="105">
        <f t="shared" si="81"/>
        <v>-107299.91153055643</v>
      </c>
      <c r="BT38" s="106">
        <f t="shared" si="57"/>
        <v>517120</v>
      </c>
      <c r="BU38" s="105">
        <f>BS38*'Baseline Given'!K39/'Baseline Given'!L39</f>
        <v>-793556.02871798549</v>
      </c>
      <c r="BV38" s="105">
        <f>BT38/'Baseline Given'!M39</f>
        <v>61888.84031297834</v>
      </c>
      <c r="BW38" s="105">
        <f t="shared" si="82"/>
        <v>-0.73166718840500711</v>
      </c>
      <c r="BY38" s="104">
        <v>150</v>
      </c>
      <c r="BZ38" s="104">
        <v>-150</v>
      </c>
    </row>
    <row r="39" spans="1:78" ht="15" customHeight="1" x14ac:dyDescent="0.25">
      <c r="A39" s="18">
        <f>'Baseline Given'!E40</f>
        <v>37</v>
      </c>
      <c r="B39" s="18">
        <f t="shared" si="83"/>
        <v>31</v>
      </c>
      <c r="C39" s="18">
        <f t="shared" si="58"/>
        <v>15.5</v>
      </c>
      <c r="D39" s="18">
        <f t="shared" si="84"/>
        <v>37</v>
      </c>
      <c r="E39" s="18">
        <v>0</v>
      </c>
      <c r="F39" s="18">
        <f t="shared" si="44"/>
        <v>10.75</v>
      </c>
      <c r="G39" s="18">
        <f t="shared" si="45"/>
        <v>31</v>
      </c>
      <c r="I39" s="104">
        <f t="shared" si="85"/>
        <v>36</v>
      </c>
      <c r="J39" s="104">
        <f t="shared" si="86"/>
        <v>0.62831853071795862</v>
      </c>
      <c r="K39" s="111">
        <f t="shared" si="59"/>
        <v>44.377786548081723</v>
      </c>
      <c r="L39" s="103">
        <f t="shared" si="60"/>
        <v>31955426.9821756</v>
      </c>
      <c r="M39" s="103">
        <f t="shared" si="61"/>
        <v>1440154.1612515105</v>
      </c>
      <c r="N39" s="104">
        <f t="shared" si="62"/>
        <v>875938.88014964317</v>
      </c>
      <c r="O39" s="104">
        <f t="shared" si="63"/>
        <v>1165109.1909722704</v>
      </c>
      <c r="Q39" s="105">
        <f t="shared" si="64"/>
        <v>2139534.6667887475</v>
      </c>
      <c r="R39" s="106">
        <f t="shared" si="48"/>
        <v>15473365.567098532</v>
      </c>
      <c r="S39" s="105">
        <f>Q39*'Baseline Given'!K40/'Baseline Given'!L40</f>
        <v>15956785.649437007</v>
      </c>
      <c r="T39" s="105">
        <f>R39/'Baseline Given'!M40</f>
        <v>1874459.0350795647</v>
      </c>
      <c r="U39" s="105">
        <f t="shared" si="65"/>
        <v>17.831244684516573</v>
      </c>
      <c r="W39" s="105">
        <f t="shared" si="66"/>
        <v>1480875.8580596335</v>
      </c>
      <c r="X39" s="105">
        <f t="shared" si="49"/>
        <v>3753921.8750163317</v>
      </c>
      <c r="Y39" s="105">
        <f>W39*'Baseline Given'!K40/'Baseline Given'!L40</f>
        <v>11044466.353962025</v>
      </c>
      <c r="Z39" s="105">
        <f>X39/'Baseline Given'!M40</f>
        <v>454753.86366940447</v>
      </c>
      <c r="AA39" s="105">
        <f t="shared" si="67"/>
        <v>11.499220217631429</v>
      </c>
      <c r="AC39" s="105">
        <f t="shared" si="68"/>
        <v>1710248.0788518973</v>
      </c>
      <c r="AD39" s="106">
        <f t="shared" si="50"/>
        <v>1928715.9964577211</v>
      </c>
      <c r="AE39" s="106">
        <f>AC39*'Baseline Given'!K40/'Baseline Given'!L40</f>
        <v>12755138.967933215</v>
      </c>
      <c r="AF39" s="105">
        <f>AD39/'Baseline Given'!M40</f>
        <v>233646.59162128094</v>
      </c>
      <c r="AG39" s="105">
        <f t="shared" si="69"/>
        <v>12.988785559554497</v>
      </c>
      <c r="AI39" s="105">
        <f t="shared" si="70"/>
        <v>1651563.893299113</v>
      </c>
      <c r="AJ39" s="106">
        <f t="shared" si="51"/>
        <v>1318329.9930102024</v>
      </c>
      <c r="AK39" s="105">
        <f>AI39*'Baseline Given'!K40/'Baseline Given'!L40</f>
        <v>12317468.578940159</v>
      </c>
      <c r="AL39" s="105">
        <f>AJ39/'Baseline Given'!M40</f>
        <v>159703.81853246223</v>
      </c>
      <c r="AM39" s="105">
        <f t="shared" si="71"/>
        <v>12.47717239747262</v>
      </c>
      <c r="AO39" s="105">
        <f t="shared" si="72"/>
        <v>1484010.9278392205</v>
      </c>
      <c r="AP39" s="106">
        <f t="shared" si="52"/>
        <v>995868.35528442846</v>
      </c>
      <c r="AQ39" s="105">
        <f>AO39*'Baseline Given'!K40/'Baseline Given'!L40</f>
        <v>11067847.90381276</v>
      </c>
      <c r="AR39" s="105">
        <f>AP39/'Baseline Given'!M40</f>
        <v>120640.49209061358</v>
      </c>
      <c r="AS39" s="105">
        <f t="shared" si="73"/>
        <v>11.188488395903375</v>
      </c>
      <c r="AU39" s="105">
        <f t="shared" si="74"/>
        <v>1246050.5899151494</v>
      </c>
      <c r="AV39" s="106">
        <f t="shared" si="53"/>
        <v>793288.11040732102</v>
      </c>
      <c r="AW39" s="106">
        <f>AU39*'Baseline Given'!K40/'Baseline Given'!L40</f>
        <v>9293124.5659473892</v>
      </c>
      <c r="AX39" s="105">
        <f>AV39/'Baseline Given'!M40</f>
        <v>96099.717900804972</v>
      </c>
      <c r="AY39" s="105">
        <f t="shared" si="75"/>
        <v>9.3892242838481952</v>
      </c>
      <c r="BA39" s="105">
        <f t="shared" si="76"/>
        <v>955910.77465069853</v>
      </c>
      <c r="BB39" s="106">
        <f t="shared" si="54"/>
        <v>658135.11032992811</v>
      </c>
      <c r="BC39" s="106">
        <f>BA39*'Baseline Given'!K40/'Baseline Given'!L40</f>
        <v>7129243.3667280935</v>
      </c>
      <c r="BD39" s="105">
        <f>BB39/'Baseline Given'!M40</f>
        <v>79727.147821296239</v>
      </c>
      <c r="BE39" s="105">
        <f t="shared" si="77"/>
        <v>7.2089705145493896</v>
      </c>
      <c r="BG39" s="105">
        <f t="shared" si="46"/>
        <v>627073.84491739888</v>
      </c>
      <c r="BH39" s="106">
        <f t="shared" si="55"/>
        <v>569646.14422491938</v>
      </c>
      <c r="BI39" s="105">
        <f>BG39*'Baseline Given'!K40/'Baseline Given'!L40</f>
        <v>4676756.6261188388</v>
      </c>
      <c r="BJ39" s="105">
        <f>BH39/'Baseline Given'!M40</f>
        <v>69007.505652880398</v>
      </c>
      <c r="BK39" s="105">
        <f t="shared" si="78"/>
        <v>4.7457641317717192</v>
      </c>
      <c r="BM39" s="105">
        <f t="shared" si="79"/>
        <v>271762.60422853148</v>
      </c>
      <c r="BN39" s="106">
        <f t="shared" si="56"/>
        <v>518618.85445738264</v>
      </c>
      <c r="BO39" s="105">
        <f>BM39*'Baseline Given'!K40/'Baseline Given'!L40</f>
        <v>2026822.7902640621</v>
      </c>
      <c r="BP39" s="105">
        <f>BN39/'Baseline Given'!M40</f>
        <v>62826.008555457549</v>
      </c>
      <c r="BQ39" s="105">
        <f t="shared" si="80"/>
        <v>2.0896487988195194</v>
      </c>
      <c r="BS39" s="105">
        <f t="shared" si="81"/>
        <v>-98168.004166253741</v>
      </c>
      <c r="BT39" s="106">
        <f t="shared" si="57"/>
        <v>500960</v>
      </c>
      <c r="BU39" s="105">
        <f>BS39*'Baseline Given'!K40/'Baseline Given'!L40</f>
        <v>-732143.21993905643</v>
      </c>
      <c r="BV39" s="105">
        <f>BT39/'Baseline Given'!M40</f>
        <v>60686.797202681199</v>
      </c>
      <c r="BW39" s="105">
        <f t="shared" si="82"/>
        <v>-0.67145642273637529</v>
      </c>
      <c r="BY39" s="104">
        <v>150</v>
      </c>
      <c r="BZ39" s="104">
        <v>-150</v>
      </c>
    </row>
    <row r="40" spans="1:78" ht="15" customHeight="1" x14ac:dyDescent="0.25">
      <c r="A40" s="18">
        <f>'Baseline Given'!E41</f>
        <v>38</v>
      </c>
      <c r="B40" s="18">
        <f t="shared" si="83"/>
        <v>30</v>
      </c>
      <c r="C40" s="18">
        <f t="shared" si="58"/>
        <v>15</v>
      </c>
      <c r="D40" s="18">
        <f t="shared" si="84"/>
        <v>38</v>
      </c>
      <c r="E40" s="18">
        <v>0</v>
      </c>
      <c r="F40" s="18">
        <f t="shared" si="44"/>
        <v>9.75</v>
      </c>
      <c r="G40" s="18">
        <f t="shared" si="45"/>
        <v>30</v>
      </c>
      <c r="I40" s="104">
        <f t="shared" si="85"/>
        <v>37</v>
      </c>
      <c r="J40" s="104">
        <f t="shared" si="86"/>
        <v>0.64577182323790194</v>
      </c>
      <c r="K40" s="111">
        <f t="shared" si="59"/>
        <v>45.437034247979646</v>
      </c>
      <c r="L40" s="103">
        <f t="shared" si="60"/>
        <v>31545367.902198825</v>
      </c>
      <c r="M40" s="103">
        <f t="shared" si="61"/>
        <v>1388531.1145104717</v>
      </c>
      <c r="N40" s="104">
        <f t="shared" si="62"/>
        <v>864698.63943840493</v>
      </c>
      <c r="O40" s="104">
        <f t="shared" si="63"/>
        <v>1108930.2548536065</v>
      </c>
      <c r="Q40" s="105">
        <f t="shared" si="64"/>
        <v>2169802.8395131836</v>
      </c>
      <c r="R40" s="106">
        <f t="shared" si="48"/>
        <v>15457205.567098532</v>
      </c>
      <c r="S40" s="105">
        <f>Q40*'Baseline Given'!K41/'Baseline Given'!L41</f>
        <v>16320186.159521095</v>
      </c>
      <c r="T40" s="105">
        <f>R40/'Baseline Given'!M41</f>
        <v>1895503.0154657054</v>
      </c>
      <c r="U40" s="105">
        <f t="shared" si="65"/>
        <v>18.215689174986803</v>
      </c>
      <c r="W40" s="105">
        <f t="shared" si="66"/>
        <v>1569068.7585363537</v>
      </c>
      <c r="X40" s="105">
        <f t="shared" si="49"/>
        <v>3737761.8750163317</v>
      </c>
      <c r="Y40" s="105">
        <f>W40*'Baseline Given'!K41/'Baseline Given'!L41</f>
        <v>11801760.865124149</v>
      </c>
      <c r="Z40" s="105">
        <f>X40/'Baseline Given'!M41</f>
        <v>458358.32838161039</v>
      </c>
      <c r="AA40" s="105">
        <f t="shared" si="67"/>
        <v>12.26011919350576</v>
      </c>
      <c r="AC40" s="105">
        <f t="shared" si="68"/>
        <v>1766753.0644246303</v>
      </c>
      <c r="AD40" s="106">
        <f t="shared" si="50"/>
        <v>1912555.9964577211</v>
      </c>
      <c r="AE40" s="106">
        <f>AC40*'Baseline Given'!K41/'Baseline Given'!L41</f>
        <v>13288644.656665424</v>
      </c>
      <c r="AF40" s="105">
        <f>AD40/'Baseline Given'!M41</f>
        <v>234534.99682045847</v>
      </c>
      <c r="AG40" s="105">
        <f t="shared" si="69"/>
        <v>13.523179653485883</v>
      </c>
      <c r="AI40" s="105">
        <f t="shared" si="70"/>
        <v>1696626.0777738011</v>
      </c>
      <c r="AJ40" s="106">
        <f t="shared" si="51"/>
        <v>1302169.9930102024</v>
      </c>
      <c r="AK40" s="105">
        <f>AI40*'Baseline Given'!K41/'Baseline Given'!L41</f>
        <v>12761184.070797374</v>
      </c>
      <c r="AL40" s="105">
        <f>AJ40/'Baseline Given'!M41</f>
        <v>159683.91813677049</v>
      </c>
      <c r="AM40" s="105">
        <f t="shared" si="71"/>
        <v>12.920867988934145</v>
      </c>
      <c r="AO40" s="105">
        <f t="shared" si="72"/>
        <v>1521720.3611004571</v>
      </c>
      <c r="AP40" s="106">
        <f t="shared" si="52"/>
        <v>979708.35528442846</v>
      </c>
      <c r="AQ40" s="105">
        <f>AO40*'Baseline Given'!K41/'Baseline Given'!L41</f>
        <v>11445629.586080292</v>
      </c>
      <c r="AR40" s="105">
        <f>AP40/'Baseline Given'!M41</f>
        <v>120140.74171798475</v>
      </c>
      <c r="AS40" s="105">
        <f t="shared" si="73"/>
        <v>11.565770327798278</v>
      </c>
      <c r="AU40" s="105">
        <f t="shared" si="74"/>
        <v>1277616.5086470484</v>
      </c>
      <c r="AV40" s="106">
        <f t="shared" si="53"/>
        <v>777128.11040732102</v>
      </c>
      <c r="AW40" s="106">
        <f>AU40*'Baseline Given'!K41/'Baseline Given'!L41</f>
        <v>9609600.8733564634</v>
      </c>
      <c r="AX40" s="105">
        <f>AV40/'Baseline Given'!M41</f>
        <v>95298.511123880206</v>
      </c>
      <c r="AY40" s="105">
        <f t="shared" si="75"/>
        <v>9.7048993844803437</v>
      </c>
      <c r="BA40" s="105">
        <f t="shared" si="76"/>
        <v>981706.05142737739</v>
      </c>
      <c r="BB40" s="106">
        <f t="shared" si="54"/>
        <v>641975.11032992811</v>
      </c>
      <c r="BC40" s="106">
        <f>BA40*'Baseline Given'!K41/'Baseline Given'!L41</f>
        <v>7383908.4461783618</v>
      </c>
      <c r="BD40" s="105">
        <f>BB40/'Baseline Given'!M41</f>
        <v>78724.82203862707</v>
      </c>
      <c r="BE40" s="105">
        <f t="shared" si="77"/>
        <v>7.4626332682169894</v>
      </c>
      <c r="BG40" s="105">
        <f t="shared" si="46"/>
        <v>647212.58696241234</v>
      </c>
      <c r="BH40" s="106">
        <f t="shared" si="55"/>
        <v>553486.14422491938</v>
      </c>
      <c r="BI40" s="105">
        <f>BG40*'Baseline Given'!K41/'Baseline Given'!L41</f>
        <v>4868013.6792436102</v>
      </c>
      <c r="BJ40" s="105">
        <f>BH40/'Baseline Given'!M41</f>
        <v>67873.500862921748</v>
      </c>
      <c r="BK40" s="105">
        <f t="shared" si="78"/>
        <v>4.9358871801065316</v>
      </c>
      <c r="BM40" s="105">
        <f t="shared" si="79"/>
        <v>286323.23065948393</v>
      </c>
      <c r="BN40" s="106">
        <f t="shared" si="56"/>
        <v>502458.85445738264</v>
      </c>
      <c r="BO40" s="105">
        <f>BM40*'Baseline Given'!K41/'Baseline Given'!L41</f>
        <v>2153582.0402957322</v>
      </c>
      <c r="BP40" s="105">
        <f>BN40/'Baseline Given'!M41</f>
        <v>61616.070876269638</v>
      </c>
      <c r="BQ40" s="105">
        <f t="shared" si="80"/>
        <v>2.2151981111720018</v>
      </c>
      <c r="BS40" s="105">
        <f t="shared" si="81"/>
        <v>-89036.096801951062</v>
      </c>
      <c r="BT40" s="106">
        <f t="shared" si="57"/>
        <v>484800</v>
      </c>
      <c r="BU40" s="105">
        <f>BS40*'Baseline Given'!K41/'Baseline Given'!L41</f>
        <v>-669685.5807650229</v>
      </c>
      <c r="BV40" s="105">
        <f>BT40/'Baseline Given'!M41</f>
        <v>59450.581666183272</v>
      </c>
      <c r="BW40" s="105">
        <f t="shared" si="82"/>
        <v>-0.6102349990988396</v>
      </c>
      <c r="BY40" s="104">
        <v>150</v>
      </c>
      <c r="BZ40" s="104">
        <v>-150</v>
      </c>
    </row>
    <row r="41" spans="1:78" ht="15" customHeight="1" x14ac:dyDescent="0.25">
      <c r="A41" s="18">
        <f>'Baseline Given'!E42</f>
        <v>39</v>
      </c>
      <c r="B41" s="18">
        <f t="shared" si="83"/>
        <v>29</v>
      </c>
      <c r="C41" s="18">
        <f t="shared" si="58"/>
        <v>14.5</v>
      </c>
      <c r="D41" s="18">
        <f t="shared" si="84"/>
        <v>39</v>
      </c>
      <c r="E41" s="18">
        <v>0</v>
      </c>
      <c r="F41" s="18">
        <f t="shared" si="44"/>
        <v>8.75</v>
      </c>
      <c r="G41" s="18">
        <f t="shared" si="45"/>
        <v>29</v>
      </c>
      <c r="I41" s="104">
        <f t="shared" si="85"/>
        <v>38</v>
      </c>
      <c r="J41" s="104">
        <f t="shared" si="86"/>
        <v>0.66322511575784515</v>
      </c>
      <c r="K41" s="111">
        <f t="shared" si="59"/>
        <v>46.482441387087192</v>
      </c>
      <c r="L41" s="103">
        <f t="shared" si="60"/>
        <v>31125699.797572203</v>
      </c>
      <c r="M41" s="103">
        <f t="shared" si="61"/>
        <v>1339245.4814655632</v>
      </c>
      <c r="N41" s="104">
        <f t="shared" si="62"/>
        <v>853195.00314507005</v>
      </c>
      <c r="O41" s="104">
        <f t="shared" si="63"/>
        <v>1055339.8411140756</v>
      </c>
      <c r="Q41" s="105">
        <f t="shared" si="64"/>
        <v>2216221.1680022487</v>
      </c>
      <c r="R41" s="106">
        <f t="shared" si="48"/>
        <v>15441045.567098532</v>
      </c>
      <c r="S41" s="105">
        <f>Q41*'Baseline Given'!K42/'Baseline Given'!L42</f>
        <v>16812338.026916031</v>
      </c>
      <c r="T41" s="105">
        <f>R41/'Baseline Given'!M42</f>
        <v>1916924.8973511506</v>
      </c>
      <c r="U41" s="105">
        <f t="shared" si="65"/>
        <v>18.729262924267179</v>
      </c>
      <c r="W41" s="105">
        <f t="shared" si="66"/>
        <v>1673176.1523017501</v>
      </c>
      <c r="X41" s="105">
        <f t="shared" si="49"/>
        <v>3721601.8750163317</v>
      </c>
      <c r="Y41" s="105">
        <f>W41*'Baseline Given'!K42/'Baseline Given'!L42</f>
        <v>12692777.894739076</v>
      </c>
      <c r="Z41" s="105">
        <f>X41/'Baseline Given'!M42</f>
        <v>462017.37189666618</v>
      </c>
      <c r="AA41" s="105">
        <f t="shared" si="67"/>
        <v>13.154795266635743</v>
      </c>
      <c r="AC41" s="105">
        <f t="shared" si="68"/>
        <v>1838443.4827492638</v>
      </c>
      <c r="AD41" s="106">
        <f t="shared" si="50"/>
        <v>1896395.9964577211</v>
      </c>
      <c r="AE41" s="106">
        <f>AC41*'Baseline Given'!K42/'Baseline Given'!L42</f>
        <v>13946502.145913098</v>
      </c>
      <c r="AF41" s="105">
        <f>AD41/'Baseline Given'!M42</f>
        <v>235427.6260017498</v>
      </c>
      <c r="AG41" s="105">
        <f t="shared" si="69"/>
        <v>14.181929771914847</v>
      </c>
      <c r="AI41" s="105">
        <f t="shared" si="70"/>
        <v>1755683.2327736462</v>
      </c>
      <c r="AJ41" s="106">
        <f t="shared" si="51"/>
        <v>1286009.9930102024</v>
      </c>
      <c r="AK41" s="105">
        <f>AI41*'Baseline Given'!K42/'Baseline Given'!L42</f>
        <v>13318679.743586536</v>
      </c>
      <c r="AL41" s="105">
        <f>AJ41/'Baseline Given'!M42</f>
        <v>159651.40204601182</v>
      </c>
      <c r="AM41" s="105">
        <f t="shared" si="71"/>
        <v>13.478331145632549</v>
      </c>
      <c r="AO41" s="105">
        <f t="shared" si="72"/>
        <v>1571809.0725624957</v>
      </c>
      <c r="AP41" s="106">
        <f t="shared" si="52"/>
        <v>963548.35528442846</v>
      </c>
      <c r="AQ41" s="105">
        <f>AO41*'Baseline Given'!K42/'Baseline Given'!L42</f>
        <v>11923803.374513771</v>
      </c>
      <c r="AR41" s="105">
        <f>AP41/'Baseline Given'!M42</f>
        <v>119619.47939471985</v>
      </c>
      <c r="AS41" s="105">
        <f t="shared" si="73"/>
        <v>12.04342285390849</v>
      </c>
      <c r="AU41" s="105">
        <f t="shared" si="74"/>
        <v>1319569.8751514833</v>
      </c>
      <c r="AV41" s="106">
        <f t="shared" si="53"/>
        <v>760968.11040732102</v>
      </c>
      <c r="AW41" s="106">
        <f>AU41*'Baseline Given'!K42/'Baseline Given'!L42</f>
        <v>10010307.234444579</v>
      </c>
      <c r="AX41" s="105">
        <f>AV41/'Baseline Given'!M42</f>
        <v>94470.203496987364</v>
      </c>
      <c r="AY41" s="105">
        <f t="shared" si="75"/>
        <v>10.104777437941566</v>
      </c>
      <c r="BA41" s="105">
        <f t="shared" si="76"/>
        <v>1015581.3282040567</v>
      </c>
      <c r="BB41" s="106">
        <f t="shared" si="54"/>
        <v>625815.11032992811</v>
      </c>
      <c r="BC41" s="106">
        <f>BA41*'Baseline Given'!K42/'Baseline Given'!L42</f>
        <v>7704238.5616152668</v>
      </c>
      <c r="BD41" s="105">
        <f>BB41/'Baseline Given'!M42</f>
        <v>77691.66672794272</v>
      </c>
      <c r="BE41" s="105">
        <f t="shared" si="77"/>
        <v>7.7819302283432092</v>
      </c>
      <c r="BG41" s="105">
        <f t="shared" si="46"/>
        <v>672878.3745235689</v>
      </c>
      <c r="BH41" s="106">
        <f t="shared" si="55"/>
        <v>537326.14422491938</v>
      </c>
      <c r="BI41" s="105">
        <f>BG41*'Baseline Given'!K42/'Baseline Given'!L42</f>
        <v>5104480.9276366262</v>
      </c>
      <c r="BJ41" s="105">
        <f>BH41/'Baseline Given'!M42</f>
        <v>66706.225260883613</v>
      </c>
      <c r="BK41" s="105">
        <f t="shared" si="78"/>
        <v>5.1711871528975095</v>
      </c>
      <c r="BM41" s="105">
        <f t="shared" si="79"/>
        <v>303690.01164153405</v>
      </c>
      <c r="BN41" s="106">
        <f t="shared" si="56"/>
        <v>486298.85445738264</v>
      </c>
      <c r="BO41" s="105">
        <f>BM41*'Baseline Given'!K42/'Baseline Given'!L42</f>
        <v>2303803.9726504204</v>
      </c>
      <c r="BP41" s="105">
        <f>BN41/'Baseline Given'!M42</f>
        <v>60371.454615030074</v>
      </c>
      <c r="BQ41" s="105">
        <f t="shared" si="80"/>
        <v>2.3641754272654505</v>
      </c>
      <c r="BS41" s="105">
        <f t="shared" si="81"/>
        <v>-79904.189437648369</v>
      </c>
      <c r="BT41" s="106">
        <f t="shared" si="57"/>
        <v>468640</v>
      </c>
      <c r="BU41" s="105">
        <f>BS41*'Baseline Given'!K42/'Baseline Given'!L42</f>
        <v>-606156.21851650625</v>
      </c>
      <c r="BV41" s="105">
        <f>BT41/'Baseline Given'!M42</f>
        <v>58179.200365085657</v>
      </c>
      <c r="BW41" s="105">
        <f t="shared" si="82"/>
        <v>-0.54797701815142064</v>
      </c>
      <c r="BY41" s="104">
        <v>150</v>
      </c>
      <c r="BZ41" s="104">
        <v>-150</v>
      </c>
    </row>
    <row r="42" spans="1:78" ht="15" customHeight="1" x14ac:dyDescent="0.25">
      <c r="A42" s="18">
        <f>'Baseline Given'!E43</f>
        <v>40</v>
      </c>
      <c r="B42" s="18">
        <f t="shared" si="83"/>
        <v>28</v>
      </c>
      <c r="C42" s="18">
        <f t="shared" si="58"/>
        <v>14</v>
      </c>
      <c r="D42" s="18">
        <f t="shared" si="84"/>
        <v>40</v>
      </c>
      <c r="E42" s="18">
        <v>0</v>
      </c>
      <c r="F42" s="18">
        <f t="shared" si="44"/>
        <v>7.75</v>
      </c>
      <c r="G42" s="18">
        <f t="shared" si="45"/>
        <v>28</v>
      </c>
      <c r="I42" s="104">
        <f t="shared" si="85"/>
        <v>39</v>
      </c>
      <c r="J42" s="104">
        <f t="shared" si="86"/>
        <v>0.68067840827778847</v>
      </c>
      <c r="K42" s="111">
        <f t="shared" si="59"/>
        <v>47.513689524262723</v>
      </c>
      <c r="L42" s="103">
        <f t="shared" si="60"/>
        <v>30696550.503265809</v>
      </c>
      <c r="M42" s="113">
        <f t="shared" si="61"/>
        <v>1292113.949079484</v>
      </c>
      <c r="N42" s="104">
        <f t="shared" si="62"/>
        <v>841431.47538869153</v>
      </c>
      <c r="O42" s="104">
        <f t="shared" si="63"/>
        <v>1004161.1372693392</v>
      </c>
      <c r="Q42" s="105">
        <f t="shared" si="64"/>
        <v>2278789.6522559421</v>
      </c>
      <c r="R42" s="106">
        <f t="shared" si="48"/>
        <v>15424885.567098532</v>
      </c>
      <c r="S42" s="105">
        <f>Q42*'Baseline Given'!K43/'Baseline Given'!L43</f>
        <v>17436583.834936611</v>
      </c>
      <c r="T42" s="105">
        <f>R42/'Baseline Given'!M43</f>
        <v>1938733.9280375643</v>
      </c>
      <c r="U42" s="105">
        <f t="shared" si="65"/>
        <v>19.375317762974177</v>
      </c>
      <c r="W42" s="105">
        <f t="shared" si="66"/>
        <v>1793198.0393558247</v>
      </c>
      <c r="X42" s="105">
        <f t="shared" si="49"/>
        <v>3705441.8750163317</v>
      </c>
      <c r="Y42" s="105">
        <f>W42*'Baseline Given'!K43/'Baseline Given'!L43</f>
        <v>13720989.085112808</v>
      </c>
      <c r="Z42" s="105">
        <f>X42/'Baseline Given'!M43</f>
        <v>465732.19945232937</v>
      </c>
      <c r="AA42" s="105">
        <f t="shared" si="67"/>
        <v>14.186721284565138</v>
      </c>
      <c r="AC42" s="105">
        <f t="shared" si="68"/>
        <v>1925319.3338257978</v>
      </c>
      <c r="AD42" s="106">
        <f t="shared" si="50"/>
        <v>1880235.9964577211</v>
      </c>
      <c r="AE42" s="106">
        <f>AC42*'Baseline Given'!K43/'Baseline Given'!L43</f>
        <v>14731939.799728081</v>
      </c>
      <c r="AF42" s="105">
        <f>AD42/'Baseline Given'!M43</f>
        <v>236324.43191834903</v>
      </c>
      <c r="AG42" s="105">
        <f t="shared" si="69"/>
        <v>14.96826423164643</v>
      </c>
      <c r="AI42" s="105">
        <f t="shared" si="70"/>
        <v>1828735.3582986472</v>
      </c>
      <c r="AJ42" s="106">
        <f t="shared" si="51"/>
        <v>1269849.9930102024</v>
      </c>
      <c r="AK42" s="105">
        <f>AI42*'Baseline Given'!K43/'Baseline Given'!L43</f>
        <v>13992909.50585106</v>
      </c>
      <c r="AL42" s="105">
        <f>AJ42/'Baseline Given'!M43</f>
        <v>159605.80415704404</v>
      </c>
      <c r="AM42" s="105">
        <f t="shared" si="71"/>
        <v>14.152515310008106</v>
      </c>
      <c r="AO42" s="105">
        <f t="shared" si="72"/>
        <v>1634277.0622253376</v>
      </c>
      <c r="AP42" s="106">
        <f t="shared" si="52"/>
        <v>947388.35528442846</v>
      </c>
      <c r="AQ42" s="105">
        <f>AO42*'Baseline Given'!K43/'Baseline Given'!L43</f>
        <v>12504975.602638669</v>
      </c>
      <c r="AR42" s="105">
        <f>AP42/'Baseline Given'!M43</f>
        <v>119076.01773950293</v>
      </c>
      <c r="AS42" s="105">
        <f t="shared" si="73"/>
        <v>12.624051620378172</v>
      </c>
      <c r="AU42" s="105">
        <f t="shared" si="74"/>
        <v>1371910.6894284524</v>
      </c>
      <c r="AV42" s="106">
        <f t="shared" si="53"/>
        <v>744808.11040732102</v>
      </c>
      <c r="AW42" s="106">
        <f>AU42*'Baseline Given'!K43/'Baseline Given'!L43</f>
        <v>10497430.390989926</v>
      </c>
      <c r="AX42" s="105">
        <f>AV42/'Baseline Given'!M43</f>
        <v>93613.968625106587</v>
      </c>
      <c r="AY42" s="105">
        <f t="shared" si="75"/>
        <v>10.591044359615031</v>
      </c>
      <c r="BA42" s="105">
        <f t="shared" si="76"/>
        <v>1057536.604980736</v>
      </c>
      <c r="BB42" s="106">
        <f t="shared" si="54"/>
        <v>609655.11032992811</v>
      </c>
      <c r="BC42" s="106">
        <f>BA42*'Baseline Given'!K43/'Baseline Given'!L43</f>
        <v>8091938.4783961521</v>
      </c>
      <c r="BD42" s="105">
        <f>BB42/'Baseline Given'!M43</f>
        <v>76626.762750139897</v>
      </c>
      <c r="BE42" s="105">
        <f t="shared" si="77"/>
        <v>8.1685652411462915</v>
      </c>
      <c r="BG42" s="105">
        <f t="shared" si="46"/>
        <v>704071.20760086807</v>
      </c>
      <c r="BH42" s="106">
        <f t="shared" si="55"/>
        <v>521166.14422491938</v>
      </c>
      <c r="BI42" s="105">
        <f>BG42*'Baseline Given'!K43/'Baseline Given'!L43</f>
        <v>5387332.0975211924</v>
      </c>
      <c r="BJ42" s="105">
        <f>BH42/'Baseline Given'!M43</f>
        <v>65504.698985162686</v>
      </c>
      <c r="BK42" s="105">
        <f t="shared" si="78"/>
        <v>5.4528367965063556</v>
      </c>
      <c r="BM42" s="105">
        <f t="shared" si="79"/>
        <v>323862.9471746817</v>
      </c>
      <c r="BN42" s="106">
        <f t="shared" si="56"/>
        <v>470138.85445738264</v>
      </c>
      <c r="BO42" s="105">
        <f>BM42*'Baseline Given'!K43/'Baseline Given'!L43</f>
        <v>2478097.7146576643</v>
      </c>
      <c r="BP42" s="105">
        <f>BN42/'Baseline Given'!M43</f>
        <v>59091.144894418379</v>
      </c>
      <c r="BQ42" s="105">
        <f t="shared" si="80"/>
        <v>2.5371888595520824</v>
      </c>
      <c r="BS42" s="105">
        <f t="shared" si="81"/>
        <v>-70772.282073345676</v>
      </c>
      <c r="BT42" s="106">
        <f t="shared" si="57"/>
        <v>452480</v>
      </c>
      <c r="BU42" s="105">
        <f>BS42*'Baseline Given'!K43/'Baseline Given'!L43</f>
        <v>-541527.30961368862</v>
      </c>
      <c r="BV42" s="105">
        <f>BT42/'Baseline Given'!M43</f>
        <v>56871.626304288257</v>
      </c>
      <c r="BW42" s="105">
        <f t="shared" si="82"/>
        <v>-0.48465568330940034</v>
      </c>
      <c r="BY42" s="104">
        <v>150</v>
      </c>
      <c r="BZ42" s="104">
        <v>-150</v>
      </c>
    </row>
    <row r="43" spans="1:78" ht="15" customHeight="1" x14ac:dyDescent="0.25">
      <c r="A43" s="18">
        <f>'Baseline Given'!E44</f>
        <v>41</v>
      </c>
      <c r="B43" s="18">
        <f t="shared" si="83"/>
        <v>27</v>
      </c>
      <c r="C43" s="18">
        <f t="shared" si="58"/>
        <v>13.5</v>
      </c>
      <c r="D43" s="18">
        <f t="shared" si="84"/>
        <v>41</v>
      </c>
      <c r="E43" s="18">
        <v>0</v>
      </c>
      <c r="F43" s="18">
        <f t="shared" si="44"/>
        <v>6.75</v>
      </c>
      <c r="G43" s="18">
        <f t="shared" si="45"/>
        <v>27</v>
      </c>
      <c r="I43" s="104">
        <f t="shared" si="85"/>
        <v>40</v>
      </c>
      <c r="J43" s="109">
        <f t="shared" si="86"/>
        <v>0.69813170079773179</v>
      </c>
      <c r="K43" s="111">
        <f t="shared" si="59"/>
        <v>48.530464531333713</v>
      </c>
      <c r="L43" s="103">
        <f t="shared" si="60"/>
        <v>30258050.742311962</v>
      </c>
      <c r="M43" s="103">
        <f t="shared" si="61"/>
        <v>1246971.4038189698</v>
      </c>
      <c r="N43" s="109">
        <f t="shared" si="62"/>
        <v>829411.63945377991</v>
      </c>
      <c r="O43" s="104">
        <f t="shared" si="63"/>
        <v>955235.51462379296</v>
      </c>
      <c r="Q43" s="105">
        <f t="shared" si="64"/>
        <v>2357508.2922742646</v>
      </c>
      <c r="R43" s="106">
        <f t="shared" si="48"/>
        <v>15408725.567098532</v>
      </c>
      <c r="S43" s="105">
        <f>Q43*'Baseline Given'!K44/'Baseline Given'!L44</f>
        <v>18196382.881736949</v>
      </c>
      <c r="T43" s="105">
        <f>R43/'Baseline Given'!M44</f>
        <v>1960939.6412777684</v>
      </c>
      <c r="U43" s="105">
        <f t="shared" si="65"/>
        <v>20.157322523014717</v>
      </c>
      <c r="W43" s="105">
        <f t="shared" si="66"/>
        <v>1929134.4196985764</v>
      </c>
      <c r="X43" s="105">
        <f t="shared" si="49"/>
        <v>3689281.8750163317</v>
      </c>
      <c r="Y43" s="105">
        <f>W43*'Baseline Given'!K44/'Baseline Given'!L44</f>
        <v>14889987.299815157</v>
      </c>
      <c r="Z43" s="105">
        <f>X43/'Baseline Given'!M44</f>
        <v>469504.05113414896</v>
      </c>
      <c r="AA43" s="105">
        <f t="shared" si="67"/>
        <v>15.359491350949305</v>
      </c>
      <c r="AC43" s="105">
        <f t="shared" si="68"/>
        <v>2027380.6176542318</v>
      </c>
      <c r="AD43" s="106">
        <f t="shared" si="50"/>
        <v>1864075.9964577211</v>
      </c>
      <c r="AE43" s="106">
        <f>AC43*'Baseline Given'!K44/'Baseline Given'!L44</f>
        <v>15648298.708744042</v>
      </c>
      <c r="AF43" s="105">
        <f>AD43/'Baseline Given'!M44</f>
        <v>237225.36298610995</v>
      </c>
      <c r="AG43" s="105">
        <f t="shared" si="69"/>
        <v>15.885524071730151</v>
      </c>
      <c r="AI43" s="105">
        <f t="shared" si="70"/>
        <v>1915782.4543488063</v>
      </c>
      <c r="AJ43" s="106">
        <f t="shared" si="51"/>
        <v>1253689.9930102024</v>
      </c>
      <c r="AK43" s="105">
        <f>AI43*'Baseline Given'!K44/'Baseline Given'!L44</f>
        <v>14786930.40940069</v>
      </c>
      <c r="AL43" s="105">
        <f>AJ43/'Baseline Given'!M44</f>
        <v>159546.64092507903</v>
      </c>
      <c r="AM43" s="105">
        <f t="shared" si="71"/>
        <v>14.94647705032577</v>
      </c>
      <c r="AO43" s="105">
        <f t="shared" si="72"/>
        <v>1709124.3300889819</v>
      </c>
      <c r="AP43" s="106">
        <f t="shared" si="52"/>
        <v>931228.35528442846</v>
      </c>
      <c r="AQ43" s="105">
        <f>AO43*'Baseline Given'!K44/'Baseline Given'!L44</f>
        <v>13191843.61077667</v>
      </c>
      <c r="AR43" s="105">
        <f>AP43/'Baseline Given'!M44</f>
        <v>118509.64500648092</v>
      </c>
      <c r="AS43" s="105">
        <f t="shared" si="73"/>
        <v>13.310353255783152</v>
      </c>
      <c r="AU43" s="105">
        <f t="shared" si="74"/>
        <v>1434638.9514779556</v>
      </c>
      <c r="AV43" s="106">
        <f t="shared" si="53"/>
        <v>728648.11040732102</v>
      </c>
      <c r="AW43" s="106">
        <f>AU43*'Baseline Given'!K44/'Baseline Given'!L44</f>
        <v>11073233.440448709</v>
      </c>
      <c r="AX43" s="105">
        <f>AV43/'Baseline Given'!M44</f>
        <v>92728.951399509271</v>
      </c>
      <c r="AY43" s="105">
        <f t="shared" si="75"/>
        <v>11.165962391848218</v>
      </c>
      <c r="BA43" s="105">
        <f t="shared" si="76"/>
        <v>1107571.8817574151</v>
      </c>
      <c r="BB43" s="106">
        <f t="shared" si="54"/>
        <v>593495.11032992811</v>
      </c>
      <c r="BC43" s="106">
        <f>BA43*'Baseline Given'!K44/'Baseline Given'!L44</f>
        <v>8548772.4881177992</v>
      </c>
      <c r="BD43" s="105">
        <f>BB43/'Baseline Given'!M44</f>
        <v>75529.159350822563</v>
      </c>
      <c r="BE43" s="105">
        <f t="shared" si="77"/>
        <v>8.62430164746862</v>
      </c>
      <c r="BG43" s="105">
        <f t="shared" si="46"/>
        <v>740791.08619431034</v>
      </c>
      <c r="BH43" s="106">
        <f t="shared" si="55"/>
        <v>505006.14422491938</v>
      </c>
      <c r="BI43" s="105">
        <f>BG43*'Baseline Given'!K44/'Baseline Given'!L44</f>
        <v>5717781.8987714862</v>
      </c>
      <c r="BJ43" s="105">
        <f>BH43/'Baseline Given'!M44</f>
        <v>64267.908659103574</v>
      </c>
      <c r="BK43" s="105">
        <f t="shared" si="78"/>
        <v>5.7820498074305897</v>
      </c>
      <c r="BM43" s="105">
        <f t="shared" si="79"/>
        <v>346842.0372589269</v>
      </c>
      <c r="BN43" s="106">
        <f t="shared" si="56"/>
        <v>453978.85445738264</v>
      </c>
      <c r="BO43" s="105">
        <f>BM43*'Baseline Given'!K44/'Baseline Given'!L44</f>
        <v>2677093.6628845055</v>
      </c>
      <c r="BP43" s="105">
        <f>BN43/'Baseline Given'!M44</f>
        <v>57774.092226563145</v>
      </c>
      <c r="BQ43" s="105">
        <f t="shared" si="80"/>
        <v>2.7348677551110683</v>
      </c>
      <c r="BS43" s="105">
        <f t="shared" si="81"/>
        <v>-61640.37470904299</v>
      </c>
      <c r="BT43" s="106">
        <f t="shared" si="57"/>
        <v>436320</v>
      </c>
      <c r="BU43" s="105">
        <f>BS43*'Baseline Given'!K44/'Baseline Given'!L44</f>
        <v>-475770.05894535111</v>
      </c>
      <c r="BV43" s="105">
        <f>BT43/'Baseline Given'!M44</f>
        <v>55526.797499024127</v>
      </c>
      <c r="BW43" s="105">
        <f t="shared" si="82"/>
        <v>-0.42024326144632695</v>
      </c>
      <c r="BY43" s="104">
        <v>150</v>
      </c>
      <c r="BZ43" s="104">
        <v>-150</v>
      </c>
    </row>
    <row r="44" spans="1:78" ht="15" customHeight="1" x14ac:dyDescent="0.25">
      <c r="A44" s="18">
        <f>'Baseline Given'!E45</f>
        <v>42</v>
      </c>
      <c r="B44" s="18">
        <f t="shared" si="83"/>
        <v>26</v>
      </c>
      <c r="C44" s="18">
        <f t="shared" si="58"/>
        <v>13</v>
      </c>
      <c r="D44" s="18">
        <f t="shared" si="84"/>
        <v>42</v>
      </c>
      <c r="E44" s="18">
        <v>0</v>
      </c>
      <c r="F44" s="18">
        <f t="shared" si="44"/>
        <v>5.75</v>
      </c>
      <c r="G44" s="18">
        <f t="shared" si="45"/>
        <v>26</v>
      </c>
      <c r="I44" s="104">
        <f t="shared" si="85"/>
        <v>41</v>
      </c>
      <c r="J44" s="104">
        <f t="shared" si="86"/>
        <v>0.715584993317675</v>
      </c>
      <c r="K44" s="111">
        <f t="shared" si="59"/>
        <v>49.532456688783292</v>
      </c>
      <c r="L44" s="103">
        <f t="shared" si="60"/>
        <v>29810334.085985694</v>
      </c>
      <c r="M44" s="103">
        <f t="shared" si="61"/>
        <v>1203668.7085111325</v>
      </c>
      <c r="N44" s="104">
        <f t="shared" si="62"/>
        <v>817139.15669879992</v>
      </c>
      <c r="O44" s="104">
        <f t="shared" si="63"/>
        <v>908420.30572772305</v>
      </c>
      <c r="Q44" s="105">
        <f t="shared" si="64"/>
        <v>2452377.0880572149</v>
      </c>
      <c r="R44" s="106">
        <f t="shared" si="48"/>
        <v>15392565.567098532</v>
      </c>
      <c r="S44" s="105">
        <f>Q44*'Baseline Given'!K45/'Baseline Given'!L45</f>
        <v>19095316.319417879</v>
      </c>
      <c r="T44" s="105">
        <f>R44/'Baseline Given'!M45</f>
        <v>1983551.868025671</v>
      </c>
      <c r="U44" s="105">
        <f t="shared" si="65"/>
        <v>21.07886818744355</v>
      </c>
      <c r="W44" s="105">
        <f t="shared" si="66"/>
        <v>2080985.2933300054</v>
      </c>
      <c r="X44" s="105">
        <f t="shared" si="49"/>
        <v>3673121.8750163317</v>
      </c>
      <c r="Y44" s="105">
        <f>W44*'Baseline Given'!K45/'Baseline Given'!L45</f>
        <v>16203491.961210972</v>
      </c>
      <c r="Z44" s="105">
        <f>X44/'Baseline Given'!M45</f>
        <v>473334.20311997831</v>
      </c>
      <c r="AA44" s="105">
        <f t="shared" si="67"/>
        <v>16.676826164330951</v>
      </c>
      <c r="AC44" s="105">
        <f t="shared" si="68"/>
        <v>2144627.334234566</v>
      </c>
      <c r="AD44" s="106">
        <f t="shared" si="50"/>
        <v>1847915.9964577211</v>
      </c>
      <c r="AE44" s="106">
        <f>AC44*'Baseline Given'!K45/'Baseline Given'!L45</f>
        <v>16699037.653675687</v>
      </c>
      <c r="AF44" s="105">
        <f>AD44/'Baseline Given'!M45</f>
        <v>238130.36304766961</v>
      </c>
      <c r="AG44" s="105">
        <f t="shared" si="69"/>
        <v>16.937168016723358</v>
      </c>
      <c r="AI44" s="105">
        <f t="shared" si="70"/>
        <v>2016824.5209241211</v>
      </c>
      <c r="AJ44" s="106">
        <f t="shared" si="51"/>
        <v>1237529.9930102024</v>
      </c>
      <c r="AK44" s="105">
        <f>AI44*'Baseline Given'!K45/'Baseline Given'!L45</f>
        <v>15703907.190844713</v>
      </c>
      <c r="AL44" s="105">
        <f>AJ44/'Baseline Given'!M45</f>
        <v>159473.41063273378</v>
      </c>
      <c r="AM44" s="105">
        <f t="shared" si="71"/>
        <v>15.863380601477447</v>
      </c>
      <c r="AO44" s="105">
        <f t="shared" si="72"/>
        <v>1796350.8761534286</v>
      </c>
      <c r="AP44" s="106">
        <f t="shared" si="52"/>
        <v>915068.35528442846</v>
      </c>
      <c r="AQ44" s="105">
        <f>AO44*'Baseline Given'!K45/'Baseline Given'!L45</f>
        <v>13987199.753194274</v>
      </c>
      <c r="AR44" s="105">
        <f>AP44/'Baseline Given'!M45</f>
        <v>117919.62409277212</v>
      </c>
      <c r="AS44" s="105">
        <f t="shared" si="73"/>
        <v>14.105119377287046</v>
      </c>
      <c r="AU44" s="105">
        <f t="shared" si="74"/>
        <v>1507754.6612999937</v>
      </c>
      <c r="AV44" s="106">
        <f t="shared" si="53"/>
        <v>712488.11040732102</v>
      </c>
      <c r="AW44" s="106">
        <f>AU44*'Baseline Given'!K45/'Baseline Given'!L45</f>
        <v>11740059.197995754</v>
      </c>
      <c r="AX44" s="105">
        <f>AV44/'Baseline Given'!M45</f>
        <v>91814.266840957716</v>
      </c>
      <c r="AY44" s="105">
        <f t="shared" si="75"/>
        <v>11.831873464836711</v>
      </c>
      <c r="BA44" s="105">
        <f t="shared" si="76"/>
        <v>1165687.1585340945</v>
      </c>
      <c r="BB44" s="106">
        <f t="shared" si="54"/>
        <v>577335.11032992811</v>
      </c>
      <c r="BC44" s="106">
        <f>BA44*'Baseline Given'!K45/'Baseline Given'!L45</f>
        <v>9076567.0296348128</v>
      </c>
      <c r="BD44" s="105">
        <f>BB44/'Baseline Given'!M45</f>
        <v>74397.872893881649</v>
      </c>
      <c r="BE44" s="105">
        <f t="shared" si="77"/>
        <v>9.1509649025286937</v>
      </c>
      <c r="BG44" s="105">
        <f t="shared" si="46"/>
        <v>783038.01030389545</v>
      </c>
      <c r="BH44" s="106">
        <f t="shared" si="55"/>
        <v>488846.14422491938</v>
      </c>
      <c r="BI44" s="105">
        <f>BG44*'Baseline Given'!K45/'Baseline Given'!L45</f>
        <v>6097087.8294764245</v>
      </c>
      <c r="BJ44" s="105">
        <f>BH44/'Baseline Given'!M45</f>
        <v>62994.806052806889</v>
      </c>
      <c r="BK44" s="105">
        <f t="shared" si="78"/>
        <v>6.1600826355292311</v>
      </c>
      <c r="BM44" s="105">
        <f t="shared" si="79"/>
        <v>372627.28189426975</v>
      </c>
      <c r="BN44" s="106">
        <f t="shared" si="56"/>
        <v>437818.85445738264</v>
      </c>
      <c r="BO44" s="105">
        <f>BM44*'Baseline Given'!K45/'Baseline Given'!L45</f>
        <v>2901444.4196479009</v>
      </c>
      <c r="BP44" s="105">
        <f>BN44/'Baseline Given'!M45</f>
        <v>56419.211133462741</v>
      </c>
      <c r="BQ44" s="105">
        <f t="shared" si="80"/>
        <v>2.9578636307813637</v>
      </c>
      <c r="BS44" s="105">
        <f t="shared" si="81"/>
        <v>-52508.467344740297</v>
      </c>
      <c r="BT44" s="106">
        <f t="shared" si="57"/>
        <v>420160</v>
      </c>
      <c r="BU44" s="105">
        <f>BS44*'Baseline Given'!K45/'Baseline Given'!L45</f>
        <v>-408854.65709107439</v>
      </c>
      <c r="BV44" s="105">
        <f>BT44/'Baseline Given'!M45</f>
        <v>54143.615580957499</v>
      </c>
      <c r="BW44" s="105">
        <f t="shared" si="82"/>
        <v>-0.3547110415101169</v>
      </c>
      <c r="BY44" s="104">
        <v>150</v>
      </c>
      <c r="BZ44" s="104">
        <v>-150</v>
      </c>
    </row>
    <row r="45" spans="1:78" ht="15" customHeight="1" x14ac:dyDescent="0.25">
      <c r="A45" s="18">
        <f>'Baseline Given'!E46</f>
        <v>43</v>
      </c>
      <c r="B45" s="18">
        <f t="shared" si="83"/>
        <v>25</v>
      </c>
      <c r="C45" s="18">
        <f t="shared" si="58"/>
        <v>12.5</v>
      </c>
      <c r="D45" s="18">
        <f t="shared" si="84"/>
        <v>43</v>
      </c>
      <c r="E45" s="18">
        <v>0</v>
      </c>
      <c r="F45" s="18">
        <f t="shared" si="44"/>
        <v>4.75</v>
      </c>
      <c r="G45" s="18">
        <f t="shared" si="45"/>
        <v>25</v>
      </c>
      <c r="I45" s="104">
        <f t="shared" si="85"/>
        <v>42</v>
      </c>
      <c r="J45" s="104">
        <f t="shared" si="86"/>
        <v>0.73303828583761843</v>
      </c>
      <c r="K45" s="111">
        <f t="shared" si="59"/>
        <v>50.519360780093791</v>
      </c>
      <c r="L45" s="103">
        <f t="shared" si="60"/>
        <v>29353536.913117632</v>
      </c>
      <c r="M45" s="103">
        <f t="shared" si="61"/>
        <v>1162070.7966156153</v>
      </c>
      <c r="N45" s="104">
        <f t="shared" si="62"/>
        <v>804617.76544088428</v>
      </c>
      <c r="O45" s="104">
        <f t="shared" si="63"/>
        <v>863586.89934328792</v>
      </c>
      <c r="Q45" s="105">
        <f t="shared" si="64"/>
        <v>2563396.0396047938</v>
      </c>
      <c r="R45" s="106">
        <f t="shared" si="48"/>
        <v>15376405.567098532</v>
      </c>
      <c r="S45" s="105">
        <f>Q45*'Baseline Given'!K46/'Baseline Given'!L46</f>
        <v>20137092.567084804</v>
      </c>
      <c r="T45" s="105">
        <f>R45/'Baseline Given'!M46</f>
        <v>2006580.7476607342</v>
      </c>
      <c r="U45" s="105">
        <f t="shared" si="65"/>
        <v>22.143673314745538</v>
      </c>
      <c r="W45" s="105">
        <f t="shared" si="66"/>
        <v>2248750.660250111</v>
      </c>
      <c r="X45" s="105">
        <f t="shared" si="49"/>
        <v>3656961.8750163317</v>
      </c>
      <c r="Y45" s="105">
        <f>W45*'Baseline Given'!K46/'Baseline Given'!L46</f>
        <v>17665354.672519121</v>
      </c>
      <c r="Z45" s="105">
        <f>X45/'Baseline Given'!M46</f>
        <v>477223.96897740784</v>
      </c>
      <c r="AA45" s="105">
        <f t="shared" si="67"/>
        <v>18.142578641496527</v>
      </c>
      <c r="AC45" s="105">
        <f t="shared" si="68"/>
        <v>2277059.4835668011</v>
      </c>
      <c r="AD45" s="106">
        <f t="shared" si="50"/>
        <v>1831755.9964577211</v>
      </c>
      <c r="AE45" s="106">
        <f>AC45*'Baseline Given'!K46/'Baseline Given'!L46</f>
        <v>17887738.333407249</v>
      </c>
      <c r="AF45" s="105">
        <f>AD45/'Baseline Given'!M46</f>
        <v>239039.3711238284</v>
      </c>
      <c r="AG45" s="105">
        <f t="shared" si="69"/>
        <v>18.126777704531076</v>
      </c>
      <c r="AI45" s="105">
        <f t="shared" si="70"/>
        <v>2131861.5580245927</v>
      </c>
      <c r="AJ45" s="106">
        <f t="shared" si="51"/>
        <v>1221369.9930102024</v>
      </c>
      <c r="AK45" s="105">
        <f>AI45*'Baseline Given'!K46/'Baseline Given'!L46</f>
        <v>16747117.055220785</v>
      </c>
      <c r="AL45" s="105">
        <f>AJ45/'Baseline Given'!M46</f>
        <v>159385.59262437886</v>
      </c>
      <c r="AM45" s="105">
        <f t="shared" si="71"/>
        <v>16.906502647845166</v>
      </c>
      <c r="AO45" s="105">
        <f t="shared" si="72"/>
        <v>1895956.7004186783</v>
      </c>
      <c r="AP45" s="106">
        <f t="shared" si="52"/>
        <v>898908.35528442846</v>
      </c>
      <c r="AQ45" s="105">
        <f>AO45*'Baseline Given'!K46/'Baseline Given'!L46</f>
        <v>14893935.618860431</v>
      </c>
      <c r="AR45" s="105">
        <f>AP45/'Baseline Given'!M46</f>
        <v>117305.19149967158</v>
      </c>
      <c r="AS45" s="105">
        <f t="shared" si="73"/>
        <v>15.011240810360102</v>
      </c>
      <c r="AU45" s="105">
        <f t="shared" si="74"/>
        <v>1591257.8188945665</v>
      </c>
      <c r="AV45" s="106">
        <f t="shared" si="53"/>
        <v>696328.11040732102</v>
      </c>
      <c r="AW45" s="106">
        <f>AU45*'Baseline Given'!K46/'Baseline Given'!L46</f>
        <v>12500333.737785427</v>
      </c>
      <c r="AX45" s="105">
        <f>AV45/'Baseline Given'!M46</f>
        <v>90868.99888931337</v>
      </c>
      <c r="AY45" s="105">
        <f t="shared" si="75"/>
        <v>12.591202736674742</v>
      </c>
      <c r="BA45" s="105">
        <f t="shared" si="76"/>
        <v>1231882.4353107738</v>
      </c>
      <c r="BB45" s="106">
        <f t="shared" si="54"/>
        <v>561175.11032992811</v>
      </c>
      <c r="BC45" s="106">
        <f>BA45*'Baseline Given'!K46/'Baseline Given'!L46</f>
        <v>9677213.4497966245</v>
      </c>
      <c r="BD45" s="105">
        <f>BB45/'Baseline Given'!M46</f>
        <v>73231.885536621034</v>
      </c>
      <c r="BE45" s="105">
        <f t="shared" si="77"/>
        <v>9.7504453353332448</v>
      </c>
      <c r="BG45" s="105">
        <f t="shared" si="46"/>
        <v>830811.97992962296</v>
      </c>
      <c r="BH45" s="106">
        <f t="shared" si="55"/>
        <v>472686.14422491938</v>
      </c>
      <c r="BI45" s="105">
        <f>BG45*'Baseline Given'!K46/'Baseline Given'!L46</f>
        <v>6526552.0766994534</v>
      </c>
      <c r="BJ45" s="105">
        <f>BH45/'Baseline Given'!M46</f>
        <v>61684.30668330007</v>
      </c>
      <c r="BK45" s="105">
        <f t="shared" si="78"/>
        <v>6.5882363833827533</v>
      </c>
      <c r="BM45" s="105">
        <f t="shared" si="79"/>
        <v>401218.68108071014</v>
      </c>
      <c r="BN45" s="106">
        <f t="shared" si="56"/>
        <v>421658.85445738264</v>
      </c>
      <c r="BO45" s="105">
        <f>BM45*'Baseline Given'!K46/'Baseline Given'!L46</f>
        <v>3151825.7794498107</v>
      </c>
      <c r="BP45" s="105">
        <f>BN45/'Baseline Given'!M46</f>
        <v>55025.378703933209</v>
      </c>
      <c r="BQ45" s="105">
        <f t="shared" si="80"/>
        <v>3.2068511581537438</v>
      </c>
      <c r="BS45" s="105">
        <f t="shared" si="81"/>
        <v>-43376.559980437603</v>
      </c>
      <c r="BT45" s="106">
        <f t="shared" si="57"/>
        <v>404000</v>
      </c>
      <c r="BU45" s="105">
        <f>BS45*'Baseline Given'!K46/'Baseline Given'!L46</f>
        <v>-340750.23526307894</v>
      </c>
      <c r="BV45" s="105">
        <f>BT45/'Baseline Given'!M46</f>
        <v>52720.944340173563</v>
      </c>
      <c r="BW45" s="105">
        <f t="shared" si="82"/>
        <v>-0.28802929092290536</v>
      </c>
      <c r="BY45" s="104">
        <v>150</v>
      </c>
      <c r="BZ45" s="104">
        <v>-150</v>
      </c>
    </row>
    <row r="46" spans="1:78" ht="15" customHeight="1" x14ac:dyDescent="0.25">
      <c r="A46" s="18">
        <f>'Baseline Given'!E47</f>
        <v>44</v>
      </c>
      <c r="B46" s="18">
        <f t="shared" si="83"/>
        <v>24</v>
      </c>
      <c r="C46" s="18">
        <f t="shared" si="58"/>
        <v>12</v>
      </c>
      <c r="D46" s="18">
        <f t="shared" si="84"/>
        <v>44</v>
      </c>
      <c r="E46" s="18">
        <v>0</v>
      </c>
      <c r="F46" s="18">
        <f t="shared" si="44"/>
        <v>3.75</v>
      </c>
      <c r="G46" s="18">
        <f t="shared" si="45"/>
        <v>24</v>
      </c>
      <c r="I46" s="104">
        <f t="shared" si="85"/>
        <v>43</v>
      </c>
      <c r="J46" s="104">
        <f t="shared" si="86"/>
        <v>0.75049157835756164</v>
      </c>
      <c r="K46" s="111">
        <f t="shared" si="59"/>
        <v>51.49087618471863</v>
      </c>
      <c r="L46" s="103">
        <f t="shared" si="60"/>
        <v>28887798.368551746</v>
      </c>
      <c r="M46" s="103">
        <f t="shared" si="61"/>
        <v>1122055.0322320992</v>
      </c>
      <c r="N46" s="104">
        <f t="shared" si="62"/>
        <v>791851.2798171083</v>
      </c>
      <c r="O46" s="104">
        <f t="shared" si="63"/>
        <v>820619.10124336346</v>
      </c>
      <c r="Q46" s="105">
        <f t="shared" si="64"/>
        <v>2690565.1469170018</v>
      </c>
      <c r="R46" s="106">
        <f t="shared" si="48"/>
        <v>15360245.567098532</v>
      </c>
      <c r="S46" s="105">
        <f>Q46*'Baseline Given'!K47/'Baseline Given'!L47</f>
        <v>21325553.015046123</v>
      </c>
      <c r="T46" s="105">
        <f>R46/'Baseline Given'!M47</f>
        <v>2030036.7397110825</v>
      </c>
      <c r="U46" s="105">
        <f t="shared" si="65"/>
        <v>23.355589754757208</v>
      </c>
      <c r="W46" s="105">
        <f t="shared" si="66"/>
        <v>2432430.5204588948</v>
      </c>
      <c r="X46" s="105">
        <f t="shared" si="49"/>
        <v>3640801.8750163317</v>
      </c>
      <c r="Y46" s="105">
        <f>W46*'Baseline Given'!K47/'Baseline Given'!L47</f>
        <v>19279565.142253205</v>
      </c>
      <c r="Z46" s="105">
        <f>X46/'Baseline Given'!M47</f>
        <v>481174.70101672754</v>
      </c>
      <c r="AA46" s="105">
        <f t="shared" si="67"/>
        <v>19.760739843269931</v>
      </c>
      <c r="AC46" s="105">
        <f t="shared" si="68"/>
        <v>2424677.0656509362</v>
      </c>
      <c r="AD46" s="106">
        <f t="shared" si="50"/>
        <v>1815595.9964577211</v>
      </c>
      <c r="AE46" s="106">
        <f>AC46*'Baseline Given'!K47/'Baseline Given'!L47</f>
        <v>19218110.874272984</v>
      </c>
      <c r="AF46" s="105">
        <f>AD46/'Baseline Given'!M47</f>
        <v>239952.32115144763</v>
      </c>
      <c r="AG46" s="105">
        <f t="shared" si="69"/>
        <v>19.45806319542443</v>
      </c>
      <c r="AI46" s="105">
        <f t="shared" si="70"/>
        <v>2260893.56565022</v>
      </c>
      <c r="AJ46" s="106">
        <f t="shared" si="51"/>
        <v>1205209.9930102024</v>
      </c>
      <c r="AK46" s="105">
        <f>AI46*'Baseline Given'!K47/'Baseline Given'!L47</f>
        <v>17919954.716910545</v>
      </c>
      <c r="AL46" s="105">
        <f>AJ46/'Baseline Given'!M47</f>
        <v>159282.64650392576</v>
      </c>
      <c r="AM46" s="105">
        <f t="shared" si="71"/>
        <v>18.079237363414471</v>
      </c>
      <c r="AO46" s="105">
        <f t="shared" si="72"/>
        <v>2007941.8028847303</v>
      </c>
      <c r="AP46" s="106">
        <f t="shared" si="52"/>
        <v>882748.35528442846</v>
      </c>
      <c r="AQ46" s="105">
        <f>AO46*'Baseline Given'!K47/'Baseline Given'!L47</f>
        <v>15915046.47921708</v>
      </c>
      <c r="AR46" s="105">
        <f>AP46/'Baseline Given'!M47</f>
        <v>116665.55624510259</v>
      </c>
      <c r="AS46" s="105">
        <f t="shared" si="73"/>
        <v>16.031712035462185</v>
      </c>
      <c r="AU46" s="105">
        <f t="shared" si="74"/>
        <v>1685148.4242616734</v>
      </c>
      <c r="AV46" s="106">
        <f t="shared" si="53"/>
        <v>680168.11040732102</v>
      </c>
      <c r="AW46" s="106">
        <f>AU46*'Baseline Given'!K47/'Baseline Given'!L47</f>
        <v>13356570.124678837</v>
      </c>
      <c r="AX46" s="105">
        <f>AV46/'Baseline Given'!M47</f>
        <v>89892.199136731972</v>
      </c>
      <c r="AY46" s="105">
        <f t="shared" si="75"/>
        <v>13.446462323815568</v>
      </c>
      <c r="BA46" s="105">
        <f t="shared" si="76"/>
        <v>1306157.7120874529</v>
      </c>
      <c r="BB46" s="106">
        <f t="shared" si="54"/>
        <v>545015.11032992811</v>
      </c>
      <c r="BC46" s="106">
        <f>BA46*'Baseline Given'!K47/'Baseline Given'!L47</f>
        <v>10352670.912670372</v>
      </c>
      <c r="BD46" s="105">
        <f>BB46/'Baseline Given'!M47</f>
        <v>72030.143843360216</v>
      </c>
      <c r="BE46" s="105">
        <f t="shared" si="77"/>
        <v>10.424701056513733</v>
      </c>
      <c r="BG46" s="105">
        <f t="shared" si="46"/>
        <v>884112.99507149367</v>
      </c>
      <c r="BH46" s="106">
        <f t="shared" si="55"/>
        <v>456526.14422491938</v>
      </c>
      <c r="BI46" s="105">
        <f>BG46*'Baseline Given'!K47/'Baseline Given'!L47</f>
        <v>7007523.5194704486</v>
      </c>
      <c r="BJ46" s="105">
        <f>BH46/'Baseline Given'!M47</f>
        <v>60335.288349839044</v>
      </c>
      <c r="BK46" s="105">
        <f t="shared" si="78"/>
        <v>7.0678588078202873</v>
      </c>
      <c r="BM46" s="105">
        <f t="shared" si="79"/>
        <v>432616.23481824831</v>
      </c>
      <c r="BN46" s="106">
        <f t="shared" si="56"/>
        <v>405498.85445738264</v>
      </c>
      <c r="BO46" s="105">
        <f>BM46*'Baseline Given'!K47/'Baseline Given'!L47</f>
        <v>3428937.7684675674</v>
      </c>
      <c r="BP46" s="105">
        <f>BN46/'Baseline Given'!M47</f>
        <v>53591.433083757511</v>
      </c>
      <c r="BQ46" s="105">
        <f t="shared" si="80"/>
        <v>3.4825292015513245</v>
      </c>
      <c r="BS46" s="105">
        <f t="shared" si="81"/>
        <v>-34244.65261613491</v>
      </c>
      <c r="BT46" s="106">
        <f t="shared" si="57"/>
        <v>387840</v>
      </c>
      <c r="BU46" s="105">
        <f>BS46*'Baseline Given'!K47/'Baseline Given'!L47</f>
        <v>-271424.81782462145</v>
      </c>
      <c r="BV46" s="105">
        <f>BT46/'Baseline Given'!M47</f>
        <v>51257.608199702016</v>
      </c>
      <c r="BW46" s="105">
        <f t="shared" si="82"/>
        <v>-0.22016720962491942</v>
      </c>
      <c r="BY46" s="104">
        <v>150</v>
      </c>
      <c r="BZ46" s="104">
        <v>-150</v>
      </c>
    </row>
    <row r="47" spans="1:78" ht="15" customHeight="1" x14ac:dyDescent="0.25">
      <c r="A47" s="18">
        <f>'Baseline Given'!E48</f>
        <v>45</v>
      </c>
      <c r="B47" s="18">
        <f t="shared" si="83"/>
        <v>23</v>
      </c>
      <c r="C47" s="18">
        <f t="shared" si="58"/>
        <v>11.5</v>
      </c>
      <c r="D47" s="18">
        <f t="shared" si="84"/>
        <v>45</v>
      </c>
      <c r="E47" s="18">
        <v>0</v>
      </c>
      <c r="F47" s="18">
        <f t="shared" si="44"/>
        <v>2.75</v>
      </c>
      <c r="G47" s="18">
        <f t="shared" si="45"/>
        <v>23</v>
      </c>
      <c r="I47" s="104">
        <f t="shared" si="85"/>
        <v>44</v>
      </c>
      <c r="J47" s="104">
        <f t="shared" si="86"/>
        <v>0.76794487087750496</v>
      </c>
      <c r="K47" s="111">
        <f t="shared" si="59"/>
        <v>52.446706969654294</v>
      </c>
      <c r="L47" s="103">
        <f t="shared" si="60"/>
        <v>28413260.320760414</v>
      </c>
      <c r="M47" s="103">
        <f t="shared" si="61"/>
        <v>1083509.7935586441</v>
      </c>
      <c r="N47" s="104">
        <f t="shared" si="62"/>
        <v>778843.58862266433</v>
      </c>
      <c r="O47" s="104">
        <f t="shared" si="63"/>
        <v>779411.71856344829</v>
      </c>
      <c r="Q47" s="105">
        <f t="shared" si="64"/>
        <v>2833884.4099938395</v>
      </c>
      <c r="R47" s="106">
        <f t="shared" si="48"/>
        <v>15344085.567098532</v>
      </c>
      <c r="S47" s="105">
        <f>Q47*'Baseline Given'!K48/'Baseline Given'!L48</f>
        <v>22664678.03858621</v>
      </c>
      <c r="T47" s="105">
        <f>R47/'Baseline Given'!M48</f>
        <v>2053930.6361007863</v>
      </c>
      <c r="U47" s="105">
        <f t="shared" si="65"/>
        <v>24.718608674686998</v>
      </c>
      <c r="W47" s="105">
        <f t="shared" si="66"/>
        <v>2632024.8739563548</v>
      </c>
      <c r="X47" s="105">
        <f t="shared" si="49"/>
        <v>3624641.8750163317</v>
      </c>
      <c r="Y47" s="105">
        <f>W47*'Baseline Given'!K48/'Baseline Given'!L48</f>
        <v>21050257.430189576</v>
      </c>
      <c r="Z47" s="105">
        <f>X47/'Baseline Given'!M48</f>
        <v>485187.79170218075</v>
      </c>
      <c r="AA47" s="105">
        <f t="shared" si="67"/>
        <v>21.535445221891756</v>
      </c>
      <c r="AC47" s="105">
        <f t="shared" si="68"/>
        <v>2587480.0804869714</v>
      </c>
      <c r="AD47" s="106">
        <f t="shared" si="50"/>
        <v>1799435.9964577211</v>
      </c>
      <c r="AE47" s="106">
        <f>AC47*'Baseline Given'!K48/'Baseline Given'!L48</f>
        <v>20693999.638333809</v>
      </c>
      <c r="AF47" s="105">
        <f>AD47/'Baseline Given'!M48</f>
        <v>240869.14170708274</v>
      </c>
      <c r="AG47" s="105">
        <f t="shared" si="69"/>
        <v>20.93486878004089</v>
      </c>
      <c r="AI47" s="105">
        <f t="shared" si="70"/>
        <v>2403920.5438010041</v>
      </c>
      <c r="AJ47" s="106">
        <f t="shared" si="51"/>
        <v>1189049.9930102024</v>
      </c>
      <c r="AK47" s="105">
        <f>AI47*'Baseline Given'!K48/'Baseline Given'!L48</f>
        <v>19225937.714132551</v>
      </c>
      <c r="AL47" s="105">
        <f>AJ47/'Baseline Given'!M48</f>
        <v>159164.01129408521</v>
      </c>
      <c r="AM47" s="105">
        <f t="shared" si="71"/>
        <v>19.385101725426637</v>
      </c>
      <c r="AO47" s="105">
        <f t="shared" si="72"/>
        <v>2132306.1835515853</v>
      </c>
      <c r="AP47" s="106">
        <f t="shared" si="52"/>
        <v>866588.35528442846</v>
      </c>
      <c r="AQ47" s="105">
        <f>AO47*'Baseline Given'!K48/'Baseline Given'!L48</f>
        <v>17053635.977336228</v>
      </c>
      <c r="AR47" s="105">
        <f>AP47/'Baseline Given'!M48</f>
        <v>115999.89872472083</v>
      </c>
      <c r="AS47" s="105">
        <f t="shared" si="73"/>
        <v>17.169635876060948</v>
      </c>
      <c r="AU47" s="105">
        <f t="shared" si="74"/>
        <v>1789426.4774013145</v>
      </c>
      <c r="AV47" s="106">
        <f t="shared" si="53"/>
        <v>664008.11040732102</v>
      </c>
      <c r="AW47" s="106">
        <f>AU47*'Baseline Given'!K48/'Baseline Given'!L48</f>
        <v>14311372.348496888</v>
      </c>
      <c r="AX47" s="105">
        <f>AV47/'Baseline Given'!M48</f>
        <v>88882.8855014578</v>
      </c>
      <c r="AY47" s="105">
        <f t="shared" si="75"/>
        <v>14.400255233998346</v>
      </c>
      <c r="BA47" s="105">
        <f t="shared" si="76"/>
        <v>1388512.9888641322</v>
      </c>
      <c r="BB47" s="106">
        <f t="shared" si="54"/>
        <v>528855.11032992811</v>
      </c>
      <c r="BC47" s="106">
        <f>BA47*'Baseline Given'!K48/'Baseline Given'!L48</f>
        <v>11104969.466651253</v>
      </c>
      <c r="BD47" s="105">
        <f>BB47/'Baseline Given'!M48</f>
        <v>70791.557334263503</v>
      </c>
      <c r="BE47" s="105">
        <f t="shared" si="77"/>
        <v>11.175761023985515</v>
      </c>
      <c r="BG47" s="105">
        <f t="shared" si="46"/>
        <v>942941.055729507</v>
      </c>
      <c r="BH47" s="106">
        <f t="shared" si="55"/>
        <v>440366.14422491938</v>
      </c>
      <c r="BI47" s="105">
        <f>BG47*'Baseline Given'!K48/'Baseline Given'!L48</f>
        <v>7541399.8404826643</v>
      </c>
      <c r="BJ47" s="105">
        <f>BH47/'Baseline Given'!M48</f>
        <v>58946.589600918844</v>
      </c>
      <c r="BK47" s="105">
        <f t="shared" si="78"/>
        <v>7.600346430083583</v>
      </c>
      <c r="BM47" s="105">
        <f t="shared" si="79"/>
        <v>466819.94310688385</v>
      </c>
      <c r="BN47" s="106">
        <f t="shared" si="56"/>
        <v>389338.85445738264</v>
      </c>
      <c r="BO47" s="105">
        <f>BM47*'Baseline Given'!K48/'Baseline Given'!L48</f>
        <v>3733505.7404587837</v>
      </c>
      <c r="BP47" s="105">
        <f>BN47/'Baseline Given'!M48</f>
        <v>52116.171895515363</v>
      </c>
      <c r="BQ47" s="105">
        <f t="shared" si="80"/>
        <v>3.7856219123542987</v>
      </c>
      <c r="BS47" s="105">
        <f t="shared" si="81"/>
        <v>-25112.745251832213</v>
      </c>
      <c r="BT47" s="106">
        <f t="shared" si="57"/>
        <v>371680</v>
      </c>
      <c r="BU47" s="105">
        <f>BS47*'Baseline Given'!K48/'Baseline Given'!L48</f>
        <v>-200845.2722314983</v>
      </c>
      <c r="BV47" s="105">
        <f>BT47/'Baseline Given'!M48</f>
        <v>49752.390619019156</v>
      </c>
      <c r="BW47" s="105">
        <f t="shared" si="82"/>
        <v>-0.15109288161247914</v>
      </c>
      <c r="BY47" s="104">
        <v>150</v>
      </c>
      <c r="BZ47" s="104">
        <v>-150</v>
      </c>
    </row>
    <row r="48" spans="1:78" ht="15" customHeight="1" x14ac:dyDescent="0.25">
      <c r="A48" s="18">
        <f>'Baseline Given'!E49</f>
        <v>46</v>
      </c>
      <c r="B48" s="18">
        <f t="shared" si="83"/>
        <v>22</v>
      </c>
      <c r="C48" s="18">
        <f t="shared" si="58"/>
        <v>11</v>
      </c>
      <c r="D48" s="18">
        <f t="shared" si="84"/>
        <v>46</v>
      </c>
      <c r="E48" s="18">
        <v>0</v>
      </c>
      <c r="F48" s="18">
        <f t="shared" si="44"/>
        <v>1.75</v>
      </c>
      <c r="G48" s="18">
        <f t="shared" si="45"/>
        <v>22</v>
      </c>
      <c r="I48" s="104">
        <f t="shared" si="85"/>
        <v>45</v>
      </c>
      <c r="J48" s="104">
        <f t="shared" si="86"/>
        <v>0.78539816339744828</v>
      </c>
      <c r="K48" s="111">
        <f t="shared" si="59"/>
        <v>53.386561979584329</v>
      </c>
      <c r="L48" s="103">
        <f t="shared" si="60"/>
        <v>27930067.318629935</v>
      </c>
      <c r="M48" s="103">
        <f t="shared" si="61"/>
        <v>1046333.2450331127</v>
      </c>
      <c r="N48" s="104">
        <f t="shared" si="62"/>
        <v>765598.65412629885</v>
      </c>
      <c r="O48" s="104">
        <f t="shared" si="63"/>
        <v>739869.33294383949</v>
      </c>
      <c r="Q48" s="105">
        <f t="shared" si="64"/>
        <v>2993353.8288353034</v>
      </c>
      <c r="R48" s="106">
        <f t="shared" si="48"/>
        <v>15327925.567098532</v>
      </c>
      <c r="S48" s="105">
        <f>Q48*'Baseline Given'!K49/'Baseline Given'!L49</f>
        <v>24158593.341093093</v>
      </c>
      <c r="T48" s="105">
        <f>R48/'Baseline Given'!M49</f>
        <v>2078273.5739482944</v>
      </c>
      <c r="U48" s="105">
        <f t="shared" si="65"/>
        <v>26.236866915041386</v>
      </c>
      <c r="W48" s="105">
        <f t="shared" si="66"/>
        <v>2847533.7207424929</v>
      </c>
      <c r="X48" s="105">
        <f t="shared" si="49"/>
        <v>3608481.8750163317</v>
      </c>
      <c r="Y48" s="105">
        <f>W48*'Baseline Given'!K49/'Baseline Given'!L49</f>
        <v>22981716.535406828</v>
      </c>
      <c r="Z48" s="105">
        <f>X48/'Baseline Given'!M49</f>
        <v>489264.67512442515</v>
      </c>
      <c r="AA48" s="105">
        <f t="shared" si="67"/>
        <v>23.470981210531253</v>
      </c>
      <c r="AC48" s="105">
        <f t="shared" si="68"/>
        <v>2765468.5280749071</v>
      </c>
      <c r="AD48" s="106">
        <f t="shared" si="50"/>
        <v>1783275.9964577211</v>
      </c>
      <c r="AE48" s="106">
        <f>AC48*'Baseline Given'!K49/'Baseline Given'!L49</f>
        <v>22319389.349754311</v>
      </c>
      <c r="AF48" s="105">
        <f>AD48/'Baseline Given'!M49</f>
        <v>241789.75571551782</v>
      </c>
      <c r="AG48" s="105">
        <f t="shared" si="69"/>
        <v>22.561179105469829</v>
      </c>
      <c r="AI48" s="105">
        <f t="shared" si="70"/>
        <v>2560942.4924769453</v>
      </c>
      <c r="AJ48" s="106">
        <f t="shared" si="51"/>
        <v>1172889.9930102024</v>
      </c>
      <c r="AK48" s="105">
        <f>AI48*'Baseline Given'!K49/'Baseline Given'!L49</f>
        <v>20668712.014492672</v>
      </c>
      <c r="AL48" s="105">
        <f>AJ48/'Baseline Given'!M49</f>
        <v>159029.1045550087</v>
      </c>
      <c r="AM48" s="105">
        <f t="shared" si="71"/>
        <v>20.82774111904768</v>
      </c>
      <c r="AO48" s="105">
        <f t="shared" si="72"/>
        <v>2269049.842419243</v>
      </c>
      <c r="AP48" s="106">
        <f t="shared" si="52"/>
        <v>850428.35528442846</v>
      </c>
      <c r="AQ48" s="105">
        <f>AO48*'Baseline Given'!K49/'Baseline Given'!L49</f>
        <v>18312921.07388683</v>
      </c>
      <c r="AR48" s="105">
        <f>AP48/'Baseline Given'!M49</f>
        <v>115307.36951892046</v>
      </c>
      <c r="AS48" s="105">
        <f t="shared" si="73"/>
        <v>18.42822844340575</v>
      </c>
      <c r="AU48" s="105">
        <f t="shared" si="74"/>
        <v>1904091.9783134903</v>
      </c>
      <c r="AV48" s="106">
        <f t="shared" si="53"/>
        <v>647848.11040732102</v>
      </c>
      <c r="AW48" s="106">
        <f>AU48*'Baseline Given'!K49/'Baseline Given'!L49</f>
        <v>15367439.47373955</v>
      </c>
      <c r="AX48" s="105">
        <f>AV48/'Baseline Given'!M49</f>
        <v>87840.040839051202</v>
      </c>
      <c r="AY48" s="105">
        <f t="shared" si="75"/>
        <v>15.455279514578601</v>
      </c>
      <c r="BA48" s="105">
        <f t="shared" si="76"/>
        <v>1478948.2656408118</v>
      </c>
      <c r="BB48" s="106">
        <f t="shared" si="54"/>
        <v>512695.11032992811</v>
      </c>
      <c r="BC48" s="106">
        <f>BA48*'Baseline Given'!K49/'Baseline Given'!L49</f>
        <v>11936213.2795485</v>
      </c>
      <c r="BD48" s="105">
        <f>BB48/'Baseline Given'!M49</f>
        <v>69514.996965952145</v>
      </c>
      <c r="BE48" s="105">
        <f t="shared" si="77"/>
        <v>12.005728276514452</v>
      </c>
      <c r="BG48" s="105">
        <f t="shared" si="46"/>
        <v>1007296.1619036633</v>
      </c>
      <c r="BH48" s="106">
        <f t="shared" si="55"/>
        <v>424206.14422491938</v>
      </c>
      <c r="BI48" s="105">
        <f>BG48*'Baseline Given'!K49/'Baseline Given'!L49</f>
        <v>8129629.7534404816</v>
      </c>
      <c r="BJ48" s="105">
        <f>BH48/'Baseline Given'!M49</f>
        <v>57517.00812936767</v>
      </c>
      <c r="BK48" s="105">
        <f t="shared" si="78"/>
        <v>8.1871467615698492</v>
      </c>
      <c r="BM48" s="105">
        <f t="shared" si="79"/>
        <v>503829.80594661715</v>
      </c>
      <c r="BN48" s="106">
        <f t="shared" si="56"/>
        <v>373178.85445738264</v>
      </c>
      <c r="BO48" s="105">
        <f>BM48*'Baseline Given'!K49/'Baseline Given'!L49</f>
        <v>4066281.532685414</v>
      </c>
      <c r="BP48" s="105">
        <f>BN48/'Baseline Given'!M49</f>
        <v>50598.350584363157</v>
      </c>
      <c r="BQ48" s="105">
        <f t="shared" si="80"/>
        <v>4.1168798832697773</v>
      </c>
      <c r="BS48" s="105">
        <f t="shared" si="81"/>
        <v>-15980.837887529517</v>
      </c>
      <c r="BT48" s="106">
        <f t="shared" si="57"/>
        <v>355520</v>
      </c>
      <c r="BU48" s="105">
        <f>BS48*'Baseline Given'!K49/'Baseline Given'!L49</f>
        <v>-128977.2562320099</v>
      </c>
      <c r="BV48" s="105">
        <f>BT48/'Baseline Given'!M49</f>
        <v>48204.032422761826</v>
      </c>
      <c r="BW48" s="105">
        <f t="shared" si="82"/>
        <v>-8.0773223809248063E-2</v>
      </c>
      <c r="BY48" s="104">
        <v>150</v>
      </c>
      <c r="BZ48" s="104">
        <v>-150</v>
      </c>
    </row>
    <row r="49" spans="1:78" ht="15" customHeight="1" x14ac:dyDescent="0.25">
      <c r="A49" s="18">
        <f>'Baseline Given'!E50</f>
        <v>47</v>
      </c>
      <c r="B49" s="18">
        <f t="shared" si="83"/>
        <v>21</v>
      </c>
      <c r="C49" s="18">
        <f t="shared" si="58"/>
        <v>10.5</v>
      </c>
      <c r="D49" s="18">
        <f t="shared" si="84"/>
        <v>47</v>
      </c>
      <c r="E49" s="18">
        <v>0</v>
      </c>
      <c r="F49" s="18">
        <f t="shared" si="44"/>
        <v>0.75</v>
      </c>
      <c r="G49" s="18">
        <f t="shared" si="45"/>
        <v>21</v>
      </c>
      <c r="I49" s="104">
        <f t="shared" si="85"/>
        <v>46</v>
      </c>
      <c r="J49" s="104">
        <f t="shared" si="86"/>
        <v>0.80285145591739149</v>
      </c>
      <c r="K49" s="111">
        <f t="shared" si="59"/>
        <v>54.310154925568156</v>
      </c>
      <c r="L49" s="103">
        <f t="shared" si="60"/>
        <v>27438366.547429577</v>
      </c>
      <c r="M49" s="103">
        <f t="shared" si="61"/>
        <v>1010432.2694359368</v>
      </c>
      <c r="N49" s="104">
        <f t="shared" si="62"/>
        <v>752120.51086336561</v>
      </c>
      <c r="O49" s="104">
        <f t="shared" si="63"/>
        <v>701905.23374555446</v>
      </c>
      <c r="Q49" s="105">
        <f t="shared" si="64"/>
        <v>3168973.4034413975</v>
      </c>
      <c r="R49" s="106">
        <f t="shared" si="48"/>
        <v>15311765.567098532</v>
      </c>
      <c r="S49" s="105">
        <f>Q49*'Baseline Given'!K50/'Baseline Given'!L50</f>
        <v>25811576.647778787</v>
      </c>
      <c r="T49" s="105">
        <f>R49/'Baseline Given'!M50</f>
        <v>2103077.0489445748</v>
      </c>
      <c r="U49" s="105">
        <f t="shared" si="65"/>
        <v>27.914653696723359</v>
      </c>
      <c r="W49" s="105">
        <f t="shared" si="66"/>
        <v>3078957.0608173078</v>
      </c>
      <c r="X49" s="105">
        <f t="shared" si="49"/>
        <v>3592321.8750163317</v>
      </c>
      <c r="Y49" s="105">
        <f>W49*'Baseline Given'!K50/'Baseline Given'!L50</f>
        <v>25078385.348454151</v>
      </c>
      <c r="Z49" s="105">
        <f>X49/'Baseline Given'!M50</f>
        <v>493406.82853727834</v>
      </c>
      <c r="AA49" s="105">
        <f t="shared" si="67"/>
        <v>25.57179217699143</v>
      </c>
      <c r="AC49" s="105">
        <f t="shared" si="68"/>
        <v>2958642.4084147429</v>
      </c>
      <c r="AD49" s="106">
        <f t="shared" si="50"/>
        <v>1767115.9964577211</v>
      </c>
      <c r="AE49" s="106">
        <f>AC49*'Baseline Given'!K50/'Baseline Given'!L50</f>
        <v>24098411.559792124</v>
      </c>
      <c r="AF49" s="105">
        <f>AD49/'Baseline Given'!M50</f>
        <v>242714.0801423126</v>
      </c>
      <c r="AG49" s="105">
        <f t="shared" si="69"/>
        <v>24.341125639934436</v>
      </c>
      <c r="AI49" s="105">
        <f t="shared" si="70"/>
        <v>2731959.4116780427</v>
      </c>
      <c r="AJ49" s="106">
        <f t="shared" si="51"/>
        <v>1156729.9930102024</v>
      </c>
      <c r="AK49" s="105">
        <f>AI49*'Baseline Given'!K50/'Baseline Given'!L50</f>
        <v>22252057.930360116</v>
      </c>
      <c r="AL49" s="105">
        <f>AJ49/'Baseline Given'!M50</f>
        <v>158877.32146009812</v>
      </c>
      <c r="AM49" s="105">
        <f t="shared" si="71"/>
        <v>22.410935251820213</v>
      </c>
      <c r="AO49" s="105">
        <f t="shared" si="72"/>
        <v>2418172.7794877035</v>
      </c>
      <c r="AP49" s="106">
        <f t="shared" si="52"/>
        <v>834268.35528442846</v>
      </c>
      <c r="AQ49" s="105">
        <f>AO49*'Baseline Given'!K50/'Baseline Given'!L50</f>
        <v>19696237.26647139</v>
      </c>
      <c r="AR49" s="105">
        <f>AP49/'Baseline Given'!M50</f>
        <v>114587.08814282679</v>
      </c>
      <c r="AS49" s="105">
        <f t="shared" si="73"/>
        <v>19.810824354614216</v>
      </c>
      <c r="AU49" s="105">
        <f t="shared" si="74"/>
        <v>2029144.9269982006</v>
      </c>
      <c r="AV49" s="106">
        <f t="shared" si="53"/>
        <v>631688.11040732102</v>
      </c>
      <c r="AW49" s="106">
        <f>AU49*'Baseline Given'!K50/'Baseline Given'!L50</f>
        <v>16527570.018665226</v>
      </c>
      <c r="AX49" s="105">
        <f>AV49/'Baseline Given'!M50</f>
        <v>86762.611487692877</v>
      </c>
      <c r="AY49" s="105">
        <f t="shared" si="75"/>
        <v>16.614332630152919</v>
      </c>
      <c r="BA49" s="105">
        <f t="shared" si="76"/>
        <v>1577463.5424174911</v>
      </c>
      <c r="BB49" s="106">
        <f t="shared" si="54"/>
        <v>496535.11032992811</v>
      </c>
      <c r="BC49" s="106">
        <f>BA49*'Baseline Given'!K50/'Baseline Given'!L50</f>
        <v>12848584.052478518</v>
      </c>
      <c r="BD49" s="105">
        <f>BB49/'Baseline Given'!M50</f>
        <v>68199.293540249259</v>
      </c>
      <c r="BE49" s="105">
        <f t="shared" si="77"/>
        <v>12.916783346018766</v>
      </c>
      <c r="BG49" s="105">
        <f t="shared" si="46"/>
        <v>1077178.3135939622</v>
      </c>
      <c r="BH49" s="106">
        <f t="shared" si="55"/>
        <v>408046.14422491938</v>
      </c>
      <c r="BI49" s="105">
        <f>BG49*'Baseline Given'!K50/'Baseline Given'!L50</f>
        <v>8773715.3535153698</v>
      </c>
      <c r="BJ49" s="105">
        <f>BH49/'Baseline Given'!M50</f>
        <v>56045.299091682042</v>
      </c>
      <c r="BK49" s="105">
        <f t="shared" si="78"/>
        <v>8.8297606526070513</v>
      </c>
      <c r="BM49" s="105">
        <f t="shared" si="79"/>
        <v>543645.82333744806</v>
      </c>
      <c r="BN49" s="106">
        <f t="shared" si="56"/>
        <v>357018.85445738264</v>
      </c>
      <c r="BO49" s="105">
        <f>BM49*'Baseline Given'!K50/'Baseline Given'!L50</f>
        <v>4428044.6857271455</v>
      </c>
      <c r="BP49" s="105">
        <f>BN49/'Baseline Given'!M50</f>
        <v>49036.680685810898</v>
      </c>
      <c r="BQ49" s="105">
        <f t="shared" si="80"/>
        <v>4.4770813664129561</v>
      </c>
      <c r="BS49" s="105">
        <f t="shared" si="81"/>
        <v>-6848.9305232268207</v>
      </c>
      <c r="BT49" s="106">
        <f t="shared" si="57"/>
        <v>339360</v>
      </c>
      <c r="BU49" s="105">
        <f>BS49*'Baseline Given'!K50/'Baseline Given'!L50</f>
        <v>-55785.162148600495</v>
      </c>
      <c r="BV49" s="105">
        <f>BT49/'Baseline Given'!M50</f>
        <v>46611.230050661747</v>
      </c>
      <c r="BW49" s="105">
        <f t="shared" si="82"/>
        <v>-9.1739320979387484E-3</v>
      </c>
      <c r="BY49" s="104">
        <v>150</v>
      </c>
      <c r="BZ49" s="104">
        <v>-150</v>
      </c>
    </row>
    <row r="50" spans="1:78" ht="15" customHeight="1" x14ac:dyDescent="0.25">
      <c r="A50" s="18">
        <f>'Baseline Given'!E51</f>
        <v>48</v>
      </c>
      <c r="B50" s="18">
        <f t="shared" si="83"/>
        <v>20</v>
      </c>
      <c r="C50" s="18">
        <f t="shared" si="58"/>
        <v>10</v>
      </c>
      <c r="D50" s="18">
        <f t="shared" si="84"/>
        <v>48</v>
      </c>
      <c r="E50" s="18">
        <v>0</v>
      </c>
      <c r="F50" s="10">
        <v>0</v>
      </c>
      <c r="G50" s="18">
        <f t="shared" ref="G50:G69" si="87">G49-1</f>
        <v>20</v>
      </c>
      <c r="I50" s="104">
        <f t="shared" si="85"/>
        <v>47</v>
      </c>
      <c r="J50" s="104">
        <f t="shared" si="86"/>
        <v>0.82030474843733492</v>
      </c>
      <c r="K50" s="111">
        <f t="shared" si="59"/>
        <v>55.217204472247374</v>
      </c>
      <c r="L50" s="103">
        <f t="shared" si="60"/>
        <v>26938307.783977434</v>
      </c>
      <c r="M50" s="103">
        <f t="shared" si="61"/>
        <v>975721.53612075211</v>
      </c>
      <c r="N50" s="104">
        <f t="shared" si="62"/>
        <v>738413.26440686837</v>
      </c>
      <c r="O50" s="104">
        <f t="shared" si="63"/>
        <v>665440.48751201481</v>
      </c>
      <c r="Q50" s="105">
        <f t="shared" si="64"/>
        <v>3230031.1529257176</v>
      </c>
      <c r="R50" s="106">
        <f t="shared" si="48"/>
        <v>15295605.567098532</v>
      </c>
      <c r="S50" s="105">
        <f>Q50*'Baseline Given'!K51/'Baseline Given'!L51</f>
        <v>26553505.090405073</v>
      </c>
      <c r="T50" s="105">
        <f>R50/'Baseline Given'!M51</f>
        <v>2128352.9293412217</v>
      </c>
      <c r="U50" s="105">
        <f t="shared" si="65"/>
        <v>28.681858019746297</v>
      </c>
      <c r="W50" s="105">
        <f t="shared" si="66"/>
        <v>3182898.6577354562</v>
      </c>
      <c r="X50" s="105">
        <f t="shared" si="49"/>
        <v>3576161.8750163317</v>
      </c>
      <c r="Y50" s="105">
        <f>W50*'Baseline Given'!K51/'Baseline Given'!L51</f>
        <v>26166037.325636152</v>
      </c>
      <c r="Z50" s="105">
        <f>X50/'Baseline Given'!M51</f>
        <v>497615.77396201261</v>
      </c>
      <c r="AA50" s="105">
        <f t="shared" si="67"/>
        <v>26.663653099598164</v>
      </c>
      <c r="AC50" s="105">
        <f t="shared" si="68"/>
        <v>3037086.5503800563</v>
      </c>
      <c r="AD50" s="106">
        <f t="shared" si="50"/>
        <v>1750955.9964577211</v>
      </c>
      <c r="AE50" s="106">
        <f>AC50*'Baseline Given'!K51/'Baseline Given'!L51</f>
        <v>24967342.219739959</v>
      </c>
      <c r="AF50" s="105">
        <f>AD50/'Baseline Given'!M51</f>
        <v>243642.02566942159</v>
      </c>
      <c r="AG50" s="105">
        <f t="shared" si="69"/>
        <v>25.210984245409382</v>
      </c>
      <c r="AI50" s="105">
        <f t="shared" si="70"/>
        <v>2798994.1050313059</v>
      </c>
      <c r="AJ50" s="106">
        <f t="shared" si="51"/>
        <v>1140569.9930102024</v>
      </c>
      <c r="AK50" s="105">
        <f>AI50*'Baseline Given'!K51/'Baseline Given'!L51</f>
        <v>23010027.054581728</v>
      </c>
      <c r="AL50" s="105">
        <f>AJ50/'Baseline Given'!M51</f>
        <v>158708.03382663633</v>
      </c>
      <c r="AM50" s="105">
        <f t="shared" si="71"/>
        <v>23.168735088408365</v>
      </c>
      <c r="AO50" s="105">
        <f t="shared" si="72"/>
        <v>2475855.6401605369</v>
      </c>
      <c r="AP50" s="106">
        <f t="shared" si="52"/>
        <v>818108.35528442846</v>
      </c>
      <c r="AQ50" s="105">
        <f>AO50*'Baseline Given'!K51/'Baseline Given'!L51</f>
        <v>20353563.861005533</v>
      </c>
      <c r="AR50" s="105">
        <f>AP50/'Baseline Given'!M51</f>
        <v>113838.14173618495</v>
      </c>
      <c r="AS50" s="105">
        <f t="shared" si="73"/>
        <v>20.467402002741718</v>
      </c>
      <c r="AU50" s="105">
        <f t="shared" si="74"/>
        <v>2077489.5545068951</v>
      </c>
      <c r="AV50" s="106">
        <f t="shared" si="53"/>
        <v>615528.11040732102</v>
      </c>
      <c r="AW50" s="106">
        <f>AU50*'Baseline Given'!K51/'Baseline Given'!L51</f>
        <v>17078667.92891296</v>
      </c>
      <c r="AX50" s="105">
        <f>AV50/'Baseline Given'!M51</f>
        <v>85649.505744008129</v>
      </c>
      <c r="AY50" s="105">
        <f t="shared" si="75"/>
        <v>17.164317434656965</v>
      </c>
      <c r="BA50" s="105">
        <f t="shared" si="76"/>
        <v>1616000.0000000005</v>
      </c>
      <c r="BB50" s="106">
        <f t="shared" si="54"/>
        <v>480375.11032992811</v>
      </c>
      <c r="BC50" s="106">
        <f>BA50*'Baseline Given'!K51/'Baseline Given'!L51</f>
        <v>13284845.314023335</v>
      </c>
      <c r="BD50" s="105">
        <f>BB50/'Baseline Given'!M51</f>
        <v>66843.236037189374</v>
      </c>
      <c r="BE50" s="105">
        <f t="shared" si="77"/>
        <v>13.351688550060524</v>
      </c>
      <c r="BG50" s="105">
        <f t="shared" si="46"/>
        <v>1105409.1032285616</v>
      </c>
      <c r="BH50" s="106">
        <f t="shared" si="55"/>
        <v>391886.14422491938</v>
      </c>
      <c r="BI50" s="105">
        <f>BG50*'Baseline Given'!K51/'Baseline Given'!L51</f>
        <v>9087369.3967231978</v>
      </c>
      <c r="BJ50" s="105">
        <f>BH50/'Baseline Given'!M51</f>
        <v>54530.173347531032</v>
      </c>
      <c r="BK50" s="105">
        <f t="shared" si="78"/>
        <v>9.1418995700707288</v>
      </c>
      <c r="BM50" s="105">
        <f t="shared" si="79"/>
        <v>561230.91021951905</v>
      </c>
      <c r="BN50" s="106">
        <f t="shared" si="56"/>
        <v>340858.85445738264</v>
      </c>
      <c r="BO50" s="105">
        <f>BM50*'Baseline Given'!K51/'Baseline Given'!L51</f>
        <v>4613778.3587344214</v>
      </c>
      <c r="BP50" s="105">
        <f>BN50/'Baseline Given'!M51</f>
        <v>47429.828011306359</v>
      </c>
      <c r="BQ50" s="105">
        <f t="shared" si="80"/>
        <v>4.6612081867457276</v>
      </c>
      <c r="BS50" s="105">
        <f t="shared" si="81"/>
        <v>1.9798399031323299E-10</v>
      </c>
      <c r="BT50" s="106">
        <f t="shared" si="57"/>
        <v>323200</v>
      </c>
      <c r="BU50" s="105">
        <f>BS50*'Baseline Given'!K51/'Baseline Given'!L51</f>
        <v>1.6275907710175706E-9</v>
      </c>
      <c r="BV50" s="105">
        <f>BT50/'Baseline Given'!M51</f>
        <v>44972.633724469757</v>
      </c>
      <c r="BW50" s="105">
        <f t="shared" si="82"/>
        <v>4.4972633724471384E-2</v>
      </c>
      <c r="BY50" s="104">
        <v>150</v>
      </c>
      <c r="BZ50" s="104">
        <v>-150</v>
      </c>
    </row>
    <row r="51" spans="1:78" ht="15" customHeight="1" x14ac:dyDescent="0.25">
      <c r="A51" s="18">
        <f>'Baseline Given'!E52</f>
        <v>49</v>
      </c>
      <c r="B51" s="18">
        <f t="shared" si="83"/>
        <v>19</v>
      </c>
      <c r="C51" s="18">
        <f t="shared" si="58"/>
        <v>9.5</v>
      </c>
      <c r="D51" s="18">
        <f t="shared" si="84"/>
        <v>49</v>
      </c>
      <c r="E51" s="18">
        <v>0</v>
      </c>
      <c r="F51" s="18">
        <v>0</v>
      </c>
      <c r="G51" s="18">
        <f t="shared" si="87"/>
        <v>19</v>
      </c>
      <c r="I51" s="104">
        <f t="shared" si="85"/>
        <v>48</v>
      </c>
      <c r="J51" s="104">
        <f t="shared" si="86"/>
        <v>0.83775804095727813</v>
      </c>
      <c r="K51" s="111">
        <f t="shared" si="59"/>
        <v>56.107434323543259</v>
      </c>
      <c r="L51" s="103">
        <f t="shared" si="60"/>
        <v>26430043.35101705</v>
      </c>
      <c r="M51" s="103">
        <f t="shared" si="61"/>
        <v>942122.68551109743</v>
      </c>
      <c r="N51" s="104">
        <f t="shared" si="62"/>
        <v>724481.09011686302</v>
      </c>
      <c r="O51" s="104">
        <f t="shared" si="63"/>
        <v>630403.12382047658</v>
      </c>
      <c r="Q51" s="105">
        <f t="shared" si="64"/>
        <v>2915103.1155154603</v>
      </c>
      <c r="R51" s="105">
        <f t="shared" ref="R51:R69" si="88">16160*G51</f>
        <v>307040</v>
      </c>
      <c r="S51" s="105">
        <f>Q51*'Baseline Given'!K52/'Baseline Given'!L52</f>
        <v>24189440.163795289</v>
      </c>
      <c r="T51" s="105">
        <f>R51/'Baseline Given'!M52</f>
        <v>43286.845527382997</v>
      </c>
      <c r="U51" s="105">
        <f t="shared" si="65"/>
        <v>24.232727009322673</v>
      </c>
      <c r="W51" s="105">
        <f t="shared" si="66"/>
        <v>2872566.0386062493</v>
      </c>
      <c r="X51" s="105">
        <f t="shared" ref="X51:X69" si="89">16160*G51</f>
        <v>307040</v>
      </c>
      <c r="Y51" s="105">
        <f>W51*'Baseline Given'!K52/'Baseline Given'!L52</f>
        <v>23836468.747051366</v>
      </c>
      <c r="Z51" s="105">
        <f>X51/'Baseline Given'!M52</f>
        <v>43286.845527382997</v>
      </c>
      <c r="AA51" s="105">
        <f t="shared" si="67"/>
        <v>23.87975559257875</v>
      </c>
      <c r="AC51" s="105">
        <f t="shared" si="68"/>
        <v>2740970.6117180004</v>
      </c>
      <c r="AD51" s="107">
        <f t="shared" ref="AD51:AD69" si="90">16160*G51</f>
        <v>307040</v>
      </c>
      <c r="AE51" s="106">
        <f>AC51*'Baseline Given'!K52/'Baseline Given'!L52</f>
        <v>22744493.753919937</v>
      </c>
      <c r="AF51" s="105">
        <f>AD51/'Baseline Given'!M52</f>
        <v>43286.845527382997</v>
      </c>
      <c r="AG51" s="105">
        <f t="shared" si="69"/>
        <v>22.78778059944732</v>
      </c>
      <c r="AI51" s="105">
        <f t="shared" si="70"/>
        <v>2526092.1797907534</v>
      </c>
      <c r="AJ51" s="107">
        <f t="shared" ref="AJ51:AJ69" si="91">16160*G51</f>
        <v>307040</v>
      </c>
      <c r="AK51" s="105">
        <f>AI51*'Baseline Given'!K52/'Baseline Given'!L52</f>
        <v>20961438.827344824</v>
      </c>
      <c r="AL51" s="105">
        <f>AJ51/'Baseline Given'!M52</f>
        <v>43286.845527382997</v>
      </c>
      <c r="AM51" s="105">
        <f t="shared" si="71"/>
        <v>21.004725672872208</v>
      </c>
      <c r="AO51" s="105">
        <f t="shared" si="72"/>
        <v>2234459.7152448846</v>
      </c>
      <c r="AP51" s="107">
        <f t="shared" ref="AP51:AP69" si="92">16160*G51</f>
        <v>307040</v>
      </c>
      <c r="AQ51" s="105">
        <f>AO51*'Baseline Given'!K52/'Baseline Given'!L52</f>
        <v>18541481.189000681</v>
      </c>
      <c r="AR51" s="105">
        <f>AP51/'Baseline Given'!M52</f>
        <v>43286.845527382997</v>
      </c>
      <c r="AS51" s="105">
        <f t="shared" si="73"/>
        <v>18.584768034528064</v>
      </c>
      <c r="AU51" s="105">
        <f t="shared" si="74"/>
        <v>1874934.322942473</v>
      </c>
      <c r="AV51" s="107">
        <f t="shared" ref="AV51:AV69" si="93">16160*G51</f>
        <v>307040</v>
      </c>
      <c r="AW51" s="106">
        <f>AU51*'Baseline Given'!K52/'Baseline Given'!L52</f>
        <v>15558150.027170951</v>
      </c>
      <c r="AX51" s="105">
        <f>AV51/'Baseline Given'!M52</f>
        <v>43286.845527382997</v>
      </c>
      <c r="AY51" s="105">
        <f t="shared" si="75"/>
        <v>15.601436872698333</v>
      </c>
      <c r="BA51" s="105">
        <f t="shared" si="76"/>
        <v>1458440.0000000002</v>
      </c>
      <c r="BB51" s="107">
        <f t="shared" ref="BB51:BB69" si="94">16160*G51</f>
        <v>307040</v>
      </c>
      <c r="BC51" s="106">
        <f>BA51*'Baseline Given'!K52/'Baseline Given'!L52</f>
        <v>12102092.34956941</v>
      </c>
      <c r="BD51" s="105">
        <f>BB51/'Baseline Given'!M52</f>
        <v>43286.845527382997</v>
      </c>
      <c r="BE51" s="105">
        <f t="shared" si="77"/>
        <v>12.145379195096792</v>
      </c>
      <c r="BG51" s="105">
        <f t="shared" si="46"/>
        <v>997631.71566377685</v>
      </c>
      <c r="BH51" s="107">
        <f t="shared" ref="BH51:BH69" si="95">16160*G51</f>
        <v>307040</v>
      </c>
      <c r="BI51" s="105">
        <f>BG51*'Baseline Given'!K52/'Baseline Given'!L52</f>
        <v>8278318.7198804179</v>
      </c>
      <c r="BJ51" s="105">
        <f>BH51/'Baseline Given'!M52</f>
        <v>43286.845527382997</v>
      </c>
      <c r="BK51" s="105">
        <f t="shared" si="78"/>
        <v>8.3216055654078005</v>
      </c>
      <c r="BM51" s="105">
        <f t="shared" si="79"/>
        <v>506510.89647311601</v>
      </c>
      <c r="BN51" s="107">
        <f t="shared" ref="BN51:BN69" si="96">16160*G51</f>
        <v>307040</v>
      </c>
      <c r="BO51" s="105">
        <f>BM51*'Baseline Given'!K52/'Baseline Given'!L52</f>
        <v>4203012.5649192557</v>
      </c>
      <c r="BP51" s="105">
        <f>BN51/'Baseline Given'!M52</f>
        <v>43286.845527382997</v>
      </c>
      <c r="BQ51" s="105">
        <f t="shared" si="80"/>
        <v>4.2462994104466381</v>
      </c>
      <c r="BS51" s="105">
        <f t="shared" si="81"/>
        <v>1.7868055125769278E-10</v>
      </c>
      <c r="BT51" s="107">
        <f t="shared" ref="BT51:BT69" si="97">16160*G51</f>
        <v>307040</v>
      </c>
      <c r="BU51" s="105">
        <f>BS51*'Baseline Given'!K52/'Baseline Given'!L52</f>
        <v>1.482685974323639E-9</v>
      </c>
      <c r="BV51" s="105">
        <f>BT51/'Baseline Given'!M52</f>
        <v>43286.845527382997</v>
      </c>
      <c r="BW51" s="105">
        <f t="shared" si="82"/>
        <v>4.3286845527384481E-2</v>
      </c>
      <c r="BY51" s="104">
        <v>150</v>
      </c>
      <c r="BZ51" s="104">
        <v>-150</v>
      </c>
    </row>
    <row r="52" spans="1:78" ht="15" customHeight="1" x14ac:dyDescent="0.25">
      <c r="A52" s="18">
        <f>'Baseline Given'!E53</f>
        <v>50</v>
      </c>
      <c r="B52" s="18">
        <f t="shared" si="83"/>
        <v>18</v>
      </c>
      <c r="C52" s="18">
        <f t="shared" si="58"/>
        <v>9</v>
      </c>
      <c r="D52" s="18">
        <f t="shared" si="84"/>
        <v>50</v>
      </c>
      <c r="E52" s="18">
        <v>0</v>
      </c>
      <c r="F52" s="18">
        <v>0</v>
      </c>
      <c r="G52" s="18">
        <f t="shared" si="87"/>
        <v>18</v>
      </c>
      <c r="I52" s="104">
        <f t="shared" si="85"/>
        <v>49</v>
      </c>
      <c r="J52" s="104">
        <f t="shared" si="86"/>
        <v>0.85521133347722145</v>
      </c>
      <c r="K52" s="111">
        <f t="shared" si="59"/>
        <v>56.980573306819288</v>
      </c>
      <c r="L52" s="103">
        <f t="shared" si="60"/>
        <v>25913728.070818365</v>
      </c>
      <c r="M52" s="113">
        <f t="shared" si="61"/>
        <v>909563.61324350093</v>
      </c>
      <c r="N52" s="104">
        <f t="shared" si="62"/>
        <v>710328.23186860199</v>
      </c>
      <c r="O52" s="104">
        <f t="shared" si="63"/>
        <v>596727.4209096285</v>
      </c>
      <c r="Q52" s="105">
        <f t="shared" si="64"/>
        <v>2616325.2338698311</v>
      </c>
      <c r="R52" s="105">
        <f t="shared" si="88"/>
        <v>290880</v>
      </c>
      <c r="S52" s="105">
        <f>Q52*'Baseline Given'!K53/'Baseline Given'!L53</f>
        <v>21915865.548720848</v>
      </c>
      <c r="T52" s="105">
        <f>R52/'Baseline Given'!M53</f>
        <v>41552.417391215131</v>
      </c>
      <c r="U52" s="105">
        <f t="shared" si="65"/>
        <v>21.957417966112061</v>
      </c>
      <c r="W52" s="105">
        <f t="shared" si="66"/>
        <v>2578147.9127657195</v>
      </c>
      <c r="X52" s="105">
        <f t="shared" si="89"/>
        <v>290880</v>
      </c>
      <c r="Y52" s="105">
        <f>W52*'Baseline Given'!K53/'Baseline Given'!L53</f>
        <v>21596070.048720833</v>
      </c>
      <c r="Z52" s="105">
        <f>X52/'Baseline Given'!M53</f>
        <v>41552.417391215131</v>
      </c>
      <c r="AA52" s="105">
        <f t="shared" si="67"/>
        <v>21.637622466112049</v>
      </c>
      <c r="AC52" s="105">
        <f t="shared" si="68"/>
        <v>2460040.1058078455</v>
      </c>
      <c r="AD52" s="107">
        <f t="shared" si="90"/>
        <v>290880</v>
      </c>
      <c r="AE52" s="106">
        <f>AC52*'Baseline Given'!K53/'Baseline Given'!L53</f>
        <v>20606730.197530214</v>
      </c>
      <c r="AF52" s="105">
        <f>AD52/'Baseline Given'!M53</f>
        <v>41552.417391215131</v>
      </c>
      <c r="AG52" s="105">
        <f t="shared" si="69"/>
        <v>20.648282614921428</v>
      </c>
      <c r="AI52" s="105">
        <f t="shared" si="70"/>
        <v>2267185.2250753576</v>
      </c>
      <c r="AJ52" s="107">
        <f t="shared" si="91"/>
        <v>290880</v>
      </c>
      <c r="AK52" s="105">
        <f>AI52*'Baseline Given'!K53/'Baseline Given'!L53</f>
        <v>18991265.276796248</v>
      </c>
      <c r="AL52" s="105">
        <f>AJ52/'Baseline Given'!M53</f>
        <v>41552.417391215131</v>
      </c>
      <c r="AM52" s="105">
        <f t="shared" si="71"/>
        <v>19.032817694187461</v>
      </c>
      <c r="AO52" s="105">
        <f t="shared" si="72"/>
        <v>2005443.068530035</v>
      </c>
      <c r="AP52" s="107">
        <f t="shared" si="92"/>
        <v>290880</v>
      </c>
      <c r="AQ52" s="105">
        <f>AO52*'Baseline Given'!K53/'Baseline Given'!L53</f>
        <v>16798760.370670754</v>
      </c>
      <c r="AR52" s="105">
        <f>AP52/'Baseline Given'!M53</f>
        <v>41552.417391215131</v>
      </c>
      <c r="AS52" s="105">
        <f t="shared" si="73"/>
        <v>16.840312788061969</v>
      </c>
      <c r="AU52" s="105">
        <f t="shared" si="74"/>
        <v>1682766.5391505852</v>
      </c>
      <c r="AV52" s="107">
        <f t="shared" si="93"/>
        <v>290880</v>
      </c>
      <c r="AW52" s="106">
        <f>AU52*'Baseline Given'!K53/'Baseline Given'!L53</f>
        <v>14095833.631265339</v>
      </c>
      <c r="AX52" s="105">
        <f>AV52/'Baseline Given'!M53</f>
        <v>41552.417391215131</v>
      </c>
      <c r="AY52" s="105">
        <f t="shared" si="75"/>
        <v>14.137386048656554</v>
      </c>
      <c r="BA52" s="105">
        <f t="shared" si="76"/>
        <v>1308960.0000000002</v>
      </c>
      <c r="BB52" s="107">
        <f t="shared" si="94"/>
        <v>290880</v>
      </c>
      <c r="BC52" s="106">
        <f>BA52*'Baseline Given'!K53/'Baseline Given'!L53</f>
        <v>10964612.119809909</v>
      </c>
      <c r="BD52" s="105">
        <f>BB52/'Baseline Given'!M53</f>
        <v>41552.417391215131</v>
      </c>
      <c r="BE52" s="105">
        <f t="shared" si="77"/>
        <v>11.006164537201123</v>
      </c>
      <c r="BG52" s="105">
        <f t="shared" si="46"/>
        <v>895381.37361513497</v>
      </c>
      <c r="BH52" s="107">
        <f t="shared" si="95"/>
        <v>290880</v>
      </c>
      <c r="BI52" s="105">
        <f>BG52*'Baseline Given'!K53/'Baseline Given'!L53</f>
        <v>7500236.4174555</v>
      </c>
      <c r="BJ52" s="105">
        <f>BH52/'Baseline Given'!M53</f>
        <v>41552.417391215131</v>
      </c>
      <c r="BK52" s="105">
        <f t="shared" si="78"/>
        <v>7.5417888348467157</v>
      </c>
      <c r="BM52" s="105">
        <f t="shared" si="79"/>
        <v>454597.03727781045</v>
      </c>
      <c r="BN52" s="107">
        <f t="shared" si="96"/>
        <v>290880</v>
      </c>
      <c r="BO52" s="105">
        <f>BM52*'Baseline Given'!K53/'Baseline Given'!L53</f>
        <v>3807969.8268594583</v>
      </c>
      <c r="BP52" s="105">
        <f>BN52/'Baseline Given'!M53</f>
        <v>41552.417391215131</v>
      </c>
      <c r="BQ52" s="105">
        <f t="shared" si="80"/>
        <v>3.8495222442506734</v>
      </c>
      <c r="BS52" s="105">
        <f t="shared" si="81"/>
        <v>1.6036703215371872E-10</v>
      </c>
      <c r="BT52" s="107">
        <f t="shared" si="97"/>
        <v>290880</v>
      </c>
      <c r="BU52" s="105">
        <f>BS52*'Baseline Given'!K53/'Baseline Given'!L53</f>
        <v>1.3433277597257436E-9</v>
      </c>
      <c r="BV52" s="105">
        <f>BT52/'Baseline Given'!M53</f>
        <v>41552.417391215131</v>
      </c>
      <c r="BW52" s="105">
        <f t="shared" si="82"/>
        <v>4.1552417391216477E-2</v>
      </c>
      <c r="BY52" s="104">
        <v>150</v>
      </c>
      <c r="BZ52" s="104">
        <v>-150</v>
      </c>
    </row>
    <row r="53" spans="1:78" ht="15" customHeight="1" x14ac:dyDescent="0.25">
      <c r="A53" s="18">
        <f>'Baseline Given'!E54</f>
        <v>51</v>
      </c>
      <c r="B53" s="18">
        <f t="shared" si="83"/>
        <v>17</v>
      </c>
      <c r="C53" s="18">
        <f t="shared" si="58"/>
        <v>8.5</v>
      </c>
      <c r="D53" s="18">
        <f t="shared" si="84"/>
        <v>51</v>
      </c>
      <c r="E53" s="18">
        <v>0</v>
      </c>
      <c r="F53" s="18">
        <v>0</v>
      </c>
      <c r="G53" s="18">
        <f t="shared" si="87"/>
        <v>17</v>
      </c>
      <c r="I53" s="104">
        <f t="shared" si="85"/>
        <v>50</v>
      </c>
      <c r="J53" s="109">
        <f t="shared" si="86"/>
        <v>0.87266462599716477</v>
      </c>
      <c r="K53" s="111">
        <f t="shared" si="59"/>
        <v>57.836355455482845</v>
      </c>
      <c r="L53" s="103">
        <f t="shared" si="60"/>
        <v>25389519.218017392</v>
      </c>
      <c r="M53" s="103">
        <f t="shared" si="61"/>
        <v>877977.83999581123</v>
      </c>
      <c r="N53" s="109">
        <f t="shared" si="62"/>
        <v>695959.00075980998</v>
      </c>
      <c r="O53" s="104">
        <f t="shared" si="63"/>
        <v>564353.27712865837</v>
      </c>
      <c r="Q53" s="105">
        <f t="shared" si="64"/>
        <v>2333697.507988831</v>
      </c>
      <c r="R53" s="105">
        <f t="shared" si="88"/>
        <v>274720</v>
      </c>
      <c r="S53" s="105">
        <f>Q53*'Baseline Given'!K54/'Baseline Given'!L54</f>
        <v>19735377.672824118</v>
      </c>
      <c r="T53" s="105">
        <f>R53/'Baseline Given'!M54</f>
        <v>39767.848986259116</v>
      </c>
      <c r="U53" s="105">
        <f t="shared" si="65"/>
        <v>19.77514552181038</v>
      </c>
      <c r="W53" s="105">
        <f t="shared" si="66"/>
        <v>2299644.2802138673</v>
      </c>
      <c r="X53" s="105">
        <f t="shared" si="89"/>
        <v>274720</v>
      </c>
      <c r="Y53" s="105">
        <f>W53*'Baseline Given'!K54/'Baseline Given'!L54</f>
        <v>19447399.771310743</v>
      </c>
      <c r="Z53" s="105">
        <f>X53/'Baseline Given'!M54</f>
        <v>39767.848986259116</v>
      </c>
      <c r="AA53" s="105">
        <f t="shared" si="67"/>
        <v>19.487167620297004</v>
      </c>
      <c r="AC53" s="105">
        <f t="shared" si="68"/>
        <v>2194295.0326495906</v>
      </c>
      <c r="AD53" s="107">
        <f t="shared" si="90"/>
        <v>274720</v>
      </c>
      <c r="AE53" s="106">
        <f>AC53*'Baseline Given'!K54/'Baseline Given'!L54</f>
        <v>18556492.881659646</v>
      </c>
      <c r="AF53" s="105">
        <f>AD53/'Baseline Given'!M54</f>
        <v>39767.848986259116</v>
      </c>
      <c r="AG53" s="105">
        <f t="shared" si="69"/>
        <v>18.596260730645906</v>
      </c>
      <c r="AI53" s="105">
        <f t="shared" si="70"/>
        <v>2022273.2408851185</v>
      </c>
      <c r="AJ53" s="107">
        <f t="shared" si="91"/>
        <v>274720</v>
      </c>
      <c r="AK53" s="105">
        <f>AI53*'Baseline Given'!K54/'Baseline Given'!L54</f>
        <v>17101756.345837794</v>
      </c>
      <c r="AL53" s="105">
        <f>AJ53/'Baseline Given'!M54</f>
        <v>39767.848986259116</v>
      </c>
      <c r="AM53" s="105">
        <f t="shared" si="71"/>
        <v>17.141524194824054</v>
      </c>
      <c r="AO53" s="105">
        <f t="shared" si="72"/>
        <v>1788805.700015988</v>
      </c>
      <c r="AP53" s="107">
        <f t="shared" si="92"/>
        <v>274720</v>
      </c>
      <c r="AQ53" s="105">
        <f>AO53*'Baseline Given'!K54/'Baseline Given'!L54</f>
        <v>15127391.59735393</v>
      </c>
      <c r="AR53" s="105">
        <f>AP53/'Baseline Given'!M54</f>
        <v>39767.848986259116</v>
      </c>
      <c r="AS53" s="105">
        <f t="shared" si="73"/>
        <v>15.167159446340188</v>
      </c>
      <c r="AU53" s="105">
        <f t="shared" si="74"/>
        <v>1500986.2031312317</v>
      </c>
      <c r="AV53" s="107">
        <f t="shared" si="93"/>
        <v>274720</v>
      </c>
      <c r="AW53" s="106">
        <f>AU53*'Baseline Given'!K54/'Baseline Given'!L54</f>
        <v>12693388.710013965</v>
      </c>
      <c r="AX53" s="105">
        <f>AV53/'Baseline Given'!M54</f>
        <v>39767.848986259116</v>
      </c>
      <c r="AY53" s="105">
        <f t="shared" si="75"/>
        <v>12.733156559000223</v>
      </c>
      <c r="BA53" s="105">
        <f t="shared" si="76"/>
        <v>1167560.0000000002</v>
      </c>
      <c r="BB53" s="107">
        <f t="shared" si="94"/>
        <v>274720</v>
      </c>
      <c r="BC53" s="106">
        <f>BA53*'Baseline Given'!K54/'Baseline Given'!L54</f>
        <v>9873703.6298848409</v>
      </c>
      <c r="BD53" s="105">
        <f>BB53/'Baseline Given'!M54</f>
        <v>39767.848986259116</v>
      </c>
      <c r="BE53" s="105">
        <f t="shared" si="77"/>
        <v>9.9134714788711005</v>
      </c>
      <c r="BG53" s="105">
        <f t="shared" si="46"/>
        <v>798658.07708263583</v>
      </c>
      <c r="BH53" s="107">
        <f t="shared" si="95"/>
        <v>274720</v>
      </c>
      <c r="BI53" s="105">
        <f>BG53*'Baseline Given'!K54/'Baseline Given'!L54</f>
        <v>6754011.0612967797</v>
      </c>
      <c r="BJ53" s="105">
        <f>BH53/'Baseline Given'!M54</f>
        <v>39767.848986259116</v>
      </c>
      <c r="BK53" s="105">
        <f t="shared" si="78"/>
        <v>6.7937789102830388</v>
      </c>
      <c r="BM53" s="105">
        <f t="shared" si="79"/>
        <v>405489.33263360255</v>
      </c>
      <c r="BN53" s="107">
        <f t="shared" si="96"/>
        <v>274720</v>
      </c>
      <c r="BO53" s="105">
        <f>BM53*'Baseline Given'!K54/'Baseline Given'!L54</f>
        <v>3429101.2843057169</v>
      </c>
      <c r="BP53" s="105">
        <f>BN53/'Baseline Given'!M54</f>
        <v>39767.848986259116</v>
      </c>
      <c r="BQ53" s="105">
        <f t="shared" si="80"/>
        <v>3.4688691332919759</v>
      </c>
      <c r="BS53" s="105">
        <f t="shared" si="81"/>
        <v>1.4304343300131084E-10</v>
      </c>
      <c r="BT53" s="107">
        <f t="shared" si="97"/>
        <v>274720</v>
      </c>
      <c r="BU53" s="105">
        <f>BS53*'Baseline Given'!K54/'Baseline Given'!L54</f>
        <v>1.2096752746379046E-9</v>
      </c>
      <c r="BV53" s="105">
        <f>BT53/'Baseline Given'!M54</f>
        <v>39767.848986259116</v>
      </c>
      <c r="BW53" s="105">
        <f t="shared" si="82"/>
        <v>3.9767848986260325E-2</v>
      </c>
      <c r="BY53" s="104">
        <v>150</v>
      </c>
      <c r="BZ53" s="104">
        <v>-150</v>
      </c>
    </row>
    <row r="54" spans="1:78" ht="15" customHeight="1" x14ac:dyDescent="0.25">
      <c r="A54" s="18">
        <f>'Baseline Given'!E55</f>
        <v>52</v>
      </c>
      <c r="B54" s="18">
        <f t="shared" si="83"/>
        <v>16</v>
      </c>
      <c r="C54" s="18">
        <f t="shared" si="58"/>
        <v>8</v>
      </c>
      <c r="D54" s="18">
        <f t="shared" si="84"/>
        <v>52</v>
      </c>
      <c r="E54" s="18">
        <v>0</v>
      </c>
      <c r="F54" s="18">
        <v>0</v>
      </c>
      <c r="G54" s="18">
        <f t="shared" si="87"/>
        <v>16</v>
      </c>
      <c r="I54" s="104">
        <f t="shared" si="85"/>
        <v>51</v>
      </c>
      <c r="J54" s="104">
        <f t="shared" si="86"/>
        <v>0.89011791851710798</v>
      </c>
      <c r="K54" s="111">
        <f t="shared" si="59"/>
        <v>58.674520090001295</v>
      </c>
      <c r="L54" s="103">
        <f t="shared" si="60"/>
        <v>24857576.471708816</v>
      </c>
      <c r="M54" s="103">
        <f t="shared" si="61"/>
        <v>847303.95522893372</v>
      </c>
      <c r="N54" s="104">
        <f t="shared" si="62"/>
        <v>681377.77379748004</v>
      </c>
      <c r="O54" s="104">
        <f t="shared" si="63"/>
        <v>533225.65644274652</v>
      </c>
      <c r="Q54" s="105">
        <f t="shared" si="64"/>
        <v>2067219.9378724592</v>
      </c>
      <c r="R54" s="105">
        <f t="shared" si="88"/>
        <v>258560</v>
      </c>
      <c r="S54" s="105">
        <f>Q54*'Baseline Given'!K55/'Baseline Given'!L55</f>
        <v>17650673.25494393</v>
      </c>
      <c r="T54" s="105">
        <f>R54/'Baseline Given'!M55</f>
        <v>37931.585508479395</v>
      </c>
      <c r="U54" s="105">
        <f t="shared" si="65"/>
        <v>17.68860484045241</v>
      </c>
      <c r="W54" s="105">
        <f t="shared" si="66"/>
        <v>2037055.1409506921</v>
      </c>
      <c r="X54" s="105">
        <f t="shared" si="89"/>
        <v>258560</v>
      </c>
      <c r="Y54" s="105">
        <f>W54*'Baseline Given'!K55/'Baseline Given'!L55</f>
        <v>17393115.28323831</v>
      </c>
      <c r="Z54" s="105">
        <f>X54/'Baseline Given'!M55</f>
        <v>37931.585508479395</v>
      </c>
      <c r="AA54" s="105">
        <f t="shared" si="67"/>
        <v>17.43104686874679</v>
      </c>
      <c r="AC54" s="105">
        <f t="shared" si="68"/>
        <v>1943735.3922432358</v>
      </c>
      <c r="AD54" s="107">
        <f t="shared" si="90"/>
        <v>258560</v>
      </c>
      <c r="AE54" s="106">
        <f>AC54*'Baseline Given'!K55/'Baseline Given'!L55</f>
        <v>16596317.437739585</v>
      </c>
      <c r="AF54" s="105">
        <f>AD54/'Baseline Given'!M55</f>
        <v>37931.585508479395</v>
      </c>
      <c r="AG54" s="105">
        <f t="shared" si="69"/>
        <v>16.634249023248064</v>
      </c>
      <c r="AI54" s="105">
        <f t="shared" si="70"/>
        <v>1791356.2272200359</v>
      </c>
      <c r="AJ54" s="107">
        <f t="shared" si="91"/>
        <v>258560</v>
      </c>
      <c r="AK54" s="105">
        <f>AI54*'Baseline Given'!K55/'Baseline Given'!L55</f>
        <v>15295248.885036981</v>
      </c>
      <c r="AL54" s="105">
        <f>AJ54/'Baseline Given'!M55</f>
        <v>37931.585508479395</v>
      </c>
      <c r="AM54" s="105">
        <f t="shared" si="71"/>
        <v>15.333180470545459</v>
      </c>
      <c r="AO54" s="105">
        <f t="shared" si="72"/>
        <v>1584547.6097027436</v>
      </c>
      <c r="AP54" s="107">
        <f t="shared" si="92"/>
        <v>258560</v>
      </c>
      <c r="AQ54" s="105">
        <f>AO54*'Baseline Given'!K55/'Baseline Given'!L55</f>
        <v>13529441.934731914</v>
      </c>
      <c r="AR54" s="105">
        <f>AP54/'Baseline Given'!M55</f>
        <v>37931.585508479395</v>
      </c>
      <c r="AS54" s="105">
        <f t="shared" si="73"/>
        <v>13.567373520240393</v>
      </c>
      <c r="AU54" s="105">
        <f t="shared" si="74"/>
        <v>1329593.314884413</v>
      </c>
      <c r="AV54" s="107">
        <f t="shared" si="93"/>
        <v>258560</v>
      </c>
      <c r="AW54" s="106">
        <f>AU54*'Baseline Given'!K55/'Baseline Given'!L55</f>
        <v>11352549.737467978</v>
      </c>
      <c r="AX54" s="105">
        <f>AV54/'Baseline Given'!M55</f>
        <v>37931.585508479395</v>
      </c>
      <c r="AY54" s="105">
        <f t="shared" si="75"/>
        <v>11.390481322976457</v>
      </c>
      <c r="BA54" s="105">
        <f t="shared" si="76"/>
        <v>1034240.0000000002</v>
      </c>
      <c r="BB54" s="107">
        <f t="shared" si="94"/>
        <v>258560</v>
      </c>
      <c r="BC54" s="106">
        <f>BA54*'Baseline Given'!K55/'Baseline Given'!L55</f>
        <v>8830716.0610984247</v>
      </c>
      <c r="BD54" s="105">
        <f>BB54/'Baseline Given'!M55</f>
        <v>37931.585508479395</v>
      </c>
      <c r="BE54" s="105">
        <f t="shared" si="77"/>
        <v>8.8686476466069042</v>
      </c>
      <c r="BG54" s="105">
        <f t="shared" si="46"/>
        <v>707461.82606627943</v>
      </c>
      <c r="BH54" s="107">
        <f t="shared" si="95"/>
        <v>258560</v>
      </c>
      <c r="BI54" s="105">
        <f>BG54*'Baseline Given'!K55/'Baseline Given'!L55</f>
        <v>6040565.5457703369</v>
      </c>
      <c r="BJ54" s="105">
        <f>BH54/'Baseline Given'!M55</f>
        <v>37931.585508479395</v>
      </c>
      <c r="BK54" s="105">
        <f t="shared" si="78"/>
        <v>6.0784971312788167</v>
      </c>
      <c r="BM54" s="105">
        <f t="shared" si="79"/>
        <v>359187.78254049225</v>
      </c>
      <c r="BN54" s="107">
        <f t="shared" si="96"/>
        <v>258560</v>
      </c>
      <c r="BO54" s="105">
        <f>BM54*'Baseline Given'!K55/'Baseline Given'!L55</f>
        <v>3066875.5030076704</v>
      </c>
      <c r="BP54" s="105">
        <f>BN54/'Baseline Given'!M55</f>
        <v>37931.585508479395</v>
      </c>
      <c r="BQ54" s="105">
        <f t="shared" si="80"/>
        <v>3.1048070885161496</v>
      </c>
      <c r="BS54" s="105">
        <f t="shared" si="81"/>
        <v>1.2670975380046912E-10</v>
      </c>
      <c r="BT54" s="107">
        <f t="shared" si="97"/>
        <v>258560</v>
      </c>
      <c r="BU54" s="105">
        <f>BS54*'Baseline Given'!K55/'Baseline Given'!L55</f>
        <v>1.081893813799147E-9</v>
      </c>
      <c r="BV54" s="105">
        <f>BT54/'Baseline Given'!M55</f>
        <v>37931.585508479395</v>
      </c>
      <c r="BW54" s="105">
        <f t="shared" si="82"/>
        <v>3.7931585508480477E-2</v>
      </c>
      <c r="BY54" s="104">
        <v>150</v>
      </c>
      <c r="BZ54" s="104">
        <v>-150</v>
      </c>
    </row>
    <row r="55" spans="1:78" ht="15" customHeight="1" x14ac:dyDescent="0.25">
      <c r="A55" s="18">
        <f>'Baseline Given'!E56</f>
        <v>53</v>
      </c>
      <c r="B55" s="18">
        <f t="shared" si="83"/>
        <v>15</v>
      </c>
      <c r="C55" s="18">
        <f t="shared" si="58"/>
        <v>7.5</v>
      </c>
      <c r="D55" s="18">
        <f t="shared" si="84"/>
        <v>53</v>
      </c>
      <c r="E55" s="18">
        <v>0</v>
      </c>
      <c r="F55" s="18">
        <v>0</v>
      </c>
      <c r="G55" s="18">
        <f t="shared" si="87"/>
        <v>15</v>
      </c>
      <c r="I55" s="104">
        <f t="shared" si="85"/>
        <v>52</v>
      </c>
      <c r="J55" s="104">
        <f t="shared" si="86"/>
        <v>0.90757121103705141</v>
      </c>
      <c r="K55" s="111">
        <f t="shared" si="59"/>
        <v>59.494811897307514</v>
      </c>
      <c r="L55" s="103">
        <f t="shared" si="60"/>
        <v>24318061.866806202</v>
      </c>
      <c r="M55" s="103">
        <f t="shared" si="61"/>
        <v>817485.12488050188</v>
      </c>
      <c r="N55" s="104">
        <f t="shared" si="62"/>
        <v>666588.9925645967</v>
      </c>
      <c r="O55" s="104">
        <f t="shared" si="63"/>
        <v>503294.0980407098</v>
      </c>
      <c r="Q55" s="105">
        <f t="shared" si="64"/>
        <v>1816892.523520716</v>
      </c>
      <c r="R55" s="105">
        <f t="shared" si="88"/>
        <v>242400</v>
      </c>
      <c r="S55" s="105">
        <f>Q55*'Baseline Given'!K56/'Baseline Given'!L56</f>
        <v>15664554.19471891</v>
      </c>
      <c r="T55" s="105">
        <f>R55/'Baseline Given'!M56</f>
        <v>36042.015358338816</v>
      </c>
      <c r="U55" s="105">
        <f t="shared" si="65"/>
        <v>15.700596210077249</v>
      </c>
      <c r="W55" s="105">
        <f t="shared" si="66"/>
        <v>1790380.4949761941</v>
      </c>
      <c r="X55" s="105">
        <f t="shared" si="89"/>
        <v>242400</v>
      </c>
      <c r="Y55" s="105">
        <f>W55*'Baseline Given'!K56/'Baseline Given'!L56</f>
        <v>15435977.5989262</v>
      </c>
      <c r="Z55" s="105">
        <f>X55/'Baseline Given'!M56</f>
        <v>36042.015358338816</v>
      </c>
      <c r="AA55" s="105">
        <f t="shared" si="67"/>
        <v>15.472019614284537</v>
      </c>
      <c r="AC55" s="105">
        <f t="shared" si="68"/>
        <v>1708361.1845887816</v>
      </c>
      <c r="AD55" s="107">
        <f t="shared" si="90"/>
        <v>242400</v>
      </c>
      <c r="AE55" s="106">
        <f>AC55*'Baseline Given'!K56/'Baseline Given'!L56</f>
        <v>14728838.395068692</v>
      </c>
      <c r="AF55" s="105">
        <f>AD55/'Baseline Given'!M56</f>
        <v>36042.015358338816</v>
      </c>
      <c r="AG55" s="105">
        <f t="shared" si="69"/>
        <v>14.764880410427031</v>
      </c>
      <c r="AI55" s="105">
        <f t="shared" si="70"/>
        <v>1574434.1840801095</v>
      </c>
      <c r="AJ55" s="107">
        <f t="shared" si="91"/>
        <v>242400</v>
      </c>
      <c r="AK55" s="105">
        <f>AI55*'Baseline Given'!K56/'Baseline Given'!L56</f>
        <v>13574170.88972887</v>
      </c>
      <c r="AL55" s="105">
        <f>AJ55/'Baseline Given'!M56</f>
        <v>36042.015358338816</v>
      </c>
      <c r="AM55" s="105">
        <f t="shared" si="71"/>
        <v>13.610212905087208</v>
      </c>
      <c r="AO55" s="105">
        <f t="shared" si="72"/>
        <v>1392668.7975903021</v>
      </c>
      <c r="AP55" s="107">
        <f t="shared" si="92"/>
        <v>242400</v>
      </c>
      <c r="AQ55" s="105">
        <f>AO55*'Baseline Given'!K56/'Baseline Given'!L56</f>
        <v>12007059.070766535</v>
      </c>
      <c r="AR55" s="105">
        <f>AP55/'Baseline Given'!M56</f>
        <v>36042.015358338816</v>
      </c>
      <c r="AS55" s="105">
        <f t="shared" si="73"/>
        <v>12.043101086124873</v>
      </c>
      <c r="AU55" s="105">
        <f t="shared" si="74"/>
        <v>1168587.8744101285</v>
      </c>
      <c r="AV55" s="107">
        <f t="shared" si="93"/>
        <v>242400</v>
      </c>
      <c r="AW55" s="106">
        <f>AU55*'Baseline Given'!K56/'Baseline Given'!L56</f>
        <v>10075118.837804012</v>
      </c>
      <c r="AX55" s="105">
        <f>AV55/'Baseline Given'!M56</f>
        <v>36042.015358338816</v>
      </c>
      <c r="AY55" s="105">
        <f t="shared" si="75"/>
        <v>10.11116085316235</v>
      </c>
      <c r="BA55" s="105">
        <f t="shared" si="76"/>
        <v>909000.00000000023</v>
      </c>
      <c r="BB55" s="107">
        <f t="shared" si="94"/>
        <v>242400</v>
      </c>
      <c r="BC55" s="106">
        <f>BA55*'Baseline Given'!K56/'Baseline Given'!L56</f>
        <v>7837051.2172109457</v>
      </c>
      <c r="BD55" s="105">
        <f>BB55/'Baseline Given'!M56</f>
        <v>36042.015358338816</v>
      </c>
      <c r="BE55" s="105">
        <f t="shared" si="77"/>
        <v>7.8730932325692846</v>
      </c>
      <c r="BG55" s="105">
        <f t="shared" si="46"/>
        <v>621792.62056606589</v>
      </c>
      <c r="BH55" s="107">
        <f t="shared" si="95"/>
        <v>242400</v>
      </c>
      <c r="BI55" s="105">
        <f>BG55*'Baseline Given'!K56/'Baseline Given'!L56</f>
        <v>5360858.7611221885</v>
      </c>
      <c r="BJ55" s="105">
        <f>BH55/'Baseline Given'!M56</f>
        <v>36042.015358338816</v>
      </c>
      <c r="BK55" s="105">
        <f t="shared" si="78"/>
        <v>5.3969007764805275</v>
      </c>
      <c r="BM55" s="105">
        <f t="shared" si="79"/>
        <v>315692.38699847949</v>
      </c>
      <c r="BN55" s="107">
        <f t="shared" si="96"/>
        <v>242400</v>
      </c>
      <c r="BO55" s="105">
        <f>BM55*'Baseline Given'!K56/'Baseline Given'!L56</f>
        <v>2721779.3243021588</v>
      </c>
      <c r="BP55" s="105">
        <f>BN55/'Baseline Given'!M56</f>
        <v>36042.015358338816</v>
      </c>
      <c r="BQ55" s="105">
        <f t="shared" si="80"/>
        <v>2.7578213396604974</v>
      </c>
      <c r="BS55" s="105">
        <f t="shared" si="81"/>
        <v>1.1136599455119356E-10</v>
      </c>
      <c r="BT55" s="107">
        <f t="shared" si="97"/>
        <v>242400</v>
      </c>
      <c r="BU55" s="105">
        <f>BS55*'Baseline Given'!K56/'Baseline Given'!L56</f>
        <v>9.6015511898057072E-10</v>
      </c>
      <c r="BV55" s="105">
        <f>BT55/'Baseline Given'!M56</f>
        <v>36042.015358338816</v>
      </c>
      <c r="BW55" s="105">
        <f t="shared" si="82"/>
        <v>3.6042015358339778E-2</v>
      </c>
      <c r="BY55" s="104">
        <v>150</v>
      </c>
      <c r="BZ55" s="104">
        <v>-150</v>
      </c>
    </row>
    <row r="56" spans="1:78" ht="15" customHeight="1" x14ac:dyDescent="0.25">
      <c r="A56" s="18">
        <f>'Baseline Given'!E57</f>
        <v>54</v>
      </c>
      <c r="B56" s="18">
        <f t="shared" si="83"/>
        <v>14</v>
      </c>
      <c r="C56" s="18">
        <f t="shared" si="58"/>
        <v>7</v>
      </c>
      <c r="D56" s="18">
        <f t="shared" si="84"/>
        <v>54</v>
      </c>
      <c r="E56" s="18">
        <v>0</v>
      </c>
      <c r="F56" s="18">
        <v>0</v>
      </c>
      <c r="G56" s="18">
        <f t="shared" si="87"/>
        <v>14</v>
      </c>
      <c r="I56" s="104">
        <f t="shared" si="85"/>
        <v>53</v>
      </c>
      <c r="J56" s="104">
        <f t="shared" si="86"/>
        <v>0.92502450355699462</v>
      </c>
      <c r="K56" s="111">
        <f t="shared" si="59"/>
        <v>60.296981008570611</v>
      </c>
      <c r="L56" s="103">
        <f t="shared" si="60"/>
        <v>23771139.744684611</v>
      </c>
      <c r="M56" s="103">
        <f t="shared" si="61"/>
        <v>788468.65455190139</v>
      </c>
      <c r="N56" s="104">
        <f t="shared" si="62"/>
        <v>651597.16186718573</v>
      </c>
      <c r="O56" s="104">
        <f t="shared" si="63"/>
        <v>474512.281593817</v>
      </c>
      <c r="Q56" s="105">
        <f t="shared" si="64"/>
        <v>1582715.2649336015</v>
      </c>
      <c r="R56" s="105">
        <f t="shared" si="88"/>
        <v>226240</v>
      </c>
      <c r="S56" s="105">
        <f>Q56*'Baseline Given'!K57/'Baseline Given'!L57</f>
        <v>13779932.751073224</v>
      </c>
      <c r="T56" s="105">
        <f>R56/'Baseline Given'!M57</f>
        <v>34097.46770520899</v>
      </c>
      <c r="U56" s="105">
        <f t="shared" si="65"/>
        <v>13.814030218778433</v>
      </c>
      <c r="W56" s="105">
        <f t="shared" si="66"/>
        <v>1559620.3422903735</v>
      </c>
      <c r="X56" s="105">
        <f t="shared" si="89"/>
        <v>226240</v>
      </c>
      <c r="Y56" s="105">
        <f>W56*'Baseline Given'!K57/'Baseline Given'!L57</f>
        <v>13578856.481723998</v>
      </c>
      <c r="Z56" s="105">
        <f>X56/'Baseline Given'!M57</f>
        <v>34097.46770520899</v>
      </c>
      <c r="AA56" s="105">
        <f t="shared" si="67"/>
        <v>13.612953949429206</v>
      </c>
      <c r="AC56" s="105">
        <f t="shared" si="68"/>
        <v>1488172.4096862276</v>
      </c>
      <c r="AD56" s="107">
        <f t="shared" si="90"/>
        <v>226240</v>
      </c>
      <c r="AE56" s="106">
        <f>AC56*'Baseline Given'!K57/'Baseline Given'!L57</f>
        <v>12956794.049963949</v>
      </c>
      <c r="AF56" s="105">
        <f>AD56/'Baseline Given'!M57</f>
        <v>34097.46770520899</v>
      </c>
      <c r="AG56" s="105">
        <f t="shared" si="69"/>
        <v>12.990891517669159</v>
      </c>
      <c r="AI56" s="105">
        <f t="shared" si="70"/>
        <v>1371507.1114653398</v>
      </c>
      <c r="AJ56" s="107">
        <f t="shared" si="91"/>
        <v>226240</v>
      </c>
      <c r="AK56" s="105">
        <f>AI56*'Baseline Given'!K57/'Baseline Given'!L57</f>
        <v>11941045.987449888</v>
      </c>
      <c r="AL56" s="105">
        <f>AJ56/'Baseline Given'!M57</f>
        <v>34097.46770520899</v>
      </c>
      <c r="AM56" s="105">
        <f t="shared" si="71"/>
        <v>11.975143455155097</v>
      </c>
      <c r="AO56" s="105">
        <f t="shared" si="72"/>
        <v>1213169.2636786632</v>
      </c>
      <c r="AP56" s="107">
        <f t="shared" si="92"/>
        <v>226240</v>
      </c>
      <c r="AQ56" s="105">
        <f>AO56*'Baseline Given'!K57/'Baseline Given'!L57</f>
        <v>10562475.285067989</v>
      </c>
      <c r="AR56" s="105">
        <f>AP56/'Baseline Given'!M57</f>
        <v>34097.46770520899</v>
      </c>
      <c r="AS56" s="105">
        <f t="shared" si="73"/>
        <v>10.596572752773197</v>
      </c>
      <c r="AU56" s="105">
        <f t="shared" si="74"/>
        <v>1017969.8817083787</v>
      </c>
      <c r="AV56" s="107">
        <f t="shared" si="93"/>
        <v>226240</v>
      </c>
      <c r="AW56" s="106">
        <f>AU56*'Baseline Given'!K57/'Baseline Given'!L57</f>
        <v>8862969.1160196848</v>
      </c>
      <c r="AX56" s="105">
        <f>AV56/'Baseline Given'!M57</f>
        <v>34097.46770520899</v>
      </c>
      <c r="AY56" s="105">
        <f t="shared" si="75"/>
        <v>8.897066583724893</v>
      </c>
      <c r="BA56" s="105">
        <f t="shared" si="76"/>
        <v>791840.00000000023</v>
      </c>
      <c r="BB56" s="107">
        <f t="shared" si="94"/>
        <v>226240</v>
      </c>
      <c r="BC56" s="106">
        <f>BA56*'Baseline Given'!K57/'Baseline Given'!L57</f>
        <v>6894166.115259897</v>
      </c>
      <c r="BD56" s="105">
        <f>BB56/'Baseline Given'!M57</f>
        <v>34097.46770520899</v>
      </c>
      <c r="BE56" s="105">
        <f t="shared" si="77"/>
        <v>6.9282635829651058</v>
      </c>
      <c r="BG56" s="105">
        <f t="shared" si="46"/>
        <v>541650.4605819952</v>
      </c>
      <c r="BH56" s="107">
        <f t="shared" si="95"/>
        <v>226240</v>
      </c>
      <c r="BI56" s="105">
        <f>BG56*'Baseline Given'!K57/'Baseline Given'!L57</f>
        <v>4715887.3657043166</v>
      </c>
      <c r="BJ56" s="105">
        <f>BH56/'Baseline Given'!M57</f>
        <v>34097.46770520899</v>
      </c>
      <c r="BK56" s="105">
        <f t="shared" si="78"/>
        <v>4.7499848334095258</v>
      </c>
      <c r="BM56" s="105">
        <f t="shared" si="79"/>
        <v>275003.14600756438</v>
      </c>
      <c r="BN56" s="107">
        <f t="shared" si="96"/>
        <v>226240</v>
      </c>
      <c r="BO56" s="105">
        <f>BM56*'Baseline Given'!K57/'Baseline Given'!L57</f>
        <v>2394318.7648959635</v>
      </c>
      <c r="BP56" s="105">
        <f>BN56/'Baseline Given'!M57</f>
        <v>34097.46770520899</v>
      </c>
      <c r="BQ56" s="105">
        <f t="shared" si="80"/>
        <v>2.4284162326011725</v>
      </c>
      <c r="BS56" s="105">
        <f t="shared" si="81"/>
        <v>9.7012155253484167E-11</v>
      </c>
      <c r="BT56" s="107">
        <f t="shared" si="97"/>
        <v>226240</v>
      </c>
      <c r="BU56" s="105">
        <f>BS56*'Baseline Given'!K57/'Baseline Given'!L57</f>
        <v>8.446376963994022E-10</v>
      </c>
      <c r="BV56" s="105">
        <f>BT56/'Baseline Given'!M57</f>
        <v>34097.46770520899</v>
      </c>
      <c r="BW56" s="105">
        <f t="shared" si="82"/>
        <v>3.4097467705209834E-2</v>
      </c>
      <c r="BY56" s="104">
        <v>150</v>
      </c>
      <c r="BZ56" s="104">
        <v>-150</v>
      </c>
    </row>
    <row r="57" spans="1:78" ht="15" customHeight="1" x14ac:dyDescent="0.25">
      <c r="A57" s="18">
        <f>'Baseline Given'!E58</f>
        <v>55</v>
      </c>
      <c r="B57" s="18">
        <f t="shared" si="83"/>
        <v>13</v>
      </c>
      <c r="C57" s="18">
        <f t="shared" si="58"/>
        <v>6.5</v>
      </c>
      <c r="D57" s="18">
        <f t="shared" si="84"/>
        <v>55</v>
      </c>
      <c r="E57" s="18">
        <v>0</v>
      </c>
      <c r="F57" s="18">
        <v>0</v>
      </c>
      <c r="G57" s="18">
        <f t="shared" si="87"/>
        <v>13</v>
      </c>
      <c r="I57" s="104">
        <f t="shared" si="85"/>
        <v>54</v>
      </c>
      <c r="J57" s="104">
        <f t="shared" si="86"/>
        <v>0.94247779607693793</v>
      </c>
      <c r="K57" s="111">
        <f t="shared" si="59"/>
        <v>61.080783075308531</v>
      </c>
      <c r="L57" s="103">
        <f t="shared" si="60"/>
        <v>23216976.703120582</v>
      </c>
      <c r="M57" s="103">
        <f t="shared" si="61"/>
        <v>760205.60098241037</v>
      </c>
      <c r="N57" s="104">
        <f t="shared" si="62"/>
        <v>636406.8483621066</v>
      </c>
      <c r="O57" s="104">
        <f t="shared" si="63"/>
        <v>446837.64096759725</v>
      </c>
      <c r="Q57" s="105">
        <f t="shared" si="64"/>
        <v>1364688.1621111156</v>
      </c>
      <c r="R57" s="105">
        <f t="shared" si="88"/>
        <v>210080</v>
      </c>
      <c r="S57" s="105">
        <f>Q57*'Baseline Given'!K58/'Baseline Given'!L58</f>
        <v>11999837.029694876</v>
      </c>
      <c r="T57" s="105">
        <f>R57/'Baseline Given'!M58</f>
        <v>32096.209930933055</v>
      </c>
      <c r="U57" s="105">
        <f t="shared" si="65"/>
        <v>12.031933239625808</v>
      </c>
      <c r="W57" s="105">
        <f t="shared" si="66"/>
        <v>1344774.6828932303</v>
      </c>
      <c r="X57" s="105">
        <f t="shared" si="89"/>
        <v>210080</v>
      </c>
      <c r="Y57" s="105">
        <f>W57*'Baseline Given'!K58/'Baseline Given'!L58</f>
        <v>11824735.851313449</v>
      </c>
      <c r="Z57" s="105">
        <f>X57/'Baseline Given'!M58</f>
        <v>32096.209930933055</v>
      </c>
      <c r="AA57" s="105">
        <f t="shared" si="67"/>
        <v>11.856832061244381</v>
      </c>
      <c r="AC57" s="105">
        <f t="shared" si="68"/>
        <v>1283169.0675355736</v>
      </c>
      <c r="AD57" s="107">
        <f t="shared" si="90"/>
        <v>210080</v>
      </c>
      <c r="AE57" s="106">
        <f>AC57*'Baseline Given'!K58/'Baseline Given'!L58</f>
        <v>11283031.625446679</v>
      </c>
      <c r="AF57" s="105">
        <f>AD57/'Baseline Given'!M58</f>
        <v>32096.209930933055</v>
      </c>
      <c r="AG57" s="105">
        <f t="shared" si="69"/>
        <v>11.315127835377611</v>
      </c>
      <c r="AI57" s="105">
        <f t="shared" si="70"/>
        <v>1182575.0093757268</v>
      </c>
      <c r="AJ57" s="107">
        <f t="shared" si="91"/>
        <v>210080</v>
      </c>
      <c r="AK57" s="105">
        <f>AI57*'Baseline Given'!K58/'Baseline Given'!L58</f>
        <v>10398498.193130203</v>
      </c>
      <c r="AL57" s="105">
        <f>AJ57/'Baseline Given'!M58</f>
        <v>32096.209930933055</v>
      </c>
      <c r="AM57" s="105">
        <f t="shared" si="71"/>
        <v>10.430594403061134</v>
      </c>
      <c r="AO57" s="105">
        <f t="shared" si="72"/>
        <v>1046049.0079678269</v>
      </c>
      <c r="AP57" s="107">
        <f t="shared" si="92"/>
        <v>210080</v>
      </c>
      <c r="AQ57" s="105">
        <f>AO57*'Baseline Given'!K58/'Baseline Given'!L58</f>
        <v>9198011.6551094372</v>
      </c>
      <c r="AR57" s="105">
        <f>AP57/'Baseline Given'!M58</f>
        <v>32096.209930933055</v>
      </c>
      <c r="AS57" s="105">
        <f t="shared" si="73"/>
        <v>9.2301078650403685</v>
      </c>
      <c r="AU57" s="105">
        <f t="shared" si="74"/>
        <v>877739.33677916322</v>
      </c>
      <c r="AV57" s="107">
        <f t="shared" si="93"/>
        <v>210080</v>
      </c>
      <c r="AW57" s="106">
        <f>AU57*'Baseline Given'!K58/'Baseline Given'!L58</f>
        <v>7718048.1873666523</v>
      </c>
      <c r="AX57" s="105">
        <f>AV57/'Baseline Given'!M58</f>
        <v>32096.209930933055</v>
      </c>
      <c r="AY57" s="105">
        <f t="shared" si="75"/>
        <v>7.7501443972975856</v>
      </c>
      <c r="BA57" s="105">
        <f t="shared" si="76"/>
        <v>682760.00000000012</v>
      </c>
      <c r="BB57" s="107">
        <f t="shared" si="94"/>
        <v>210080</v>
      </c>
      <c r="BC57" s="106">
        <f>BA57*'Baseline Given'!K58/'Baseline Given'!L58</f>
        <v>6003575.730971559</v>
      </c>
      <c r="BD57" s="105">
        <f>BB57/'Baseline Given'!M58</f>
        <v>32096.209930933055</v>
      </c>
      <c r="BE57" s="105">
        <f t="shared" si="77"/>
        <v>6.0356719409024917</v>
      </c>
      <c r="BG57" s="105">
        <f t="shared" si="46"/>
        <v>467035.3461140673</v>
      </c>
      <c r="BH57" s="107">
        <f t="shared" si="95"/>
        <v>210080</v>
      </c>
      <c r="BI57" s="105">
        <f>BG57*'Baseline Given'!K58/'Baseline Given'!L58</f>
        <v>4106687.6639467985</v>
      </c>
      <c r="BJ57" s="105">
        <f>BH57/'Baseline Given'!M58</f>
        <v>32096.209930933055</v>
      </c>
      <c r="BK57" s="105">
        <f t="shared" si="78"/>
        <v>4.1387838738777321</v>
      </c>
      <c r="BM57" s="105">
        <f t="shared" si="79"/>
        <v>237120.05956774682</v>
      </c>
      <c r="BN57" s="107">
        <f t="shared" si="96"/>
        <v>210080</v>
      </c>
      <c r="BO57" s="105">
        <f>BM57*'Baseline Given'!K58/'Baseline Given'!L58</f>
        <v>2085019.9703372414</v>
      </c>
      <c r="BP57" s="105">
        <f>BN57/'Baseline Given'!M58</f>
        <v>32096.209930933055</v>
      </c>
      <c r="BQ57" s="105">
        <f t="shared" si="80"/>
        <v>2.1171161802681744</v>
      </c>
      <c r="BS57" s="105">
        <f t="shared" si="81"/>
        <v>8.364823590734094E-11</v>
      </c>
      <c r="BT57" s="107">
        <f t="shared" si="97"/>
        <v>210080</v>
      </c>
      <c r="BU57" s="105">
        <f>BS57*'Baseline Given'!K58/'Baseline Given'!L58</f>
        <v>7.3552715307266936E-10</v>
      </c>
      <c r="BV57" s="105">
        <f>BT57/'Baseline Given'!M58</f>
        <v>32096.209930933055</v>
      </c>
      <c r="BW57" s="105">
        <f t="shared" si="82"/>
        <v>3.2096209930933789E-2</v>
      </c>
      <c r="BY57" s="104">
        <v>150</v>
      </c>
      <c r="BZ57" s="104">
        <v>-150</v>
      </c>
    </row>
    <row r="58" spans="1:78" ht="15" customHeight="1" x14ac:dyDescent="0.25">
      <c r="A58" s="18">
        <f>'Baseline Given'!E59</f>
        <v>56</v>
      </c>
      <c r="B58" s="18">
        <f t="shared" si="83"/>
        <v>12</v>
      </c>
      <c r="C58" s="18">
        <f t="shared" si="58"/>
        <v>6</v>
      </c>
      <c r="D58" s="18">
        <f t="shared" si="84"/>
        <v>56</v>
      </c>
      <c r="E58" s="18">
        <v>0</v>
      </c>
      <c r="F58" s="18">
        <v>0</v>
      </c>
      <c r="G58" s="18">
        <f t="shared" si="87"/>
        <v>12</v>
      </c>
      <c r="I58" s="104">
        <f t="shared" si="85"/>
        <v>55</v>
      </c>
      <c r="J58" s="104">
        <f t="shared" si="86"/>
        <v>0.95993108859688125</v>
      </c>
      <c r="K58" s="111">
        <f t="shared" si="59"/>
        <v>61.845979343818883</v>
      </c>
      <c r="L58" s="103">
        <f t="shared" si="60"/>
        <v>22655741.545544878</v>
      </c>
      <c r="M58" s="103">
        <f t="shared" si="61"/>
        <v>732650.42565161281</v>
      </c>
      <c r="N58" s="104">
        <f t="shared" si="62"/>
        <v>621022.67916600476</v>
      </c>
      <c r="O58" s="104">
        <f t="shared" si="63"/>
        <v>420231.02023632918</v>
      </c>
      <c r="Q58" s="105">
        <f t="shared" si="64"/>
        <v>1162811.2150532582</v>
      </c>
      <c r="R58" s="105">
        <f t="shared" si="88"/>
        <v>193920</v>
      </c>
      <c r="S58" s="105">
        <f>Q58*'Baseline Given'!K59/'Baseline Given'!L59</f>
        <v>10327416.801232539</v>
      </c>
      <c r="T58" s="105">
        <f>R58/'Baseline Given'!M59</f>
        <v>30036.444945702002</v>
      </c>
      <c r="U58" s="105">
        <f t="shared" si="65"/>
        <v>10.357453246178242</v>
      </c>
      <c r="W58" s="105">
        <f t="shared" si="66"/>
        <v>1145843.5167847644</v>
      </c>
      <c r="X58" s="105">
        <f t="shared" si="89"/>
        <v>193920</v>
      </c>
      <c r="Y58" s="105">
        <f>W58*'Baseline Given'!K59/'Baseline Given'!L59</f>
        <v>10176719.517006343</v>
      </c>
      <c r="Z58" s="105">
        <f>X58/'Baseline Given'!M59</f>
        <v>30036.444945702002</v>
      </c>
      <c r="AA58" s="105">
        <f t="shared" si="67"/>
        <v>10.206755961952046</v>
      </c>
      <c r="AC58" s="105">
        <f t="shared" si="68"/>
        <v>1093351.1581368202</v>
      </c>
      <c r="AD58" s="107">
        <f t="shared" si="90"/>
        <v>193920</v>
      </c>
      <c r="AE58" s="106">
        <f>AC58*'Baseline Given'!K59/'Baseline Given'!L59</f>
        <v>9710512.7418917157</v>
      </c>
      <c r="AF58" s="105">
        <f>AD58/'Baseline Given'!M59</f>
        <v>30036.444945702002</v>
      </c>
      <c r="AG58" s="105">
        <f t="shared" si="69"/>
        <v>9.7405491868374181</v>
      </c>
      <c r="AI58" s="105">
        <f t="shared" si="70"/>
        <v>1007637.8778112701</v>
      </c>
      <c r="AJ58" s="107">
        <f t="shared" si="91"/>
        <v>193920</v>
      </c>
      <c r="AK58" s="105">
        <f>AI58*'Baseline Given'!K59/'Baseline Given'!L59</f>
        <v>8949256.9508712459</v>
      </c>
      <c r="AL58" s="105">
        <f>AJ58/'Baseline Given'!M59</f>
        <v>30036.444945702002</v>
      </c>
      <c r="AM58" s="105">
        <f t="shared" si="71"/>
        <v>8.9792933958169474</v>
      </c>
      <c r="AO58" s="105">
        <f t="shared" si="72"/>
        <v>891308.03045779327</v>
      </c>
      <c r="AP58" s="107">
        <f t="shared" si="92"/>
        <v>193920</v>
      </c>
      <c r="AQ58" s="105">
        <f>AO58*'Baseline Given'!K59/'Baseline Given'!L59</f>
        <v>7916082.5159410778</v>
      </c>
      <c r="AR58" s="105">
        <f>AP58/'Baseline Given'!M59</f>
        <v>30036.444945702002</v>
      </c>
      <c r="AS58" s="105">
        <f t="shared" si="73"/>
        <v>7.9461189608867802</v>
      </c>
      <c r="AU58" s="105">
        <f t="shared" si="74"/>
        <v>747896.23962248233</v>
      </c>
      <c r="AV58" s="107">
        <f t="shared" si="93"/>
        <v>193920</v>
      </c>
      <c r="AW58" s="106">
        <f>AU58*'Baseline Given'!K59/'Baseline Given'!L59</f>
        <v>6642381.9194950741</v>
      </c>
      <c r="AX58" s="105">
        <f>AV58/'Baseline Given'!M59</f>
        <v>30036.444945702002</v>
      </c>
      <c r="AY58" s="105">
        <f t="shared" si="75"/>
        <v>6.6724183644407766</v>
      </c>
      <c r="BA58" s="105">
        <f t="shared" si="76"/>
        <v>581760.00000000012</v>
      </c>
      <c r="BB58" s="107">
        <f t="shared" si="94"/>
        <v>193920</v>
      </c>
      <c r="BC58" s="106">
        <f>BA58*'Baseline Given'!K59/'Baseline Given'!L59</f>
        <v>5166855.9096326446</v>
      </c>
      <c r="BD58" s="105">
        <f>BB58/'Baseline Given'!M59</f>
        <v>30036.444945702002</v>
      </c>
      <c r="BE58" s="105">
        <f t="shared" si="77"/>
        <v>5.1968923545783472</v>
      </c>
      <c r="BG58" s="105">
        <f t="shared" si="46"/>
        <v>397947.2771622822</v>
      </c>
      <c r="BH58" s="107">
        <f t="shared" si="95"/>
        <v>193920</v>
      </c>
      <c r="BI58" s="105">
        <f>BG58*'Baseline Given'!K59/'Baseline Given'!L59</f>
        <v>3534337.597511271</v>
      </c>
      <c r="BJ58" s="105">
        <f>BH58/'Baseline Given'!M59</f>
        <v>30036.444945702002</v>
      </c>
      <c r="BK58" s="105">
        <f t="shared" si="78"/>
        <v>3.564374042456973</v>
      </c>
      <c r="BM58" s="105">
        <f t="shared" si="79"/>
        <v>202043.12767902689</v>
      </c>
      <c r="BN58" s="107">
        <f t="shared" si="96"/>
        <v>193920</v>
      </c>
      <c r="BO58" s="105">
        <f>BM58*'Baseline Given'!K59/'Baseline Given'!L59</f>
        <v>1794430.2259506374</v>
      </c>
      <c r="BP58" s="105">
        <f>BN58/'Baseline Given'!M59</f>
        <v>30036.444945702002</v>
      </c>
      <c r="BQ58" s="105">
        <f t="shared" si="80"/>
        <v>1.8244666708963395</v>
      </c>
      <c r="BS58" s="105">
        <f t="shared" si="81"/>
        <v>7.1274236512763878E-11</v>
      </c>
      <c r="BT58" s="107">
        <f t="shared" si="97"/>
        <v>193920</v>
      </c>
      <c r="BU58" s="105">
        <f>BS58*'Baseline Given'!K59/'Baseline Given'!L59</f>
        <v>6.3301655344219061E-10</v>
      </c>
      <c r="BV58" s="105">
        <f>BT58/'Baseline Given'!M59</f>
        <v>30036.444945702002</v>
      </c>
      <c r="BW58" s="105">
        <f t="shared" si="82"/>
        <v>3.0036444945702633E-2</v>
      </c>
      <c r="BY58" s="104">
        <v>150</v>
      </c>
      <c r="BZ58" s="104">
        <v>-150</v>
      </c>
    </row>
    <row r="59" spans="1:78" ht="15" customHeight="1" x14ac:dyDescent="0.25">
      <c r="A59" s="18">
        <f>'Baseline Given'!E60</f>
        <v>57</v>
      </c>
      <c r="B59" s="18">
        <f t="shared" si="83"/>
        <v>11</v>
      </c>
      <c r="C59" s="18">
        <f t="shared" si="58"/>
        <v>5.5</v>
      </c>
      <c r="D59" s="18">
        <f t="shared" si="84"/>
        <v>57</v>
      </c>
      <c r="E59" s="18">
        <v>0</v>
      </c>
      <c r="F59" s="18">
        <v>0</v>
      </c>
      <c r="G59" s="18">
        <f t="shared" si="87"/>
        <v>11</v>
      </c>
      <c r="I59" s="104">
        <f t="shared" si="85"/>
        <v>56</v>
      </c>
      <c r="J59" s="104">
        <f t="shared" si="86"/>
        <v>0.97738438111682457</v>
      </c>
      <c r="K59" s="111">
        <f t="shared" si="59"/>
        <v>62.592336727905646</v>
      </c>
      <c r="L59" s="103">
        <f t="shared" si="60"/>
        <v>22087605.229623303</v>
      </c>
      <c r="M59" s="103">
        <f t="shared" si="61"/>
        <v>705760.68523020798</v>
      </c>
      <c r="N59" s="104">
        <f t="shared" si="62"/>
        <v>605449.34044584702</v>
      </c>
      <c r="O59" s="104">
        <f t="shared" si="63"/>
        <v>394656.36672938382</v>
      </c>
      <c r="Q59" s="105">
        <f t="shared" si="64"/>
        <v>977084.42376002949</v>
      </c>
      <c r="R59" s="105">
        <f t="shared" si="88"/>
        <v>177760</v>
      </c>
      <c r="S59" s="105">
        <f>Q59*'Baseline Given'!K60/'Baseline Given'!L60</f>
        <v>8765949.6737005729</v>
      </c>
      <c r="T59" s="105">
        <f>R59/'Baseline Given'!M60</f>
        <v>27916.308368970287</v>
      </c>
      <c r="U59" s="105">
        <f t="shared" si="65"/>
        <v>8.7938659820695424</v>
      </c>
      <c r="W59" s="105">
        <f t="shared" si="66"/>
        <v>962826.84396497556</v>
      </c>
      <c r="X59" s="105">
        <f t="shared" si="89"/>
        <v>177760</v>
      </c>
      <c r="Y59" s="105">
        <f>W59*'Baseline Given'!K60/'Baseline Given'!L60</f>
        <v>8638037.2600820456</v>
      </c>
      <c r="Z59" s="105">
        <f>X59/'Baseline Given'!M60</f>
        <v>27916.308368970287</v>
      </c>
      <c r="AA59" s="105">
        <f t="shared" si="67"/>
        <v>8.6659535684510161</v>
      </c>
      <c r="AC59" s="105">
        <f t="shared" si="68"/>
        <v>918718.68148996693</v>
      </c>
      <c r="AD59" s="107">
        <f t="shared" si="90"/>
        <v>177760</v>
      </c>
      <c r="AE59" s="106">
        <f>AC59*'Baseline Given'!K60/'Baseline Given'!L60</f>
        <v>8242319.2207263252</v>
      </c>
      <c r="AF59" s="105">
        <f>AD59/'Baseline Given'!M60</f>
        <v>27916.308368970287</v>
      </c>
      <c r="AG59" s="105">
        <f t="shared" si="69"/>
        <v>8.2702355290952951</v>
      </c>
      <c r="AI59" s="105">
        <f t="shared" si="70"/>
        <v>846695.71677197004</v>
      </c>
      <c r="AJ59" s="107">
        <f t="shared" si="91"/>
        <v>177760</v>
      </c>
      <c r="AK59" s="105">
        <f>AI59*'Baseline Given'!K60/'Baseline Given'!L60</f>
        <v>7596162.4826636054</v>
      </c>
      <c r="AL59" s="105">
        <f>AJ59/'Baseline Given'!M60</f>
        <v>27916.308368970287</v>
      </c>
      <c r="AM59" s="105">
        <f t="shared" si="71"/>
        <v>7.6240787910325762</v>
      </c>
      <c r="AO59" s="105">
        <f t="shared" si="72"/>
        <v>748946.33114856237</v>
      </c>
      <c r="AP59" s="107">
        <f t="shared" si="92"/>
        <v>177760</v>
      </c>
      <c r="AQ59" s="105">
        <f>AO59*'Baseline Given'!K60/'Baseline Given'!L60</f>
        <v>6719200.1914088354</v>
      </c>
      <c r="AR59" s="105">
        <f>AP59/'Baseline Given'!M60</f>
        <v>27916.308368970287</v>
      </c>
      <c r="AS59" s="105">
        <f t="shared" si="73"/>
        <v>6.7471164997778059</v>
      </c>
      <c r="AU59" s="105">
        <f t="shared" si="74"/>
        <v>628440.59023833578</v>
      </c>
      <c r="AV59" s="107">
        <f t="shared" si="93"/>
        <v>177760</v>
      </c>
      <c r="AW59" s="106">
        <f>AU59*'Baseline Given'!K60/'Baseline Given'!L60</f>
        <v>5638078.4024174633</v>
      </c>
      <c r="AX59" s="105">
        <f>AV59/'Baseline Given'!M60</f>
        <v>27916.308368970287</v>
      </c>
      <c r="AY59" s="105">
        <f t="shared" si="75"/>
        <v>5.6659947107864337</v>
      </c>
      <c r="BA59" s="105">
        <f t="shared" si="76"/>
        <v>488840.00000000012</v>
      </c>
      <c r="BB59" s="107">
        <f t="shared" si="94"/>
        <v>177760</v>
      </c>
      <c r="BC59" s="106">
        <f>BA59*'Baseline Given'!K60/'Baseline Given'!L60</f>
        <v>4385646.4541739691</v>
      </c>
      <c r="BD59" s="105">
        <f>BB59/'Baseline Given'!M60</f>
        <v>27916.308368970287</v>
      </c>
      <c r="BE59" s="105">
        <f t="shared" si="77"/>
        <v>4.4135627625429397</v>
      </c>
      <c r="BG59" s="105">
        <f t="shared" si="46"/>
        <v>334386.2537266399</v>
      </c>
      <c r="BH59" s="107">
        <f t="shared" si="95"/>
        <v>177760</v>
      </c>
      <c r="BI59" s="105">
        <f>BG59*'Baseline Given'!K60/'Baseline Given'!L60</f>
        <v>2999958.8576645837</v>
      </c>
      <c r="BJ59" s="105">
        <f>BH59/'Baseline Given'!M60</f>
        <v>27916.308368970287</v>
      </c>
      <c r="BK59" s="105">
        <f t="shared" si="78"/>
        <v>3.0278751660335539</v>
      </c>
      <c r="BM59" s="105">
        <f t="shared" si="79"/>
        <v>169772.35034140453</v>
      </c>
      <c r="BN59" s="107">
        <f t="shared" si="96"/>
        <v>177760</v>
      </c>
      <c r="BO59" s="105">
        <f>BM59*'Baseline Given'!K60/'Baseline Given'!L60</f>
        <v>1523119.0293174891</v>
      </c>
      <c r="BP59" s="105">
        <f>BN59/'Baseline Given'!M60</f>
        <v>27916.308368970287</v>
      </c>
      <c r="BQ59" s="105">
        <f t="shared" si="80"/>
        <v>1.5510353376864594</v>
      </c>
      <c r="BS59" s="105">
        <f t="shared" si="81"/>
        <v>5.9890157069752981E-11</v>
      </c>
      <c r="BT59" s="107">
        <f t="shared" si="97"/>
        <v>177760</v>
      </c>
      <c r="BU59" s="105">
        <f>BS59*'Baseline Given'!K60/'Baseline Given'!L60</f>
        <v>5.3730679771067053E-10</v>
      </c>
      <c r="BV59" s="105">
        <f>BT59/'Baseline Given'!M60</f>
        <v>27916.308368970287</v>
      </c>
      <c r="BW59" s="105">
        <f t="shared" si="82"/>
        <v>2.7916308368970827E-2</v>
      </c>
      <c r="BY59" s="104">
        <v>150</v>
      </c>
      <c r="BZ59" s="104">
        <v>-150</v>
      </c>
    </row>
    <row r="60" spans="1:78" ht="15" customHeight="1" x14ac:dyDescent="0.25">
      <c r="A60" s="18">
        <f>'Baseline Given'!E61</f>
        <v>58</v>
      </c>
      <c r="B60" s="18">
        <f t="shared" si="83"/>
        <v>10</v>
      </c>
      <c r="C60" s="18">
        <f t="shared" si="58"/>
        <v>5</v>
      </c>
      <c r="D60" s="18">
        <f t="shared" si="84"/>
        <v>58</v>
      </c>
      <c r="E60" s="18">
        <v>0</v>
      </c>
      <c r="F60" s="18">
        <v>0</v>
      </c>
      <c r="G60" s="18">
        <f t="shared" si="87"/>
        <v>10</v>
      </c>
      <c r="I60" s="104">
        <f t="shared" si="85"/>
        <v>57</v>
      </c>
      <c r="J60" s="104">
        <f t="shared" si="86"/>
        <v>0.99483767363676778</v>
      </c>
      <c r="K60" s="111">
        <f t="shared" si="59"/>
        <v>63.319627879879505</v>
      </c>
      <c r="L60" s="103">
        <f t="shared" si="60"/>
        <v>21512740.81518136</v>
      </c>
      <c r="M60" s="103">
        <f t="shared" si="61"/>
        <v>679496.75433949498</v>
      </c>
      <c r="N60" s="104">
        <f t="shared" si="62"/>
        <v>589691.57599147025</v>
      </c>
      <c r="O60" s="104">
        <f t="shared" si="63"/>
        <v>370080.45657930552</v>
      </c>
      <c r="Q60" s="105">
        <f t="shared" si="64"/>
        <v>807507.78823142941</v>
      </c>
      <c r="R60" s="105">
        <f t="shared" si="88"/>
        <v>161600</v>
      </c>
      <c r="S60" s="105">
        <f>Q60*'Baseline Given'!K61/'Baseline Given'!L61</f>
        <v>7318847.6445080005</v>
      </c>
      <c r="T60" s="105">
        <f>R60/'Baseline Given'!M61</f>
        <v>25733.865567669516</v>
      </c>
      <c r="U60" s="105">
        <f t="shared" si="65"/>
        <v>7.3445815100756695</v>
      </c>
      <c r="W60" s="105">
        <f t="shared" si="66"/>
        <v>795724.66443386406</v>
      </c>
      <c r="X60" s="105">
        <f t="shared" si="89"/>
        <v>161600</v>
      </c>
      <c r="Y60" s="105">
        <f>W60*'Baseline Given'!K61/'Baseline Given'!L61</f>
        <v>7212051.2902095066</v>
      </c>
      <c r="Z60" s="105">
        <f>X60/'Baseline Given'!M61</f>
        <v>25733.865567669516</v>
      </c>
      <c r="AA60" s="105">
        <f t="shared" si="67"/>
        <v>7.2377851557771757</v>
      </c>
      <c r="AC60" s="105">
        <f t="shared" si="68"/>
        <v>759271.63759501406</v>
      </c>
      <c r="AD60" s="107">
        <f t="shared" si="90"/>
        <v>161600</v>
      </c>
      <c r="AE60" s="106">
        <f>AC60*'Baseline Given'!K61/'Baseline Given'!L61</f>
        <v>6881659.2450763853</v>
      </c>
      <c r="AF60" s="105">
        <f>AD60/'Baseline Given'!M61</f>
        <v>25733.865567669516</v>
      </c>
      <c r="AG60" s="105">
        <f t="shared" si="69"/>
        <v>6.9073931106440547</v>
      </c>
      <c r="AI60" s="105">
        <f t="shared" si="70"/>
        <v>699748.52625782648</v>
      </c>
      <c r="AJ60" s="107">
        <f t="shared" si="91"/>
        <v>161600</v>
      </c>
      <c r="AK60" s="105">
        <f>AI60*'Baseline Given'!K61/'Baseline Given'!L61</f>
        <v>6342171.4660692196</v>
      </c>
      <c r="AL60" s="105">
        <f>AJ60/'Baseline Given'!M61</f>
        <v>25733.865567669516</v>
      </c>
      <c r="AM60" s="105">
        <f t="shared" si="71"/>
        <v>6.367905331636889</v>
      </c>
      <c r="AO60" s="105">
        <f t="shared" si="72"/>
        <v>618963.91004013421</v>
      </c>
      <c r="AP60" s="107">
        <f t="shared" si="92"/>
        <v>161600</v>
      </c>
      <c r="AQ60" s="105">
        <f>AO60*'Baseline Given'!K61/'Baseline Given'!L61</f>
        <v>5609980.0163591532</v>
      </c>
      <c r="AR60" s="105">
        <f>AP60/'Baseline Given'!M61</f>
        <v>25733.865567669516</v>
      </c>
      <c r="AS60" s="105">
        <f t="shared" si="73"/>
        <v>5.6357138819268222</v>
      </c>
      <c r="AU60" s="105">
        <f t="shared" si="74"/>
        <v>519372.38862672378</v>
      </c>
      <c r="AV60" s="107">
        <f t="shared" si="93"/>
        <v>161600</v>
      </c>
      <c r="AW60" s="106">
        <f>AU60*'Baseline Given'!K61/'Baseline Given'!L61</f>
        <v>4707332.1626388766</v>
      </c>
      <c r="AX60" s="105">
        <f>AV60/'Baseline Given'!M61</f>
        <v>25733.865567669516</v>
      </c>
      <c r="AY60" s="105">
        <f t="shared" si="75"/>
        <v>4.7330660282065455</v>
      </c>
      <c r="BA60" s="105">
        <f t="shared" si="76"/>
        <v>404000.00000000012</v>
      </c>
      <c r="BB60" s="107">
        <f t="shared" si="94"/>
        <v>161600</v>
      </c>
      <c r="BC60" s="106">
        <f>BA60*'Baseline Given'!K61/'Baseline Given'!L61</f>
        <v>3661654.4031818286</v>
      </c>
      <c r="BD60" s="105">
        <f>BB60/'Baseline Given'!M61</f>
        <v>25733.865567669516</v>
      </c>
      <c r="BE60" s="105">
        <f t="shared" si="77"/>
        <v>3.6873882687494981</v>
      </c>
      <c r="BG60" s="105">
        <f t="shared" si="46"/>
        <v>276352.2758071404</v>
      </c>
      <c r="BH60" s="107">
        <f t="shared" si="95"/>
        <v>161600</v>
      </c>
      <c r="BI60" s="105">
        <f>BG60*'Baseline Given'!K61/'Baseline Given'!L61</f>
        <v>2504719.1275706296</v>
      </c>
      <c r="BJ60" s="105">
        <f>BH60/'Baseline Given'!M61</f>
        <v>25733.865567669516</v>
      </c>
      <c r="BK60" s="105">
        <f t="shared" si="78"/>
        <v>2.5304529931382995</v>
      </c>
      <c r="BM60" s="105">
        <f t="shared" si="79"/>
        <v>140307.72755487976</v>
      </c>
      <c r="BN60" s="107">
        <f t="shared" si="96"/>
        <v>161600</v>
      </c>
      <c r="BO60" s="105">
        <f>BM60*'Baseline Given'!K61/'Baseline Given'!L61</f>
        <v>1271679.2287172319</v>
      </c>
      <c r="BP60" s="105">
        <f>BN60/'Baseline Given'!M61</f>
        <v>25733.865567669516</v>
      </c>
      <c r="BQ60" s="105">
        <f t="shared" si="80"/>
        <v>1.2974130942849014</v>
      </c>
      <c r="BS60" s="105">
        <f t="shared" si="81"/>
        <v>4.9495997578308248E-11</v>
      </c>
      <c r="BT60" s="107">
        <f t="shared" si="97"/>
        <v>161600</v>
      </c>
      <c r="BU60" s="105">
        <f>BS60*'Baseline Given'!K61/'Baseline Given'!L61</f>
        <v>4.4860702344675612E-10</v>
      </c>
      <c r="BV60" s="105">
        <f>BT60/'Baseline Given'!M61</f>
        <v>25733.865567669516</v>
      </c>
      <c r="BW60" s="105">
        <f t="shared" si="82"/>
        <v>2.5733865567669965E-2</v>
      </c>
      <c r="BY60" s="104">
        <v>150</v>
      </c>
      <c r="BZ60" s="104">
        <v>-150</v>
      </c>
    </row>
    <row r="61" spans="1:78" ht="15" customHeight="1" x14ac:dyDescent="0.25">
      <c r="A61" s="18">
        <f>'Baseline Given'!E62</f>
        <v>59</v>
      </c>
      <c r="B61" s="18">
        <f t="shared" si="83"/>
        <v>9</v>
      </c>
      <c r="C61" s="18">
        <f t="shared" si="58"/>
        <v>4.5</v>
      </c>
      <c r="D61" s="18">
        <f t="shared" si="84"/>
        <v>59</v>
      </c>
      <c r="E61" s="18">
        <v>0</v>
      </c>
      <c r="F61" s="18">
        <v>0</v>
      </c>
      <c r="G61" s="18">
        <f t="shared" si="87"/>
        <v>9</v>
      </c>
      <c r="I61" s="104">
        <f t="shared" si="85"/>
        <v>58</v>
      </c>
      <c r="J61" s="104">
        <f t="shared" si="86"/>
        <v>1.0122909661567112</v>
      </c>
      <c r="K61" s="111">
        <f t="shared" si="59"/>
        <v>64.027631259810164</v>
      </c>
      <c r="L61" s="103">
        <f t="shared" si="60"/>
        <v>20931323.411488499</v>
      </c>
      <c r="M61" s="103">
        <f t="shared" si="61"/>
        <v>653821.57670502458</v>
      </c>
      <c r="N61" s="104">
        <f t="shared" si="62"/>
        <v>573754.18577057566</v>
      </c>
      <c r="O61" s="104">
        <f t="shared" si="63"/>
        <v>346472.64886732056</v>
      </c>
      <c r="Q61" s="105">
        <f t="shared" si="64"/>
        <v>654081.30846745777</v>
      </c>
      <c r="R61" s="105">
        <f t="shared" si="88"/>
        <v>145440</v>
      </c>
      <c r="S61" s="105">
        <f>Q61*'Baseline Given'!K62/'Baseline Given'!L62</f>
        <v>5989664.0596331395</v>
      </c>
      <c r="T61" s="105">
        <f>R61/'Baseline Given'!M62</f>
        <v>23487.108543478771</v>
      </c>
      <c r="U61" s="105">
        <f t="shared" si="65"/>
        <v>6.0131511681766181</v>
      </c>
      <c r="W61" s="105">
        <f t="shared" si="66"/>
        <v>644536.97819142987</v>
      </c>
      <c r="X61" s="105">
        <f t="shared" si="89"/>
        <v>145440</v>
      </c>
      <c r="Y61" s="105">
        <f>W61*'Baseline Given'!K62/'Baseline Given'!L62</f>
        <v>5902263.1030738726</v>
      </c>
      <c r="Z61" s="105">
        <f>X61/'Baseline Given'!M62</f>
        <v>23487.108543478771</v>
      </c>
      <c r="AA61" s="105">
        <f t="shared" si="67"/>
        <v>5.9257502116173519</v>
      </c>
      <c r="AC61" s="105">
        <f t="shared" si="68"/>
        <v>615010.02645196137</v>
      </c>
      <c r="AD61" s="107">
        <f t="shared" si="90"/>
        <v>145440</v>
      </c>
      <c r="AE61" s="106">
        <f>AC61*'Baseline Given'!K62/'Baseline Given'!L62</f>
        <v>5631873.9032375403</v>
      </c>
      <c r="AF61" s="105">
        <f>AD61/'Baseline Given'!M62</f>
        <v>23487.108543478771</v>
      </c>
      <c r="AG61" s="105">
        <f t="shared" si="69"/>
        <v>5.6553610117810189</v>
      </c>
      <c r="AI61" s="105">
        <f t="shared" si="70"/>
        <v>566796.3062688394</v>
      </c>
      <c r="AJ61" s="107">
        <f t="shared" si="91"/>
        <v>145440</v>
      </c>
      <c r="AK61" s="105">
        <f>AI61*'Baseline Given'!K62/'Baseline Given'!L62</f>
        <v>5190363.0647170385</v>
      </c>
      <c r="AL61" s="105">
        <f>AJ61/'Baseline Given'!M62</f>
        <v>23487.108543478771</v>
      </c>
      <c r="AM61" s="105">
        <f t="shared" si="71"/>
        <v>5.2138501732605178</v>
      </c>
      <c r="AO61" s="105">
        <f t="shared" si="72"/>
        <v>501360.76713250874</v>
      </c>
      <c r="AP61" s="107">
        <f t="shared" si="92"/>
        <v>145440</v>
      </c>
      <c r="AQ61" s="105">
        <f>AO61*'Baseline Given'!K62/'Baseline Given'!L62</f>
        <v>4591145.6709255492</v>
      </c>
      <c r="AR61" s="105">
        <f>AP61/'Baseline Given'!M62</f>
        <v>23487.108543478771</v>
      </c>
      <c r="AS61" s="105">
        <f t="shared" si="73"/>
        <v>4.6146327794690283</v>
      </c>
      <c r="AU61" s="105">
        <f t="shared" si="74"/>
        <v>420691.6347876463</v>
      </c>
      <c r="AV61" s="107">
        <f t="shared" si="93"/>
        <v>145440</v>
      </c>
      <c r="AW61" s="106">
        <f>AU61*'Baseline Given'!K62/'Baseline Given'!L62</f>
        <v>3852428.6391547946</v>
      </c>
      <c r="AX61" s="105">
        <f>AV61/'Baseline Given'!M62</f>
        <v>23487.108543478771</v>
      </c>
      <c r="AY61" s="105">
        <f t="shared" si="75"/>
        <v>3.8759157476982735</v>
      </c>
      <c r="BA61" s="105">
        <f t="shared" si="76"/>
        <v>327240.00000000006</v>
      </c>
      <c r="BB61" s="107">
        <f t="shared" si="94"/>
        <v>145440</v>
      </c>
      <c r="BC61" s="106">
        <f>BA61*'Baseline Given'!K62/'Baseline Given'!L62</f>
        <v>2996657.5126062739</v>
      </c>
      <c r="BD61" s="105">
        <f>BB61/'Baseline Given'!M62</f>
        <v>23487.108543478771</v>
      </c>
      <c r="BE61" s="105">
        <f t="shared" si="77"/>
        <v>3.0201446211497527</v>
      </c>
      <c r="BG61" s="105">
        <f t="shared" si="46"/>
        <v>223845.34340378374</v>
      </c>
      <c r="BH61" s="107">
        <f t="shared" si="95"/>
        <v>145440</v>
      </c>
      <c r="BI61" s="105">
        <f>BG61*'Baseline Given'!K62/'Baseline Given'!L62</f>
        <v>2049834.4639190799</v>
      </c>
      <c r="BJ61" s="105">
        <f>BH61/'Baseline Given'!M62</f>
        <v>23487.108543478771</v>
      </c>
      <c r="BK61" s="105">
        <f t="shared" si="78"/>
        <v>2.0733215724625587</v>
      </c>
      <c r="BM61" s="105">
        <f t="shared" si="79"/>
        <v>113649.25931945261</v>
      </c>
      <c r="BN61" s="107">
        <f t="shared" si="96"/>
        <v>145440</v>
      </c>
      <c r="BO61" s="105">
        <f>BM61*'Baseline Given'!K62/'Baseline Given'!L62</f>
        <v>1040728.2323119916</v>
      </c>
      <c r="BP61" s="105">
        <f>BN61/'Baseline Given'!M62</f>
        <v>23487.108543478771</v>
      </c>
      <c r="BQ61" s="105">
        <f t="shared" si="80"/>
        <v>1.0642153408554704</v>
      </c>
      <c r="BS61" s="105">
        <f t="shared" si="81"/>
        <v>4.0091758038429681E-11</v>
      </c>
      <c r="BT61" s="107">
        <f t="shared" si="97"/>
        <v>145440</v>
      </c>
      <c r="BU61" s="105">
        <f>BS61*'Baseline Given'!K62/'Baseline Given'!L62</f>
        <v>3.6713503214598845E-10</v>
      </c>
      <c r="BV61" s="105">
        <f>BT61/'Baseline Given'!M62</f>
        <v>23487.108543478771</v>
      </c>
      <c r="BW61" s="105">
        <f t="shared" si="82"/>
        <v>2.348710854347914E-2</v>
      </c>
      <c r="BY61" s="104">
        <v>150</v>
      </c>
      <c r="BZ61" s="104">
        <v>-150</v>
      </c>
    </row>
    <row r="62" spans="1:78" ht="15" customHeight="1" x14ac:dyDescent="0.25">
      <c r="A62" s="18">
        <f>'Baseline Given'!E63</f>
        <v>60</v>
      </c>
      <c r="B62" s="18">
        <f t="shared" si="83"/>
        <v>8</v>
      </c>
      <c r="C62" s="18">
        <f t="shared" si="58"/>
        <v>4</v>
      </c>
      <c r="D62" s="18">
        <f t="shared" si="84"/>
        <v>60</v>
      </c>
      <c r="E62" s="18">
        <v>0</v>
      </c>
      <c r="F62" s="18">
        <v>0</v>
      </c>
      <c r="G62" s="18">
        <f t="shared" si="87"/>
        <v>8</v>
      </c>
      <c r="I62" s="104">
        <f t="shared" si="85"/>
        <v>59</v>
      </c>
      <c r="J62" s="104">
        <f t="shared" si="86"/>
        <v>1.0297442586766543</v>
      </c>
      <c r="K62" s="111">
        <f t="shared" si="59"/>
        <v>64.716131203009468</v>
      </c>
      <c r="L62" s="103">
        <f t="shared" si="60"/>
        <v>20343530.123918228</v>
      </c>
      <c r="M62" s="113">
        <f t="shared" si="61"/>
        <v>628700.44131971232</v>
      </c>
      <c r="N62" s="104">
        <f t="shared" si="62"/>
        <v>557642.02446661412</v>
      </c>
      <c r="O62" s="104">
        <f t="shared" si="63"/>
        <v>323804.66499240627</v>
      </c>
      <c r="Q62" s="105">
        <f t="shared" si="64"/>
        <v>516804.9844681148</v>
      </c>
      <c r="R62" s="105">
        <f t="shared" si="88"/>
        <v>129280</v>
      </c>
      <c r="S62" s="105">
        <f>Q62*'Baseline Given'!K63/'Baseline Given'!L63</f>
        <v>4782101.0097696912</v>
      </c>
      <c r="T62" s="105">
        <f>R62/'Baseline Given'!M63</f>
        <v>21173.952660373725</v>
      </c>
      <c r="U62" s="105">
        <f t="shared" si="65"/>
        <v>4.8032749624300646</v>
      </c>
      <c r="W62" s="105">
        <f t="shared" si="66"/>
        <v>509263.78523767303</v>
      </c>
      <c r="X62" s="105">
        <f t="shared" si="89"/>
        <v>129280</v>
      </c>
      <c r="Y62" s="105">
        <f>W62*'Baseline Given'!K63/'Baseline Given'!L63</f>
        <v>4712320.7685982846</v>
      </c>
      <c r="Z62" s="105">
        <f>X62/'Baseline Given'!M63</f>
        <v>21173.952660373725</v>
      </c>
      <c r="AA62" s="105">
        <f t="shared" si="67"/>
        <v>4.7334947212586576</v>
      </c>
      <c r="AC62" s="105">
        <f t="shared" si="68"/>
        <v>485933.84806080896</v>
      </c>
      <c r="AD62" s="107">
        <f t="shared" si="90"/>
        <v>129280</v>
      </c>
      <c r="AE62" s="106">
        <f>AC62*'Baseline Given'!K63/'Baseline Given'!L63</f>
        <v>4496444.1430154899</v>
      </c>
      <c r="AF62" s="105">
        <f>AD62/'Baseline Given'!M63</f>
        <v>21173.952660373725</v>
      </c>
      <c r="AG62" s="105">
        <f t="shared" si="69"/>
        <v>4.5176180956758634</v>
      </c>
      <c r="AI62" s="105">
        <f t="shared" si="70"/>
        <v>447839.05680500896</v>
      </c>
      <c r="AJ62" s="107">
        <f t="shared" si="91"/>
        <v>129280</v>
      </c>
      <c r="AK62" s="105">
        <f>AI62*'Baseline Given'!K63/'Baseline Given'!L63</f>
        <v>4143945.3374576923</v>
      </c>
      <c r="AL62" s="105">
        <f>AJ62/'Baseline Given'!M63</f>
        <v>21173.952660373725</v>
      </c>
      <c r="AM62" s="105">
        <f t="shared" si="71"/>
        <v>4.1651192901180663</v>
      </c>
      <c r="AO62" s="105">
        <f t="shared" si="72"/>
        <v>396136.9024256859</v>
      </c>
      <c r="AP62" s="107">
        <f t="shared" si="92"/>
        <v>129280</v>
      </c>
      <c r="AQ62" s="105">
        <f>AO62*'Baseline Given'!K63/'Baseline Given'!L63</f>
        <v>3665534.8497587615</v>
      </c>
      <c r="AR62" s="105">
        <f>AP62/'Baseline Given'!M63</f>
        <v>21173.952660373725</v>
      </c>
      <c r="AS62" s="105">
        <f t="shared" si="73"/>
        <v>3.6867088024191355</v>
      </c>
      <c r="AU62" s="105">
        <f t="shared" si="74"/>
        <v>332398.32872110326</v>
      </c>
      <c r="AV62" s="107">
        <f t="shared" si="93"/>
        <v>129280</v>
      </c>
      <c r="AW62" s="106">
        <f>AU62*'Baseline Given'!K63/'Baseline Given'!L63</f>
        <v>3075748.9405000438</v>
      </c>
      <c r="AX62" s="105">
        <f>AV62/'Baseline Given'!M63</f>
        <v>21173.952660373725</v>
      </c>
      <c r="AY62" s="105">
        <f t="shared" si="75"/>
        <v>3.0969228931604178</v>
      </c>
      <c r="BA62" s="105">
        <f t="shared" si="76"/>
        <v>258560.00000000006</v>
      </c>
      <c r="BB62" s="107">
        <f t="shared" si="94"/>
        <v>129280</v>
      </c>
      <c r="BC62" s="106">
        <f>BA62*'Baseline Given'!K63/'Baseline Given'!L63</f>
        <v>2392507.9560882933</v>
      </c>
      <c r="BD62" s="105">
        <f>BB62/'Baseline Given'!M63</f>
        <v>21173.952660373725</v>
      </c>
      <c r="BE62" s="105">
        <f t="shared" si="77"/>
        <v>2.4136819087486674</v>
      </c>
      <c r="BG62" s="105">
        <f t="shared" si="46"/>
        <v>176865.45651656986</v>
      </c>
      <c r="BH62" s="107">
        <f t="shared" si="95"/>
        <v>129280</v>
      </c>
      <c r="BI62" s="105">
        <f>BG62*'Baseline Given'!K63/'Baseline Given'!L63</f>
        <v>1636571.8280982417</v>
      </c>
      <c r="BJ62" s="105">
        <f>BH62/'Baseline Given'!M63</f>
        <v>21173.952660373725</v>
      </c>
      <c r="BK62" s="105">
        <f t="shared" si="78"/>
        <v>1.6577457807586153</v>
      </c>
      <c r="BM62" s="105">
        <f t="shared" si="79"/>
        <v>89796.945635123062</v>
      </c>
      <c r="BN62" s="107">
        <f t="shared" si="96"/>
        <v>129280</v>
      </c>
      <c r="BO62" s="105">
        <f>BM62*'Baseline Given'!K63/'Baseline Given'!L63</f>
        <v>830909.29325672891</v>
      </c>
      <c r="BP62" s="105">
        <f>BN62/'Baseline Given'!M63</f>
        <v>21173.952660373725</v>
      </c>
      <c r="BQ62" s="105">
        <f t="shared" si="80"/>
        <v>0.85208324591710272</v>
      </c>
      <c r="BS62" s="105">
        <f t="shared" si="81"/>
        <v>3.1677438450117279E-11</v>
      </c>
      <c r="BT62" s="107">
        <f t="shared" si="97"/>
        <v>129280</v>
      </c>
      <c r="BU62" s="105">
        <f>BS62*'Baseline Given'!K63/'Baseline Given'!L63</f>
        <v>2.9311774257581528E-10</v>
      </c>
      <c r="BV62" s="105">
        <f>BT62/'Baseline Given'!M63</f>
        <v>21173.952660373725</v>
      </c>
      <c r="BW62" s="105">
        <f t="shared" si="82"/>
        <v>2.1173952660374019E-2</v>
      </c>
      <c r="BY62" s="104">
        <v>150</v>
      </c>
      <c r="BZ62" s="104">
        <v>-150</v>
      </c>
    </row>
    <row r="63" spans="1:78" ht="15" customHeight="1" x14ac:dyDescent="0.25">
      <c r="A63" s="18">
        <f>'Baseline Given'!E64</f>
        <v>61</v>
      </c>
      <c r="B63" s="18">
        <f t="shared" si="83"/>
        <v>7</v>
      </c>
      <c r="C63" s="18">
        <f t="shared" si="58"/>
        <v>3.5</v>
      </c>
      <c r="D63" s="18">
        <f t="shared" si="84"/>
        <v>61</v>
      </c>
      <c r="E63" s="18">
        <v>0</v>
      </c>
      <c r="F63" s="18">
        <v>0</v>
      </c>
      <c r="G63" s="18">
        <f t="shared" si="87"/>
        <v>7</v>
      </c>
      <c r="I63" s="104">
        <f t="shared" si="85"/>
        <v>60</v>
      </c>
      <c r="J63" s="109">
        <f t="shared" si="86"/>
        <v>1.0471975511965976</v>
      </c>
      <c r="K63" s="111">
        <f t="shared" si="59"/>
        <v>65.38491798572511</v>
      </c>
      <c r="L63" s="103">
        <f t="shared" si="60"/>
        <v>19749540.000000004</v>
      </c>
      <c r="M63" s="103">
        <f t="shared" si="61"/>
        <v>604100.78068192233</v>
      </c>
      <c r="N63" s="109">
        <f t="shared" si="62"/>
        <v>541360.00000000012</v>
      </c>
      <c r="O63" s="104">
        <f t="shared" si="63"/>
        <v>302050.39034096122</v>
      </c>
      <c r="Q63" s="105">
        <f t="shared" si="64"/>
        <v>395678.81623340037</v>
      </c>
      <c r="R63" s="105">
        <f t="shared" si="88"/>
        <v>113120</v>
      </c>
      <c r="S63" s="105">
        <f>Q63*'Baseline Given'!K64/'Baseline Given'!L64</f>
        <v>3700017.1957934555</v>
      </c>
      <c r="T63" s="105">
        <f>R63/'Baseline Given'!M64</f>
        <v>18792.23320310182</v>
      </c>
      <c r="U63" s="105">
        <f t="shared" si="65"/>
        <v>3.7188094289965572</v>
      </c>
      <c r="W63" s="105">
        <f t="shared" si="66"/>
        <v>389905.08557259338</v>
      </c>
      <c r="X63" s="105">
        <f t="shared" si="89"/>
        <v>113120</v>
      </c>
      <c r="Y63" s="105">
        <f>W63*'Baseline Given'!K64/'Baseline Given'!L64</f>
        <v>3646026.6816379935</v>
      </c>
      <c r="Z63" s="105">
        <f>X63/'Baseline Given'!M64</f>
        <v>18792.23320310182</v>
      </c>
      <c r="AA63" s="105">
        <f t="shared" si="67"/>
        <v>3.6648189148410952</v>
      </c>
      <c r="AC63" s="105">
        <f t="shared" si="68"/>
        <v>372043.10242155689</v>
      </c>
      <c r="AD63" s="107">
        <f t="shared" si="90"/>
        <v>113120</v>
      </c>
      <c r="AE63" s="106">
        <f>AC63*'Baseline Given'!K64/'Baseline Given'!L64</f>
        <v>3478998.1673522461</v>
      </c>
      <c r="AF63" s="105">
        <f>AD63/'Baseline Given'!M64</f>
        <v>18792.23320310182</v>
      </c>
      <c r="AG63" s="105">
        <f t="shared" si="69"/>
        <v>3.4977904005553482</v>
      </c>
      <c r="AI63" s="105">
        <f t="shared" si="70"/>
        <v>342876.77786633495</v>
      </c>
      <c r="AJ63" s="107">
        <f t="shared" si="91"/>
        <v>113120</v>
      </c>
      <c r="AK63" s="105">
        <f>AI63*'Baseline Given'!K64/'Baseline Given'!L64</f>
        <v>3206262.0542095168</v>
      </c>
      <c r="AL63" s="105">
        <f>AJ63/'Baseline Given'!M64</f>
        <v>18792.23320310182</v>
      </c>
      <c r="AM63" s="105">
        <f t="shared" si="71"/>
        <v>3.2250542874126187</v>
      </c>
      <c r="AO63" s="105">
        <f t="shared" si="72"/>
        <v>303292.31591966579</v>
      </c>
      <c r="AP63" s="107">
        <f t="shared" si="92"/>
        <v>113120</v>
      </c>
      <c r="AQ63" s="105">
        <f>AO63*'Baseline Given'!K64/'Baseline Given'!L64</f>
        <v>2836105.2909965147</v>
      </c>
      <c r="AR63" s="105">
        <f>AP63/'Baseline Given'!M64</f>
        <v>18792.23320310182</v>
      </c>
      <c r="AS63" s="105">
        <f t="shared" si="73"/>
        <v>2.8548975241996168</v>
      </c>
      <c r="AU63" s="105">
        <f t="shared" si="74"/>
        <v>254492.47042709467</v>
      </c>
      <c r="AV63" s="107">
        <f t="shared" si="93"/>
        <v>113120</v>
      </c>
      <c r="AW63" s="106">
        <f>AU63*'Baseline Given'!K64/'Baseline Given'!L64</f>
        <v>2379774.9036551081</v>
      </c>
      <c r="AX63" s="105">
        <f>AV63/'Baseline Given'!M64</f>
        <v>18792.23320310182</v>
      </c>
      <c r="AY63" s="105">
        <f t="shared" si="75"/>
        <v>2.39856713685821</v>
      </c>
      <c r="BA63" s="105">
        <f t="shared" si="76"/>
        <v>197960.00000000006</v>
      </c>
      <c r="BB63" s="107">
        <f t="shared" si="94"/>
        <v>113120</v>
      </c>
      <c r="BC63" s="106">
        <f>BA63*'Baseline Given'!K64/'Baseline Given'!L64</f>
        <v>1851136.2600903471</v>
      </c>
      <c r="BD63" s="105">
        <f>BB63/'Baseline Given'!M64</f>
        <v>18792.23320310182</v>
      </c>
      <c r="BE63" s="105">
        <f t="shared" si="77"/>
        <v>1.869928493293449</v>
      </c>
      <c r="BG63" s="105">
        <f t="shared" si="46"/>
        <v>135412.6151454988</v>
      </c>
      <c r="BH63" s="107">
        <f t="shared" si="95"/>
        <v>113120</v>
      </c>
      <c r="BI63" s="105">
        <f>BG63*'Baseline Given'!K64/'Baseline Given'!L64</f>
        <v>1266251.7779828859</v>
      </c>
      <c r="BJ63" s="105">
        <f>BH63/'Baseline Given'!M64</f>
        <v>18792.23320310182</v>
      </c>
      <c r="BK63" s="105">
        <f t="shared" si="78"/>
        <v>1.2850440111859878</v>
      </c>
      <c r="BM63" s="105">
        <f t="shared" si="79"/>
        <v>68750.786501891096</v>
      </c>
      <c r="BN63" s="107">
        <f t="shared" si="96"/>
        <v>113120</v>
      </c>
      <c r="BO63" s="105">
        <f>BM63*'Baseline Given'!K64/'Baseline Given'!L64</f>
        <v>642892.87635573139</v>
      </c>
      <c r="BP63" s="105">
        <f>BN63/'Baseline Given'!M64</f>
        <v>18792.23320310182</v>
      </c>
      <c r="BQ63" s="105">
        <f t="shared" si="80"/>
        <v>0.6616851095588332</v>
      </c>
      <c r="BS63" s="105">
        <f t="shared" si="81"/>
        <v>2.4253038813371042E-11</v>
      </c>
      <c r="BT63" s="107">
        <f t="shared" si="97"/>
        <v>113120</v>
      </c>
      <c r="BU63" s="105">
        <f>BS63*'Baseline Given'!K64/'Baseline Given'!L64</f>
        <v>2.2679167288750096E-10</v>
      </c>
      <c r="BV63" s="105">
        <f>BT63/'Baseline Given'!M64</f>
        <v>18792.23320310182</v>
      </c>
      <c r="BW63" s="105">
        <f t="shared" si="82"/>
        <v>1.8792233203102044E-2</v>
      </c>
      <c r="BY63" s="104">
        <v>150</v>
      </c>
      <c r="BZ63" s="104">
        <v>-150</v>
      </c>
    </row>
    <row r="64" spans="1:78" ht="15" customHeight="1" x14ac:dyDescent="0.25">
      <c r="A64" s="18">
        <f>'Baseline Given'!E65</f>
        <v>62</v>
      </c>
      <c r="B64" s="18">
        <f t="shared" si="83"/>
        <v>6</v>
      </c>
      <c r="C64" s="18">
        <f t="shared" si="58"/>
        <v>3</v>
      </c>
      <c r="D64" s="18">
        <f t="shared" si="84"/>
        <v>62</v>
      </c>
      <c r="E64" s="18">
        <v>0</v>
      </c>
      <c r="F64" s="18">
        <v>0</v>
      </c>
      <c r="G64" s="18">
        <f t="shared" si="87"/>
        <v>6</v>
      </c>
      <c r="I64" s="104">
        <f t="shared" si="85"/>
        <v>61</v>
      </c>
      <c r="J64" s="104">
        <f t="shared" si="86"/>
        <v>1.064650843716541</v>
      </c>
      <c r="K64" s="111">
        <f t="shared" si="59"/>
        <v>66.033787889024381</v>
      </c>
      <c r="L64" s="103">
        <f t="shared" si="60"/>
        <v>19149533.97487969</v>
      </c>
      <c r="M64" s="103">
        <f t="shared" si="61"/>
        <v>579991.9885578024</v>
      </c>
      <c r="N64" s="104">
        <f t="shared" si="62"/>
        <v>524913.07203311415</v>
      </c>
      <c r="O64" s="104">
        <f t="shared" si="63"/>
        <v>281185.69571862608</v>
      </c>
      <c r="Q64" s="105">
        <f t="shared" si="64"/>
        <v>290702.80376331456</v>
      </c>
      <c r="R64" s="105">
        <f t="shared" si="88"/>
        <v>96960</v>
      </c>
      <c r="S64" s="105">
        <f>Q64*'Baseline Given'!K65/'Baseline Given'!L65</f>
        <v>2747436.2986651878</v>
      </c>
      <c r="T64" s="105">
        <f>R64/'Baseline Given'!M65</f>
        <v>16339.701756613505</v>
      </c>
      <c r="U64" s="105">
        <f t="shared" si="65"/>
        <v>2.7637760004218013</v>
      </c>
      <c r="W64" s="105">
        <f t="shared" si="66"/>
        <v>286460.87919619109</v>
      </c>
      <c r="X64" s="105">
        <f t="shared" si="89"/>
        <v>96960</v>
      </c>
      <c r="Y64" s="105">
        <f>W64*'Baseline Given'!K65/'Baseline Given'!L65</f>
        <v>2707345.8097499055</v>
      </c>
      <c r="Z64" s="105">
        <f>X64/'Baseline Given'!M65</f>
        <v>16339.701756613505</v>
      </c>
      <c r="AA64" s="105">
        <f t="shared" si="67"/>
        <v>2.7236855115065186</v>
      </c>
      <c r="AC64" s="105">
        <f t="shared" si="68"/>
        <v>273337.78953420505</v>
      </c>
      <c r="AD64" s="107">
        <f t="shared" si="90"/>
        <v>96960</v>
      </c>
      <c r="AE64" s="106">
        <f>AC64*'Baseline Given'!K65/'Baseline Given'!L65</f>
        <v>2583319.3042562278</v>
      </c>
      <c r="AF64" s="105">
        <f>AD64/'Baseline Given'!M65</f>
        <v>16339.701756613505</v>
      </c>
      <c r="AG64" s="105">
        <f t="shared" si="69"/>
        <v>2.5996590060128413</v>
      </c>
      <c r="AI64" s="105">
        <f t="shared" si="70"/>
        <v>251909.46945281752</v>
      </c>
      <c r="AJ64" s="107">
        <f t="shared" si="91"/>
        <v>96960</v>
      </c>
      <c r="AK64" s="105">
        <f>AI64*'Baseline Given'!K65/'Baseline Given'!L65</f>
        <v>2380799.9489253666</v>
      </c>
      <c r="AL64" s="105">
        <f>AJ64/'Baseline Given'!M65</f>
        <v>16339.701756613505</v>
      </c>
      <c r="AM64" s="105">
        <f t="shared" si="71"/>
        <v>2.39713965068198</v>
      </c>
      <c r="AO64" s="105">
        <f t="shared" si="72"/>
        <v>222827.00761444832</v>
      </c>
      <c r="AP64" s="107">
        <f t="shared" si="92"/>
        <v>96960</v>
      </c>
      <c r="AQ64" s="105">
        <f>AO64*'Baseline Given'!K65/'Baseline Given'!L65</f>
        <v>2105941.1918893121</v>
      </c>
      <c r="AR64" s="105">
        <f>AP64/'Baseline Given'!M65</f>
        <v>16339.701756613505</v>
      </c>
      <c r="AS64" s="105">
        <f t="shared" si="73"/>
        <v>2.1222808936459256</v>
      </c>
      <c r="AU64" s="105">
        <f t="shared" si="74"/>
        <v>186974.05990562058</v>
      </c>
      <c r="AV64" s="107">
        <f t="shared" si="93"/>
        <v>96960</v>
      </c>
      <c r="AW64" s="106">
        <f>AU64*'Baseline Given'!K65/'Baseline Given'!L65</f>
        <v>1767094.4773953636</v>
      </c>
      <c r="AX64" s="105">
        <f>AV64/'Baseline Given'!M65</f>
        <v>16339.701756613505</v>
      </c>
      <c r="AY64" s="105">
        <f t="shared" si="75"/>
        <v>1.7834341791519772</v>
      </c>
      <c r="BA64" s="105">
        <f t="shared" si="76"/>
        <v>145440.00000000003</v>
      </c>
      <c r="BB64" s="107">
        <f t="shared" si="94"/>
        <v>96960</v>
      </c>
      <c r="BC64" s="106">
        <f>BA64*'Baseline Given'!K65/'Baseline Given'!L65</f>
        <v>1374555.491398708</v>
      </c>
      <c r="BD64" s="105">
        <f>BB64/'Baseline Given'!M65</f>
        <v>16339.701756613505</v>
      </c>
      <c r="BE64" s="105">
        <f t="shared" si="77"/>
        <v>1.3908951931553215</v>
      </c>
      <c r="BG64" s="105">
        <f t="shared" si="46"/>
        <v>99486.819290570551</v>
      </c>
      <c r="BH64" s="107">
        <f t="shared" si="95"/>
        <v>96960</v>
      </c>
      <c r="BI64" s="105">
        <f>BG64*'Baseline Given'!K65/'Baseline Given'!L65</f>
        <v>940251.33235454222</v>
      </c>
      <c r="BJ64" s="105">
        <f>BH64/'Baseline Given'!M65</f>
        <v>16339.701756613505</v>
      </c>
      <c r="BK64" s="105">
        <f t="shared" si="78"/>
        <v>0.95659103411115576</v>
      </c>
      <c r="BM64" s="105">
        <f t="shared" si="79"/>
        <v>50510.781919756722</v>
      </c>
      <c r="BN64" s="107">
        <f t="shared" si="96"/>
        <v>96960</v>
      </c>
      <c r="BO64" s="105">
        <f>BM64*'Baseline Given'!K65/'Baseline Given'!L65</f>
        <v>477378.11236691527</v>
      </c>
      <c r="BP64" s="105">
        <f>BN64/'Baseline Given'!M65</f>
        <v>16339.701756613505</v>
      </c>
      <c r="BQ64" s="105">
        <f t="shared" si="80"/>
        <v>0.49371781412352878</v>
      </c>
      <c r="BS64" s="105">
        <f t="shared" si="81"/>
        <v>1.7818559128190969E-11</v>
      </c>
      <c r="BT64" s="107">
        <f t="shared" si="97"/>
        <v>96960</v>
      </c>
      <c r="BU64" s="105">
        <f>BS64*'Baseline Given'!K65/'Baseline Given'!L65</f>
        <v>1.6840345364732855E-10</v>
      </c>
      <c r="BV64" s="105">
        <f>BT64/'Baseline Given'!M65</f>
        <v>16339.701756613505</v>
      </c>
      <c r="BW64" s="105">
        <f t="shared" si="82"/>
        <v>1.6339701756613676E-2</v>
      </c>
      <c r="BY64" s="104">
        <v>150</v>
      </c>
      <c r="BZ64" s="104">
        <v>-150</v>
      </c>
    </row>
    <row r="65" spans="1:78" ht="15" customHeight="1" x14ac:dyDescent="0.25">
      <c r="A65" s="18">
        <f>'Baseline Given'!E66</f>
        <v>63</v>
      </c>
      <c r="B65" s="18">
        <f t="shared" si="83"/>
        <v>5</v>
      </c>
      <c r="C65" s="18">
        <f t="shared" si="58"/>
        <v>2.5</v>
      </c>
      <c r="D65" s="18">
        <f t="shared" si="84"/>
        <v>63</v>
      </c>
      <c r="E65" s="18">
        <v>0</v>
      </c>
      <c r="F65" s="18">
        <v>0</v>
      </c>
      <c r="G65" s="18">
        <f t="shared" si="87"/>
        <v>5</v>
      </c>
      <c r="I65" s="104">
        <f t="shared" si="85"/>
        <v>62</v>
      </c>
      <c r="J65" s="104">
        <f t="shared" si="86"/>
        <v>1.0821041362364843</v>
      </c>
      <c r="K65" s="111">
        <f t="shared" si="59"/>
        <v>66.662543260848977</v>
      </c>
      <c r="L65" s="103">
        <f t="shared" si="60"/>
        <v>18543694.816204928</v>
      </c>
      <c r="M65" s="103">
        <f t="shared" si="61"/>
        <v>556345.25504506729</v>
      </c>
      <c r="N65" s="104">
        <f t="shared" si="62"/>
        <v>508306.25045953976</v>
      </c>
      <c r="O65" s="104">
        <f t="shared" si="63"/>
        <v>261188.27633452276</v>
      </c>
      <c r="Q65" s="105">
        <f t="shared" si="64"/>
        <v>201876.94705785735</v>
      </c>
      <c r="R65" s="105">
        <f t="shared" si="88"/>
        <v>80800</v>
      </c>
      <c r="S65" s="105">
        <f>Q65*'Baseline Given'!K66/'Baseline Given'!L66</f>
        <v>1928555.8919201752</v>
      </c>
      <c r="T65" s="105">
        <f>R65/'Baseline Given'!M66</f>
        <v>13814.022395816819</v>
      </c>
      <c r="U65" s="105">
        <f t="shared" si="65"/>
        <v>1.942369914315992</v>
      </c>
      <c r="W65" s="105">
        <f t="shared" si="66"/>
        <v>198931.16610846602</v>
      </c>
      <c r="X65" s="105">
        <f t="shared" si="89"/>
        <v>80800</v>
      </c>
      <c r="Y65" s="105">
        <f>W65*'Baseline Given'!K66/'Baseline Given'!L66</f>
        <v>1900414.4756314361</v>
      </c>
      <c r="Z65" s="105">
        <f>X65/'Baseline Given'!M66</f>
        <v>13814.022395816819</v>
      </c>
      <c r="AA65" s="105">
        <f t="shared" si="67"/>
        <v>1.914228498027253</v>
      </c>
      <c r="AC65" s="105">
        <f t="shared" si="68"/>
        <v>189817.90939875352</v>
      </c>
      <c r="AD65" s="107">
        <f t="shared" si="90"/>
        <v>80800</v>
      </c>
      <c r="AE65" s="106">
        <f>AC65*'Baseline Given'!K66/'Baseline Given'!L66</f>
        <v>1813354.386907883</v>
      </c>
      <c r="AF65" s="105">
        <f>AD65/'Baseline Given'!M66</f>
        <v>13814.022395816819</v>
      </c>
      <c r="AG65" s="105">
        <f t="shared" si="69"/>
        <v>1.8271684093036999</v>
      </c>
      <c r="AI65" s="105">
        <f t="shared" si="70"/>
        <v>174937.13156445662</v>
      </c>
      <c r="AJ65" s="107">
        <f t="shared" si="91"/>
        <v>80800</v>
      </c>
      <c r="AK65" s="105">
        <f>AI65*'Baseline Given'!K66/'Baseline Given'!L66</f>
        <v>1671196.4427397281</v>
      </c>
      <c r="AL65" s="105">
        <f>AJ65/'Baseline Given'!M66</f>
        <v>13814.022395816819</v>
      </c>
      <c r="AM65" s="105">
        <f t="shared" si="71"/>
        <v>1.6850104651355451</v>
      </c>
      <c r="AO65" s="105">
        <f t="shared" si="72"/>
        <v>154740.97751003355</v>
      </c>
      <c r="AP65" s="107">
        <f t="shared" si="92"/>
        <v>80800</v>
      </c>
      <c r="AQ65" s="105">
        <f>AO65*'Baseline Given'!K66/'Baseline Given'!L66</f>
        <v>1478260.0403251308</v>
      </c>
      <c r="AR65" s="105">
        <f>AP65/'Baseline Given'!M66</f>
        <v>13814.022395816819</v>
      </c>
      <c r="AS65" s="105">
        <f t="shared" si="73"/>
        <v>1.4920740627209477</v>
      </c>
      <c r="AU65" s="105">
        <f t="shared" si="74"/>
        <v>129843.09715668095</v>
      </c>
      <c r="AV65" s="107">
        <f t="shared" si="93"/>
        <v>80800</v>
      </c>
      <c r="AW65" s="106">
        <f>AU65*'Baseline Given'!K66/'Baseline Given'!L66</f>
        <v>1240407.4546209285</v>
      </c>
      <c r="AX65" s="105">
        <f>AV65/'Baseline Given'!M66</f>
        <v>13814.022395816819</v>
      </c>
      <c r="AY65" s="105">
        <f t="shared" si="75"/>
        <v>1.2542214770167455</v>
      </c>
      <c r="BA65" s="105">
        <f t="shared" si="76"/>
        <v>101000.00000000003</v>
      </c>
      <c r="BB65" s="107">
        <f t="shared" si="94"/>
        <v>80800</v>
      </c>
      <c r="BC65" s="106">
        <f>BA65*'Baseline Given'!K66/'Baseline Given'!L66</f>
        <v>964865.7160845272</v>
      </c>
      <c r="BD65" s="105">
        <f>BB65/'Baseline Given'!M66</f>
        <v>13814.022395816819</v>
      </c>
      <c r="BE65" s="105">
        <f t="shared" si="77"/>
        <v>0.97867973848034406</v>
      </c>
      <c r="BG65" s="105">
        <f t="shared" si="46"/>
        <v>69088.068951785099</v>
      </c>
      <c r="BH65" s="107">
        <f t="shared" si="95"/>
        <v>80800</v>
      </c>
      <c r="BI65" s="105">
        <f>BG65*'Baseline Given'!K66/'Baseline Given'!L66</f>
        <v>660007.02101050795</v>
      </c>
      <c r="BJ65" s="105">
        <f>BH65/'Baseline Given'!M66</f>
        <v>13814.022395816819</v>
      </c>
      <c r="BK65" s="105">
        <f t="shared" si="78"/>
        <v>0.67382104340632476</v>
      </c>
      <c r="BM65" s="105">
        <f t="shared" si="79"/>
        <v>35076.931888719941</v>
      </c>
      <c r="BN65" s="107">
        <f t="shared" si="96"/>
        <v>80800</v>
      </c>
      <c r="BO65" s="105">
        <f>BM65*'Baseline Given'!K66/'Baseline Given'!L66</f>
        <v>335094.34658275195</v>
      </c>
      <c r="BP65" s="105">
        <f>BN65/'Baseline Given'!M66</f>
        <v>13814.022395816819</v>
      </c>
      <c r="BQ65" s="105">
        <f t="shared" si="80"/>
        <v>0.34890836897856875</v>
      </c>
      <c r="BS65" s="105">
        <f t="shared" si="81"/>
        <v>1.2373999394577062E-11</v>
      </c>
      <c r="BT65" s="107">
        <f t="shared" si="97"/>
        <v>80800</v>
      </c>
      <c r="BU65" s="105">
        <f>BS65*'Baseline Given'!K66/'Baseline Given'!L66</f>
        <v>1.1821037412552576E-10</v>
      </c>
      <c r="BV65" s="105">
        <f>BT65/'Baseline Given'!M66</f>
        <v>13814.022395816819</v>
      </c>
      <c r="BW65" s="105">
        <f t="shared" si="82"/>
        <v>1.3814022395816937E-2</v>
      </c>
      <c r="BY65" s="104">
        <v>150</v>
      </c>
      <c r="BZ65" s="104">
        <v>-150</v>
      </c>
    </row>
    <row r="66" spans="1:78" ht="15" customHeight="1" x14ac:dyDescent="0.25">
      <c r="A66" s="18">
        <f>'Baseline Given'!E67</f>
        <v>64</v>
      </c>
      <c r="B66" s="18">
        <f t="shared" si="83"/>
        <v>4</v>
      </c>
      <c r="C66" s="18">
        <f t="shared" si="58"/>
        <v>2</v>
      </c>
      <c r="D66" s="18">
        <f t="shared" si="84"/>
        <v>64</v>
      </c>
      <c r="E66" s="18">
        <v>0</v>
      </c>
      <c r="F66" s="18">
        <v>0</v>
      </c>
      <c r="G66" s="18">
        <f t="shared" si="87"/>
        <v>4</v>
      </c>
      <c r="I66" s="104">
        <f t="shared" si="85"/>
        <v>63</v>
      </c>
      <c r="J66" s="104">
        <f t="shared" si="86"/>
        <v>1.0995574287564276</v>
      </c>
      <c r="K66" s="111">
        <f t="shared" si="59"/>
        <v>67.270992576221772</v>
      </c>
      <c r="L66" s="103">
        <f t="shared" si="60"/>
        <v>17932207.068452336</v>
      </c>
      <c r="M66" s="103">
        <f t="shared" si="61"/>
        <v>533133.41699646099</v>
      </c>
      <c r="N66" s="104">
        <f t="shared" si="62"/>
        <v>491544.59387800214</v>
      </c>
      <c r="O66" s="104">
        <f t="shared" si="63"/>
        <v>242037.50641007553</v>
      </c>
      <c r="Q66" s="105">
        <f t="shared" si="64"/>
        <v>129201.2461170287</v>
      </c>
      <c r="R66" s="105">
        <f t="shared" si="88"/>
        <v>64640</v>
      </c>
      <c r="S66" s="105">
        <f>Q66*'Baseline Given'!K67/'Baseline Given'!L67</f>
        <v>1247756.938228742</v>
      </c>
      <c r="T66" s="105">
        <f>R66/'Baseline Given'!M67</f>
        <v>11212.767674311101</v>
      </c>
      <c r="U66" s="105">
        <f t="shared" si="65"/>
        <v>1.2589697059030531</v>
      </c>
      <c r="W66" s="105">
        <f t="shared" si="66"/>
        <v>127315.94630941826</v>
      </c>
      <c r="X66" s="105">
        <f t="shared" si="89"/>
        <v>64640</v>
      </c>
      <c r="Y66" s="105">
        <f>W66*'Baseline Given'!K67/'Baseline Given'!L67</f>
        <v>1229549.7151075618</v>
      </c>
      <c r="Z66" s="105">
        <f>X66/'Baseline Given'!M67</f>
        <v>11212.767674311101</v>
      </c>
      <c r="AA66" s="105">
        <f t="shared" si="67"/>
        <v>1.2407624827818728</v>
      </c>
      <c r="AC66" s="105">
        <f t="shared" si="68"/>
        <v>121483.46201520224</v>
      </c>
      <c r="AD66" s="107">
        <f t="shared" si="90"/>
        <v>64640</v>
      </c>
      <c r="AE66" s="106">
        <f>AC66*'Baseline Given'!K67/'Baseline Given'!L67</f>
        <v>1173222.6829470026</v>
      </c>
      <c r="AF66" s="105">
        <f>AD66/'Baseline Given'!M67</f>
        <v>11212.767674311101</v>
      </c>
      <c r="AG66" s="105">
        <f t="shared" si="69"/>
        <v>1.1844354506213137</v>
      </c>
      <c r="AI66" s="105">
        <f t="shared" si="70"/>
        <v>111959.76420125224</v>
      </c>
      <c r="AJ66" s="107">
        <f t="shared" si="91"/>
        <v>64640</v>
      </c>
      <c r="AK66" s="105">
        <f>AI66*'Baseline Given'!K67/'Baseline Given'!L67</f>
        <v>1081247.873244422</v>
      </c>
      <c r="AL66" s="105">
        <f>AJ66/'Baseline Given'!M67</f>
        <v>11212.767674311101</v>
      </c>
      <c r="AM66" s="105">
        <f t="shared" si="71"/>
        <v>1.0924606409187332</v>
      </c>
      <c r="AO66" s="105">
        <f t="shared" si="72"/>
        <v>99034.225606421474</v>
      </c>
      <c r="AP66" s="107">
        <f t="shared" si="92"/>
        <v>64640</v>
      </c>
      <c r="AQ66" s="105">
        <f>AO66*'Baseline Given'!K67/'Baseline Given'!L67</f>
        <v>956419.89405113296</v>
      </c>
      <c r="AR66" s="105">
        <f>AP66/'Baseline Given'!M67</f>
        <v>11212.767674311101</v>
      </c>
      <c r="AS66" s="105">
        <f t="shared" si="73"/>
        <v>0.96763266172544404</v>
      </c>
      <c r="AU66" s="105">
        <f t="shared" si="74"/>
        <v>83099.582180275815</v>
      </c>
      <c r="AV66" s="107">
        <f t="shared" si="93"/>
        <v>64640</v>
      </c>
      <c r="AW66" s="106">
        <f>AU66*'Baseline Given'!K67/'Baseline Given'!L67</f>
        <v>802531.58034891903</v>
      </c>
      <c r="AX66" s="105">
        <f>AV66/'Baseline Given'!M67</f>
        <v>11212.767674311101</v>
      </c>
      <c r="AY66" s="105">
        <f t="shared" si="75"/>
        <v>0.81374434802323015</v>
      </c>
      <c r="BA66" s="105">
        <f t="shared" si="76"/>
        <v>64640.000000000015</v>
      </c>
      <c r="BB66" s="107">
        <f t="shared" si="94"/>
        <v>64640</v>
      </c>
      <c r="BC66" s="106">
        <f>BA66*'Baseline Given'!K67/'Baseline Given'!L67</f>
        <v>624258.75067837746</v>
      </c>
      <c r="BD66" s="105">
        <f>BB66/'Baseline Given'!M67</f>
        <v>11212.767674311101</v>
      </c>
      <c r="BE66" s="105">
        <f t="shared" si="77"/>
        <v>0.63547151835268856</v>
      </c>
      <c r="BG66" s="105">
        <f t="shared" si="46"/>
        <v>44216.364129142465</v>
      </c>
      <c r="BH66" s="107">
        <f t="shared" si="95"/>
        <v>64640</v>
      </c>
      <c r="BI66" s="105">
        <f>BG66*'Baseline Given'!K67/'Baseline Given'!L67</f>
        <v>427018.13475864317</v>
      </c>
      <c r="BJ66" s="105">
        <f>BH66/'Baseline Given'!M67</f>
        <v>11212.767674311101</v>
      </c>
      <c r="BK66" s="105">
        <f t="shared" si="78"/>
        <v>0.43823090243295426</v>
      </c>
      <c r="BM66" s="105">
        <f t="shared" si="79"/>
        <v>22449.236408780765</v>
      </c>
      <c r="BN66" s="107">
        <f t="shared" si="96"/>
        <v>64640</v>
      </c>
      <c r="BO66" s="105">
        <f>BM66*'Baseline Given'!K67/'Baseline Given'!L67</f>
        <v>216802.78889586977</v>
      </c>
      <c r="BP66" s="105">
        <f>BN66/'Baseline Given'!M67</f>
        <v>11212.767674311101</v>
      </c>
      <c r="BQ66" s="105">
        <f t="shared" si="80"/>
        <v>0.22801555657018086</v>
      </c>
      <c r="BS66" s="105">
        <f t="shared" si="81"/>
        <v>7.9193596125293197E-12</v>
      </c>
      <c r="BT66" s="107">
        <f t="shared" si="97"/>
        <v>64640</v>
      </c>
      <c r="BU66" s="105">
        <f>BS66*'Baseline Given'!K67/'Baseline Given'!L67</f>
        <v>7.6480964385679931E-11</v>
      </c>
      <c r="BV66" s="105">
        <f>BT66/'Baseline Given'!M67</f>
        <v>11212.767674311101</v>
      </c>
      <c r="BW66" s="105">
        <f t="shared" si="82"/>
        <v>1.1212767674311177E-2</v>
      </c>
      <c r="BY66" s="104">
        <v>150</v>
      </c>
      <c r="BZ66" s="104">
        <v>-150</v>
      </c>
    </row>
    <row r="67" spans="1:78" ht="15" customHeight="1" x14ac:dyDescent="0.25">
      <c r="A67" s="18">
        <f>'Baseline Given'!E68</f>
        <v>65</v>
      </c>
      <c r="B67" s="18">
        <f t="shared" si="83"/>
        <v>3</v>
      </c>
      <c r="C67" s="18">
        <f t="shared" si="58"/>
        <v>1.5</v>
      </c>
      <c r="D67" s="18">
        <f t="shared" si="84"/>
        <v>65</v>
      </c>
      <c r="E67" s="18">
        <v>0</v>
      </c>
      <c r="F67" s="18">
        <v>0</v>
      </c>
      <c r="G67" s="18">
        <f t="shared" si="87"/>
        <v>3</v>
      </c>
      <c r="I67" s="104">
        <f t="shared" si="85"/>
        <v>64</v>
      </c>
      <c r="J67" s="104">
        <f t="shared" si="86"/>
        <v>1.1170107212763709</v>
      </c>
      <c r="K67" s="111">
        <f t="shared" ref="K67:K93" si="98">(27.75*SIN(J67)+47.75*SIN(J67))</f>
        <v>67.858950495587109</v>
      </c>
      <c r="L67" s="103">
        <f t="shared" ref="L67:L93" si="99">27.75*610040*COS(J67)+47.75*472680*COS(J67)</f>
        <v>17315256.996713515</v>
      </c>
      <c r="M67" s="103">
        <f t="shared" ref="M67:M93" si="100">L67*2/K67</f>
        <v>510330.82210251788</v>
      </c>
      <c r="N67" s="104">
        <f t="shared" ref="N67:N93" si="101">610040*COS(J67)+472680*COS(J67)</f>
        <v>474633.20805146999</v>
      </c>
      <c r="O67" s="104">
        <f t="shared" ref="O67:O93" si="102">M67*COS(J67)</f>
        <v>223714.30772689343</v>
      </c>
      <c r="Q67" s="105">
        <f t="shared" si="64"/>
        <v>72675.700940828639</v>
      </c>
      <c r="R67" s="105">
        <f t="shared" si="88"/>
        <v>48480</v>
      </c>
      <c r="S67" s="105">
        <f>Q67*'Baseline Given'!K68/'Baseline Given'!L68</f>
        <v>709613.91517671396</v>
      </c>
      <c r="T67" s="105">
        <f>R67/'Baseline Given'!M68</f>
        <v>8533.4143999908629</v>
      </c>
      <c r="U67" s="105">
        <f>(S67+T67)/1000000</f>
        <v>0.7181473295767048</v>
      </c>
      <c r="W67" s="105">
        <f t="shared" si="66"/>
        <v>71615.219799047773</v>
      </c>
      <c r="X67" s="105">
        <f t="shared" si="89"/>
        <v>48480</v>
      </c>
      <c r="Y67" s="105">
        <f>W67*'Baseline Given'!K68/'Baseline Given'!L68</f>
        <v>699259.25515626371</v>
      </c>
      <c r="Z67" s="105">
        <f>X67/'Baseline Given'!M68</f>
        <v>8533.4143999908629</v>
      </c>
      <c r="AA67" s="105">
        <f>(Y67+Z67)/1000000</f>
        <v>0.70779266955625453</v>
      </c>
      <c r="AC67" s="105">
        <f t="shared" si="68"/>
        <v>68334.447383551262</v>
      </c>
      <c r="AD67" s="107">
        <f t="shared" si="90"/>
        <v>48480</v>
      </c>
      <c r="AE67" s="106">
        <f>AC67*'Baseline Given'!K68/'Baseline Given'!L68</f>
        <v>667225.41539378604</v>
      </c>
      <c r="AF67" s="105">
        <f>AD67/'Baseline Given'!M68</f>
        <v>8533.4143999908629</v>
      </c>
      <c r="AG67" s="105">
        <f>(AE67+AF67)/1000000</f>
        <v>0.67575882979377688</v>
      </c>
      <c r="AI67" s="105">
        <f t="shared" si="70"/>
        <v>62977.367363204379</v>
      </c>
      <c r="AJ67" s="107">
        <f t="shared" si="91"/>
        <v>48480</v>
      </c>
      <c r="AK67" s="105">
        <f>AI67*'Baseline Given'!K68/'Baseline Given'!L68</f>
        <v>614918.26901691966</v>
      </c>
      <c r="AL67" s="105">
        <f>AJ67/'Baseline Given'!M68</f>
        <v>8533.4143999908629</v>
      </c>
      <c r="AM67" s="105">
        <f>(AK67+AL67)/1000000</f>
        <v>0.62345168341691048</v>
      </c>
      <c r="AO67" s="105">
        <f t="shared" si="72"/>
        <v>55706.751903612079</v>
      </c>
      <c r="AP67" s="107">
        <f t="shared" si="92"/>
        <v>48480</v>
      </c>
      <c r="AQ67" s="105">
        <f>AO67*'Baseline Given'!K68/'Baseline Given'!L68</f>
        <v>543927.14219963201</v>
      </c>
      <c r="AR67" s="105">
        <f>AP67/'Baseline Given'!M68</f>
        <v>8533.4143999908629</v>
      </c>
      <c r="AS67" s="105">
        <f>(AQ67+AR67)/1000000</f>
        <v>0.55246055659962279</v>
      </c>
      <c r="AU67" s="105">
        <f t="shared" si="74"/>
        <v>46743.514976405146</v>
      </c>
      <c r="AV67" s="107">
        <f t="shared" si="93"/>
        <v>48480</v>
      </c>
      <c r="AW67" s="106">
        <f>AU67*'Baseline Given'!K68/'Baseline Given'!L68</f>
        <v>456409.06440702319</v>
      </c>
      <c r="AX67" s="105">
        <f>AV67/'Baseline Given'!M68</f>
        <v>8533.4143999908629</v>
      </c>
      <c r="AY67" s="105">
        <f>(AW67+AX67)/1000000</f>
        <v>0.46494247880701406</v>
      </c>
      <c r="BA67" s="105">
        <f t="shared" si="76"/>
        <v>36360.000000000007</v>
      </c>
      <c r="BB67" s="107">
        <f t="shared" si="94"/>
        <v>48480</v>
      </c>
      <c r="BC67" s="106">
        <f>BA67*'Baseline Given'!K68/'Baseline Given'!L68</f>
        <v>355023.22814653727</v>
      </c>
      <c r="BD67" s="105">
        <f>BB67/'Baseline Given'!M68</f>
        <v>8533.4143999908629</v>
      </c>
      <c r="BE67" s="105">
        <f>(BC67+BD67)/1000000</f>
        <v>0.36355664254652814</v>
      </c>
      <c r="BG67" s="105">
        <f t="shared" si="46"/>
        <v>24871.704822642638</v>
      </c>
      <c r="BH67" s="107">
        <f t="shared" si="95"/>
        <v>48480</v>
      </c>
      <c r="BI67" s="105">
        <f>BG67*'Baseline Given'!K68/'Baseline Given'!L68</f>
        <v>242850.19074924057</v>
      </c>
      <c r="BJ67" s="105">
        <f>BH67/'Baseline Given'!M68</f>
        <v>8533.4143999908629</v>
      </c>
      <c r="BK67" s="105">
        <f>(BI67+BJ67)/1000000</f>
        <v>0.25138360514923147</v>
      </c>
      <c r="BM67" s="105">
        <f t="shared" si="79"/>
        <v>12627.695479939181</v>
      </c>
      <c r="BN67" s="107">
        <f t="shared" si="96"/>
        <v>48480</v>
      </c>
      <c r="BO67" s="105">
        <f>BM67*'Baseline Given'!K68/'Baseline Given'!L68</f>
        <v>123298.27319415414</v>
      </c>
      <c r="BP67" s="105">
        <f>BN67/'Baseline Given'!M68</f>
        <v>8533.4143999908629</v>
      </c>
      <c r="BQ67" s="105">
        <f>(BO67+BP67)/1000000</f>
        <v>0.13183168759414501</v>
      </c>
      <c r="BS67" s="105">
        <f t="shared" si="81"/>
        <v>4.4546397820477424E-12</v>
      </c>
      <c r="BT67" s="107">
        <f t="shared" si="97"/>
        <v>48480</v>
      </c>
      <c r="BU67" s="105">
        <f>BS67*'Baseline Given'!K68/'Baseline Given'!L68</f>
        <v>4.3495615942040063E-11</v>
      </c>
      <c r="BV67" s="105">
        <f>BT67/'Baseline Given'!M68</f>
        <v>8533.4143999908629</v>
      </c>
      <c r="BW67" s="105">
        <f>(BU67+BV67)/1000000</f>
        <v>8.5334143999909063E-3</v>
      </c>
      <c r="BY67" s="104">
        <v>150</v>
      </c>
      <c r="BZ67" s="104">
        <v>-150</v>
      </c>
    </row>
    <row r="68" spans="1:78" ht="15" customHeight="1" x14ac:dyDescent="0.25">
      <c r="A68" s="18">
        <f>'Baseline Given'!E69</f>
        <v>66</v>
      </c>
      <c r="B68" s="18">
        <f t="shared" si="83"/>
        <v>2</v>
      </c>
      <c r="C68" s="18">
        <f t="shared" si="58"/>
        <v>1</v>
      </c>
      <c r="D68" s="18">
        <f t="shared" si="84"/>
        <v>66</v>
      </c>
      <c r="E68" s="18">
        <v>0</v>
      </c>
      <c r="F68" s="18">
        <v>0</v>
      </c>
      <c r="G68" s="18">
        <f t="shared" si="87"/>
        <v>2</v>
      </c>
      <c r="I68" s="104">
        <f t="shared" ref="I68:I93" si="103">I67+1</f>
        <v>65</v>
      </c>
      <c r="J68" s="104">
        <f t="shared" ref="J68:J93" si="104">I68*PI()/180</f>
        <v>1.1344640137963142</v>
      </c>
      <c r="K68" s="111">
        <f t="shared" si="98"/>
        <v>68.426237921267074</v>
      </c>
      <c r="L68" s="103">
        <f t="shared" si="99"/>
        <v>16693032.529956825</v>
      </c>
      <c r="M68" s="103">
        <f t="shared" si="100"/>
        <v>487913.20514111099</v>
      </c>
      <c r="N68" s="104">
        <f t="shared" si="101"/>
        <v>457577.24435189011</v>
      </c>
      <c r="O68" s="104">
        <f t="shared" si="102"/>
        <v>206201.03063706963</v>
      </c>
      <c r="Q68" s="105">
        <f t="shared" si="64"/>
        <v>32300.311529257175</v>
      </c>
      <c r="R68" s="105">
        <f t="shared" si="88"/>
        <v>32320</v>
      </c>
      <c r="S68" s="105">
        <f>Q68*'Baseline Given'!K69/'Baseline Given'!L69</f>
        <v>318905.61944804073</v>
      </c>
      <c r="T68" s="105">
        <f>R68/'Baseline Given'!M69</f>
        <v>5773.3391845882879</v>
      </c>
      <c r="U68" s="105">
        <f>(S68+T68)/1000000</f>
        <v>0.32467895863262902</v>
      </c>
      <c r="W68" s="105">
        <f t="shared" si="66"/>
        <v>31828.986577354564</v>
      </c>
      <c r="X68" s="105">
        <f t="shared" si="89"/>
        <v>32320</v>
      </c>
      <c r="Y68" s="105">
        <f>W68*'Baseline Given'!K69/'Baseline Given'!L69</f>
        <v>314252.16043692024</v>
      </c>
      <c r="Z68" s="105">
        <f>X68/'Baseline Given'!M69</f>
        <v>5773.3391845882879</v>
      </c>
      <c r="AA68" s="105">
        <f>(Y68+Z68)/1000000</f>
        <v>0.3200254996215085</v>
      </c>
      <c r="AC68" s="105">
        <f t="shared" si="68"/>
        <v>30370.86550380056</v>
      </c>
      <c r="AD68" s="107">
        <f t="shared" si="90"/>
        <v>32320</v>
      </c>
      <c r="AE68" s="106">
        <f>AC68*'Baseline Given'!K69/'Baseline Given'!L69</f>
        <v>299855.92144799326</v>
      </c>
      <c r="AF68" s="105">
        <f>AD68/'Baseline Given'!M69</f>
        <v>5773.3391845882879</v>
      </c>
      <c r="AG68" s="105">
        <f>(AE68+AF68)/1000000</f>
        <v>0.30562926063258156</v>
      </c>
      <c r="AI68" s="105">
        <f t="shared" si="70"/>
        <v>27989.94105031306</v>
      </c>
      <c r="AJ68" s="107">
        <f t="shared" si="91"/>
        <v>32320</v>
      </c>
      <c r="AK68" s="105">
        <f>AI68*'Baseline Given'!K69/'Baseline Given'!L69</f>
        <v>276348.71202028648</v>
      </c>
      <c r="AL68" s="105">
        <f>AJ68/'Baseline Given'!M69</f>
        <v>5773.3391845882879</v>
      </c>
      <c r="AM68" s="105">
        <f>(AK68+AL68)/1000000</f>
        <v>0.28212205120487477</v>
      </c>
      <c r="AO68" s="105">
        <f t="shared" si="72"/>
        <v>24758.556401605369</v>
      </c>
      <c r="AP68" s="107">
        <f t="shared" si="92"/>
        <v>32320</v>
      </c>
      <c r="AQ68" s="105">
        <f>AO68*'Baseline Given'!K69/'Baseline Given'!L69</f>
        <v>244444.7868170389</v>
      </c>
      <c r="AR68" s="105">
        <f>AP68/'Baseline Given'!M69</f>
        <v>5773.3391845882879</v>
      </c>
      <c r="AS68" s="105">
        <f>(AQ68+AR68)/1000000</f>
        <v>0.25021812600162718</v>
      </c>
      <c r="AU68" s="105">
        <f t="shared" si="74"/>
        <v>20774.895545068954</v>
      </c>
      <c r="AV68" s="107">
        <f t="shared" si="93"/>
        <v>32320</v>
      </c>
      <c r="AW68" s="106">
        <f>AU68*'Baseline Given'!K69/'Baseline Given'!L69</f>
        <v>205113.53046138625</v>
      </c>
      <c r="AX68" s="105">
        <f>AV68/'Baseline Given'!M69</f>
        <v>5773.3391845882879</v>
      </c>
      <c r="AY68" s="105">
        <f>(AW68+AX68)/1000000</f>
        <v>0.21088686964597453</v>
      </c>
      <c r="BA68" s="105">
        <f t="shared" si="76"/>
        <v>16160.000000000004</v>
      </c>
      <c r="BB68" s="107">
        <f t="shared" si="94"/>
        <v>32320</v>
      </c>
      <c r="BC68" s="106">
        <f>BA68*'Baseline Given'!K69/'Baseline Given'!L69</f>
        <v>159550.0032751188</v>
      </c>
      <c r="BD68" s="105">
        <f>BB68/'Baseline Given'!M69</f>
        <v>5773.3391845882879</v>
      </c>
      <c r="BE68" s="105">
        <f>(BC68+BD68)/1000000</f>
        <v>0.16532334245970709</v>
      </c>
      <c r="BG68" s="105">
        <f t="shared" si="46"/>
        <v>11054.091032285616</v>
      </c>
      <c r="BH68" s="107">
        <f t="shared" si="95"/>
        <v>32320</v>
      </c>
      <c r="BI68" s="105">
        <f>BG68*'Baseline Given'!K69/'Baseline Given'!L69</f>
        <v>109138.62997553409</v>
      </c>
      <c r="BJ68" s="105">
        <f>BH68/'Baseline Given'!M69</f>
        <v>5773.3391845882879</v>
      </c>
      <c r="BK68" s="105">
        <f>(BI68+BJ68)/1000000</f>
        <v>0.11491196916012238</v>
      </c>
      <c r="BM68" s="105">
        <f t="shared" si="79"/>
        <v>5612.3091021951914</v>
      </c>
      <c r="BN68" s="107">
        <f t="shared" si="96"/>
        <v>32320</v>
      </c>
      <c r="BO68" s="105">
        <f>BM68*'Baseline Given'!K69/'Baseline Given'!L69</f>
        <v>55411.134630954308</v>
      </c>
      <c r="BP68" s="105">
        <f>BN68/'Baseline Given'!M69</f>
        <v>5773.3391845882879</v>
      </c>
      <c r="BQ68" s="105">
        <f>(BO68+BP68)/1000000</f>
        <v>6.1184473815542595E-2</v>
      </c>
      <c r="BS68" s="105">
        <f t="shared" si="81"/>
        <v>1.9798399031323299E-12</v>
      </c>
      <c r="BT68" s="107">
        <f t="shared" si="97"/>
        <v>32320</v>
      </c>
      <c r="BU68" s="105">
        <f>BS68*'Baseline Given'!K69/'Baseline Given'!L69</f>
        <v>1.9547243999317701E-11</v>
      </c>
      <c r="BV68" s="105">
        <f>BT68/'Baseline Given'!M69</f>
        <v>5773.3391845882879</v>
      </c>
      <c r="BW68" s="105">
        <f>(BU68+BV68)/1000000</f>
        <v>5.773339184588307E-3</v>
      </c>
      <c r="BY68" s="104">
        <v>150</v>
      </c>
      <c r="BZ68" s="104">
        <v>-150</v>
      </c>
    </row>
    <row r="69" spans="1:78" ht="15" customHeight="1" x14ac:dyDescent="0.25">
      <c r="A69" s="18">
        <f>'Baseline Given'!E70</f>
        <v>67</v>
      </c>
      <c r="B69" s="18">
        <f t="shared" si="83"/>
        <v>1</v>
      </c>
      <c r="C69" s="18">
        <v>0.5</v>
      </c>
      <c r="D69" s="18">
        <v>67</v>
      </c>
      <c r="E69" s="18">
        <v>0</v>
      </c>
      <c r="F69" s="18">
        <v>0</v>
      </c>
      <c r="G69" s="18">
        <f t="shared" si="87"/>
        <v>1</v>
      </c>
      <c r="I69" s="104">
        <f t="shared" si="103"/>
        <v>66</v>
      </c>
      <c r="J69" s="104">
        <f t="shared" si="104"/>
        <v>1.1519173063162575</v>
      </c>
      <c r="K69" s="111">
        <f t="shared" si="98"/>
        <v>68.972682052016367</v>
      </c>
      <c r="L69" s="103">
        <f t="shared" si="99"/>
        <v>16065723.203782476</v>
      </c>
      <c r="M69" s="103">
        <f t="shared" si="100"/>
        <v>465857.57508070709</v>
      </c>
      <c r="N69" s="104">
        <f t="shared" si="101"/>
        <v>440381.89819103037</v>
      </c>
      <c r="O69" s="104">
        <f t="shared" si="102"/>
        <v>189481.34623975935</v>
      </c>
      <c r="Q69" s="105">
        <f t="shared" si="64"/>
        <v>8075.0778823142937</v>
      </c>
      <c r="R69" s="105">
        <f t="shared" si="88"/>
        <v>16160</v>
      </c>
      <c r="S69" s="105">
        <f>Q69*'Baseline Given'!K70/'Baseline Given'!L70</f>
        <v>80626.703034855949</v>
      </c>
      <c r="T69" s="105">
        <f>R69/'Baseline Given'!M70</f>
        <v>2929.8137533385743</v>
      </c>
      <c r="U69" s="105">
        <f>(S69+T69)/1000000</f>
        <v>8.3556516788194521E-2</v>
      </c>
      <c r="W69" s="105">
        <f t="shared" si="66"/>
        <v>7957.2466443386411</v>
      </c>
      <c r="X69" s="105">
        <f t="shared" si="89"/>
        <v>16160</v>
      </c>
      <c r="Y69" s="105">
        <f>W69*'Baseline Given'!K70/'Baseline Given'!L70</f>
        <v>79450.201164415848</v>
      </c>
      <c r="Z69" s="105">
        <f>X69/'Baseline Given'!M70</f>
        <v>2929.8137533385743</v>
      </c>
      <c r="AA69" s="105">
        <f>(Y69+Z69)/1000000</f>
        <v>8.2380014917754429E-2</v>
      </c>
      <c r="AC69" s="105">
        <f t="shared" si="68"/>
        <v>7592.71637595014</v>
      </c>
      <c r="AD69" s="107">
        <f t="shared" si="90"/>
        <v>16160</v>
      </c>
      <c r="AE69" s="106">
        <f>AC69*'Baseline Given'!K70/'Baseline Given'!L70</f>
        <v>75810.49958816891</v>
      </c>
      <c r="AF69" s="105">
        <f>AD69/'Baseline Given'!M70</f>
        <v>2929.8137533385743</v>
      </c>
      <c r="AG69" s="105">
        <f>(AE69+AF69)/1000000</f>
        <v>7.8740313341507481E-2</v>
      </c>
      <c r="AI69" s="105">
        <f t="shared" si="70"/>
        <v>6997.4852625782651</v>
      </c>
      <c r="AJ69" s="107">
        <f t="shared" si="91"/>
        <v>16160</v>
      </c>
      <c r="AK69" s="105">
        <f>AI69*'Baseline Given'!K70/'Baseline Given'!L70</f>
        <v>69867.334343899274</v>
      </c>
      <c r="AL69" s="105">
        <f>AJ69/'Baseline Given'!M70</f>
        <v>2929.8137533385743</v>
      </c>
      <c r="AM69" s="105">
        <f>(AK69+AL69)/1000000</f>
        <v>7.2797148097237849E-2</v>
      </c>
      <c r="AO69" s="105">
        <f t="shared" si="72"/>
        <v>6189.6391004013421</v>
      </c>
      <c r="AP69" s="107">
        <f t="shared" si="92"/>
        <v>16160</v>
      </c>
      <c r="AQ69" s="105">
        <f>AO69*'Baseline Given'!K70/'Baseline Given'!L70</f>
        <v>61801.285500167294</v>
      </c>
      <c r="AR69" s="105">
        <f>AP69/'Baseline Given'!M70</f>
        <v>2929.8137533385743</v>
      </c>
      <c r="AS69" s="105">
        <f>(AQ69+AR69)/1000000</f>
        <v>6.4731099253505869E-2</v>
      </c>
      <c r="AU69" s="105">
        <f t="shared" si="74"/>
        <v>5193.7238862672384</v>
      </c>
      <c r="AV69" s="107">
        <f t="shared" si="93"/>
        <v>16160</v>
      </c>
      <c r="AW69" s="106">
        <f>AU69*'Baseline Given'!K70/'Baseline Given'!L70</f>
        <v>51857.435869472167</v>
      </c>
      <c r="AX69" s="105">
        <f>AV69/'Baseline Given'!M70</f>
        <v>2929.8137533385743</v>
      </c>
      <c r="AY69" s="105">
        <f>(AW69+AX69)/1000000</f>
        <v>5.4787249622810744E-2</v>
      </c>
      <c r="BA69" s="105">
        <f t="shared" si="76"/>
        <v>4040.0000000000009</v>
      </c>
      <c r="BB69" s="107">
        <f t="shared" si="94"/>
        <v>16160</v>
      </c>
      <c r="BC69" s="106">
        <f>BA69*'Baseline Given'!K70/'Baseline Given'!L70</f>
        <v>40337.924291011826</v>
      </c>
      <c r="BD69" s="105">
        <f>BB69/'Baseline Given'!M70</f>
        <v>2929.8137533385743</v>
      </c>
      <c r="BE69" s="105">
        <f>(BC69+BD69)/1000000</f>
        <v>4.3267738044350398E-2</v>
      </c>
      <c r="BG69" s="105">
        <f t="shared" si="46"/>
        <v>2763.522758071404</v>
      </c>
      <c r="BH69" s="107">
        <f t="shared" si="95"/>
        <v>16160</v>
      </c>
      <c r="BI69" s="105">
        <f>BG69*'Baseline Given'!K70/'Baseline Given'!L70</f>
        <v>27592.765294943682</v>
      </c>
      <c r="BJ69" s="105">
        <f>BH69/'Baseline Given'!M70</f>
        <v>2929.8137533385743</v>
      </c>
      <c r="BK69" s="105">
        <f>(BI69+BJ69)/1000000</f>
        <v>3.0522579048282254E-2</v>
      </c>
      <c r="BM69" s="105">
        <f t="shared" si="79"/>
        <v>1403.0772755487978</v>
      </c>
      <c r="BN69" s="107">
        <f t="shared" si="96"/>
        <v>16160</v>
      </c>
      <c r="BO69" s="105">
        <f>BM69*'Baseline Given'!K70/'Baseline Given'!L70</f>
        <v>14009.21408800162</v>
      </c>
      <c r="BP69" s="105">
        <f>BN69/'Baseline Given'!M70</f>
        <v>2929.8137533385743</v>
      </c>
      <c r="BQ69" s="105">
        <f>(BO69+BP69)/1000000</f>
        <v>1.6939027841340194E-2</v>
      </c>
      <c r="BS69" s="105">
        <f t="shared" si="81"/>
        <v>4.9495997578308248E-13</v>
      </c>
      <c r="BT69" s="107">
        <f t="shared" si="97"/>
        <v>16160</v>
      </c>
      <c r="BU69" s="105">
        <f>BS69*'Baseline Given'!K70/'Baseline Given'!L70</f>
        <v>4.9419945619354026E-12</v>
      </c>
      <c r="BV69" s="105">
        <f>BT69/'Baseline Given'!M70</f>
        <v>2929.8137533385743</v>
      </c>
      <c r="BW69" s="105">
        <f>(BU69+BV69)/1000000</f>
        <v>2.9298137533385793E-3</v>
      </c>
      <c r="BY69" s="104">
        <v>150</v>
      </c>
      <c r="BZ69" s="104">
        <v>-150</v>
      </c>
    </row>
    <row r="70" spans="1:78" ht="15" customHeight="1" x14ac:dyDescent="0.25">
      <c r="I70" s="104">
        <f t="shared" si="103"/>
        <v>67</v>
      </c>
      <c r="J70" s="104">
        <f t="shared" si="104"/>
        <v>1.1693705988362006</v>
      </c>
      <c r="K70" s="111">
        <f t="shared" si="98"/>
        <v>69.498116435659242</v>
      </c>
      <c r="L70" s="103">
        <f t="shared" si="99"/>
        <v>15433520.102688111</v>
      </c>
      <c r="M70" s="103">
        <f t="shared" si="100"/>
        <v>444142.11187943007</v>
      </c>
      <c r="N70" s="104">
        <f t="shared" si="101"/>
        <v>423052.40743790672</v>
      </c>
      <c r="O70" s="104">
        <f t="shared" si="102"/>
        <v>173540.14858425906</v>
      </c>
      <c r="Q70" s="10"/>
      <c r="W70" s="10"/>
      <c r="AC70" s="10"/>
      <c r="AD70" s="10"/>
      <c r="AE70" s="10"/>
      <c r="AF70" s="10"/>
      <c r="AG70" s="10"/>
      <c r="AI70" s="10"/>
      <c r="AJ70" s="10"/>
      <c r="AO70" s="10"/>
      <c r="AP70" s="10"/>
      <c r="AU70" s="10"/>
      <c r="AV70" s="10"/>
      <c r="AW70" s="10"/>
      <c r="AX70" s="10"/>
      <c r="AY70" s="10"/>
      <c r="BA70" s="10"/>
      <c r="BB70" s="10"/>
      <c r="BC70" s="10"/>
      <c r="BD70" s="10"/>
      <c r="BE70" s="10"/>
      <c r="BG70" s="10"/>
      <c r="BH70" s="10"/>
      <c r="BM70" s="10"/>
      <c r="BN70" s="10"/>
      <c r="BS70" s="10"/>
      <c r="BT70" s="10"/>
    </row>
    <row r="71" spans="1:78" ht="15" customHeight="1" x14ac:dyDescent="0.25">
      <c r="I71" s="104">
        <f t="shared" si="103"/>
        <v>68</v>
      </c>
      <c r="J71" s="104">
        <f t="shared" si="104"/>
        <v>1.1868238913561442</v>
      </c>
      <c r="K71" s="111">
        <f t="shared" si="98"/>
        <v>70.002381019792452</v>
      </c>
      <c r="L71" s="103">
        <f t="shared" si="99"/>
        <v>14796615.801862579</v>
      </c>
      <c r="M71" s="103">
        <f t="shared" si="100"/>
        <v>422746.07195658068</v>
      </c>
      <c r="N71" s="104">
        <f t="shared" si="101"/>
        <v>405594.05082327622</v>
      </c>
      <c r="O71" s="104">
        <f t="shared" si="102"/>
        <v>158363.46589561267</v>
      </c>
      <c r="Q71" s="10"/>
      <c r="W71" s="10"/>
      <c r="AC71" s="10"/>
      <c r="AD71" s="10"/>
      <c r="AE71" s="10"/>
      <c r="AF71" s="10"/>
      <c r="AG71" s="10"/>
      <c r="AI71" s="10"/>
      <c r="AJ71" s="10"/>
      <c r="AO71" s="10"/>
      <c r="AP71" s="10"/>
      <c r="AU71" s="10"/>
      <c r="AV71" s="10"/>
      <c r="AW71" s="10"/>
      <c r="AX71" s="10"/>
      <c r="AY71" s="10"/>
      <c r="BA71" s="10"/>
      <c r="BB71" s="10"/>
      <c r="BC71" s="10"/>
      <c r="BD71" s="10"/>
      <c r="BE71" s="10"/>
      <c r="BG71" s="10"/>
      <c r="BH71" s="10"/>
      <c r="BM71" s="10"/>
      <c r="BN71" s="10"/>
      <c r="BS71" s="10"/>
      <c r="BT71" s="10"/>
    </row>
    <row r="72" spans="1:78" ht="15" customHeight="1" x14ac:dyDescent="0.25">
      <c r="I72" s="104">
        <f t="shared" si="103"/>
        <v>69</v>
      </c>
      <c r="J72" s="104">
        <f t="shared" si="104"/>
        <v>1.2042771838760873</v>
      </c>
      <c r="K72" s="111">
        <f t="shared" si="98"/>
        <v>70.485322200538732</v>
      </c>
      <c r="L72" s="103">
        <f t="shared" si="99"/>
        <v>14155204.308525782</v>
      </c>
      <c r="M72" s="113">
        <f t="shared" si="100"/>
        <v>401649.70143011113</v>
      </c>
      <c r="N72" s="104">
        <f t="shared" si="101"/>
        <v>388012.14633168763</v>
      </c>
      <c r="O72" s="104">
        <f t="shared" si="102"/>
        <v>143938.37993699103</v>
      </c>
      <c r="Q72" s="10"/>
      <c r="W72" s="10"/>
      <c r="AC72" s="10"/>
      <c r="AD72" s="10"/>
      <c r="AE72" s="10"/>
      <c r="AF72" s="10"/>
      <c r="AG72" s="10"/>
      <c r="AI72" s="10"/>
      <c r="AJ72" s="10"/>
      <c r="AO72" s="10"/>
      <c r="AP72" s="10"/>
      <c r="AU72" s="10"/>
      <c r="AV72" s="10"/>
      <c r="AW72" s="10"/>
      <c r="AX72" s="10"/>
      <c r="AY72" s="10"/>
      <c r="BA72" s="10"/>
      <c r="BB72" s="10"/>
      <c r="BC72" s="10"/>
      <c r="BD72" s="10"/>
      <c r="BE72" s="10"/>
      <c r="BG72" s="10"/>
      <c r="BH72" s="10"/>
      <c r="BM72" s="10"/>
      <c r="BN72" s="10"/>
    </row>
    <row r="73" spans="1:78" ht="15" customHeight="1" x14ac:dyDescent="0.25">
      <c r="I73" s="104">
        <f t="shared" si="103"/>
        <v>70</v>
      </c>
      <c r="J73" s="109">
        <f t="shared" si="104"/>
        <v>1.2217304763960306</v>
      </c>
      <c r="K73" s="111">
        <f t="shared" si="98"/>
        <v>70.946792869336079</v>
      </c>
      <c r="L73" s="103">
        <f t="shared" si="99"/>
        <v>13509481.002832059</v>
      </c>
      <c r="M73" s="103">
        <f t="shared" si="100"/>
        <v>380834.15631521784</v>
      </c>
      <c r="N73" s="109">
        <f t="shared" si="101"/>
        <v>370312.04958156811</v>
      </c>
      <c r="O73" s="104">
        <f t="shared" si="102"/>
        <v>130252.95272624097</v>
      </c>
      <c r="Q73" s="10"/>
      <c r="W73" s="10"/>
      <c r="AC73" s="10"/>
      <c r="AD73" s="10"/>
      <c r="AE73" s="10"/>
      <c r="AF73" s="10"/>
      <c r="AG73" s="10"/>
      <c r="AO73" s="10"/>
      <c r="AP73" s="10"/>
      <c r="AU73" s="10"/>
      <c r="AV73" s="10"/>
      <c r="AW73" s="10"/>
      <c r="AX73" s="10"/>
      <c r="AY73" s="10"/>
      <c r="BA73" s="10"/>
      <c r="BB73" s="10"/>
      <c r="BC73" s="10"/>
      <c r="BD73" s="10"/>
      <c r="BE73" s="10"/>
      <c r="BG73" s="10"/>
      <c r="BH73" s="10"/>
      <c r="BM73" s="10"/>
      <c r="BN73" s="10"/>
    </row>
    <row r="74" spans="1:78" ht="15" customHeight="1" x14ac:dyDescent="0.25">
      <c r="I74" s="104">
        <f t="shared" si="103"/>
        <v>71</v>
      </c>
      <c r="J74" s="104">
        <f t="shared" si="104"/>
        <v>1.2391837689159739</v>
      </c>
      <c r="K74" s="111">
        <f t="shared" si="98"/>
        <v>71.386652457748411</v>
      </c>
      <c r="L74" s="103">
        <f t="shared" si="99"/>
        <v>12859642.578355592</v>
      </c>
      <c r="M74" s="103">
        <f t="shared" si="100"/>
        <v>360281.4289678823</v>
      </c>
      <c r="N74" s="104">
        <f t="shared" si="101"/>
        <v>352499.15219385276</v>
      </c>
      <c r="O74" s="104">
        <f t="shared" si="102"/>
        <v>117296.15991426066</v>
      </c>
      <c r="Q74" s="10"/>
      <c r="AC74" s="10"/>
      <c r="AD74" s="10"/>
      <c r="AE74" s="10"/>
      <c r="AF74" s="10"/>
      <c r="AG74" s="10"/>
      <c r="AO74" s="10"/>
      <c r="AP74" s="10"/>
      <c r="AU74" s="10"/>
      <c r="AV74" s="10"/>
      <c r="AW74" s="10"/>
      <c r="AX74" s="10"/>
      <c r="AY74" s="10"/>
      <c r="BA74" s="10"/>
      <c r="BB74" s="10"/>
      <c r="BC74" s="10"/>
      <c r="BD74" s="10"/>
      <c r="BE74" s="10"/>
      <c r="BG74" s="10"/>
      <c r="BH74" s="10"/>
      <c r="BM74" s="10"/>
      <c r="BN74" s="10"/>
    </row>
    <row r="75" spans="1:78" ht="15" customHeight="1" x14ac:dyDescent="0.25">
      <c r="I75" s="104">
        <f t="shared" si="103"/>
        <v>72</v>
      </c>
      <c r="J75" s="104">
        <f t="shared" si="104"/>
        <v>1.2566370614359172</v>
      </c>
      <c r="K75" s="111">
        <f t="shared" si="98"/>
        <v>71.804766980284086</v>
      </c>
      <c r="L75" s="103">
        <f t="shared" si="99"/>
        <v>12205886.9821756</v>
      </c>
      <c r="M75" s="103">
        <f t="shared" si="100"/>
        <v>339974.28013455018</v>
      </c>
      <c r="N75" s="104">
        <f t="shared" si="101"/>
        <v>334578.88014964311</v>
      </c>
      <c r="O75" s="104">
        <f t="shared" si="102"/>
        <v>105057.83021196511</v>
      </c>
      <c r="Q75" s="10"/>
      <c r="AC75" s="10"/>
      <c r="AD75" s="10"/>
      <c r="AE75" s="10"/>
      <c r="AF75" s="10"/>
      <c r="AG75" s="10"/>
      <c r="AU75" s="10"/>
      <c r="AV75" s="10"/>
      <c r="AW75" s="10"/>
      <c r="AX75" s="10"/>
      <c r="AY75" s="10"/>
      <c r="BA75" s="10"/>
      <c r="BB75" s="10"/>
      <c r="BC75" s="10"/>
      <c r="BD75" s="10"/>
      <c r="BE75" s="10"/>
      <c r="BG75" s="10"/>
      <c r="BH75" s="10"/>
      <c r="BM75" s="10"/>
      <c r="BN75" s="10"/>
    </row>
    <row r="76" spans="1:78" ht="15" customHeight="1" x14ac:dyDescent="0.25">
      <c r="I76" s="104">
        <f t="shared" si="103"/>
        <v>73</v>
      </c>
      <c r="J76" s="104">
        <f t="shared" si="104"/>
        <v>1.2740903539558606</v>
      </c>
      <c r="K76" s="111">
        <f t="shared" si="98"/>
        <v>72.201009075209171</v>
      </c>
      <c r="L76" s="103">
        <f t="shared" si="99"/>
        <v>11548413.354579758</v>
      </c>
      <c r="M76" s="103">
        <f t="shared" si="100"/>
        <v>319896.17603682505</v>
      </c>
      <c r="N76" s="104">
        <f t="shared" si="101"/>
        <v>316556.69213740155</v>
      </c>
      <c r="O76" s="104">
        <f t="shared" si="102"/>
        <v>93528.590322171236</v>
      </c>
      <c r="Q76" s="10"/>
      <c r="AC76" s="10"/>
      <c r="AD76" s="10"/>
      <c r="AE76" s="10"/>
      <c r="AF76" s="10"/>
      <c r="AG76" s="10"/>
      <c r="BG76" s="10"/>
      <c r="BH76" s="10"/>
      <c r="BM76" s="10"/>
      <c r="BN76" s="10"/>
    </row>
    <row r="77" spans="1:78" ht="15" customHeight="1" x14ac:dyDescent="0.25">
      <c r="I77" s="104">
        <f t="shared" si="103"/>
        <v>74</v>
      </c>
      <c r="J77" s="104">
        <f t="shared" si="104"/>
        <v>1.2915436464758039</v>
      </c>
      <c r="K77" s="111">
        <f t="shared" si="98"/>
        <v>72.575258043343069</v>
      </c>
      <c r="L77" s="103">
        <f t="shared" si="99"/>
        <v>10887421.968404116</v>
      </c>
      <c r="M77" s="103">
        <f t="shared" si="100"/>
        <v>300031.22997928521</v>
      </c>
      <c r="N77" s="104">
        <f t="shared" si="101"/>
        <v>298438.07789018133</v>
      </c>
      <c r="O77" s="104">
        <f t="shared" si="102"/>
        <v>82699.814894012146</v>
      </c>
      <c r="Q77" s="10"/>
      <c r="BG77" s="10"/>
      <c r="BH77" s="10"/>
      <c r="BM77" s="10"/>
      <c r="BN77" s="10"/>
    </row>
    <row r="78" spans="1:78" ht="15" customHeight="1" x14ac:dyDescent="0.25">
      <c r="I78" s="104">
        <f t="shared" si="103"/>
        <v>75</v>
      </c>
      <c r="J78" s="104">
        <f t="shared" si="104"/>
        <v>1.3089969389957472</v>
      </c>
      <c r="K78" s="111">
        <f t="shared" si="98"/>
        <v>72.927399884824666</v>
      </c>
      <c r="L78" s="103">
        <f t="shared" si="99"/>
        <v>10223114.168028075</v>
      </c>
      <c r="M78" s="103">
        <f t="shared" si="100"/>
        <v>280364.14802045847</v>
      </c>
      <c r="N78" s="104">
        <f t="shared" si="101"/>
        <v>280228.55651340127</v>
      </c>
      <c r="O78" s="104">
        <f t="shared" si="102"/>
        <v>72563.581071636843</v>
      </c>
      <c r="Q78" s="10"/>
      <c r="BG78" s="10"/>
      <c r="BH78" s="10"/>
    </row>
    <row r="79" spans="1:78" ht="15" customHeight="1" x14ac:dyDescent="0.25">
      <c r="I79" s="104">
        <f t="shared" si="103"/>
        <v>76</v>
      </c>
      <c r="J79" s="104">
        <f t="shared" si="104"/>
        <v>1.3264502315156903</v>
      </c>
      <c r="K79" s="111">
        <f t="shared" si="98"/>
        <v>73.257327333837736</v>
      </c>
      <c r="L79" s="103">
        <f t="shared" si="99"/>
        <v>9555692.3080429304</v>
      </c>
      <c r="M79" s="103">
        <f t="shared" si="100"/>
        <v>260880.17829253056</v>
      </c>
      <c r="N79" s="104">
        <f t="shared" si="101"/>
        <v>261933.67480367242</v>
      </c>
      <c r="O79" s="104">
        <f t="shared" si="102"/>
        <v>63112.627256908323</v>
      </c>
      <c r="Q79" s="10"/>
      <c r="BG79" s="10"/>
      <c r="BH79" s="10"/>
    </row>
    <row r="80" spans="1:78" ht="15" customHeight="1" x14ac:dyDescent="0.25">
      <c r="I80" s="104">
        <f t="shared" si="103"/>
        <v>77</v>
      </c>
      <c r="J80" s="104">
        <f t="shared" si="104"/>
        <v>1.3439035240356338</v>
      </c>
      <c r="K80" s="111">
        <f t="shared" si="98"/>
        <v>73.564939891285263</v>
      </c>
      <c r="L80" s="103">
        <f t="shared" si="99"/>
        <v>8885359.6916126683</v>
      </c>
      <c r="M80" s="103">
        <f t="shared" si="100"/>
        <v>241565.0635953352</v>
      </c>
      <c r="N80" s="104">
        <f t="shared" si="101"/>
        <v>243559.00555918942</v>
      </c>
      <c r="O80" s="104">
        <f t="shared" si="102"/>
        <v>54340.315748413435</v>
      </c>
      <c r="Q80" s="10"/>
      <c r="BG80" s="10"/>
      <c r="BH80" s="10"/>
    </row>
    <row r="81" spans="9:60" ht="15" customHeight="1" x14ac:dyDescent="0.25">
      <c r="I81" s="104">
        <f t="shared" si="103"/>
        <v>78</v>
      </c>
      <c r="J81" s="104">
        <f t="shared" si="104"/>
        <v>1.3613568165555769</v>
      </c>
      <c r="K81" s="111">
        <f t="shared" si="98"/>
        <v>73.850143855402322</v>
      </c>
      <c r="L81" s="103">
        <f t="shared" si="99"/>
        <v>8212320.5085459463</v>
      </c>
      <c r="M81" s="103">
        <f t="shared" si="100"/>
        <v>222404.99692527531</v>
      </c>
      <c r="N81" s="104">
        <f t="shared" si="101"/>
        <v>225110.14588220452</v>
      </c>
      <c r="O81" s="104">
        <f t="shared" si="102"/>
        <v>46240.598957052578</v>
      </c>
      <c r="Q81" s="10"/>
      <c r="BG81" s="10"/>
      <c r="BH81" s="10"/>
    </row>
    <row r="82" spans="9:60" ht="15" customHeight="1" x14ac:dyDescent="0.25">
      <c r="I82" s="104">
        <f t="shared" si="103"/>
        <v>79</v>
      </c>
      <c r="J82" s="104">
        <f t="shared" si="104"/>
        <v>1.3788101090755203</v>
      </c>
      <c r="K82" s="111">
        <f t="shared" si="98"/>
        <v>74.112852350298624</v>
      </c>
      <c r="L82" s="103">
        <f t="shared" si="99"/>
        <v>7536779.7730977777</v>
      </c>
      <c r="M82" s="113">
        <f t="shared" si="100"/>
        <v>203386.5796306087</v>
      </c>
      <c r="N82" s="104">
        <f t="shared" si="101"/>
        <v>206592.71547409269</v>
      </c>
      <c r="O82" s="104">
        <f t="shared" si="102"/>
        <v>38807.9889323881</v>
      </c>
      <c r="Q82" s="10"/>
      <c r="BG82" s="10"/>
      <c r="BH82" s="10"/>
    </row>
    <row r="83" spans="9:60" ht="15" customHeight="1" x14ac:dyDescent="0.25">
      <c r="I83" s="104">
        <f t="shared" si="103"/>
        <v>80</v>
      </c>
      <c r="J83" s="109">
        <f t="shared" si="104"/>
        <v>1.3962634015954636</v>
      </c>
      <c r="K83" s="111">
        <f t="shared" si="98"/>
        <v>74.352985352421712</v>
      </c>
      <c r="L83" s="103">
        <f t="shared" si="99"/>
        <v>6858943.2615202982</v>
      </c>
      <c r="M83" s="103">
        <f t="shared" si="100"/>
        <v>184496.78191157928</v>
      </c>
      <c r="N83" s="109">
        <f t="shared" si="101"/>
        <v>188012.35492353889</v>
      </c>
      <c r="O83" s="104">
        <f t="shared" si="102"/>
        <v>32037.529964358833</v>
      </c>
      <c r="Q83" s="10"/>
    </row>
    <row r="84" spans="9:60" ht="15" customHeight="1" x14ac:dyDescent="0.25">
      <c r="I84" s="104">
        <f t="shared" si="103"/>
        <v>81</v>
      </c>
      <c r="J84" s="104">
        <f t="shared" si="104"/>
        <v>1.4137166941154069</v>
      </c>
      <c r="K84" s="111">
        <f t="shared" si="98"/>
        <v>74.570469714932898</v>
      </c>
      <c r="L84" s="103">
        <f t="shared" si="99"/>
        <v>6179017.4493812844</v>
      </c>
      <c r="M84" s="103">
        <f t="shared" si="100"/>
        <v>165722.90540752548</v>
      </c>
      <c r="N84" s="104">
        <f t="shared" si="101"/>
        <v>169374.72398835883</v>
      </c>
      <c r="O84" s="104">
        <f t="shared" si="102"/>
        <v>25924.774052339042</v>
      </c>
      <c r="Q84" s="10"/>
    </row>
    <row r="85" spans="9:60" ht="15" customHeight="1" x14ac:dyDescent="0.25">
      <c r="I85" s="104">
        <f t="shared" si="103"/>
        <v>82</v>
      </c>
      <c r="J85" s="104">
        <f t="shared" si="104"/>
        <v>1.43116998663535</v>
      </c>
      <c r="K85" s="111">
        <f t="shared" si="98"/>
        <v>74.765239189988549</v>
      </c>
      <c r="L85" s="103">
        <f t="shared" si="99"/>
        <v>5497209.4486697111</v>
      </c>
      <c r="M85" s="103">
        <f t="shared" si="100"/>
        <v>147052.54763381579</v>
      </c>
      <c r="N85" s="104">
        <f t="shared" si="101"/>
        <v>150685.49987148232</v>
      </c>
      <c r="O85" s="104">
        <f t="shared" si="102"/>
        <v>20465.759058275915</v>
      </c>
      <c r="Q85" s="10"/>
    </row>
    <row r="86" spans="9:60" ht="15" customHeight="1" x14ac:dyDescent="0.25">
      <c r="I86" s="104">
        <f t="shared" si="103"/>
        <v>83</v>
      </c>
      <c r="J86" s="104">
        <f t="shared" si="104"/>
        <v>1.4486232791552935</v>
      </c>
      <c r="K86" s="111">
        <f t="shared" si="98"/>
        <v>74.93723444891981</v>
      </c>
      <c r="L86" s="103">
        <f t="shared" si="99"/>
        <v>4813726.9447073936</v>
      </c>
      <c r="M86" s="103">
        <f t="shared" si="100"/>
        <v>128473.56804950204</v>
      </c>
      <c r="N86" s="104">
        <f t="shared" si="101"/>
        <v>131950.37549162129</v>
      </c>
      <c r="O86" s="104">
        <f t="shared" si="102"/>
        <v>15656.989383109349</v>
      </c>
    </row>
    <row r="87" spans="9:60" ht="15" customHeight="1" x14ac:dyDescent="0.25">
      <c r="I87" s="104">
        <f t="shared" si="103"/>
        <v>84</v>
      </c>
      <c r="J87" s="104">
        <f t="shared" si="104"/>
        <v>1.4660765716752369</v>
      </c>
      <c r="K87" s="111">
        <f t="shared" si="98"/>
        <v>75.086403100304636</v>
      </c>
      <c r="L87" s="103">
        <f t="shared" si="99"/>
        <v>4128778.1328861052</v>
      </c>
      <c r="M87" s="103">
        <f t="shared" si="100"/>
        <v>109974.05555225894</v>
      </c>
      <c r="N87" s="104">
        <f t="shared" si="101"/>
        <v>113175.05774915376</v>
      </c>
      <c r="O87" s="104">
        <f t="shared" si="102"/>
        <v>11495.41902618918</v>
      </c>
    </row>
    <row r="88" spans="9:60" ht="15" customHeight="1" x14ac:dyDescent="0.25">
      <c r="I88" s="104">
        <f t="shared" si="103"/>
        <v>85</v>
      </c>
      <c r="J88" s="104">
        <f t="shared" si="104"/>
        <v>1.4835298641951802</v>
      </c>
      <c r="K88" s="111">
        <f t="shared" si="98"/>
        <v>75.212699705926781</v>
      </c>
      <c r="L88" s="103">
        <f t="shared" si="99"/>
        <v>3442571.6552491686</v>
      </c>
      <c r="M88" s="103">
        <f t="shared" si="100"/>
        <v>91542.297210690158</v>
      </c>
      <c r="N88" s="104">
        <f t="shared" si="101"/>
        <v>94365.265787744414</v>
      </c>
      <c r="O88" s="104">
        <f t="shared" si="102"/>
        <v>7978.4369062245742</v>
      </c>
    </row>
    <row r="89" spans="9:60" ht="15" customHeight="1" x14ac:dyDescent="0.25">
      <c r="I89" s="104">
        <f t="shared" si="103"/>
        <v>86</v>
      </c>
      <c r="J89" s="104">
        <f t="shared" si="104"/>
        <v>1.5009831567151233</v>
      </c>
      <c r="K89" s="111">
        <f t="shared" si="98"/>
        <v>75.316085794616725</v>
      </c>
      <c r="L89" s="103">
        <f t="shared" si="99"/>
        <v>2755316.5369371111</v>
      </c>
      <c r="M89" s="103">
        <f t="shared" si="100"/>
        <v>73166.748055673641</v>
      </c>
      <c r="N89" s="104">
        <f t="shared" si="101"/>
        <v>75526.729252239515</v>
      </c>
      <c r="O89" s="104">
        <f t="shared" si="102"/>
        <v>5103.8543396886407</v>
      </c>
    </row>
    <row r="90" spans="9:60" ht="15" customHeight="1" x14ac:dyDescent="0.25">
      <c r="I90" s="104">
        <f t="shared" si="103"/>
        <v>87</v>
      </c>
      <c r="J90" s="104">
        <f t="shared" si="104"/>
        <v>1.5184364492350666</v>
      </c>
      <c r="K90" s="111">
        <f t="shared" si="98"/>
        <v>75.396529873970323</v>
      </c>
      <c r="L90" s="103">
        <f t="shared" si="99"/>
        <v>2067222.1225165431</v>
      </c>
      <c r="M90" s="103">
        <f t="shared" si="100"/>
        <v>54836.001762203778</v>
      </c>
      <c r="N90" s="104">
        <f t="shared" si="101"/>
        <v>56665.186543360294</v>
      </c>
      <c r="O90" s="104">
        <f t="shared" si="102"/>
        <v>2869.8945887646951</v>
      </c>
    </row>
    <row r="91" spans="9:60" ht="15" customHeight="1" x14ac:dyDescent="0.25">
      <c r="I91" s="104">
        <f t="shared" si="103"/>
        <v>88</v>
      </c>
      <c r="J91" s="104">
        <f t="shared" si="104"/>
        <v>1.5358897417550099</v>
      </c>
      <c r="K91" s="111">
        <f t="shared" si="98"/>
        <v>75.454007439941734</v>
      </c>
      <c r="L91" s="103">
        <f t="shared" si="99"/>
        <v>1378498.0122118262</v>
      </c>
      <c r="M91" s="103">
        <f t="shared" si="100"/>
        <v>36538.762061353824</v>
      </c>
      <c r="N91" s="104">
        <f t="shared" si="101"/>
        <v>37786.383069731972</v>
      </c>
      <c r="O91" s="104">
        <f t="shared" si="102"/>
        <v>1275.1844060736894</v>
      </c>
    </row>
    <row r="92" spans="9:60" ht="15" customHeight="1" x14ac:dyDescent="0.25">
      <c r="I92" s="104">
        <f t="shared" si="103"/>
        <v>89</v>
      </c>
      <c r="J92" s="104">
        <f t="shared" si="104"/>
        <v>1.5533430342749535</v>
      </c>
      <c r="K92" s="111">
        <f t="shared" si="98"/>
        <v>75.488500984307535</v>
      </c>
      <c r="L92" s="103">
        <f t="shared" si="99"/>
        <v>689353.99805877102</v>
      </c>
      <c r="M92" s="113">
        <f t="shared" si="100"/>
        <v>18263.814728605437</v>
      </c>
      <c r="N92" s="104">
        <f t="shared" si="101"/>
        <v>18896.069497775457</v>
      </c>
      <c r="O92" s="104">
        <f t="shared" si="102"/>
        <v>318.74751773886447</v>
      </c>
    </row>
    <row r="93" spans="9:60" ht="15" customHeight="1" x14ac:dyDescent="0.25">
      <c r="I93" s="104">
        <f t="shared" si="103"/>
        <v>90</v>
      </c>
      <c r="J93" s="109">
        <f t="shared" si="104"/>
        <v>1.5707963267948966</v>
      </c>
      <c r="K93" s="111">
        <f t="shared" si="98"/>
        <v>75.5</v>
      </c>
      <c r="L93" s="103">
        <f t="shared" si="99"/>
        <v>2.4196118416155987E-9</v>
      </c>
      <c r="M93" s="103">
        <f t="shared" si="100"/>
        <v>6.4095677923592024E-11</v>
      </c>
      <c r="N93" s="109">
        <f t="shared" si="101"/>
        <v>6.6324636754933053E-11</v>
      </c>
      <c r="O93" s="104">
        <f t="shared" si="102"/>
        <v>3.9263360387204655E-27</v>
      </c>
    </row>
  </sheetData>
  <mergeCells count="25">
    <mergeCell ref="BY1:BZ1"/>
    <mergeCell ref="H1:H1048576"/>
    <mergeCell ref="J1:O1"/>
    <mergeCell ref="P1:P1048576"/>
    <mergeCell ref="Q1:U1"/>
    <mergeCell ref="AN1:AN1048576"/>
    <mergeCell ref="AT1:AT1048576"/>
    <mergeCell ref="AI1:AM1"/>
    <mergeCell ref="AO1:AS1"/>
    <mergeCell ref="AU1:AY1"/>
    <mergeCell ref="BR1:BR1048576"/>
    <mergeCell ref="BX1:BX1048576"/>
    <mergeCell ref="AZ1:AZ1048576"/>
    <mergeCell ref="BF1:BF1048576"/>
    <mergeCell ref="BL1:BL1048576"/>
    <mergeCell ref="BA1:BE1"/>
    <mergeCell ref="BG1:BK1"/>
    <mergeCell ref="BM1:BQ1"/>
    <mergeCell ref="BS1:BW1"/>
    <mergeCell ref="A1:G1"/>
    <mergeCell ref="V1:V1048576"/>
    <mergeCell ref="AB1:AB1048576"/>
    <mergeCell ref="AH1:AH1048576"/>
    <mergeCell ref="W1:AA1"/>
    <mergeCell ref="AC1:AG1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BASELINE SUMMARY</vt:lpstr>
      <vt:lpstr>ALTERNATIVE SUMMARY</vt:lpstr>
      <vt:lpstr>Baseline Given</vt:lpstr>
      <vt:lpstr>Alternative 1</vt:lpstr>
      <vt:lpstr>Alternative 2</vt:lpstr>
      <vt:lpstr>Alternative 3</vt:lpstr>
      <vt:lpstr>Center of Gravity</vt:lpstr>
      <vt:lpstr>Baseline-tilt up (1 pt)</vt:lpstr>
      <vt:lpstr>Baseline-tilt up (2 pt)</vt:lpstr>
      <vt:lpstr>Baseline-tilt up (3 pt)</vt:lpstr>
      <vt:lpstr>Alternative 1-Tilt Up (3pt)</vt:lpstr>
      <vt:lpstr>Alternative 2-Tilt Up (3pt)</vt:lpstr>
      <vt:lpstr>Alternative 3-Tilt Up (3pt)</vt:lpstr>
      <vt:lpstr>Wind Loading</vt:lpstr>
      <vt:lpstr>Dynamic Loading</vt:lpstr>
      <vt:lpstr>Combined Stress</vt:lpstr>
      <vt:lpstr>Local Buckling</vt:lpstr>
      <vt:lpstr>Column Buckling</vt:lpstr>
      <vt:lpstr>Yielding Stress (1)</vt:lpstr>
      <vt:lpstr>Yielding Stress (2)</vt:lpstr>
    </vt:vector>
  </TitlesOfParts>
  <Company>Worcester Polytechnic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</dc:creator>
  <cp:lastModifiedBy>Dana</cp:lastModifiedBy>
  <dcterms:created xsi:type="dcterms:W3CDTF">2013-11-12T17:59:01Z</dcterms:created>
  <dcterms:modified xsi:type="dcterms:W3CDTF">2014-04-10T15:15:56Z</dcterms:modified>
</cp:coreProperties>
</file>